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580" yWindow="1940" windowWidth="26260" windowHeight="11780"/>
  </bookViews>
  <sheets>
    <sheet name="export (14)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28" i="1" l="1"/>
  <c r="D1227" i="1"/>
  <c r="A1227" i="1"/>
  <c r="D1226" i="1"/>
  <c r="A1226" i="1"/>
  <c r="D1225" i="1"/>
  <c r="A1225" i="1"/>
  <c r="D1224" i="1"/>
  <c r="A1224" i="1"/>
  <c r="D1223" i="1"/>
  <c r="A1223" i="1"/>
  <c r="D1222" i="1"/>
  <c r="A1222" i="1"/>
  <c r="D1221" i="1"/>
  <c r="A1221" i="1"/>
  <c r="D1220" i="1"/>
  <c r="A1220" i="1"/>
  <c r="D1219" i="1"/>
  <c r="A1219" i="1"/>
  <c r="D1218" i="1"/>
  <c r="A1218" i="1"/>
  <c r="D1217" i="1"/>
  <c r="A1217" i="1"/>
  <c r="D1216" i="1"/>
  <c r="A1216" i="1"/>
  <c r="D1215" i="1"/>
  <c r="A1215" i="1"/>
  <c r="D1214" i="1"/>
  <c r="A1214" i="1"/>
  <c r="D1213" i="1"/>
  <c r="A1213" i="1"/>
  <c r="D1212" i="1"/>
  <c r="A1212" i="1"/>
  <c r="D1211" i="1"/>
  <c r="A1211" i="1"/>
  <c r="D1210" i="1"/>
  <c r="A1210" i="1"/>
  <c r="D1209" i="1"/>
  <c r="A1209" i="1"/>
  <c r="D1208" i="1"/>
  <c r="A1208" i="1"/>
  <c r="D1207" i="1"/>
  <c r="A1207" i="1"/>
  <c r="D1206" i="1"/>
  <c r="A1206" i="1"/>
  <c r="D1205" i="1"/>
  <c r="A1205" i="1"/>
  <c r="D1204" i="1"/>
  <c r="A1204" i="1"/>
  <c r="D1203" i="1"/>
  <c r="A1203" i="1"/>
  <c r="D1202" i="1"/>
  <c r="A1202" i="1"/>
  <c r="D1201" i="1"/>
  <c r="A1201" i="1"/>
  <c r="D1200" i="1"/>
  <c r="A1200" i="1"/>
  <c r="D1199" i="1"/>
  <c r="A1199" i="1"/>
  <c r="D1198" i="1"/>
  <c r="A1198" i="1"/>
  <c r="D1197" i="1"/>
  <c r="A1197" i="1"/>
  <c r="D1196" i="1"/>
  <c r="A1196" i="1"/>
  <c r="D1195" i="1"/>
  <c r="A1195" i="1"/>
  <c r="D1194" i="1"/>
  <c r="A1194" i="1"/>
  <c r="D1193" i="1"/>
  <c r="A1193" i="1"/>
  <c r="D1192" i="1"/>
  <c r="A1192" i="1"/>
  <c r="D1191" i="1"/>
  <c r="A1191" i="1"/>
  <c r="D1190" i="1"/>
  <c r="A1190" i="1"/>
  <c r="D1189" i="1"/>
  <c r="A1189" i="1"/>
  <c r="D1188" i="1"/>
  <c r="A1188" i="1"/>
  <c r="D1187" i="1"/>
  <c r="A1187" i="1"/>
  <c r="D1186" i="1"/>
  <c r="A1186" i="1"/>
  <c r="D1185" i="1"/>
  <c r="A1185" i="1"/>
  <c r="D1184" i="1"/>
  <c r="A1184" i="1"/>
  <c r="D1183" i="1"/>
  <c r="A1183" i="1"/>
  <c r="D1182" i="1"/>
  <c r="A1182" i="1"/>
  <c r="D1181" i="1"/>
  <c r="A1181" i="1"/>
  <c r="D1180" i="1"/>
  <c r="A1180" i="1"/>
  <c r="D1179" i="1"/>
  <c r="A1179" i="1"/>
  <c r="D1178" i="1"/>
  <c r="A1178" i="1"/>
  <c r="D1177" i="1"/>
  <c r="A1177" i="1"/>
  <c r="D1176" i="1"/>
  <c r="A1176" i="1"/>
  <c r="D1175" i="1"/>
  <c r="A1175" i="1"/>
  <c r="D1174" i="1"/>
  <c r="A1174" i="1"/>
  <c r="D1173" i="1"/>
  <c r="A1173" i="1"/>
  <c r="D1172" i="1"/>
  <c r="A1172" i="1"/>
  <c r="D1171" i="1"/>
  <c r="A1171" i="1"/>
  <c r="D1170" i="1"/>
  <c r="A1170" i="1"/>
  <c r="D1169" i="1"/>
  <c r="A1169" i="1"/>
  <c r="D1168" i="1"/>
  <c r="A1168" i="1"/>
  <c r="D1167" i="1"/>
  <c r="A1167" i="1"/>
  <c r="A1166" i="1"/>
  <c r="D1165" i="1"/>
  <c r="A1165" i="1"/>
  <c r="D1164" i="1"/>
  <c r="A1164" i="1"/>
  <c r="D1163" i="1"/>
  <c r="A1163" i="1"/>
  <c r="D1162" i="1"/>
  <c r="A1162" i="1"/>
  <c r="D1161" i="1"/>
  <c r="A1161" i="1"/>
  <c r="D1160" i="1"/>
  <c r="A1160" i="1"/>
  <c r="D1159" i="1"/>
  <c r="A1159" i="1"/>
  <c r="D1158" i="1"/>
  <c r="A1158" i="1"/>
  <c r="D1157" i="1"/>
  <c r="A1157" i="1"/>
  <c r="D1156" i="1"/>
  <c r="A1156" i="1"/>
  <c r="D1155" i="1"/>
  <c r="A1155" i="1"/>
  <c r="D1154" i="1"/>
  <c r="A1154" i="1"/>
  <c r="D1153" i="1"/>
  <c r="A1153" i="1"/>
  <c r="D1152" i="1"/>
  <c r="A1152" i="1"/>
  <c r="D1151" i="1"/>
  <c r="A1151" i="1"/>
  <c r="D1150" i="1"/>
  <c r="A1150" i="1"/>
  <c r="D1149" i="1"/>
  <c r="A1149" i="1"/>
  <c r="D1148" i="1"/>
  <c r="A1148" i="1"/>
  <c r="D1147" i="1"/>
  <c r="A1147" i="1"/>
  <c r="D1146" i="1"/>
  <c r="A1146" i="1"/>
  <c r="D1145" i="1"/>
  <c r="A1145" i="1"/>
  <c r="D1144" i="1"/>
  <c r="A1144" i="1"/>
  <c r="D1143" i="1"/>
  <c r="A1143" i="1"/>
  <c r="D1142" i="1"/>
  <c r="A1142" i="1"/>
  <c r="D1141" i="1"/>
  <c r="A1141" i="1"/>
  <c r="D1140" i="1"/>
  <c r="A1140" i="1"/>
  <c r="D1139" i="1"/>
  <c r="A1139" i="1"/>
  <c r="D1138" i="1"/>
  <c r="A1138" i="1"/>
  <c r="A1137" i="1"/>
  <c r="D1136" i="1"/>
  <c r="A1136" i="1"/>
  <c r="D1135" i="1"/>
  <c r="A1135" i="1"/>
  <c r="D1134" i="1"/>
  <c r="A1134" i="1"/>
  <c r="D1133" i="1"/>
  <c r="A1133" i="1"/>
  <c r="D1132" i="1"/>
  <c r="A1132" i="1"/>
  <c r="D1131" i="1"/>
  <c r="A1131" i="1"/>
  <c r="D1130" i="1"/>
  <c r="A1130" i="1"/>
  <c r="D1129" i="1"/>
  <c r="A1129" i="1"/>
  <c r="D1128" i="1"/>
  <c r="A1128" i="1"/>
  <c r="D1127" i="1"/>
  <c r="A1127" i="1"/>
  <c r="D1126" i="1"/>
  <c r="A1126" i="1"/>
  <c r="D1125" i="1"/>
  <c r="A1125" i="1"/>
  <c r="D1124" i="1"/>
  <c r="A1124" i="1"/>
  <c r="D1123" i="1"/>
  <c r="A1123" i="1"/>
  <c r="D1122" i="1"/>
  <c r="A1122" i="1"/>
  <c r="D1121" i="1"/>
  <c r="A1121" i="1"/>
  <c r="D1120" i="1"/>
  <c r="A1120" i="1"/>
  <c r="A1119" i="1"/>
  <c r="D1118" i="1"/>
  <c r="A1118" i="1"/>
  <c r="D1117" i="1"/>
  <c r="A1117" i="1"/>
  <c r="D1116" i="1"/>
  <c r="A1116" i="1"/>
  <c r="D1115" i="1"/>
  <c r="A1115" i="1"/>
  <c r="D1114" i="1"/>
  <c r="A1114" i="1"/>
  <c r="D1113" i="1"/>
  <c r="A1113" i="1"/>
  <c r="A1112" i="1"/>
  <c r="D1111" i="1"/>
  <c r="A1111" i="1"/>
  <c r="D1110" i="1"/>
  <c r="A1110" i="1"/>
  <c r="D1109" i="1"/>
  <c r="A1109" i="1"/>
  <c r="D1108" i="1"/>
  <c r="A1108" i="1"/>
  <c r="D1107" i="1"/>
  <c r="A1107" i="1"/>
  <c r="D1106" i="1"/>
  <c r="A1106" i="1"/>
  <c r="D1105" i="1"/>
  <c r="A1105" i="1"/>
  <c r="D1104" i="1"/>
  <c r="A1104" i="1"/>
  <c r="D1103" i="1"/>
  <c r="A1103" i="1"/>
  <c r="D1102" i="1"/>
  <c r="A1102" i="1"/>
  <c r="D1101" i="1"/>
  <c r="A1101" i="1"/>
  <c r="D1100" i="1"/>
  <c r="A1100" i="1"/>
  <c r="D1099" i="1"/>
  <c r="A1099" i="1"/>
  <c r="D1098" i="1"/>
  <c r="A1098" i="1"/>
  <c r="D1097" i="1"/>
  <c r="A1097" i="1"/>
  <c r="D1096" i="1"/>
  <c r="A1096" i="1"/>
  <c r="D1095" i="1"/>
  <c r="A1095" i="1"/>
  <c r="D1094" i="1"/>
  <c r="A1094" i="1"/>
  <c r="D1093" i="1"/>
  <c r="A1093" i="1"/>
  <c r="D1092" i="1"/>
  <c r="A1092" i="1"/>
  <c r="D1091" i="1"/>
  <c r="A1091" i="1"/>
  <c r="D1090" i="1"/>
  <c r="A1090" i="1"/>
  <c r="D1089" i="1"/>
  <c r="A1089" i="1"/>
  <c r="D1088" i="1"/>
  <c r="A1088" i="1"/>
  <c r="D1087" i="1"/>
  <c r="A1087" i="1"/>
  <c r="D1086" i="1"/>
  <c r="A1086" i="1"/>
  <c r="D1085" i="1"/>
  <c r="A1085" i="1"/>
  <c r="D1084" i="1"/>
  <c r="A1084" i="1"/>
  <c r="D1083" i="1"/>
  <c r="A1083" i="1"/>
  <c r="D1082" i="1"/>
  <c r="A1082" i="1"/>
  <c r="D1081" i="1"/>
  <c r="A1081" i="1"/>
  <c r="D1080" i="1"/>
  <c r="A1080" i="1"/>
  <c r="D1079" i="1"/>
  <c r="A1079" i="1"/>
  <c r="D1078" i="1"/>
  <c r="A1078" i="1"/>
  <c r="D1077" i="1"/>
  <c r="A1077" i="1"/>
  <c r="D1076" i="1"/>
  <c r="A1076" i="1"/>
  <c r="D1075" i="1"/>
  <c r="A1075" i="1"/>
  <c r="D1074" i="1"/>
  <c r="A1074" i="1"/>
  <c r="D1073" i="1"/>
  <c r="A1073" i="1"/>
  <c r="D1072" i="1"/>
  <c r="A1072" i="1"/>
  <c r="D1071" i="1"/>
  <c r="A1071" i="1"/>
  <c r="D1070" i="1"/>
  <c r="A1070" i="1"/>
  <c r="D1069" i="1"/>
  <c r="A1069" i="1"/>
  <c r="D1068" i="1"/>
  <c r="A1068" i="1"/>
  <c r="D1067" i="1"/>
  <c r="A1067" i="1"/>
  <c r="D1066" i="1"/>
  <c r="A1066" i="1"/>
  <c r="D1065" i="1"/>
  <c r="A1065" i="1"/>
  <c r="D1064" i="1"/>
  <c r="A1064" i="1"/>
  <c r="D1063" i="1"/>
  <c r="A1063" i="1"/>
  <c r="D1062" i="1"/>
  <c r="A1062" i="1"/>
  <c r="D1061" i="1"/>
  <c r="A1061" i="1"/>
  <c r="D1060" i="1"/>
  <c r="A1060" i="1"/>
  <c r="D1059" i="1"/>
  <c r="A1059" i="1"/>
  <c r="A1058" i="1"/>
  <c r="D1057" i="1"/>
  <c r="A1057" i="1"/>
  <c r="D1056" i="1"/>
  <c r="A1056" i="1"/>
  <c r="D1055" i="1"/>
  <c r="A1055" i="1"/>
  <c r="D1054" i="1"/>
  <c r="A1054" i="1"/>
  <c r="D1053" i="1"/>
  <c r="A1053" i="1"/>
  <c r="D1052" i="1"/>
  <c r="A1052" i="1"/>
  <c r="D1051" i="1"/>
  <c r="A1051" i="1"/>
  <c r="D1050" i="1"/>
  <c r="A1050" i="1"/>
  <c r="D1049" i="1"/>
  <c r="A1049" i="1"/>
  <c r="D1048" i="1"/>
  <c r="A1048" i="1"/>
  <c r="D1047" i="1"/>
  <c r="A1047" i="1"/>
  <c r="D1046" i="1"/>
  <c r="A1046" i="1"/>
  <c r="D1045" i="1"/>
  <c r="A1045" i="1"/>
  <c r="D1044" i="1"/>
  <c r="A1044" i="1"/>
  <c r="D1043" i="1"/>
  <c r="A1043" i="1"/>
  <c r="D1042" i="1"/>
  <c r="A1042" i="1"/>
  <c r="D1041" i="1"/>
  <c r="A1041" i="1"/>
  <c r="D1040" i="1"/>
  <c r="A1040" i="1"/>
  <c r="D1039" i="1"/>
  <c r="A1039" i="1"/>
  <c r="D1038" i="1"/>
  <c r="A1038" i="1"/>
  <c r="D1037" i="1"/>
  <c r="A1037" i="1"/>
  <c r="D1036" i="1"/>
  <c r="A1036" i="1"/>
  <c r="D1035" i="1"/>
  <c r="A1035" i="1"/>
  <c r="D1034" i="1"/>
  <c r="A1034" i="1"/>
  <c r="D1033" i="1"/>
  <c r="A1033" i="1"/>
  <c r="D1032" i="1"/>
  <c r="A1032" i="1"/>
  <c r="D1031" i="1"/>
  <c r="A1031" i="1"/>
  <c r="D1030" i="1"/>
  <c r="A1030" i="1"/>
  <c r="D1029" i="1"/>
  <c r="A1029" i="1"/>
  <c r="D1028" i="1"/>
  <c r="A1028" i="1"/>
  <c r="D1027" i="1"/>
  <c r="A1027" i="1"/>
  <c r="D1026" i="1"/>
  <c r="A1026" i="1"/>
  <c r="D1025" i="1"/>
  <c r="A1025" i="1"/>
  <c r="D1024" i="1"/>
  <c r="A1024" i="1"/>
  <c r="D1023" i="1"/>
  <c r="A1023" i="1"/>
  <c r="D1022" i="1"/>
  <c r="A1022" i="1"/>
  <c r="D1021" i="1"/>
  <c r="A1021" i="1"/>
  <c r="D1020" i="1"/>
  <c r="A1020" i="1"/>
  <c r="D1019" i="1"/>
  <c r="A1019" i="1"/>
  <c r="D1018" i="1"/>
  <c r="A1018" i="1"/>
  <c r="D1017" i="1"/>
  <c r="A1017" i="1"/>
  <c r="D1016" i="1"/>
  <c r="A1016" i="1"/>
  <c r="D1015" i="1"/>
  <c r="A1015" i="1"/>
  <c r="D1014" i="1"/>
  <c r="A1014" i="1"/>
  <c r="D1013" i="1"/>
  <c r="A1013" i="1"/>
  <c r="D1012" i="1"/>
  <c r="A1012" i="1"/>
  <c r="D1011" i="1"/>
  <c r="A1011" i="1"/>
  <c r="A1010" i="1"/>
  <c r="D1009" i="1"/>
  <c r="A1009" i="1"/>
  <c r="D1008" i="1"/>
  <c r="A1008" i="1"/>
  <c r="D1007" i="1"/>
  <c r="A1007" i="1"/>
  <c r="D1006" i="1"/>
  <c r="A1006" i="1"/>
  <c r="D1005" i="1"/>
  <c r="A1005" i="1"/>
  <c r="D1004" i="1"/>
  <c r="A1004" i="1"/>
  <c r="D1003" i="1"/>
  <c r="A1003" i="1"/>
  <c r="D1002" i="1"/>
  <c r="A1002" i="1"/>
  <c r="D1001" i="1"/>
  <c r="A1001" i="1"/>
  <c r="D1000" i="1"/>
  <c r="A1000" i="1"/>
  <c r="D999" i="1"/>
  <c r="A999" i="1"/>
  <c r="D998" i="1"/>
  <c r="A998" i="1"/>
  <c r="D997" i="1"/>
  <c r="A997" i="1"/>
  <c r="D996" i="1"/>
  <c r="A996" i="1"/>
  <c r="D995" i="1"/>
  <c r="A995" i="1"/>
  <c r="D994" i="1"/>
  <c r="A994" i="1"/>
  <c r="D993" i="1"/>
  <c r="A993" i="1"/>
  <c r="D992" i="1"/>
  <c r="A992" i="1"/>
  <c r="D991" i="1"/>
  <c r="A991" i="1"/>
  <c r="D990" i="1"/>
  <c r="A990" i="1"/>
  <c r="D989" i="1"/>
  <c r="A989" i="1"/>
  <c r="D988" i="1"/>
  <c r="A988" i="1"/>
  <c r="D987" i="1"/>
  <c r="A987" i="1"/>
  <c r="D986" i="1"/>
  <c r="A986" i="1"/>
  <c r="D985" i="1"/>
  <c r="A985" i="1"/>
  <c r="D984" i="1"/>
  <c r="A984" i="1"/>
  <c r="D983" i="1"/>
  <c r="A983" i="1"/>
  <c r="D982" i="1"/>
  <c r="A982" i="1"/>
  <c r="D981" i="1"/>
  <c r="A981" i="1"/>
  <c r="D980" i="1"/>
  <c r="A980" i="1"/>
  <c r="D979" i="1"/>
  <c r="A979" i="1"/>
  <c r="D978" i="1"/>
  <c r="A978" i="1"/>
  <c r="D977" i="1"/>
  <c r="A977" i="1"/>
  <c r="D976" i="1"/>
  <c r="A976" i="1"/>
  <c r="D975" i="1"/>
  <c r="A975" i="1"/>
  <c r="D974" i="1"/>
  <c r="A974" i="1"/>
  <c r="A973" i="1"/>
  <c r="D972" i="1"/>
  <c r="A972" i="1"/>
  <c r="D971" i="1"/>
  <c r="A971" i="1"/>
  <c r="D970" i="1"/>
  <c r="A970" i="1"/>
  <c r="D969" i="1"/>
  <c r="A969" i="1"/>
  <c r="D968" i="1"/>
  <c r="A968" i="1"/>
  <c r="D967" i="1"/>
  <c r="A967" i="1"/>
  <c r="D966" i="1"/>
  <c r="A966" i="1"/>
  <c r="D965" i="1"/>
  <c r="A965" i="1"/>
  <c r="D964" i="1"/>
  <c r="A964" i="1"/>
  <c r="D963" i="1"/>
  <c r="A963" i="1"/>
  <c r="D962" i="1"/>
  <c r="A962" i="1"/>
  <c r="D961" i="1"/>
  <c r="A961" i="1"/>
  <c r="D960" i="1"/>
  <c r="A960" i="1"/>
  <c r="D959" i="1"/>
  <c r="A959" i="1"/>
  <c r="D958" i="1"/>
  <c r="A958" i="1"/>
  <c r="D957" i="1"/>
  <c r="A957" i="1"/>
  <c r="D956" i="1"/>
  <c r="A956" i="1"/>
  <c r="D955" i="1"/>
  <c r="A955" i="1"/>
  <c r="D954" i="1"/>
  <c r="A954" i="1"/>
  <c r="D953" i="1"/>
  <c r="A953" i="1"/>
  <c r="D952" i="1"/>
  <c r="A952" i="1"/>
  <c r="D951" i="1"/>
  <c r="A951" i="1"/>
  <c r="D950" i="1"/>
  <c r="A950" i="1"/>
  <c r="D949" i="1"/>
  <c r="A949" i="1"/>
  <c r="D948" i="1"/>
  <c r="A948" i="1"/>
  <c r="D947" i="1"/>
  <c r="A947" i="1"/>
  <c r="D946" i="1"/>
  <c r="A946" i="1"/>
  <c r="D945" i="1"/>
  <c r="A945" i="1"/>
  <c r="D944" i="1"/>
  <c r="A944" i="1"/>
  <c r="D943" i="1"/>
  <c r="A943" i="1"/>
  <c r="D942" i="1"/>
  <c r="A942" i="1"/>
  <c r="D941" i="1"/>
  <c r="A941" i="1"/>
  <c r="D940" i="1"/>
  <c r="A940" i="1"/>
  <c r="D939" i="1"/>
  <c r="A939" i="1"/>
  <c r="D938" i="1"/>
  <c r="A938" i="1"/>
  <c r="D937" i="1"/>
  <c r="A937" i="1"/>
  <c r="D936" i="1"/>
  <c r="A936" i="1"/>
  <c r="D935" i="1"/>
  <c r="A935" i="1"/>
  <c r="D934" i="1"/>
  <c r="A934" i="1"/>
  <c r="D933" i="1"/>
  <c r="A933" i="1"/>
  <c r="D932" i="1"/>
  <c r="A932" i="1"/>
  <c r="D931" i="1"/>
  <c r="A931" i="1"/>
  <c r="D930" i="1"/>
  <c r="A930" i="1"/>
  <c r="D929" i="1"/>
  <c r="A929" i="1"/>
  <c r="D928" i="1"/>
  <c r="A928" i="1"/>
  <c r="D927" i="1"/>
  <c r="A927" i="1"/>
  <c r="D926" i="1"/>
  <c r="A926" i="1"/>
  <c r="D925" i="1"/>
  <c r="A925" i="1"/>
  <c r="D924" i="1"/>
  <c r="A924" i="1"/>
  <c r="D923" i="1"/>
  <c r="A923" i="1"/>
  <c r="D922" i="1"/>
  <c r="A922" i="1"/>
  <c r="D921" i="1"/>
  <c r="A921" i="1"/>
  <c r="D920" i="1"/>
  <c r="A920" i="1"/>
  <c r="A919" i="1"/>
  <c r="D918" i="1"/>
  <c r="A918" i="1"/>
  <c r="D917" i="1"/>
  <c r="A917" i="1"/>
  <c r="A916" i="1"/>
  <c r="D915" i="1"/>
  <c r="A915" i="1"/>
  <c r="D914" i="1"/>
  <c r="A914" i="1"/>
  <c r="D913" i="1"/>
  <c r="A913" i="1"/>
  <c r="D912" i="1"/>
  <c r="A912" i="1"/>
  <c r="D911" i="1"/>
  <c r="A911" i="1"/>
  <c r="D910" i="1"/>
  <c r="A910" i="1"/>
  <c r="D909" i="1"/>
  <c r="A909" i="1"/>
  <c r="D908" i="1"/>
  <c r="A908" i="1"/>
  <c r="D907" i="1"/>
  <c r="A907" i="1"/>
  <c r="D906" i="1"/>
  <c r="A906" i="1"/>
  <c r="D905" i="1"/>
  <c r="A905" i="1"/>
  <c r="D904" i="1"/>
  <c r="A904" i="1"/>
  <c r="D903" i="1"/>
  <c r="A903" i="1"/>
  <c r="D902" i="1"/>
  <c r="A902" i="1"/>
  <c r="D901" i="1"/>
  <c r="A901" i="1"/>
  <c r="D900" i="1"/>
  <c r="A900" i="1"/>
  <c r="D899" i="1"/>
  <c r="A899" i="1"/>
  <c r="D898" i="1"/>
  <c r="A898" i="1"/>
  <c r="D897" i="1"/>
  <c r="A897" i="1"/>
  <c r="D896" i="1"/>
  <c r="A896" i="1"/>
  <c r="D895" i="1"/>
  <c r="A895" i="1"/>
  <c r="D894" i="1"/>
  <c r="A894" i="1"/>
  <c r="D893" i="1"/>
  <c r="A893" i="1"/>
  <c r="D892" i="1"/>
  <c r="A892" i="1"/>
  <c r="D891" i="1"/>
  <c r="A891" i="1"/>
  <c r="D890" i="1"/>
  <c r="A890" i="1"/>
  <c r="D889" i="1"/>
  <c r="A889" i="1"/>
  <c r="D888" i="1"/>
  <c r="A888" i="1"/>
  <c r="D887" i="1"/>
  <c r="A887" i="1"/>
  <c r="D886" i="1"/>
  <c r="A886" i="1"/>
  <c r="D885" i="1"/>
  <c r="A885" i="1"/>
  <c r="D884" i="1"/>
  <c r="A884" i="1"/>
  <c r="D883" i="1"/>
  <c r="A883" i="1"/>
  <c r="D882" i="1"/>
  <c r="A882" i="1"/>
  <c r="D881" i="1"/>
  <c r="A881" i="1"/>
  <c r="D880" i="1"/>
  <c r="A880" i="1"/>
  <c r="D879" i="1"/>
  <c r="A879" i="1"/>
  <c r="D878" i="1"/>
  <c r="A878" i="1"/>
  <c r="D877" i="1"/>
  <c r="A877" i="1"/>
  <c r="D876" i="1"/>
  <c r="A876" i="1"/>
  <c r="D875" i="1"/>
  <c r="A875" i="1"/>
  <c r="D874" i="1"/>
  <c r="A874" i="1"/>
  <c r="D873" i="1"/>
  <c r="A873" i="1"/>
  <c r="A872" i="1"/>
  <c r="D871" i="1"/>
  <c r="A871" i="1"/>
  <c r="D870" i="1"/>
  <c r="A870" i="1"/>
  <c r="D869" i="1"/>
  <c r="A869" i="1"/>
  <c r="D868" i="1"/>
  <c r="A868" i="1"/>
  <c r="A867" i="1"/>
  <c r="D866" i="1"/>
  <c r="A866" i="1"/>
  <c r="D865" i="1"/>
  <c r="A865" i="1"/>
  <c r="D864" i="1"/>
  <c r="A864" i="1"/>
  <c r="D863" i="1"/>
  <c r="A863" i="1"/>
  <c r="D862" i="1"/>
  <c r="A862" i="1"/>
  <c r="D861" i="1"/>
  <c r="A861" i="1"/>
  <c r="D860" i="1"/>
  <c r="A860" i="1"/>
  <c r="D859" i="1"/>
  <c r="A859" i="1"/>
  <c r="D858" i="1"/>
  <c r="A858" i="1"/>
  <c r="D857" i="1"/>
  <c r="A857" i="1"/>
  <c r="D856" i="1"/>
  <c r="A856" i="1"/>
  <c r="D855" i="1"/>
  <c r="A855" i="1"/>
  <c r="D854" i="1"/>
  <c r="A854" i="1"/>
  <c r="D853" i="1"/>
  <c r="A853" i="1"/>
  <c r="D852" i="1"/>
  <c r="A852" i="1"/>
  <c r="D851" i="1"/>
  <c r="A851" i="1"/>
  <c r="D850" i="1"/>
  <c r="A850" i="1"/>
  <c r="D849" i="1"/>
  <c r="A849" i="1"/>
  <c r="D848" i="1"/>
  <c r="A848" i="1"/>
  <c r="D847" i="1"/>
  <c r="A847" i="1"/>
  <c r="D846" i="1"/>
  <c r="A846" i="1"/>
  <c r="D845" i="1"/>
  <c r="A845" i="1"/>
  <c r="D844" i="1"/>
  <c r="A844" i="1"/>
  <c r="D843" i="1"/>
  <c r="A843" i="1"/>
  <c r="A842" i="1"/>
  <c r="A841" i="1"/>
  <c r="D840" i="1"/>
  <c r="A840" i="1"/>
  <c r="D839" i="1"/>
  <c r="A839" i="1"/>
  <c r="D838" i="1"/>
  <c r="A838" i="1"/>
  <c r="D837" i="1"/>
  <c r="A837" i="1"/>
  <c r="D836" i="1"/>
  <c r="A836" i="1"/>
  <c r="D835" i="1"/>
  <c r="A835" i="1"/>
  <c r="A834" i="1"/>
  <c r="D833" i="1"/>
  <c r="A833" i="1"/>
  <c r="D832" i="1"/>
  <c r="A832" i="1"/>
  <c r="D831" i="1"/>
  <c r="A831" i="1"/>
  <c r="A830" i="1"/>
  <c r="D829" i="1"/>
  <c r="A829" i="1"/>
  <c r="D828" i="1"/>
  <c r="A828" i="1"/>
  <c r="D827" i="1"/>
  <c r="A827" i="1"/>
  <c r="D826" i="1"/>
  <c r="A826" i="1"/>
  <c r="D825" i="1"/>
  <c r="A825" i="1"/>
  <c r="D824" i="1"/>
  <c r="A824" i="1"/>
  <c r="D823" i="1"/>
  <c r="A823" i="1"/>
  <c r="D822" i="1"/>
  <c r="A822" i="1"/>
  <c r="D821" i="1"/>
  <c r="A821" i="1"/>
  <c r="D820" i="1"/>
  <c r="A820" i="1"/>
  <c r="D819" i="1"/>
  <c r="A819" i="1"/>
  <c r="D818" i="1"/>
  <c r="A818" i="1"/>
  <c r="D817" i="1"/>
  <c r="A817" i="1"/>
  <c r="D816" i="1"/>
  <c r="A816" i="1"/>
  <c r="D815" i="1"/>
  <c r="A815" i="1"/>
  <c r="D814" i="1"/>
  <c r="A814" i="1"/>
  <c r="A813" i="1"/>
  <c r="D812" i="1"/>
  <c r="A812" i="1"/>
  <c r="D811" i="1"/>
  <c r="A811" i="1"/>
  <c r="D810" i="1"/>
  <c r="A810" i="1"/>
  <c r="D809" i="1"/>
  <c r="A809" i="1"/>
  <c r="D808" i="1"/>
  <c r="A808" i="1"/>
  <c r="D807" i="1"/>
  <c r="A807" i="1"/>
  <c r="D806" i="1"/>
  <c r="A806" i="1"/>
  <c r="D805" i="1"/>
  <c r="A805" i="1"/>
  <c r="D804" i="1"/>
  <c r="A804" i="1"/>
  <c r="D803" i="1"/>
  <c r="A803" i="1"/>
  <c r="D802" i="1"/>
  <c r="A802" i="1"/>
  <c r="D801" i="1"/>
  <c r="A801" i="1"/>
  <c r="D800" i="1"/>
  <c r="A800" i="1"/>
  <c r="D799" i="1"/>
  <c r="A799" i="1"/>
  <c r="D798" i="1"/>
  <c r="A798" i="1"/>
  <c r="D797" i="1"/>
  <c r="A797" i="1"/>
  <c r="D796" i="1"/>
  <c r="A796" i="1"/>
  <c r="D795" i="1"/>
  <c r="A795" i="1"/>
  <c r="D794" i="1"/>
  <c r="A794" i="1"/>
  <c r="D793" i="1"/>
  <c r="A793" i="1"/>
  <c r="D792" i="1"/>
  <c r="A792" i="1"/>
  <c r="D791" i="1"/>
  <c r="A791" i="1"/>
  <c r="D790" i="1"/>
  <c r="A790" i="1"/>
  <c r="D789" i="1"/>
  <c r="A789" i="1"/>
  <c r="D788" i="1"/>
  <c r="A788" i="1"/>
  <c r="A787" i="1"/>
  <c r="D786" i="1"/>
  <c r="A786" i="1"/>
  <c r="D785" i="1"/>
  <c r="A785" i="1"/>
  <c r="D784" i="1"/>
  <c r="A784" i="1"/>
  <c r="D783" i="1"/>
  <c r="A783" i="1"/>
  <c r="D782" i="1"/>
  <c r="A782" i="1"/>
  <c r="A781" i="1"/>
  <c r="D780" i="1"/>
  <c r="A780" i="1"/>
  <c r="D779" i="1"/>
  <c r="A779" i="1"/>
  <c r="D778" i="1"/>
  <c r="A778" i="1"/>
  <c r="D777" i="1"/>
  <c r="A777" i="1"/>
  <c r="D776" i="1"/>
  <c r="A776" i="1"/>
  <c r="D775" i="1"/>
  <c r="A775" i="1"/>
  <c r="D774" i="1"/>
  <c r="A774" i="1"/>
  <c r="D773" i="1"/>
  <c r="A773" i="1"/>
  <c r="D772" i="1"/>
  <c r="A772" i="1"/>
  <c r="D771" i="1"/>
  <c r="A771" i="1"/>
  <c r="D770" i="1"/>
  <c r="A770" i="1"/>
  <c r="D769" i="1"/>
  <c r="A769" i="1"/>
  <c r="D768" i="1"/>
  <c r="A768" i="1"/>
  <c r="D767" i="1"/>
  <c r="A767" i="1"/>
  <c r="D766" i="1"/>
  <c r="A766" i="1"/>
  <c r="D765" i="1"/>
  <c r="A765" i="1"/>
  <c r="D764" i="1"/>
  <c r="A764" i="1"/>
  <c r="D763" i="1"/>
  <c r="A763" i="1"/>
  <c r="D762" i="1"/>
  <c r="A762" i="1"/>
  <c r="D761" i="1"/>
  <c r="A761" i="1"/>
  <c r="D760" i="1"/>
  <c r="A760" i="1"/>
  <c r="D759" i="1"/>
  <c r="A759" i="1"/>
  <c r="D758" i="1"/>
  <c r="A758" i="1"/>
  <c r="D757" i="1"/>
  <c r="A757" i="1"/>
  <c r="D756" i="1"/>
  <c r="A756" i="1"/>
  <c r="D755" i="1"/>
  <c r="A755" i="1"/>
  <c r="D754" i="1"/>
  <c r="A754" i="1"/>
  <c r="D753" i="1"/>
  <c r="A753" i="1"/>
  <c r="D752" i="1"/>
  <c r="A752" i="1"/>
  <c r="D751" i="1"/>
  <c r="A751" i="1"/>
  <c r="D750" i="1"/>
  <c r="A750" i="1"/>
  <c r="D749" i="1"/>
  <c r="A749" i="1"/>
  <c r="D748" i="1"/>
  <c r="A748" i="1"/>
  <c r="D747" i="1"/>
  <c r="A747" i="1"/>
  <c r="D746" i="1"/>
  <c r="A746" i="1"/>
  <c r="A745" i="1"/>
  <c r="D744" i="1"/>
  <c r="A744" i="1"/>
  <c r="D743" i="1"/>
  <c r="A743" i="1"/>
  <c r="D742" i="1"/>
  <c r="A742" i="1"/>
  <c r="D741" i="1"/>
  <c r="A741" i="1"/>
  <c r="D740" i="1"/>
  <c r="A740" i="1"/>
  <c r="D739" i="1"/>
  <c r="A739" i="1"/>
  <c r="D738" i="1"/>
  <c r="A738" i="1"/>
  <c r="D737" i="1"/>
  <c r="A737" i="1"/>
  <c r="D736" i="1"/>
  <c r="A736" i="1"/>
  <c r="D735" i="1"/>
  <c r="A735" i="1"/>
  <c r="D734" i="1"/>
  <c r="A734" i="1"/>
  <c r="D733" i="1"/>
  <c r="A733" i="1"/>
  <c r="D732" i="1"/>
  <c r="A732" i="1"/>
  <c r="D731" i="1"/>
  <c r="A731" i="1"/>
  <c r="D730" i="1"/>
  <c r="A730" i="1"/>
  <c r="D729" i="1"/>
  <c r="A729" i="1"/>
  <c r="D728" i="1"/>
  <c r="A728" i="1"/>
  <c r="D727" i="1"/>
  <c r="A727" i="1"/>
  <c r="D726" i="1"/>
  <c r="A726" i="1"/>
  <c r="D725" i="1"/>
  <c r="A725" i="1"/>
  <c r="D724" i="1"/>
  <c r="A724" i="1"/>
  <c r="D723" i="1"/>
  <c r="A723" i="1"/>
  <c r="D722" i="1"/>
  <c r="A722" i="1"/>
  <c r="D721" i="1"/>
  <c r="A721" i="1"/>
  <c r="D720" i="1"/>
  <c r="A720" i="1"/>
  <c r="D719" i="1"/>
  <c r="A719" i="1"/>
  <c r="D718" i="1"/>
  <c r="A718" i="1"/>
  <c r="D717" i="1"/>
  <c r="A717" i="1"/>
  <c r="D716" i="1"/>
  <c r="A716" i="1"/>
  <c r="D715" i="1"/>
  <c r="A715" i="1"/>
  <c r="D714" i="1"/>
  <c r="A714" i="1"/>
  <c r="D713" i="1"/>
  <c r="A713" i="1"/>
  <c r="D712" i="1"/>
  <c r="A712" i="1"/>
  <c r="D711" i="1"/>
  <c r="A711" i="1"/>
  <c r="D710" i="1"/>
  <c r="A710" i="1"/>
  <c r="D709" i="1"/>
  <c r="A709" i="1"/>
  <c r="D708" i="1"/>
  <c r="A708" i="1"/>
  <c r="D707" i="1"/>
  <c r="A707" i="1"/>
  <c r="D706" i="1"/>
  <c r="A706" i="1"/>
  <c r="D705" i="1"/>
  <c r="A705" i="1"/>
  <c r="D704" i="1"/>
  <c r="A704" i="1"/>
  <c r="D703" i="1"/>
  <c r="A703" i="1"/>
  <c r="D702" i="1"/>
  <c r="A702" i="1"/>
  <c r="D701" i="1"/>
  <c r="A701" i="1"/>
  <c r="D700" i="1"/>
  <c r="A700" i="1"/>
  <c r="D699" i="1"/>
  <c r="A699" i="1"/>
  <c r="D698" i="1"/>
  <c r="A698" i="1"/>
  <c r="D697" i="1"/>
  <c r="A697" i="1"/>
  <c r="D696" i="1"/>
  <c r="A696" i="1"/>
  <c r="D695" i="1"/>
  <c r="A695" i="1"/>
  <c r="D694" i="1"/>
  <c r="A694" i="1"/>
  <c r="D693" i="1"/>
  <c r="A693" i="1"/>
  <c r="D692" i="1"/>
  <c r="A692" i="1"/>
  <c r="D691" i="1"/>
  <c r="A691" i="1"/>
  <c r="D690" i="1"/>
  <c r="A690" i="1"/>
  <c r="D689" i="1"/>
  <c r="A689" i="1"/>
  <c r="D688" i="1"/>
  <c r="A688" i="1"/>
  <c r="D687" i="1"/>
  <c r="A687" i="1"/>
  <c r="D686" i="1"/>
  <c r="A686" i="1"/>
  <c r="D685" i="1"/>
  <c r="A685" i="1"/>
  <c r="D684" i="1"/>
  <c r="A684" i="1"/>
  <c r="D683" i="1"/>
  <c r="A683" i="1"/>
  <c r="D682" i="1"/>
  <c r="A682" i="1"/>
  <c r="D681" i="1"/>
  <c r="A681" i="1"/>
  <c r="D680" i="1"/>
  <c r="A680" i="1"/>
  <c r="D679" i="1"/>
  <c r="A679" i="1"/>
  <c r="D678" i="1"/>
  <c r="A678" i="1"/>
  <c r="D677" i="1"/>
  <c r="A677" i="1"/>
  <c r="D676" i="1"/>
  <c r="A676" i="1"/>
  <c r="D675" i="1"/>
  <c r="A675" i="1"/>
  <c r="D674" i="1"/>
  <c r="A674" i="1"/>
  <c r="D673" i="1"/>
  <c r="A673" i="1"/>
  <c r="D672" i="1"/>
  <c r="A672" i="1"/>
  <c r="D671" i="1"/>
  <c r="A671" i="1"/>
  <c r="D670" i="1"/>
  <c r="A670" i="1"/>
  <c r="D669" i="1"/>
  <c r="A669" i="1"/>
  <c r="D668" i="1"/>
  <c r="A668" i="1"/>
  <c r="D667" i="1"/>
  <c r="A667" i="1"/>
  <c r="D666" i="1"/>
  <c r="A666" i="1"/>
  <c r="D665" i="1"/>
  <c r="A665" i="1"/>
  <c r="D664" i="1"/>
  <c r="A664" i="1"/>
  <c r="D663" i="1"/>
  <c r="A663" i="1"/>
  <c r="D662" i="1"/>
  <c r="A662" i="1"/>
  <c r="D661" i="1"/>
  <c r="A661" i="1"/>
  <c r="D660" i="1"/>
  <c r="A660" i="1"/>
  <c r="D659" i="1"/>
  <c r="A659" i="1"/>
  <c r="A658" i="1"/>
  <c r="A657" i="1"/>
  <c r="A656" i="1"/>
  <c r="D655" i="1"/>
  <c r="A655" i="1"/>
  <c r="D654" i="1"/>
  <c r="A654" i="1"/>
  <c r="D653" i="1"/>
  <c r="A653" i="1"/>
  <c r="D652" i="1"/>
  <c r="A652" i="1"/>
  <c r="D651" i="1"/>
  <c r="A651" i="1"/>
  <c r="D650" i="1"/>
  <c r="A650" i="1"/>
  <c r="D649" i="1"/>
  <c r="A649" i="1"/>
  <c r="D648" i="1"/>
  <c r="A648" i="1"/>
  <c r="D647" i="1"/>
  <c r="A647" i="1"/>
  <c r="D646" i="1"/>
  <c r="A646" i="1"/>
  <c r="D645" i="1"/>
  <c r="A645" i="1"/>
  <c r="A644" i="1"/>
  <c r="A643" i="1"/>
  <c r="D642" i="1"/>
  <c r="A642" i="1"/>
  <c r="D641" i="1"/>
  <c r="A641" i="1"/>
  <c r="D640" i="1"/>
  <c r="A640" i="1"/>
  <c r="D639" i="1"/>
  <c r="A639" i="1"/>
  <c r="D638" i="1"/>
  <c r="A638" i="1"/>
  <c r="D637" i="1"/>
  <c r="A637" i="1"/>
  <c r="D636" i="1"/>
  <c r="A636" i="1"/>
  <c r="D635" i="1"/>
  <c r="A635" i="1"/>
  <c r="D634" i="1"/>
  <c r="A634" i="1"/>
  <c r="D633" i="1"/>
  <c r="A633" i="1"/>
  <c r="D632" i="1"/>
  <c r="A632" i="1"/>
  <c r="D631" i="1"/>
  <c r="A631" i="1"/>
  <c r="D630" i="1"/>
  <c r="A630" i="1"/>
  <c r="D629" i="1"/>
  <c r="A629" i="1"/>
  <c r="D628" i="1"/>
  <c r="A628" i="1"/>
  <c r="D627" i="1"/>
  <c r="A627" i="1"/>
  <c r="D626" i="1"/>
  <c r="A626" i="1"/>
  <c r="D625" i="1"/>
  <c r="A625" i="1"/>
  <c r="D624" i="1"/>
  <c r="A624" i="1"/>
  <c r="D623" i="1"/>
  <c r="A623" i="1"/>
  <c r="D622" i="1"/>
  <c r="A622" i="1"/>
  <c r="D621" i="1"/>
  <c r="A621" i="1"/>
  <c r="D620" i="1"/>
  <c r="A620" i="1"/>
  <c r="D619" i="1"/>
  <c r="A619" i="1"/>
  <c r="D618" i="1"/>
  <c r="A618" i="1"/>
  <c r="D617" i="1"/>
  <c r="A617" i="1"/>
  <c r="D616" i="1"/>
  <c r="A616" i="1"/>
  <c r="D615" i="1"/>
  <c r="A615" i="1"/>
  <c r="D614" i="1"/>
  <c r="A614" i="1"/>
  <c r="D613" i="1"/>
  <c r="A613" i="1"/>
  <c r="D612" i="1"/>
  <c r="A612" i="1"/>
  <c r="D611" i="1"/>
  <c r="A611" i="1"/>
  <c r="D610" i="1"/>
  <c r="A610" i="1"/>
  <c r="D609" i="1"/>
  <c r="A609" i="1"/>
  <c r="D608" i="1"/>
  <c r="A608" i="1"/>
  <c r="D607" i="1"/>
  <c r="A607" i="1"/>
  <c r="D606" i="1"/>
  <c r="A606" i="1"/>
  <c r="D605" i="1"/>
  <c r="A605" i="1"/>
  <c r="A604" i="1"/>
  <c r="D603" i="1"/>
  <c r="A603" i="1"/>
  <c r="D602" i="1"/>
  <c r="A602" i="1"/>
  <c r="D601" i="1"/>
  <c r="A601" i="1"/>
  <c r="D600" i="1"/>
  <c r="A600" i="1"/>
  <c r="D599" i="1"/>
  <c r="A599" i="1"/>
  <c r="D598" i="1"/>
  <c r="A598" i="1"/>
  <c r="D597" i="1"/>
  <c r="A597" i="1"/>
  <c r="D596" i="1"/>
  <c r="A596" i="1"/>
  <c r="D595" i="1"/>
  <c r="A595" i="1"/>
  <c r="D594" i="1"/>
  <c r="A594" i="1"/>
  <c r="D593" i="1"/>
  <c r="A593" i="1"/>
  <c r="D592" i="1"/>
  <c r="A592" i="1"/>
  <c r="D591" i="1"/>
  <c r="A591" i="1"/>
  <c r="D590" i="1"/>
  <c r="A590" i="1"/>
  <c r="D589" i="1"/>
  <c r="A589" i="1"/>
  <c r="D588" i="1"/>
  <c r="A588" i="1"/>
  <c r="D587" i="1"/>
  <c r="A587" i="1"/>
  <c r="D586" i="1"/>
  <c r="A586" i="1"/>
  <c r="D585" i="1"/>
  <c r="A585" i="1"/>
  <c r="D584" i="1"/>
  <c r="A584" i="1"/>
  <c r="D583" i="1"/>
  <c r="A583" i="1"/>
  <c r="D582" i="1"/>
  <c r="A582" i="1"/>
  <c r="D581" i="1"/>
  <c r="A581" i="1"/>
  <c r="D580" i="1"/>
  <c r="A580" i="1"/>
  <c r="D579" i="1"/>
  <c r="A579" i="1"/>
  <c r="D578" i="1"/>
  <c r="A578" i="1"/>
  <c r="D577" i="1"/>
  <c r="A577" i="1"/>
  <c r="D576" i="1"/>
  <c r="A576" i="1"/>
  <c r="D575" i="1"/>
  <c r="A575" i="1"/>
  <c r="D574" i="1"/>
  <c r="A574" i="1"/>
  <c r="D573" i="1"/>
  <c r="A573" i="1"/>
  <c r="D572" i="1"/>
  <c r="A572" i="1"/>
  <c r="D571" i="1"/>
  <c r="A571" i="1"/>
  <c r="D570" i="1"/>
  <c r="A570" i="1"/>
  <c r="D569" i="1"/>
  <c r="A569" i="1"/>
  <c r="D568" i="1"/>
  <c r="A568" i="1"/>
  <c r="D567" i="1"/>
  <c r="A567" i="1"/>
  <c r="D566" i="1"/>
  <c r="A566" i="1"/>
  <c r="D565" i="1"/>
  <c r="A565" i="1"/>
  <c r="D564" i="1"/>
  <c r="A564" i="1"/>
  <c r="D563" i="1"/>
  <c r="A563" i="1"/>
  <c r="D562" i="1"/>
  <c r="A562" i="1"/>
  <c r="D561" i="1"/>
  <c r="A561" i="1"/>
  <c r="D560" i="1"/>
  <c r="A560" i="1"/>
  <c r="D559" i="1"/>
  <c r="A559" i="1"/>
  <c r="D558" i="1"/>
  <c r="A558" i="1"/>
  <c r="D557" i="1"/>
  <c r="A557" i="1"/>
  <c r="D556" i="1"/>
  <c r="A556" i="1"/>
  <c r="D555" i="1"/>
  <c r="A555" i="1"/>
  <c r="D554" i="1"/>
  <c r="A554" i="1"/>
  <c r="D553" i="1"/>
  <c r="A553" i="1"/>
  <c r="D552" i="1"/>
  <c r="A552" i="1"/>
  <c r="D551" i="1"/>
  <c r="A551" i="1"/>
  <c r="D550" i="1"/>
  <c r="A550" i="1"/>
  <c r="D549" i="1"/>
  <c r="A549" i="1"/>
  <c r="D548" i="1"/>
  <c r="A548" i="1"/>
  <c r="D547" i="1"/>
  <c r="A547" i="1"/>
  <c r="D546" i="1"/>
  <c r="A546" i="1"/>
  <c r="D545" i="1"/>
  <c r="A545" i="1"/>
  <c r="D544" i="1"/>
  <c r="A544" i="1"/>
  <c r="D543" i="1"/>
  <c r="A543" i="1"/>
  <c r="D542" i="1"/>
  <c r="A542" i="1"/>
  <c r="D541" i="1"/>
  <c r="A541" i="1"/>
  <c r="D540" i="1"/>
  <c r="A540" i="1"/>
  <c r="D539" i="1"/>
  <c r="A539" i="1"/>
  <c r="D538" i="1"/>
  <c r="A538" i="1"/>
  <c r="D537" i="1"/>
  <c r="A537" i="1"/>
  <c r="D536" i="1"/>
  <c r="A536" i="1"/>
  <c r="D535" i="1"/>
  <c r="A535" i="1"/>
  <c r="D534" i="1"/>
  <c r="A534" i="1"/>
  <c r="D533" i="1"/>
  <c r="A533" i="1"/>
  <c r="D532" i="1"/>
  <c r="A532" i="1"/>
  <c r="D531" i="1"/>
  <c r="A531" i="1"/>
  <c r="D530" i="1"/>
  <c r="A530" i="1"/>
  <c r="D529" i="1"/>
  <c r="A529" i="1"/>
  <c r="D528" i="1"/>
  <c r="A528" i="1"/>
  <c r="D527" i="1"/>
  <c r="A527" i="1"/>
  <c r="D526" i="1"/>
  <c r="A526" i="1"/>
  <c r="D525" i="1"/>
  <c r="A525" i="1"/>
  <c r="D524" i="1"/>
  <c r="A524" i="1"/>
  <c r="D523" i="1"/>
  <c r="A523" i="1"/>
  <c r="D522" i="1"/>
  <c r="A522" i="1"/>
  <c r="D521" i="1"/>
  <c r="A521" i="1"/>
  <c r="D520" i="1"/>
  <c r="A520" i="1"/>
  <c r="D519" i="1"/>
  <c r="A519" i="1"/>
  <c r="D518" i="1"/>
  <c r="A518" i="1"/>
  <c r="D517" i="1"/>
  <c r="A517" i="1"/>
  <c r="D516" i="1"/>
  <c r="A516" i="1"/>
  <c r="D515" i="1"/>
  <c r="A515" i="1"/>
  <c r="D514" i="1"/>
  <c r="A514" i="1"/>
  <c r="D513" i="1"/>
  <c r="A513" i="1"/>
  <c r="D512" i="1"/>
  <c r="A512" i="1"/>
  <c r="D511" i="1"/>
  <c r="A511" i="1"/>
  <c r="D510" i="1"/>
  <c r="A510" i="1"/>
  <c r="D509" i="1"/>
  <c r="A509" i="1"/>
  <c r="D508" i="1"/>
  <c r="A508" i="1"/>
  <c r="D507" i="1"/>
  <c r="A507" i="1"/>
  <c r="D506" i="1"/>
  <c r="A506" i="1"/>
  <c r="D505" i="1"/>
  <c r="A505" i="1"/>
  <c r="D504" i="1"/>
  <c r="A504" i="1"/>
  <c r="D503" i="1"/>
  <c r="A503" i="1"/>
  <c r="D502" i="1"/>
  <c r="A502" i="1"/>
  <c r="D501" i="1"/>
  <c r="A501" i="1"/>
  <c r="D500" i="1"/>
  <c r="A500" i="1"/>
  <c r="D499" i="1"/>
  <c r="A499" i="1"/>
  <c r="D498" i="1"/>
  <c r="A498" i="1"/>
  <c r="D497" i="1"/>
  <c r="A497" i="1"/>
  <c r="D496" i="1"/>
  <c r="A496" i="1"/>
  <c r="D495" i="1"/>
  <c r="A495" i="1"/>
  <c r="D494" i="1"/>
  <c r="A494" i="1"/>
  <c r="D493" i="1"/>
  <c r="A493" i="1"/>
  <c r="D492" i="1"/>
  <c r="A492" i="1"/>
  <c r="D491" i="1"/>
  <c r="A491" i="1"/>
  <c r="D490" i="1"/>
  <c r="A490" i="1"/>
  <c r="D489" i="1"/>
  <c r="A489" i="1"/>
  <c r="D488" i="1"/>
  <c r="A488" i="1"/>
  <c r="D487" i="1"/>
  <c r="A487" i="1"/>
  <c r="D486" i="1"/>
  <c r="A486" i="1"/>
  <c r="D485" i="1"/>
  <c r="A485" i="1"/>
  <c r="D484" i="1"/>
  <c r="A484" i="1"/>
  <c r="D483" i="1"/>
  <c r="A483" i="1"/>
  <c r="D482" i="1"/>
  <c r="A482" i="1"/>
  <c r="D481" i="1"/>
  <c r="A481" i="1"/>
  <c r="D480" i="1"/>
  <c r="A480" i="1"/>
  <c r="D479" i="1"/>
  <c r="A479" i="1"/>
  <c r="A478" i="1"/>
  <c r="D477" i="1"/>
  <c r="A477" i="1"/>
  <c r="D476" i="1"/>
  <c r="A476" i="1"/>
  <c r="D475" i="1"/>
  <c r="A475" i="1"/>
  <c r="D474" i="1"/>
  <c r="A474" i="1"/>
  <c r="D473" i="1"/>
  <c r="A473" i="1"/>
  <c r="D472" i="1"/>
  <c r="A472" i="1"/>
  <c r="D471" i="1"/>
  <c r="A471" i="1"/>
  <c r="D470" i="1"/>
  <c r="A470" i="1"/>
  <c r="D469" i="1"/>
  <c r="A469" i="1"/>
  <c r="D468" i="1"/>
  <c r="A468" i="1"/>
  <c r="D467" i="1"/>
  <c r="A467" i="1"/>
  <c r="D466" i="1"/>
  <c r="A466" i="1"/>
  <c r="D465" i="1"/>
  <c r="A465" i="1"/>
  <c r="D464" i="1"/>
  <c r="A464" i="1"/>
  <c r="D463" i="1"/>
  <c r="A463" i="1"/>
  <c r="D462" i="1"/>
  <c r="A462" i="1"/>
  <c r="D461" i="1"/>
  <c r="A461" i="1"/>
  <c r="D460" i="1"/>
  <c r="A460" i="1"/>
  <c r="D459" i="1"/>
  <c r="A459" i="1"/>
  <c r="D458" i="1"/>
  <c r="A458" i="1"/>
  <c r="D457" i="1"/>
  <c r="A457" i="1"/>
  <c r="D456" i="1"/>
  <c r="A456" i="1"/>
  <c r="D455" i="1"/>
  <c r="A455" i="1"/>
  <c r="D454" i="1"/>
  <c r="A454" i="1"/>
  <c r="D453" i="1"/>
  <c r="A453" i="1"/>
  <c r="D452" i="1"/>
  <c r="A452" i="1"/>
  <c r="D451" i="1"/>
  <c r="A451" i="1"/>
  <c r="D450" i="1"/>
  <c r="A450" i="1"/>
  <c r="D449" i="1"/>
  <c r="A449" i="1"/>
  <c r="D448" i="1"/>
  <c r="A448" i="1"/>
  <c r="D447" i="1"/>
  <c r="A447" i="1"/>
  <c r="D446" i="1"/>
  <c r="A446" i="1"/>
  <c r="D445" i="1"/>
  <c r="A445" i="1"/>
  <c r="D444" i="1"/>
  <c r="A444" i="1"/>
  <c r="D443" i="1"/>
  <c r="A443" i="1"/>
  <c r="D442" i="1"/>
  <c r="A442" i="1"/>
  <c r="D441" i="1"/>
  <c r="A441" i="1"/>
  <c r="D440" i="1"/>
  <c r="A440" i="1"/>
  <c r="D439" i="1"/>
  <c r="A439" i="1"/>
  <c r="D438" i="1"/>
  <c r="A438" i="1"/>
  <c r="D437" i="1"/>
  <c r="A437" i="1"/>
  <c r="D436" i="1"/>
  <c r="A436" i="1"/>
  <c r="D435" i="1"/>
  <c r="A435" i="1"/>
  <c r="D434" i="1"/>
  <c r="A434" i="1"/>
  <c r="D433" i="1"/>
  <c r="A433" i="1"/>
  <c r="D432" i="1"/>
  <c r="A432" i="1"/>
  <c r="D431" i="1"/>
  <c r="A431" i="1"/>
  <c r="D430" i="1"/>
  <c r="A430" i="1"/>
  <c r="D429" i="1"/>
  <c r="A429" i="1"/>
  <c r="D428" i="1"/>
  <c r="A428" i="1"/>
  <c r="D427" i="1"/>
  <c r="A427" i="1"/>
  <c r="D426" i="1"/>
  <c r="A426" i="1"/>
  <c r="D425" i="1"/>
  <c r="A425" i="1"/>
  <c r="D424" i="1"/>
  <c r="A424" i="1"/>
  <c r="D423" i="1"/>
  <c r="A423" i="1"/>
  <c r="D422" i="1"/>
  <c r="A422" i="1"/>
  <c r="A421" i="1"/>
  <c r="A420" i="1"/>
  <c r="D419" i="1"/>
  <c r="A419" i="1"/>
  <c r="D418" i="1"/>
  <c r="A418" i="1"/>
  <c r="D417" i="1"/>
  <c r="A417" i="1"/>
  <c r="D416" i="1"/>
  <c r="A416" i="1"/>
  <c r="D415" i="1"/>
  <c r="A415" i="1"/>
  <c r="D414" i="1"/>
  <c r="A414" i="1"/>
  <c r="D413" i="1"/>
  <c r="A413" i="1"/>
  <c r="D412" i="1"/>
  <c r="A412" i="1"/>
  <c r="D411" i="1"/>
  <c r="A411" i="1"/>
  <c r="D410" i="1"/>
  <c r="A410" i="1"/>
  <c r="D409" i="1"/>
  <c r="A409" i="1"/>
  <c r="D408" i="1"/>
  <c r="A408" i="1"/>
  <c r="D407" i="1"/>
  <c r="A407" i="1"/>
  <c r="D406" i="1"/>
  <c r="A406" i="1"/>
  <c r="D405" i="1"/>
  <c r="A405" i="1"/>
  <c r="D404" i="1"/>
  <c r="A404" i="1"/>
  <c r="D403" i="1"/>
  <c r="A403" i="1"/>
  <c r="D402" i="1"/>
  <c r="A402" i="1"/>
  <c r="D401" i="1"/>
  <c r="A401" i="1"/>
  <c r="D400" i="1"/>
  <c r="A400" i="1"/>
  <c r="D399" i="1"/>
  <c r="A399" i="1"/>
  <c r="D398" i="1"/>
  <c r="A398" i="1"/>
  <c r="D397" i="1"/>
  <c r="A397" i="1"/>
  <c r="D396" i="1"/>
  <c r="A396" i="1"/>
  <c r="D395" i="1"/>
  <c r="A395" i="1"/>
  <c r="D394" i="1"/>
  <c r="A394" i="1"/>
  <c r="D393" i="1"/>
  <c r="A393" i="1"/>
  <c r="D392" i="1"/>
  <c r="A392" i="1"/>
  <c r="D391" i="1"/>
  <c r="A391" i="1"/>
  <c r="D390" i="1"/>
  <c r="A390" i="1"/>
  <c r="D389" i="1"/>
  <c r="A389" i="1"/>
  <c r="D388" i="1"/>
  <c r="A388" i="1"/>
  <c r="D387" i="1"/>
  <c r="A387" i="1"/>
  <c r="D386" i="1"/>
  <c r="A386" i="1"/>
  <c r="D385" i="1"/>
  <c r="A385" i="1"/>
  <c r="D384" i="1"/>
  <c r="A384" i="1"/>
  <c r="D383" i="1"/>
  <c r="A383" i="1"/>
  <c r="D382" i="1"/>
  <c r="A382" i="1"/>
  <c r="D381" i="1"/>
  <c r="A381" i="1"/>
  <c r="D380" i="1"/>
  <c r="A380" i="1"/>
  <c r="D379" i="1"/>
  <c r="A379" i="1"/>
  <c r="D378" i="1"/>
  <c r="A378" i="1"/>
  <c r="D377" i="1"/>
  <c r="A377" i="1"/>
  <c r="D376" i="1"/>
  <c r="A376" i="1"/>
  <c r="D375" i="1"/>
  <c r="A375" i="1"/>
  <c r="D374" i="1"/>
  <c r="A374" i="1"/>
  <c r="D373" i="1"/>
  <c r="A373" i="1"/>
  <c r="D372" i="1"/>
  <c r="A372" i="1"/>
  <c r="D371" i="1"/>
  <c r="A371" i="1"/>
  <c r="D370" i="1"/>
  <c r="A370" i="1"/>
  <c r="D369" i="1"/>
  <c r="A369" i="1"/>
  <c r="D368" i="1"/>
  <c r="A368" i="1"/>
  <c r="D367" i="1"/>
  <c r="A367" i="1"/>
  <c r="D366" i="1"/>
  <c r="A366" i="1"/>
  <c r="D365" i="1"/>
  <c r="A365" i="1"/>
  <c r="D364" i="1"/>
  <c r="A364" i="1"/>
  <c r="D363" i="1"/>
  <c r="A363" i="1"/>
  <c r="D362" i="1"/>
  <c r="A362" i="1"/>
  <c r="D361" i="1"/>
  <c r="A361" i="1"/>
  <c r="D360" i="1"/>
  <c r="A360" i="1"/>
  <c r="D359" i="1"/>
  <c r="A359" i="1"/>
  <c r="D358" i="1"/>
  <c r="A358" i="1"/>
  <c r="D357" i="1"/>
  <c r="A357" i="1"/>
  <c r="D356" i="1"/>
  <c r="A356" i="1"/>
  <c r="D355" i="1"/>
  <c r="A355" i="1"/>
  <c r="D354" i="1"/>
  <c r="A354" i="1"/>
  <c r="D353" i="1"/>
  <c r="A353" i="1"/>
  <c r="D352" i="1"/>
  <c r="A352" i="1"/>
  <c r="D351" i="1"/>
  <c r="A351" i="1"/>
  <c r="D350" i="1"/>
  <c r="A350" i="1"/>
  <c r="D349" i="1"/>
  <c r="A349" i="1"/>
  <c r="D348" i="1"/>
  <c r="A348" i="1"/>
  <c r="D347" i="1"/>
  <c r="A347" i="1"/>
  <c r="D346" i="1"/>
  <c r="A346" i="1"/>
  <c r="A345" i="1"/>
  <c r="D344" i="1"/>
  <c r="A344" i="1"/>
  <c r="D343" i="1"/>
  <c r="A343" i="1"/>
  <c r="A342" i="1"/>
  <c r="A341" i="1"/>
  <c r="D340" i="1"/>
  <c r="A340" i="1"/>
  <c r="D339" i="1"/>
  <c r="A339" i="1"/>
  <c r="D338" i="1"/>
  <c r="A338" i="1"/>
  <c r="D337" i="1"/>
  <c r="A337" i="1"/>
  <c r="D336" i="1"/>
  <c r="A336" i="1"/>
  <c r="D335" i="1"/>
  <c r="A335" i="1"/>
  <c r="D334" i="1"/>
  <c r="A334" i="1"/>
  <c r="D333" i="1"/>
  <c r="A333" i="1"/>
  <c r="D332" i="1"/>
  <c r="A332" i="1"/>
  <c r="D331" i="1"/>
  <c r="A331" i="1"/>
  <c r="D330" i="1"/>
  <c r="A330" i="1"/>
  <c r="D329" i="1"/>
  <c r="A329" i="1"/>
  <c r="D328" i="1"/>
  <c r="A328" i="1"/>
  <c r="D327" i="1"/>
  <c r="A327" i="1"/>
  <c r="D326" i="1"/>
  <c r="A326" i="1"/>
  <c r="D325" i="1"/>
  <c r="A325" i="1"/>
  <c r="D324" i="1"/>
  <c r="A324" i="1"/>
  <c r="D323" i="1"/>
  <c r="A323" i="1"/>
  <c r="D322" i="1"/>
  <c r="A322" i="1"/>
  <c r="D321" i="1"/>
  <c r="A321" i="1"/>
  <c r="D320" i="1"/>
  <c r="A320" i="1"/>
  <c r="D319" i="1"/>
  <c r="A319" i="1"/>
  <c r="D318" i="1"/>
  <c r="A318" i="1"/>
  <c r="D317" i="1"/>
  <c r="A317" i="1"/>
  <c r="D316" i="1"/>
  <c r="A316" i="1"/>
  <c r="D315" i="1"/>
  <c r="A315" i="1"/>
  <c r="D314" i="1"/>
  <c r="A314" i="1"/>
  <c r="D313" i="1"/>
  <c r="A313" i="1"/>
  <c r="D312" i="1"/>
  <c r="A312" i="1"/>
  <c r="D311" i="1"/>
  <c r="A311" i="1"/>
  <c r="D310" i="1"/>
  <c r="A310" i="1"/>
  <c r="D309" i="1"/>
  <c r="A309" i="1"/>
  <c r="D308" i="1"/>
  <c r="A308" i="1"/>
  <c r="D307" i="1"/>
  <c r="A307" i="1"/>
  <c r="D306" i="1"/>
  <c r="A306" i="1"/>
  <c r="D305" i="1"/>
  <c r="A305" i="1"/>
  <c r="D304" i="1"/>
  <c r="A304" i="1"/>
  <c r="D303" i="1"/>
  <c r="A303" i="1"/>
  <c r="D302" i="1"/>
  <c r="A302" i="1"/>
  <c r="D301" i="1"/>
  <c r="A301" i="1"/>
  <c r="D300" i="1"/>
  <c r="A300" i="1"/>
  <c r="D299" i="1"/>
  <c r="A299" i="1"/>
  <c r="D298" i="1"/>
  <c r="A298" i="1"/>
  <c r="D297" i="1"/>
  <c r="A297" i="1"/>
  <c r="D296" i="1"/>
  <c r="A296" i="1"/>
  <c r="D295" i="1"/>
  <c r="A295" i="1"/>
  <c r="D294" i="1"/>
  <c r="A294" i="1"/>
  <c r="D293" i="1"/>
  <c r="A293" i="1"/>
  <c r="D292" i="1"/>
  <c r="A292" i="1"/>
  <c r="D291" i="1"/>
  <c r="A291" i="1"/>
  <c r="D290" i="1"/>
  <c r="A290" i="1"/>
  <c r="D289" i="1"/>
  <c r="A289" i="1"/>
  <c r="D288" i="1"/>
  <c r="A288" i="1"/>
  <c r="D287" i="1"/>
  <c r="A287" i="1"/>
  <c r="D286" i="1"/>
  <c r="A286" i="1"/>
  <c r="D285" i="1"/>
  <c r="A285" i="1"/>
  <c r="D284" i="1"/>
  <c r="A284" i="1"/>
  <c r="D283" i="1"/>
  <c r="A283" i="1"/>
  <c r="D282" i="1"/>
  <c r="A282" i="1"/>
  <c r="D281" i="1"/>
  <c r="A281" i="1"/>
  <c r="D280" i="1"/>
  <c r="A280" i="1"/>
  <c r="D279" i="1"/>
  <c r="A279" i="1"/>
  <c r="D278" i="1"/>
  <c r="A278" i="1"/>
  <c r="D277" i="1"/>
  <c r="A277" i="1"/>
  <c r="D276" i="1"/>
  <c r="A276" i="1"/>
  <c r="D275" i="1"/>
  <c r="A275" i="1"/>
  <c r="D274" i="1"/>
  <c r="A274" i="1"/>
  <c r="D273" i="1"/>
  <c r="A273" i="1"/>
  <c r="D272" i="1"/>
  <c r="A272" i="1"/>
  <c r="D271" i="1"/>
  <c r="A271" i="1"/>
  <c r="D270" i="1"/>
  <c r="A270" i="1"/>
  <c r="D269" i="1"/>
  <c r="A269" i="1"/>
  <c r="D268" i="1"/>
  <c r="A268" i="1"/>
  <c r="D267" i="1"/>
  <c r="A267" i="1"/>
  <c r="D266" i="1"/>
  <c r="A266" i="1"/>
  <c r="D265" i="1"/>
  <c r="A265" i="1"/>
  <c r="D264" i="1"/>
  <c r="A264" i="1"/>
  <c r="D263" i="1"/>
  <c r="A263" i="1"/>
  <c r="D262" i="1"/>
  <c r="A262" i="1"/>
  <c r="D261" i="1"/>
  <c r="A261" i="1"/>
  <c r="D260" i="1"/>
  <c r="A260" i="1"/>
  <c r="D259" i="1"/>
  <c r="A259" i="1"/>
  <c r="D258" i="1"/>
  <c r="A258" i="1"/>
  <c r="D257" i="1"/>
  <c r="A257" i="1"/>
  <c r="D256" i="1"/>
  <c r="A256" i="1"/>
  <c r="D255" i="1"/>
  <c r="A255" i="1"/>
  <c r="D254" i="1"/>
  <c r="A254" i="1"/>
  <c r="D253" i="1"/>
  <c r="A253" i="1"/>
  <c r="D252" i="1"/>
  <c r="A252" i="1"/>
  <c r="D251" i="1"/>
  <c r="A251" i="1"/>
  <c r="D250" i="1"/>
  <c r="A250" i="1"/>
  <c r="D249" i="1"/>
  <c r="A249" i="1"/>
  <c r="D248" i="1"/>
  <c r="A248" i="1"/>
  <c r="D247" i="1"/>
  <c r="A247" i="1"/>
  <c r="D246" i="1"/>
  <c r="A246" i="1"/>
  <c r="D245" i="1"/>
  <c r="A245" i="1"/>
  <c r="D244" i="1"/>
  <c r="A244" i="1"/>
  <c r="D243" i="1"/>
  <c r="A243" i="1"/>
  <c r="D242" i="1"/>
  <c r="A242" i="1"/>
  <c r="D241" i="1"/>
  <c r="A241" i="1"/>
  <c r="D240" i="1"/>
  <c r="A240" i="1"/>
  <c r="D239" i="1"/>
  <c r="A239" i="1"/>
  <c r="D238" i="1"/>
  <c r="A238" i="1"/>
  <c r="D237" i="1"/>
  <c r="A237" i="1"/>
  <c r="D236" i="1"/>
  <c r="A236" i="1"/>
  <c r="D235" i="1"/>
  <c r="A235" i="1"/>
  <c r="D234" i="1"/>
  <c r="A234" i="1"/>
  <c r="D233" i="1"/>
  <c r="A233" i="1"/>
  <c r="D232" i="1"/>
  <c r="A232" i="1"/>
  <c r="D231" i="1"/>
  <c r="A231" i="1"/>
  <c r="D230" i="1"/>
  <c r="A230" i="1"/>
  <c r="D229" i="1"/>
  <c r="A229" i="1"/>
  <c r="D228" i="1"/>
  <c r="A228" i="1"/>
  <c r="D227" i="1"/>
  <c r="A227" i="1"/>
  <c r="D226" i="1"/>
  <c r="A226" i="1"/>
  <c r="D225" i="1"/>
  <c r="A225" i="1"/>
  <c r="D224" i="1"/>
  <c r="A224" i="1"/>
  <c r="D223" i="1"/>
  <c r="A223" i="1"/>
  <c r="D222" i="1"/>
  <c r="A222" i="1"/>
  <c r="D221" i="1"/>
  <c r="A221" i="1"/>
  <c r="D220" i="1"/>
  <c r="A220" i="1"/>
  <c r="D219" i="1"/>
  <c r="A219" i="1"/>
  <c r="D218" i="1"/>
  <c r="A218" i="1"/>
  <c r="D217" i="1"/>
  <c r="A217" i="1"/>
  <c r="D216" i="1"/>
  <c r="A216" i="1"/>
  <c r="D215" i="1"/>
  <c r="A215" i="1"/>
  <c r="D214" i="1"/>
  <c r="A214" i="1"/>
  <c r="D213" i="1"/>
  <c r="A213" i="1"/>
  <c r="D212" i="1"/>
  <c r="A212" i="1"/>
  <c r="D211" i="1"/>
  <c r="A211" i="1"/>
  <c r="D210" i="1"/>
  <c r="A210" i="1"/>
  <c r="D209" i="1"/>
  <c r="A209" i="1"/>
  <c r="D208" i="1"/>
  <c r="A208" i="1"/>
  <c r="D207" i="1"/>
  <c r="A207" i="1"/>
  <c r="D206" i="1"/>
  <c r="A206" i="1"/>
  <c r="D205" i="1"/>
  <c r="A205" i="1"/>
  <c r="D204" i="1"/>
  <c r="A204" i="1"/>
  <c r="D203" i="1"/>
  <c r="A203" i="1"/>
  <c r="D202" i="1"/>
  <c r="A202" i="1"/>
  <c r="D201" i="1"/>
  <c r="A201" i="1"/>
  <c r="D200" i="1"/>
  <c r="A200" i="1"/>
  <c r="D199" i="1"/>
  <c r="A199" i="1"/>
  <c r="D198" i="1"/>
  <c r="A198" i="1"/>
  <c r="D197" i="1"/>
  <c r="A197" i="1"/>
  <c r="D196" i="1"/>
  <c r="A196" i="1"/>
  <c r="D195" i="1"/>
  <c r="A195" i="1"/>
  <c r="D194" i="1"/>
  <c r="A194" i="1"/>
  <c r="D193" i="1"/>
  <c r="A193" i="1"/>
  <c r="D192" i="1"/>
  <c r="A192" i="1"/>
  <c r="D191" i="1"/>
  <c r="A191" i="1"/>
  <c r="D190" i="1"/>
  <c r="A190" i="1"/>
  <c r="D189" i="1"/>
  <c r="A189" i="1"/>
  <c r="D188" i="1"/>
  <c r="A188" i="1"/>
  <c r="D187" i="1"/>
  <c r="A187" i="1"/>
  <c r="D186" i="1"/>
  <c r="A186" i="1"/>
  <c r="D185" i="1"/>
  <c r="A185" i="1"/>
  <c r="D184" i="1"/>
  <c r="A184" i="1"/>
  <c r="D183" i="1"/>
  <c r="A183" i="1"/>
  <c r="D182" i="1"/>
  <c r="A182" i="1"/>
  <c r="D181" i="1"/>
  <c r="A181" i="1"/>
  <c r="D180" i="1"/>
  <c r="A180" i="1"/>
  <c r="D179" i="1"/>
  <c r="A179" i="1"/>
  <c r="D178" i="1"/>
  <c r="A178" i="1"/>
  <c r="D177" i="1"/>
  <c r="A177" i="1"/>
  <c r="D176" i="1"/>
  <c r="A176" i="1"/>
  <c r="D175" i="1"/>
  <c r="A175" i="1"/>
  <c r="D174" i="1"/>
  <c r="A174" i="1"/>
  <c r="D173" i="1"/>
  <c r="A173" i="1"/>
  <c r="D172" i="1"/>
  <c r="A172" i="1"/>
  <c r="D171" i="1"/>
  <c r="A171" i="1"/>
  <c r="D170" i="1"/>
  <c r="A170" i="1"/>
  <c r="D169" i="1"/>
  <c r="A169" i="1"/>
  <c r="D168" i="1"/>
  <c r="A168" i="1"/>
  <c r="D167" i="1"/>
  <c r="A167" i="1"/>
  <c r="D166" i="1"/>
  <c r="A166" i="1"/>
  <c r="D165" i="1"/>
  <c r="A165" i="1"/>
  <c r="D164" i="1"/>
  <c r="A164" i="1"/>
  <c r="D163" i="1"/>
  <c r="A163" i="1"/>
  <c r="D162" i="1"/>
  <c r="A162" i="1"/>
  <c r="D161" i="1"/>
  <c r="A161" i="1"/>
  <c r="D160" i="1"/>
  <c r="A160" i="1"/>
  <c r="D159" i="1"/>
  <c r="A159" i="1"/>
  <c r="D158" i="1"/>
  <c r="A158" i="1"/>
  <c r="D157" i="1"/>
  <c r="A157" i="1"/>
  <c r="D156" i="1"/>
  <c r="A156" i="1"/>
  <c r="D155" i="1"/>
  <c r="A155" i="1"/>
  <c r="D154" i="1"/>
  <c r="A154" i="1"/>
  <c r="D153" i="1"/>
  <c r="A153" i="1"/>
  <c r="D152" i="1"/>
  <c r="A152" i="1"/>
  <c r="D151" i="1"/>
  <c r="A151" i="1"/>
  <c r="D150" i="1"/>
  <c r="A150" i="1"/>
  <c r="D149" i="1"/>
  <c r="A149" i="1"/>
  <c r="D148" i="1"/>
  <c r="A148" i="1"/>
  <c r="D147" i="1"/>
  <c r="A147" i="1"/>
  <c r="D146" i="1"/>
  <c r="A146" i="1"/>
  <c r="D145" i="1"/>
  <c r="A145" i="1"/>
  <c r="D144" i="1"/>
  <c r="A144" i="1"/>
  <c r="D143" i="1"/>
  <c r="A143" i="1"/>
  <c r="D142" i="1"/>
  <c r="A142" i="1"/>
  <c r="D141" i="1"/>
  <c r="A141" i="1"/>
  <c r="D140" i="1"/>
  <c r="A140" i="1"/>
  <c r="D139" i="1"/>
  <c r="A139" i="1"/>
  <c r="D138" i="1"/>
  <c r="A138" i="1"/>
  <c r="D137" i="1"/>
  <c r="A137" i="1"/>
  <c r="D136" i="1"/>
  <c r="A136" i="1"/>
  <c r="D135" i="1"/>
  <c r="A135" i="1"/>
  <c r="D134" i="1"/>
  <c r="A134" i="1"/>
  <c r="D133" i="1"/>
  <c r="A133" i="1"/>
  <c r="D132" i="1"/>
  <c r="A132" i="1"/>
  <c r="D131" i="1"/>
  <c r="A131" i="1"/>
  <c r="D130" i="1"/>
  <c r="A130" i="1"/>
  <c r="D129" i="1"/>
  <c r="A129" i="1"/>
  <c r="D128" i="1"/>
  <c r="A128" i="1"/>
  <c r="D127" i="1"/>
  <c r="A127" i="1"/>
  <c r="D126" i="1"/>
  <c r="A126" i="1"/>
  <c r="D125" i="1"/>
  <c r="A125" i="1"/>
  <c r="D124" i="1"/>
  <c r="A124" i="1"/>
  <c r="D123" i="1"/>
  <c r="A123" i="1"/>
  <c r="D122" i="1"/>
  <c r="A122" i="1"/>
  <c r="D121" i="1"/>
  <c r="A121" i="1"/>
  <c r="D120" i="1"/>
  <c r="A120" i="1"/>
  <c r="D119" i="1"/>
  <c r="A119" i="1"/>
  <c r="D118" i="1"/>
  <c r="A118" i="1"/>
  <c r="D117" i="1"/>
  <c r="A117" i="1"/>
  <c r="D116" i="1"/>
  <c r="A116" i="1"/>
  <c r="D115" i="1"/>
  <c r="A115" i="1"/>
  <c r="D114" i="1"/>
  <c r="A114" i="1"/>
  <c r="D113" i="1"/>
  <c r="A113" i="1"/>
  <c r="D112" i="1"/>
  <c r="A112" i="1"/>
  <c r="D111" i="1"/>
  <c r="A111" i="1"/>
  <c r="D110" i="1"/>
  <c r="A110" i="1"/>
  <c r="D109" i="1"/>
  <c r="A109" i="1"/>
  <c r="D108" i="1"/>
  <c r="A108" i="1"/>
  <c r="D107" i="1"/>
  <c r="A107" i="1"/>
  <c r="D106" i="1"/>
  <c r="A106" i="1"/>
  <c r="D105" i="1"/>
  <c r="A105" i="1"/>
  <c r="D104" i="1"/>
  <c r="A104" i="1"/>
  <c r="D103" i="1"/>
  <c r="A103" i="1"/>
  <c r="D102" i="1"/>
  <c r="A102" i="1"/>
  <c r="D101" i="1"/>
  <c r="A101" i="1"/>
  <c r="D100" i="1"/>
  <c r="A100" i="1"/>
  <c r="D99" i="1"/>
  <c r="A99" i="1"/>
  <c r="D98" i="1"/>
  <c r="A98" i="1"/>
  <c r="D97" i="1"/>
  <c r="A97" i="1"/>
  <c r="D96" i="1"/>
  <c r="A96" i="1"/>
  <c r="D95" i="1"/>
  <c r="A95" i="1"/>
  <c r="D94" i="1"/>
  <c r="A94" i="1"/>
  <c r="D93" i="1"/>
  <c r="A93" i="1"/>
  <c r="D92" i="1"/>
  <c r="A92" i="1"/>
  <c r="D91" i="1"/>
  <c r="A91" i="1"/>
  <c r="D90" i="1"/>
  <c r="A90" i="1"/>
  <c r="D89" i="1"/>
  <c r="A89" i="1"/>
  <c r="D88" i="1"/>
  <c r="A88" i="1"/>
  <c r="D87" i="1"/>
  <c r="A87" i="1"/>
  <c r="D86" i="1"/>
  <c r="A86" i="1"/>
  <c r="D85" i="1"/>
  <c r="A85" i="1"/>
  <c r="D84" i="1"/>
  <c r="A84" i="1"/>
  <c r="D83" i="1"/>
  <c r="A83" i="1"/>
  <c r="D82" i="1"/>
  <c r="A82" i="1"/>
  <c r="D81" i="1"/>
  <c r="A81" i="1"/>
  <c r="A80" i="1"/>
  <c r="D79" i="1"/>
  <c r="A79" i="1"/>
  <c r="D78" i="1"/>
  <c r="A78" i="1"/>
  <c r="D77" i="1"/>
  <c r="A77" i="1"/>
  <c r="D76" i="1"/>
  <c r="A76" i="1"/>
  <c r="D75" i="1"/>
  <c r="A75" i="1"/>
  <c r="D74" i="1"/>
  <c r="A74" i="1"/>
  <c r="D73" i="1"/>
  <c r="A73" i="1"/>
  <c r="D72" i="1"/>
  <c r="A72" i="1"/>
  <c r="D71" i="1"/>
  <c r="A71" i="1"/>
  <c r="D70" i="1"/>
  <c r="A70" i="1"/>
  <c r="D69" i="1"/>
  <c r="A69" i="1"/>
  <c r="D68" i="1"/>
  <c r="A68" i="1"/>
  <c r="D67" i="1"/>
  <c r="A67" i="1"/>
  <c r="D66" i="1"/>
  <c r="A66" i="1"/>
  <c r="D65" i="1"/>
  <c r="A65" i="1"/>
  <c r="D64" i="1"/>
  <c r="A64" i="1"/>
  <c r="D63" i="1"/>
  <c r="A63" i="1"/>
  <c r="D62" i="1"/>
  <c r="A62" i="1"/>
  <c r="D61" i="1"/>
  <c r="A61" i="1"/>
  <c r="D60" i="1"/>
  <c r="A60" i="1"/>
  <c r="D59" i="1"/>
  <c r="A59" i="1"/>
  <c r="D58" i="1"/>
  <c r="A58" i="1"/>
  <c r="D57" i="1"/>
  <c r="A57" i="1"/>
  <c r="D56" i="1"/>
  <c r="A56" i="1"/>
  <c r="D55" i="1"/>
  <c r="A55" i="1"/>
  <c r="D54" i="1"/>
  <c r="A54" i="1"/>
  <c r="D53" i="1"/>
  <c r="A53" i="1"/>
  <c r="D52" i="1"/>
  <c r="A52" i="1"/>
  <c r="D51" i="1"/>
  <c r="A51" i="1"/>
  <c r="D50" i="1"/>
  <c r="A50" i="1"/>
  <c r="D49" i="1"/>
  <c r="A49" i="1"/>
  <c r="D48" i="1"/>
  <c r="A48" i="1"/>
  <c r="D47" i="1"/>
  <c r="A47" i="1"/>
  <c r="D46" i="1"/>
  <c r="A46" i="1"/>
  <c r="D45" i="1"/>
  <c r="A45" i="1"/>
  <c r="D44" i="1"/>
  <c r="A44" i="1"/>
  <c r="D43" i="1"/>
  <c r="A43" i="1"/>
  <c r="D42" i="1"/>
  <c r="A42" i="1"/>
  <c r="D41" i="1"/>
  <c r="A41" i="1"/>
  <c r="D40" i="1"/>
  <c r="A40" i="1"/>
  <c r="D39" i="1"/>
  <c r="A39" i="1"/>
  <c r="D38" i="1"/>
  <c r="A38" i="1"/>
  <c r="D37" i="1"/>
  <c r="A37" i="1"/>
  <c r="D36" i="1"/>
  <c r="A36" i="1"/>
  <c r="D35" i="1"/>
  <c r="A35" i="1"/>
  <c r="D34" i="1"/>
  <c r="A34" i="1"/>
  <c r="D33" i="1"/>
  <c r="A33" i="1"/>
  <c r="D32" i="1"/>
  <c r="A32" i="1"/>
  <c r="D31" i="1"/>
  <c r="A31" i="1"/>
  <c r="D30" i="1"/>
  <c r="A30" i="1"/>
  <c r="D29" i="1"/>
  <c r="A29" i="1"/>
  <c r="D28" i="1"/>
  <c r="A28" i="1"/>
  <c r="D27" i="1"/>
  <c r="A27" i="1"/>
  <c r="D26" i="1"/>
  <c r="A26" i="1"/>
  <c r="D25" i="1"/>
  <c r="A25" i="1"/>
  <c r="D24" i="1"/>
  <c r="A24" i="1"/>
  <c r="D23" i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<sst xmlns="http://schemas.openxmlformats.org/spreadsheetml/2006/main" count="15671" uniqueCount="6586">
  <si>
    <t>PaPlantsID</t>
  </si>
  <si>
    <t>AccountName</t>
  </si>
  <si>
    <t>AccountAddress</t>
  </si>
  <si>
    <t>Phone</t>
  </si>
  <si>
    <t>BeekeeperID</t>
  </si>
  <si>
    <t>BeeKeeperStatus</t>
  </si>
  <si>
    <t>LocationID</t>
  </si>
  <si>
    <t>LegacyID</t>
  </si>
  <si>
    <t>ColonyCount</t>
  </si>
  <si>
    <t>LocationName</t>
  </si>
  <si>
    <t>CountyName</t>
  </si>
  <si>
    <t>TownshipName</t>
  </si>
  <si>
    <t>OwnerName</t>
  </si>
  <si>
    <t>EffectiveStartDate</t>
  </si>
  <si>
    <t>EffectiveEndDate</t>
  </si>
  <si>
    <t>LastInspectionDate</t>
  </si>
  <si>
    <t>YardType</t>
  </si>
  <si>
    <t>Orientation</t>
  </si>
  <si>
    <t>MixInd</t>
  </si>
  <si>
    <t>Latitude</t>
  </si>
  <si>
    <t>Longtitude</t>
  </si>
  <si>
    <t>Address1</t>
  </si>
  <si>
    <t>Address2</t>
  </si>
  <si>
    <t>StateCode</t>
  </si>
  <si>
    <t>City</t>
  </si>
  <si>
    <t>ZipCode</t>
  </si>
  <si>
    <t>Appleton, Timothy J</t>
  </si>
  <si>
    <t>360 TOWN FARM ROAD WOODBURY VT 05681 - WASHINGTON</t>
  </si>
  <si>
    <t>Active</t>
  </si>
  <si>
    <t>0002KF-1</t>
  </si>
  <si>
    <t>AppletonHome Yard</t>
  </si>
  <si>
    <t>Washington</t>
  </si>
  <si>
    <t>Woodbury Town</t>
  </si>
  <si>
    <t>Tim &amp; Stephanie Appleton</t>
  </si>
  <si>
    <t>Permanent</t>
  </si>
  <si>
    <t>N</t>
  </si>
  <si>
    <t>360 Town Farm Road</t>
  </si>
  <si>
    <t>VT</t>
  </si>
  <si>
    <t>Woodbury</t>
  </si>
  <si>
    <t>Burlington Country Club</t>
  </si>
  <si>
    <t>568 SOUTH PROSPECT ST BURLINGTON VT 05401 - CHITTENDEN</t>
  </si>
  <si>
    <t>0002MQ-1</t>
  </si>
  <si>
    <t>BCC</t>
  </si>
  <si>
    <t>Chittenden</t>
  </si>
  <si>
    <t>Burlington City</t>
  </si>
  <si>
    <t>568 South Prospect ST</t>
  </si>
  <si>
    <t>Burlington</t>
  </si>
  <si>
    <t>Batchelder, Tyler J</t>
  </si>
  <si>
    <t>43 MOORE DRIVE BURLINGTON VT 05408 - CHITTENDEN</t>
  </si>
  <si>
    <t>0003HA-2</t>
  </si>
  <si>
    <t>137 Deer Creek Lane</t>
  </si>
  <si>
    <t>Richmond Town</t>
  </si>
  <si>
    <t>Jordan Weidman</t>
  </si>
  <si>
    <t>Deer Creek Lane</t>
  </si>
  <si>
    <t>Richmond</t>
  </si>
  <si>
    <t>Patoine, Guy A</t>
  </si>
  <si>
    <t>1112 DUTTON RD HARDWICK VT 05843 - CALEDONIA</t>
  </si>
  <si>
    <t>0004D1-1</t>
  </si>
  <si>
    <t>Patoine-Home Yard</t>
  </si>
  <si>
    <t>Caledonia</t>
  </si>
  <si>
    <t>Walden Town</t>
  </si>
  <si>
    <t>Frank Patoine</t>
  </si>
  <si>
    <t>378 Patoine Place</t>
  </si>
  <si>
    <t>Walden</t>
  </si>
  <si>
    <t>Bragg, Eric (Bragg's Birds and Bee's) G</t>
  </si>
  <si>
    <t>15 ALTON DR EAST THETFORD VT 05043 - ORANGE</t>
  </si>
  <si>
    <t>0005DA-1</t>
  </si>
  <si>
    <t>Bragg Home yard</t>
  </si>
  <si>
    <t>Orange</t>
  </si>
  <si>
    <t>Thetford Town</t>
  </si>
  <si>
    <t>Eric &amp; Elise Bragg</t>
  </si>
  <si>
    <t>15 Alton Drive</t>
  </si>
  <si>
    <t>East Thetford</t>
  </si>
  <si>
    <t>Berry, Irene</t>
  </si>
  <si>
    <t>128 PREEDON HILL ROAD LUDLOW VT 05149 - WINDSOR</t>
  </si>
  <si>
    <t>000706-1</t>
  </si>
  <si>
    <t>Berry-Home</t>
  </si>
  <si>
    <t>Windsor</t>
  </si>
  <si>
    <t>Ludlow Town</t>
  </si>
  <si>
    <t>Irene Berry</t>
  </si>
  <si>
    <t>128 Preedon Hill Road</t>
  </si>
  <si>
    <t>Ludlow</t>
  </si>
  <si>
    <t>Strong, Ernest</t>
  </si>
  <si>
    <t>515 WESTFORD ROAD MILTON VT 05468-3622 - CHITTENDEN</t>
  </si>
  <si>
    <t>00070F-1</t>
  </si>
  <si>
    <t>Strong-Home Yard</t>
  </si>
  <si>
    <t>Milton Town</t>
  </si>
  <si>
    <t>Ernest Strong</t>
  </si>
  <si>
    <t>515 Westford Road</t>
  </si>
  <si>
    <t>Milton</t>
  </si>
  <si>
    <t>Mountain Valley Farm</t>
  </si>
  <si>
    <t>1719 COMMON ROAD WAITSFIELD VT 05673 - WASHINGTON</t>
  </si>
  <si>
    <t>00070H-1</t>
  </si>
  <si>
    <t>Mountain Valley Farm-Home Yard</t>
  </si>
  <si>
    <t>Waitsfield Town</t>
  </si>
  <si>
    <t>1719 Common Road</t>
  </si>
  <si>
    <t>Waitsfield</t>
  </si>
  <si>
    <t>00070H-3</t>
  </si>
  <si>
    <t>Hartshorn Yard</t>
  </si>
  <si>
    <t>Hartshorns Organic Veg Farm</t>
  </si>
  <si>
    <t>Quarry Road</t>
  </si>
  <si>
    <t>0008P1-4</t>
  </si>
  <si>
    <t>Sunshine Berry Farm</t>
  </si>
  <si>
    <t>Rochester Town</t>
  </si>
  <si>
    <t>Sunshine Valley Organic Berry</t>
  </si>
  <si>
    <t>Pollination</t>
  </si>
  <si>
    <t>RT 100</t>
  </si>
  <si>
    <t>Rochester</t>
  </si>
  <si>
    <t>Kennedy, Guy</t>
  </si>
  <si>
    <t>PO BOX 23 9 SOUTH HILL UNDERHILL CENTER VT 05490 - CHITTENDEN</t>
  </si>
  <si>
    <t>00070W-1</t>
  </si>
  <si>
    <t>Kennedy-Home Yard</t>
  </si>
  <si>
    <t>Underhill Town</t>
  </si>
  <si>
    <t>Guy Kennedy</t>
  </si>
  <si>
    <t>9 South Hill</t>
  </si>
  <si>
    <t>Underhill</t>
  </si>
  <si>
    <t>Buck, John M</t>
  </si>
  <si>
    <t>722 RIPLEY ROAD WATERBURY CENTER VT 05677 - WASHINGTON</t>
  </si>
  <si>
    <t>000713-1</t>
  </si>
  <si>
    <t>Buck-Home Yard</t>
  </si>
  <si>
    <t>Waterbury Town</t>
  </si>
  <si>
    <t>John Buck</t>
  </si>
  <si>
    <t>722 Ripley Road</t>
  </si>
  <si>
    <t>Waterbury Center</t>
  </si>
  <si>
    <t>Kravitz, Toby</t>
  </si>
  <si>
    <t>985 DOTHAN ROAD WHITE RIVER JUNCTION VT 05001</t>
  </si>
  <si>
    <t>000715-1</t>
  </si>
  <si>
    <t>Kravitz-Home</t>
  </si>
  <si>
    <t>Hartford Town</t>
  </si>
  <si>
    <t>Toby Kravitz</t>
  </si>
  <si>
    <t>985 Dothan Road</t>
  </si>
  <si>
    <t>Hartford</t>
  </si>
  <si>
    <t>Finerty, Andrea</t>
  </si>
  <si>
    <t>153 BROUGHTON AVE POULTNEY VT 05764 - RUTLAND</t>
  </si>
  <si>
    <t>00071F-1</t>
  </si>
  <si>
    <t>Rutland</t>
  </si>
  <si>
    <t>Poultney Town</t>
  </si>
  <si>
    <t>Michael Finerty</t>
  </si>
  <si>
    <t>153 Broughton Road</t>
  </si>
  <si>
    <t>Poultney</t>
  </si>
  <si>
    <t>Kehoe, Robert</t>
  </si>
  <si>
    <t>527 ABBOTT ROAD WINDHAM VT 05359</t>
  </si>
  <si>
    <t>000722-1</t>
  </si>
  <si>
    <t>Sparky Bee</t>
  </si>
  <si>
    <t>Windham</t>
  </si>
  <si>
    <t>Windham Town</t>
  </si>
  <si>
    <t>Robert Kehoe</t>
  </si>
  <si>
    <t>527 Abbott Road</t>
  </si>
  <si>
    <t>Little, John</t>
  </si>
  <si>
    <t>737 RUSHFORD VALLEY RD MONTGOMRY CENTER VT 05471-3031</t>
  </si>
  <si>
    <t>000737-1</t>
  </si>
  <si>
    <t>Little-Home</t>
  </si>
  <si>
    <t>Franklin</t>
  </si>
  <si>
    <t>Montgomery Town</t>
  </si>
  <si>
    <t>John Little</t>
  </si>
  <si>
    <t>737 Rushford Valley Road</t>
  </si>
  <si>
    <t>Montgomery</t>
  </si>
  <si>
    <t>000737-2</t>
  </si>
  <si>
    <t>unknown</t>
  </si>
  <si>
    <t>Unknown</t>
  </si>
  <si>
    <t>Keeney, Dorigen</t>
  </si>
  <si>
    <t>1029 CODDING HOLLOW RD JOHNSON VT 05656 - LAMOILLE</t>
  </si>
  <si>
    <t>00073A-2</t>
  </si>
  <si>
    <t>Marshfield Yard</t>
  </si>
  <si>
    <t>Marshfield Town</t>
  </si>
  <si>
    <t>Dorigen Keeney</t>
  </si>
  <si>
    <t>989 Maple Hill Road</t>
  </si>
  <si>
    <t>Marshfield</t>
  </si>
  <si>
    <t>00073A-1</t>
  </si>
  <si>
    <t>Kenney-Home Yard</t>
  </si>
  <si>
    <t>Lamoille</t>
  </si>
  <si>
    <t>Johnson Town</t>
  </si>
  <si>
    <t>1029 Codding Hollow Rd</t>
  </si>
  <si>
    <t>Johnson</t>
  </si>
  <si>
    <t>Warner, Derick</t>
  </si>
  <si>
    <t>47 PROSPECT ST ESSEX JUNCTION VT 05452-3612</t>
  </si>
  <si>
    <t>00073B-1</t>
  </si>
  <si>
    <t>Warner Home Yard</t>
  </si>
  <si>
    <t>Essex Town</t>
  </si>
  <si>
    <t>Derick Warner</t>
  </si>
  <si>
    <t>47 Prospect Street</t>
  </si>
  <si>
    <t>Essex Junction</t>
  </si>
  <si>
    <t>05452-3612</t>
  </si>
  <si>
    <t>Vermont Honey Supply</t>
  </si>
  <si>
    <t>1822 HARWOOD HILL ROAD BENNINGTON VT 05201 - BENNINGTON</t>
  </si>
  <si>
    <t>00073P-1</t>
  </si>
  <si>
    <t>Home 1822 Harwood Hill</t>
  </si>
  <si>
    <t>Bennington</t>
  </si>
  <si>
    <t>Bennington Town</t>
  </si>
  <si>
    <t>Esh</t>
  </si>
  <si>
    <t>1822 Harwood Hill Road</t>
  </si>
  <si>
    <t>Safford, Edward</t>
  </si>
  <si>
    <t>164 CHURCH STREET RUTLAND VT 05701 - RUTLAND</t>
  </si>
  <si>
    <t>00073W-1</t>
  </si>
  <si>
    <t>Safford-Home Yard</t>
  </si>
  <si>
    <t>Rutland City</t>
  </si>
  <si>
    <t>Edward Safford</t>
  </si>
  <si>
    <t>164 Church Street</t>
  </si>
  <si>
    <t>00073W-2</t>
  </si>
  <si>
    <t>Don Campbell</t>
  </si>
  <si>
    <t>La Rose, Dana</t>
  </si>
  <si>
    <t>4378 RT 30 DORSET VT 05251 - BENNINGTON</t>
  </si>
  <si>
    <t>000746-1</t>
  </si>
  <si>
    <t>Phantom School</t>
  </si>
  <si>
    <t>Dorset Town</t>
  </si>
  <si>
    <t>Dorset</t>
  </si>
  <si>
    <t>Krueger, Arthur</t>
  </si>
  <si>
    <t>780 BUTTON HILL ROAD CUTTINGSVILLE VT 05738</t>
  </si>
  <si>
    <t>00074A-1</t>
  </si>
  <si>
    <t>Krueger home yard</t>
  </si>
  <si>
    <t>Shrewsbury Town</t>
  </si>
  <si>
    <t>Patricia Norton</t>
  </si>
  <si>
    <t>780 Button Hill Road</t>
  </si>
  <si>
    <t>Shrewsbury</t>
  </si>
  <si>
    <t>Kinney, Bill</t>
  </si>
  <si>
    <t>312 LUGE RUN EAST DORSET VT 05253</t>
  </si>
  <si>
    <t>000753-1</t>
  </si>
  <si>
    <t>Kinney-home yard</t>
  </si>
  <si>
    <t>Bill Kinney</t>
  </si>
  <si>
    <t>312 Luge Run</t>
  </si>
  <si>
    <t>Peckham, William</t>
  </si>
  <si>
    <t>1307 STELLAR ROAD WILLIAMSTOWN VT 05679 - ORANGE</t>
  </si>
  <si>
    <t>00075N-3</t>
  </si>
  <si>
    <t>Peckham home yard</t>
  </si>
  <si>
    <t>Williamstown Town</t>
  </si>
  <si>
    <t>William Peckham</t>
  </si>
  <si>
    <t>1307 Stellar Road</t>
  </si>
  <si>
    <t>Williamstown</t>
  </si>
  <si>
    <t>00075N-4</t>
  </si>
  <si>
    <t>Barre City</t>
  </si>
  <si>
    <t>Dennis Gray</t>
  </si>
  <si>
    <t>44 Waterman ST.</t>
  </si>
  <si>
    <t>East Barre</t>
  </si>
  <si>
    <t>00075N-5</t>
  </si>
  <si>
    <t>Ackerman home yard</t>
  </si>
  <si>
    <t>Scott Ackerman</t>
  </si>
  <si>
    <t>109 West Cobble Hill</t>
  </si>
  <si>
    <t>Barre</t>
  </si>
  <si>
    <t>Holbrook, Tim</t>
  </si>
  <si>
    <t>1127 SKIPAREE ROAD N POWNAL VT 05260 - BENNINGTON</t>
  </si>
  <si>
    <t>00075Q-1</t>
  </si>
  <si>
    <t>Holbrook Home yard</t>
  </si>
  <si>
    <t>Pownal Town</t>
  </si>
  <si>
    <t>Tim Holbrook</t>
  </si>
  <si>
    <t>1127 Skiparee Road</t>
  </si>
  <si>
    <t>Pownal</t>
  </si>
  <si>
    <t>Simpson, Gary</t>
  </si>
  <si>
    <t>1582 PETH ROAD BRAINTREE VT 05060 - ORANGE</t>
  </si>
  <si>
    <t>000763-1</t>
  </si>
  <si>
    <t>Stoney Meadow</t>
  </si>
  <si>
    <t>Braintree Town</t>
  </si>
  <si>
    <t>Gary Simpson</t>
  </si>
  <si>
    <t>1582 Peth Road</t>
  </si>
  <si>
    <t>Braintree</t>
  </si>
  <si>
    <t>Davis, Jeanne</t>
  </si>
  <si>
    <t>173 PRATT ROAD POWNAL VT 05261 - BENNINGTON</t>
  </si>
  <si>
    <t>000764-1</t>
  </si>
  <si>
    <t>Jones Yard</t>
  </si>
  <si>
    <t>Donna Jones</t>
  </si>
  <si>
    <t>428 Schenkar Road</t>
  </si>
  <si>
    <t>000764-2</t>
  </si>
  <si>
    <t>Davis-Home Yard</t>
  </si>
  <si>
    <t>Jeanne Davis</t>
  </si>
  <si>
    <t>173 Pratt Road</t>
  </si>
  <si>
    <t>000764-3</t>
  </si>
  <si>
    <t>Sedlock</t>
  </si>
  <si>
    <t>Sedleck</t>
  </si>
  <si>
    <t>1177 N Mason Hill Road</t>
  </si>
  <si>
    <t>Glennon, Ron</t>
  </si>
  <si>
    <t>RR3 BOX 4799 820 MAPLE GROVE ROAD BENNINGTON VT 05201 - BENNINGTON</t>
  </si>
  <si>
    <t>00076A-1</t>
  </si>
  <si>
    <t>Ron Glennon</t>
  </si>
  <si>
    <t>820 Maple Grove Road</t>
  </si>
  <si>
    <t>Vosburgh, Lloyd E</t>
  </si>
  <si>
    <t>61 HENRY HILL STAMFORD VT 05352 - BENNINGTON</t>
  </si>
  <si>
    <t>00076P-1</t>
  </si>
  <si>
    <t>Vosburgh Home Yard</t>
  </si>
  <si>
    <t>Stamford Town</t>
  </si>
  <si>
    <t>Lloyd Vosburgh</t>
  </si>
  <si>
    <t>61 Henry Hill Road</t>
  </si>
  <si>
    <t>Stamford</t>
  </si>
  <si>
    <t>Carabello, Joseph</t>
  </si>
  <si>
    <t>170 PROSPECT AVE APT 16P HACKENSACK NJ 07601</t>
  </si>
  <si>
    <t>00076V-1</t>
  </si>
  <si>
    <t>Carabello Home Yard</t>
  </si>
  <si>
    <t>Sandgate Town</t>
  </si>
  <si>
    <t>Joseph Carabello</t>
  </si>
  <si>
    <t>3173 RT 313</t>
  </si>
  <si>
    <t>Sandgate</t>
  </si>
  <si>
    <t>Mazzola, Mario</t>
  </si>
  <si>
    <t>1036 MURPHY HILL ROAD WEST SHAFTSBURY VT 05262</t>
  </si>
  <si>
    <t>00076W-1</t>
  </si>
  <si>
    <t>Mazzola Home Yard</t>
  </si>
  <si>
    <t>Shaftsbury Town</t>
  </si>
  <si>
    <t>Mario Mazzola</t>
  </si>
  <si>
    <t>1036 Murphy Hill Road</t>
  </si>
  <si>
    <t>Shaftsbury</t>
  </si>
  <si>
    <t>Hillhouse, Libby</t>
  </si>
  <si>
    <t>154 SUGAR RIDGE ROAD DANVILLE VT 05828 - CALEDONIA</t>
  </si>
  <si>
    <t>00076X-1</t>
  </si>
  <si>
    <t>Hillhouse-Home Yard</t>
  </si>
  <si>
    <t>Danville Town</t>
  </si>
  <si>
    <t>Libby Hillhouse</t>
  </si>
  <si>
    <t>154 Sugar Ridge Road</t>
  </si>
  <si>
    <t>Danville</t>
  </si>
  <si>
    <t>Edelman, David</t>
  </si>
  <si>
    <t>1150 MIDDLETOWN ROAD ANDOVER VT 05143 - WINDSOR</t>
  </si>
  <si>
    <t>000771-1</t>
  </si>
  <si>
    <t>Edelman Home Yard</t>
  </si>
  <si>
    <t>Andover Town</t>
  </si>
  <si>
    <t>David Edelman</t>
  </si>
  <si>
    <t>1150 Middletown Road</t>
  </si>
  <si>
    <t>Andover</t>
  </si>
  <si>
    <t>Morse, Reg</t>
  </si>
  <si>
    <t>681 OSGOOD HILL ROAD WESTFORD VT 05494 - CHITTENDEN</t>
  </si>
  <si>
    <t>000772-1</t>
  </si>
  <si>
    <t>Morse Home yard</t>
  </si>
  <si>
    <t>Westford Town</t>
  </si>
  <si>
    <t>Reg Morse</t>
  </si>
  <si>
    <t>681 Osgood Hill Road</t>
  </si>
  <si>
    <t>Westford</t>
  </si>
  <si>
    <t>Clattenburg, Dick</t>
  </si>
  <si>
    <t>1067 CADY HILL ROAD PERKINSVILLE VT 05151</t>
  </si>
  <si>
    <t>000776-1</t>
  </si>
  <si>
    <t>Clattenburg-Home</t>
  </si>
  <si>
    <t>Weathersfield Town</t>
  </si>
  <si>
    <t>Dick Clattenburg</t>
  </si>
  <si>
    <t>1067 Cady Hill Road</t>
  </si>
  <si>
    <t>Weathersfield</t>
  </si>
  <si>
    <t>Collier, Michael</t>
  </si>
  <si>
    <t>776 WEST STREET CORNWALL VT 05753 - ADDISON</t>
  </si>
  <si>
    <t>000779-1</t>
  </si>
  <si>
    <t>Collier-Home</t>
  </si>
  <si>
    <t>Addison</t>
  </si>
  <si>
    <t>Cornwall Town</t>
  </si>
  <si>
    <t>Michael Collier</t>
  </si>
  <si>
    <t>776 West Street</t>
  </si>
  <si>
    <t>Cornwall</t>
  </si>
  <si>
    <t>Nutting, Lester</t>
  </si>
  <si>
    <t>9 ABARE AVENUE ESSEX JUNCTION VT 05452</t>
  </si>
  <si>
    <t>00077G-1</t>
  </si>
  <si>
    <t>Nutting Home yard</t>
  </si>
  <si>
    <t>Lester Nutting</t>
  </si>
  <si>
    <t>9 Abare Avenue</t>
  </si>
  <si>
    <t>Holzer, Marianna</t>
  </si>
  <si>
    <t>66 KOZAS RUN HINESBURG VT 05461 - CHITTENDEN</t>
  </si>
  <si>
    <t>00077J-1</t>
  </si>
  <si>
    <t>Holzer-Home Yard</t>
  </si>
  <si>
    <t>Hinesburg Town</t>
  </si>
  <si>
    <t>Marianna Holzer-Rik Palieri</t>
  </si>
  <si>
    <t>66 Kozas Run</t>
  </si>
  <si>
    <t>Hinesburg</t>
  </si>
  <si>
    <t>Knowles, George</t>
  </si>
  <si>
    <t>110 DANIELS HILL ROAD SOUTH NEWFANE VT 05351</t>
  </si>
  <si>
    <t>000786-1</t>
  </si>
  <si>
    <t>Bulry Bee-Home Yard</t>
  </si>
  <si>
    <t>Newfane Town</t>
  </si>
  <si>
    <t>George Knowles</t>
  </si>
  <si>
    <t>110 Daniel's Hill Road</t>
  </si>
  <si>
    <t>South Newfane</t>
  </si>
  <si>
    <t>Majercik, Don</t>
  </si>
  <si>
    <t>32 MORGAN ROAD JERICHO VT 05465 - CHITTENDEN</t>
  </si>
  <si>
    <t>00078F-1</t>
  </si>
  <si>
    <t>Majercik Home Yard</t>
  </si>
  <si>
    <t>Jericho Town</t>
  </si>
  <si>
    <t>Don Majercik</t>
  </si>
  <si>
    <t>32 Morgan Road</t>
  </si>
  <si>
    <t>Jericho</t>
  </si>
  <si>
    <t>Harris, Mark P.</t>
  </si>
  <si>
    <t>622 WHITNEY ROAD SPRINGFIELD VT 05156 - WINDSOR</t>
  </si>
  <si>
    <t>00078G-1</t>
  </si>
  <si>
    <t>Fox Chair Mountain Orchards</t>
  </si>
  <si>
    <t>Springfield Town</t>
  </si>
  <si>
    <t>Mark Harris</t>
  </si>
  <si>
    <t>622 Whitney Road</t>
  </si>
  <si>
    <t>Springfield</t>
  </si>
  <si>
    <t>Walker, Glenn</t>
  </si>
  <si>
    <t>3678 MUD CITY LOOP MORRISVILLE VT 05661</t>
  </si>
  <si>
    <t>0007A1-1</t>
  </si>
  <si>
    <t>Mayoun Yd.</t>
  </si>
  <si>
    <t>Morristown Town</t>
  </si>
  <si>
    <t>Glenn Walker</t>
  </si>
  <si>
    <t>3678 Mud City Loop</t>
  </si>
  <si>
    <t>Morristown</t>
  </si>
  <si>
    <t>0007A1-2</t>
  </si>
  <si>
    <t>Drolet Yd</t>
  </si>
  <si>
    <t>Jean Drolet</t>
  </si>
  <si>
    <t>552 Cottage Street</t>
  </si>
  <si>
    <t>Decker, Brooke</t>
  </si>
  <si>
    <t>PO BOX 377 MANCHESTER VT 05254 - WINDSOR</t>
  </si>
  <si>
    <t>0007B0-2</t>
  </si>
  <si>
    <t>Hildene Yard</t>
  </si>
  <si>
    <t>Manchester Town</t>
  </si>
  <si>
    <t>Friends of Hildene</t>
  </si>
  <si>
    <t>1005 Hildene Road</t>
  </si>
  <si>
    <t>Manchester</t>
  </si>
  <si>
    <t>0007B0-3</t>
  </si>
  <si>
    <t>UBS</t>
  </si>
  <si>
    <t>Hildene</t>
  </si>
  <si>
    <t>Wetmore, John</t>
  </si>
  <si>
    <t>PO BOX 126 WOODSTOCK VT 05091 - WINDSOR</t>
  </si>
  <si>
    <t>0007B6-1</t>
  </si>
  <si>
    <t>Wetmore-Home Yard</t>
  </si>
  <si>
    <t>Woodstock Town</t>
  </si>
  <si>
    <t>John Wetmore</t>
  </si>
  <si>
    <t>1040 Cartlon Hill Road</t>
  </si>
  <si>
    <t>Woodstock</t>
  </si>
  <si>
    <t>Cunningham, Jeffrey T.</t>
  </si>
  <si>
    <t>26 PATCH FARM ROAD PUTNEY VT 05346 - WINDHAM</t>
  </si>
  <si>
    <t>0007BD-3</t>
  </si>
  <si>
    <t>Home</t>
  </si>
  <si>
    <t>Westminster Town</t>
  </si>
  <si>
    <t>self</t>
  </si>
  <si>
    <t>26 Patch Farm Road</t>
  </si>
  <si>
    <t>Putney</t>
  </si>
  <si>
    <t>0007BD-2</t>
  </si>
  <si>
    <t>Littman-Home yard</t>
  </si>
  <si>
    <t>Littman</t>
  </si>
  <si>
    <t>Littlefield, Abigail- Barking Cricket Farm</t>
  </si>
  <si>
    <t>129 BEECH HILL ROAD PUTNEY VT 05346 - WINDHAM</t>
  </si>
  <si>
    <t>0007BP-1</t>
  </si>
  <si>
    <t>Littlefield Home Yard</t>
  </si>
  <si>
    <t>Abigail Littlefield</t>
  </si>
  <si>
    <t>129 Beech Hill Road</t>
  </si>
  <si>
    <t>Darby, Heather M.</t>
  </si>
  <si>
    <t>518 N MAIN STREET ALBURG VT 05440 - GRAND ISLE</t>
  </si>
  <si>
    <t>0007D0-1</t>
  </si>
  <si>
    <t>Darby Farm</t>
  </si>
  <si>
    <t>Grand Isle</t>
  </si>
  <si>
    <t>Alburgh Town</t>
  </si>
  <si>
    <t>Heather Darby</t>
  </si>
  <si>
    <t>54 N. Main Street</t>
  </si>
  <si>
    <t>Alburg</t>
  </si>
  <si>
    <t>0007D0-2</t>
  </si>
  <si>
    <t>Rainville home yard</t>
  </si>
  <si>
    <t>Raoger Rainville</t>
  </si>
  <si>
    <t>487 Line Road</t>
  </si>
  <si>
    <t>Conrad, Ross</t>
  </si>
  <si>
    <t>PO BOX 443 MIDDLEBURY VT 05753-0443 - ADDISON</t>
  </si>
  <si>
    <t>0007DJ-2</t>
  </si>
  <si>
    <t>Fisher Road Yard</t>
  </si>
  <si>
    <t>Dan Borden</t>
  </si>
  <si>
    <t>Fisher Road</t>
  </si>
  <si>
    <t>0007DJ-3</t>
  </si>
  <si>
    <t>RT 125</t>
  </si>
  <si>
    <t>Old Vittum Ross C</t>
  </si>
  <si>
    <t>0007DJ-4</t>
  </si>
  <si>
    <t>Metta Earth</t>
  </si>
  <si>
    <t>Lincoln Town</t>
  </si>
  <si>
    <t>Russell Comstock</t>
  </si>
  <si>
    <t>Geary Road</t>
  </si>
  <si>
    <t>Lincoln</t>
  </si>
  <si>
    <t>0007DJ-5</t>
  </si>
  <si>
    <t>Middlebury College Yard</t>
  </si>
  <si>
    <t>Middlebury College</t>
  </si>
  <si>
    <t>0007DJ-7</t>
  </si>
  <si>
    <t>Elmer Farm Yard</t>
  </si>
  <si>
    <t>Middlebury Town</t>
  </si>
  <si>
    <t>Jennifer Blackwell</t>
  </si>
  <si>
    <t>855 Case Street</t>
  </si>
  <si>
    <t>Middlebury</t>
  </si>
  <si>
    <t>0007DJ-13</t>
  </si>
  <si>
    <t>Bassett home yard</t>
  </si>
  <si>
    <t>Ed Bassett</t>
  </si>
  <si>
    <t>New Haven</t>
  </si>
  <si>
    <t>0007DJ-8</t>
  </si>
  <si>
    <t>Fugaro</t>
  </si>
  <si>
    <t>Anna Fugaro</t>
  </si>
  <si>
    <t>488 East Munger Street</t>
  </si>
  <si>
    <t>0007DJ-9</t>
  </si>
  <si>
    <t>Home Yard</t>
  </si>
  <si>
    <t>Ross Conrad &amp; Alice Eckles</t>
  </si>
  <si>
    <t>0007DJ-10</t>
  </si>
  <si>
    <t>Elgin Springs</t>
  </si>
  <si>
    <t>1016 Quarry Road</t>
  </si>
  <si>
    <t>0007DJ-11</t>
  </si>
  <si>
    <t>Foster Farm</t>
  </si>
  <si>
    <t>George Foster</t>
  </si>
  <si>
    <t>0007DJ-12</t>
  </si>
  <si>
    <t>Ferrisburgh</t>
  </si>
  <si>
    <t>Whiting, Bruce</t>
  </si>
  <si>
    <t>1321 SMITH ST SHOREHAM VT 05770</t>
  </si>
  <si>
    <t>0007DY-2</t>
  </si>
  <si>
    <t>Gibbons Yd</t>
  </si>
  <si>
    <t>Shoreham Town</t>
  </si>
  <si>
    <t>Ronald Gibbons</t>
  </si>
  <si>
    <t>1321 Smith St.</t>
  </si>
  <si>
    <t>Shoreham</t>
  </si>
  <si>
    <t>Stark, Doug</t>
  </si>
  <si>
    <t>141 CIDER MILL HILL ROAD WEST BRATTLEBORO VT 05301</t>
  </si>
  <si>
    <t>0007F2-1</t>
  </si>
  <si>
    <t>Stark-Home Yard</t>
  </si>
  <si>
    <t>Brattleboro Town</t>
  </si>
  <si>
    <t>Doug Stark</t>
  </si>
  <si>
    <t>141 Cider Mill Hill Road</t>
  </si>
  <si>
    <t>West Brattleboro</t>
  </si>
  <si>
    <t>Ganley, Brian</t>
  </si>
  <si>
    <t>238 UPPER BAILY ROAD THETFORD CENTER VT 05075</t>
  </si>
  <si>
    <t>0007F6-1</t>
  </si>
  <si>
    <t>Ganley-Home</t>
  </si>
  <si>
    <t>Brian Ganley</t>
  </si>
  <si>
    <t>238 Upper Bailey Road</t>
  </si>
  <si>
    <t>Thetford</t>
  </si>
  <si>
    <t>Hamelman, Jeff</t>
  </si>
  <si>
    <t>24 COUNTY ROAD HARTLAND 4 CORNERS VT 05048 - WINDSOR</t>
  </si>
  <si>
    <t>0007FH-1</t>
  </si>
  <si>
    <t>Hamelman-Home Yard</t>
  </si>
  <si>
    <t>Hartland Town</t>
  </si>
  <si>
    <t>Jeff Hamelman</t>
  </si>
  <si>
    <t>24 County Road</t>
  </si>
  <si>
    <t>Hartland</t>
  </si>
  <si>
    <t>Eromenok, Brian</t>
  </si>
  <si>
    <t>80 LINCOLN AVE CLIFTON NJ 07011</t>
  </si>
  <si>
    <t>0007FV-1</t>
  </si>
  <si>
    <t>Stix and Stones Farm</t>
  </si>
  <si>
    <t>Cavendish Town</t>
  </si>
  <si>
    <t>Sticks and Stones Farm</t>
  </si>
  <si>
    <t>610 Egan Road</t>
  </si>
  <si>
    <t>Cavendish</t>
  </si>
  <si>
    <t>0007FV-2</t>
  </si>
  <si>
    <t>Out Yard</t>
  </si>
  <si>
    <t>Alicia Jenks</t>
  </si>
  <si>
    <t>Rte 131 &amp;South Mountain Road</t>
  </si>
  <si>
    <t>Capaldi, Charles</t>
  </si>
  <si>
    <t>3885 HINMAN SETTLER RD NEWPORT VT 05855</t>
  </si>
  <si>
    <t>0007G0-1</t>
  </si>
  <si>
    <t>Olden Yard</t>
  </si>
  <si>
    <t>Orleans</t>
  </si>
  <si>
    <t>384 Sunset Drive</t>
  </si>
  <si>
    <t>Morgan</t>
  </si>
  <si>
    <t>0007G0-2</t>
  </si>
  <si>
    <t>Capaldi-Home</t>
  </si>
  <si>
    <t>Derby Town</t>
  </si>
  <si>
    <t>Charles Capaldi</t>
  </si>
  <si>
    <t>3883 Hinman Settler Road</t>
  </si>
  <si>
    <t>Newport</t>
  </si>
  <si>
    <t>Young, Jim</t>
  </si>
  <si>
    <t>3147 DUGWAY ROAD RICHMOND VT 05477 - CHITTENDEN</t>
  </si>
  <si>
    <t>0007GH-1</t>
  </si>
  <si>
    <t>Young Home Yard</t>
  </si>
  <si>
    <t>Jim Young</t>
  </si>
  <si>
    <t>3147 Dugway Road</t>
  </si>
  <si>
    <t>Lorenzo, Jim</t>
  </si>
  <si>
    <t>ABBOTT RD WINDHAM VT 05359 - WINDHAM</t>
  </si>
  <si>
    <t>0007H6-1</t>
  </si>
  <si>
    <t>Lorenzo-Home</t>
  </si>
  <si>
    <t>Jim Lorenzo</t>
  </si>
  <si>
    <t>429 Abbott Road</t>
  </si>
  <si>
    <t>Letourneau, John M.</t>
  </si>
  <si>
    <t>111 FRANK STREET BENNINGTON VT 05201-2049 - BENNINGTON</t>
  </si>
  <si>
    <t>0007H7-2</t>
  </si>
  <si>
    <t>Pettit</t>
  </si>
  <si>
    <t>0007H7-3</t>
  </si>
  <si>
    <t>Erich Augerstein</t>
  </si>
  <si>
    <t>Partridge, Carolyn</t>
  </si>
  <si>
    <t>1612 OLD CHENEY RD S WINDHAM VT 05359</t>
  </si>
  <si>
    <t>0007HC-1</t>
  </si>
  <si>
    <t>Partridge Home</t>
  </si>
  <si>
    <t>Carolyn and Alan Partridge</t>
  </si>
  <si>
    <t>1612 Old Cheney Road</t>
  </si>
  <si>
    <t>Alexander, Gretchen</t>
  </si>
  <si>
    <t>112 NASHVILLE ROAD JERICHO VT 05465 - CHITTENDEN</t>
  </si>
  <si>
    <t>0007HM-1</t>
  </si>
  <si>
    <t>Alexander-Home</t>
  </si>
  <si>
    <t>Gretchen Alexander</t>
  </si>
  <si>
    <t>112 Nashville Road</t>
  </si>
  <si>
    <t>Spencer, John</t>
  </si>
  <si>
    <t>457 WINHALL HOLLOW RD BONDVILLE VT 05340</t>
  </si>
  <si>
    <t>0007HP-1</t>
  </si>
  <si>
    <t>2.3M up from McNair on L Red Metal roof</t>
  </si>
  <si>
    <t>Winhall Town</t>
  </si>
  <si>
    <t>John Spencer</t>
  </si>
  <si>
    <t>457 Winhall Hollow Road</t>
  </si>
  <si>
    <t>Bondville</t>
  </si>
  <si>
    <t>Young, Peter</t>
  </si>
  <si>
    <t>PO BOX 36 S WARDSBORO VT 05355 - WINDHAM</t>
  </si>
  <si>
    <t>0007HY-1</t>
  </si>
  <si>
    <t>Janeway Fm. take lane opp. sugar hse</t>
  </si>
  <si>
    <t>Londonderry Town</t>
  </si>
  <si>
    <t>Londonderry</t>
  </si>
  <si>
    <t>0007HY-2</t>
  </si>
  <si>
    <t>Leetch Fm</t>
  </si>
  <si>
    <t>Pawlet Town</t>
  </si>
  <si>
    <t>Pawlet</t>
  </si>
  <si>
    <t>0007HY-3</t>
  </si>
  <si>
    <t>Arthur Chamberlin S. Hill Jamaica</t>
  </si>
  <si>
    <t>Jamaica Town</t>
  </si>
  <si>
    <t>Jamaica</t>
  </si>
  <si>
    <t>0007HY-4</t>
  </si>
  <si>
    <t>H.M. Newell Fm. W. Wardsboro</t>
  </si>
  <si>
    <t>Wardsboro Town</t>
  </si>
  <si>
    <t>Wardsboro</t>
  </si>
  <si>
    <t>0007HY-5</t>
  </si>
  <si>
    <t>Roy Coleman and Son W. Townshend</t>
  </si>
  <si>
    <t>Townshend Town</t>
  </si>
  <si>
    <t>Townshend</t>
  </si>
  <si>
    <t>0007HY-6</t>
  </si>
  <si>
    <t>Ray Young Sr. S. Wardsboro</t>
  </si>
  <si>
    <t>0007HY-7</t>
  </si>
  <si>
    <t>N. Rd. Forest Fm. upper field N. side</t>
  </si>
  <si>
    <t>0007HY-8</t>
  </si>
  <si>
    <t>Ross Fm on Herrick Brook Rd</t>
  </si>
  <si>
    <t>0007HY-9</t>
  </si>
  <si>
    <t>Wheeler Farm</t>
  </si>
  <si>
    <t>Wheeler</t>
  </si>
  <si>
    <t>Rt 100</t>
  </si>
  <si>
    <t>Wilmington</t>
  </si>
  <si>
    <t>0007HY-10</t>
  </si>
  <si>
    <t>Walker Farm</t>
  </si>
  <si>
    <t>Dummerston Town</t>
  </si>
  <si>
    <t>Rt 5</t>
  </si>
  <si>
    <t>Dummerston</t>
  </si>
  <si>
    <t>0007HY-11</t>
  </si>
  <si>
    <t>Young Home yard</t>
  </si>
  <si>
    <t>Peter Young</t>
  </si>
  <si>
    <t>1097 Newfane Road</t>
  </si>
  <si>
    <t>0007HY-12</t>
  </si>
  <si>
    <t>Allard Lumber</t>
  </si>
  <si>
    <t>Ferry Road</t>
  </si>
  <si>
    <t>Brattleboro</t>
  </si>
  <si>
    <t>Gintof, Steve</t>
  </si>
  <si>
    <t>212 LACROSS ROAD SPRINGFIELD VT 05156 - WINDSOR</t>
  </si>
  <si>
    <t>0007J2-1</t>
  </si>
  <si>
    <t>Hintof home yard</t>
  </si>
  <si>
    <t>Steve Gintof</t>
  </si>
  <si>
    <t>212 Lacrosse Road</t>
  </si>
  <si>
    <t>0007J2-2</t>
  </si>
  <si>
    <t>Cherry Hill</t>
  </si>
  <si>
    <t>Peter Hingston</t>
  </si>
  <si>
    <t>409 Highland Road</t>
  </si>
  <si>
    <t>Rutz, Lorenz</t>
  </si>
  <si>
    <t>PO BOX 94 STRAFFORD VT 05072 - ORANGE</t>
  </si>
  <si>
    <t>0007JF-1</t>
  </si>
  <si>
    <t>Rutz Home yard</t>
  </si>
  <si>
    <t>Strafford Town</t>
  </si>
  <si>
    <t>Lorenz Rutz</t>
  </si>
  <si>
    <t>Strafford</t>
  </si>
  <si>
    <t>0007JF-2</t>
  </si>
  <si>
    <t>Norwich Town</t>
  </si>
  <si>
    <t>Norah Lake</t>
  </si>
  <si>
    <t>Norwich</t>
  </si>
  <si>
    <t>McClellan, Walter</t>
  </si>
  <si>
    <t>2753 RT 22A PANTON VT 05491-9090 - ADDISON</t>
  </si>
  <si>
    <t>0007JW-2</t>
  </si>
  <si>
    <t>McClellan-Home Yard</t>
  </si>
  <si>
    <t>Panton Town</t>
  </si>
  <si>
    <t>Walter McClellan</t>
  </si>
  <si>
    <t>2753 RT 22A, at town line, on R. up blacktop driveway</t>
  </si>
  <si>
    <t>Panton</t>
  </si>
  <si>
    <t>0007JW-3</t>
  </si>
  <si>
    <t>McClellan-Home Yard 2</t>
  </si>
  <si>
    <t>2753 Rt 22A</t>
  </si>
  <si>
    <t>Vergennes</t>
  </si>
  <si>
    <t>05491-9090</t>
  </si>
  <si>
    <t>Ham, Patrick</t>
  </si>
  <si>
    <t>145 MOUNTAINVIEW DRIVE SHEFFIELD VT 05866 - CALEDONIA</t>
  </si>
  <si>
    <t>0007K8-1</t>
  </si>
  <si>
    <t>Ham-Home Yard</t>
  </si>
  <si>
    <t>Sheffield Town</t>
  </si>
  <si>
    <t>Patrick Ham</t>
  </si>
  <si>
    <t>145 Mountainview Drive</t>
  </si>
  <si>
    <t>Sheffield</t>
  </si>
  <si>
    <t>Kieran, Barbara</t>
  </si>
  <si>
    <t>16 SOUTH STREET MIDDLEBURY VT 05753 - ADDISON</t>
  </si>
  <si>
    <t>0007KZ-1</t>
  </si>
  <si>
    <t>Kieran-Home</t>
  </si>
  <si>
    <t>B. Kieran</t>
  </si>
  <si>
    <t>16 South St.</t>
  </si>
  <si>
    <t>Cronin, Hank</t>
  </si>
  <si>
    <t>320 OLD GULF ROAD MORETOWN VT 05660 - WASHINGTON</t>
  </si>
  <si>
    <t>0007M7-1</t>
  </si>
  <si>
    <t>Cronin-Home Yard</t>
  </si>
  <si>
    <t>Moretown Town</t>
  </si>
  <si>
    <t>Hank Cronin</t>
  </si>
  <si>
    <t>320 Old Gulf Road</t>
  </si>
  <si>
    <t>Moretown</t>
  </si>
  <si>
    <t>Brill, Gilbert</t>
  </si>
  <si>
    <t>1161 RT 66 VERGENNES VT 05491-9579 - ADDISON</t>
  </si>
  <si>
    <t>0007MA-5</t>
  </si>
  <si>
    <t>Ferrisburgh Town</t>
  </si>
  <si>
    <t>Louis Lalumiere</t>
  </si>
  <si>
    <t>Ferrisburg</t>
  </si>
  <si>
    <t>0007MA-6</t>
  </si>
  <si>
    <t>Orchard yard Daniels Road</t>
  </si>
  <si>
    <t>New Haven Town</t>
  </si>
  <si>
    <t>0007MA-7</t>
  </si>
  <si>
    <t>Brill-Home yard</t>
  </si>
  <si>
    <t>Waltham Town</t>
  </si>
  <si>
    <t>Gilbert Brill</t>
  </si>
  <si>
    <t>1161 RT 66</t>
  </si>
  <si>
    <t>0007MA-8</t>
  </si>
  <si>
    <t>Orwell Town</t>
  </si>
  <si>
    <t>Richard Eitelman</t>
  </si>
  <si>
    <t>Orwell</t>
  </si>
  <si>
    <t>0007MA-9</t>
  </si>
  <si>
    <t>Glenn Symon</t>
  </si>
  <si>
    <t>2280-2666 Hemenway Road</t>
  </si>
  <si>
    <t>Bridport</t>
  </si>
  <si>
    <t>Kunkel, Dr. Ray</t>
  </si>
  <si>
    <t>1747 W HILL ROAD NORTHFIELD VT 05663 - WASHINGTON</t>
  </si>
  <si>
    <t>0007N1-1</t>
  </si>
  <si>
    <t>Kunkel-Home Yard</t>
  </si>
  <si>
    <t>Northfield Town</t>
  </si>
  <si>
    <t>Dr. Ray Kunkel</t>
  </si>
  <si>
    <t>1747 W, Hill Road</t>
  </si>
  <si>
    <t>Northfield</t>
  </si>
  <si>
    <t>Schlossberg, Todd</t>
  </si>
  <si>
    <t>166 LOOMIS STREET BURLINGTON VT 05401 - CHITTENDEN</t>
  </si>
  <si>
    <t>0007NZ-1</t>
  </si>
  <si>
    <t>Intervale Community Farm</t>
  </si>
  <si>
    <t>Lease by Intervale Community Farm</t>
  </si>
  <si>
    <t>Intervale Road</t>
  </si>
  <si>
    <t>Carpenter, Peter W.</t>
  </si>
  <si>
    <t>177 WEBSTERVILLE ROAD BARRE VT 05641</t>
  </si>
  <si>
    <t>0007P1-1</t>
  </si>
  <si>
    <t>Carpenter-Home</t>
  </si>
  <si>
    <t>Barre Town</t>
  </si>
  <si>
    <t>Peter Carpenter</t>
  </si>
  <si>
    <t>177 Websterville Road</t>
  </si>
  <si>
    <t>Drutchas, Richard</t>
  </si>
  <si>
    <t>18 NORTON ROAD WORCESTER VT 05682 - WASHINGTON</t>
  </si>
  <si>
    <t>0007P4-7</t>
  </si>
  <si>
    <t>Shelburne Farm</t>
  </si>
  <si>
    <t>Shelburne Town</t>
  </si>
  <si>
    <t>Shelburne Farms</t>
  </si>
  <si>
    <t>Shelburne</t>
  </si>
  <si>
    <t>0007P4-9</t>
  </si>
  <si>
    <t>Nichols Farm</t>
  </si>
  <si>
    <t>Charlotte Town</t>
  </si>
  <si>
    <t>Nichols</t>
  </si>
  <si>
    <t>Spear St</t>
  </si>
  <si>
    <t>E Charlotte</t>
  </si>
  <si>
    <t>0007P4-10</t>
  </si>
  <si>
    <t>Bean Yd</t>
  </si>
  <si>
    <t>Bean Family</t>
  </si>
  <si>
    <t>Hinesburg - Charlotte Road</t>
  </si>
  <si>
    <t>Charlotte</t>
  </si>
  <si>
    <t>0007P4-22</t>
  </si>
  <si>
    <t>Smith Yard</t>
  </si>
  <si>
    <t>Smith Family</t>
  </si>
  <si>
    <t>Dorset Steet</t>
  </si>
  <si>
    <t>0007P4-24</t>
  </si>
  <si>
    <t>Ballard Farm Yard</t>
  </si>
  <si>
    <t>Ballard Family</t>
  </si>
  <si>
    <t>Rt 116 N</t>
  </si>
  <si>
    <t>0007P4-25</t>
  </si>
  <si>
    <t>Drutchas-Home Yard</t>
  </si>
  <si>
    <t>Worcester Town</t>
  </si>
  <si>
    <t>Richard Drutchas</t>
  </si>
  <si>
    <t>18 Norton Road</t>
  </si>
  <si>
    <t>Worcester</t>
  </si>
  <si>
    <t>0007P4-26</t>
  </si>
  <si>
    <t>Oneil Yard</t>
  </si>
  <si>
    <t>ONeil Family</t>
  </si>
  <si>
    <t>Leavensworth Road</t>
  </si>
  <si>
    <t>0007P4-27</t>
  </si>
  <si>
    <t>Plouff Yard</t>
  </si>
  <si>
    <t>Plouff Family</t>
  </si>
  <si>
    <t>Plouff Farm Lane</t>
  </si>
  <si>
    <t>0007P4-28</t>
  </si>
  <si>
    <t>Lapairre Yard</t>
  </si>
  <si>
    <t>La Pierre Familiy</t>
  </si>
  <si>
    <t>RT 116</t>
  </si>
  <si>
    <t>Merton, Timothy A</t>
  </si>
  <si>
    <t>204 WEST ROAD PUTNEY VT 05346 - WINDHAM</t>
  </si>
  <si>
    <t>0007P5-1</t>
  </si>
  <si>
    <t>Merton-Home Yard</t>
  </si>
  <si>
    <t>Putney Town</t>
  </si>
  <si>
    <t>Timothy &amp; Lisa Merton</t>
  </si>
  <si>
    <t>204 West Road</t>
  </si>
  <si>
    <t>Turmelle, Peter</t>
  </si>
  <si>
    <t>419 GUILD HILL ROAD WATERBURY CENTER VT 05677</t>
  </si>
  <si>
    <t>0007PK-1</t>
  </si>
  <si>
    <t>Turmelle Home yard</t>
  </si>
  <si>
    <t>Peter Turmelle</t>
  </si>
  <si>
    <t>419 Guild Hill Road</t>
  </si>
  <si>
    <t>0007PK-2</t>
  </si>
  <si>
    <t>Sam Mazza Farm</t>
  </si>
  <si>
    <t>Colchester Town</t>
  </si>
  <si>
    <t>Sam Mazza</t>
  </si>
  <si>
    <t>277 Lavign Road</t>
  </si>
  <si>
    <t>Colchester</t>
  </si>
  <si>
    <t>Partlow, Ken</t>
  </si>
  <si>
    <t>984 CHANDLER ROAD WEST BERLIN VT 05663</t>
  </si>
  <si>
    <t>0007PM-1</t>
  </si>
  <si>
    <t>Partlow-Home Yard</t>
  </si>
  <si>
    <t>Berlin Town</t>
  </si>
  <si>
    <t>Kenneth Partlow</t>
  </si>
  <si>
    <t>984 Chandler Road</t>
  </si>
  <si>
    <t>Burmania, Joan</t>
  </si>
  <si>
    <t>657 MAPLE STEXT WALTHAM VT 05491 - ADDISON</t>
  </si>
  <si>
    <t>0007PZ-1</t>
  </si>
  <si>
    <t>Burmania-Home</t>
  </si>
  <si>
    <t>Joan Burmania</t>
  </si>
  <si>
    <t>657 Maple St.</t>
  </si>
  <si>
    <t>Waltham</t>
  </si>
  <si>
    <t>Doenges, Doug</t>
  </si>
  <si>
    <t>710 RIVER ROAD MONTPELIER VT 05602 - WASHINGTON</t>
  </si>
  <si>
    <t>0007Q1-1</t>
  </si>
  <si>
    <t>Doenges Home year</t>
  </si>
  <si>
    <t>Doug Doenges</t>
  </si>
  <si>
    <t>710 River Road</t>
  </si>
  <si>
    <t>Montpelier</t>
  </si>
  <si>
    <t>Zeno, Lawrence</t>
  </si>
  <si>
    <t>24 HOLLOW ROAD N FERRISBURGH VT 05473</t>
  </si>
  <si>
    <t>0007QH-1</t>
  </si>
  <si>
    <t>Zeno-Home Yard</t>
  </si>
  <si>
    <t>Monkton Town</t>
  </si>
  <si>
    <t>Lawrence Zeno</t>
  </si>
  <si>
    <t>24 Hollow Road</t>
  </si>
  <si>
    <t>North Ferrisburg</t>
  </si>
  <si>
    <t>Barton, Howard R.</t>
  </si>
  <si>
    <t>25 WEST HILL ROAD LUDLOW VT 05149 - WINDSOR</t>
  </si>
  <si>
    <t>0007QK-1</t>
  </si>
  <si>
    <t>Dockum land</t>
  </si>
  <si>
    <t>0007QK-2</t>
  </si>
  <si>
    <t>Off West Hill Rd 2nd drive on L after RR</t>
  </si>
  <si>
    <t>0007QK-3</t>
  </si>
  <si>
    <t>Barton Home Yard</t>
  </si>
  <si>
    <t>Howard R Barton</t>
  </si>
  <si>
    <t>25 West Hill Road</t>
  </si>
  <si>
    <t>0007QK-4</t>
  </si>
  <si>
    <t>Off Rt 100</t>
  </si>
  <si>
    <t>Munkres, Andrew</t>
  </si>
  <si>
    <t>2703 WEST STREET CORNWALL VT 05753 - ADDISON</t>
  </si>
  <si>
    <t>0007V0-2</t>
  </si>
  <si>
    <t>Dewey Yard</t>
  </si>
  <si>
    <t>Salisbury Town</t>
  </si>
  <si>
    <t>Roger Desabrais</t>
  </si>
  <si>
    <t>Dewey Road</t>
  </si>
  <si>
    <t>Salisbury</t>
  </si>
  <si>
    <t>0007V0-3</t>
  </si>
  <si>
    <t>Wolf Hill Yard</t>
  </si>
  <si>
    <t>Toby Welch</t>
  </si>
  <si>
    <t>Middle Road</t>
  </si>
  <si>
    <t>W. Salisbury</t>
  </si>
  <si>
    <t>0007V0-4</t>
  </si>
  <si>
    <t>Leland Yard</t>
  </si>
  <si>
    <t>Barb Karle</t>
  </si>
  <si>
    <t>2392 Leland Road</t>
  </si>
  <si>
    <t>0007V0-5</t>
  </si>
  <si>
    <t>Gildrien Farm Yard</t>
  </si>
  <si>
    <t>Leicester Town</t>
  </si>
  <si>
    <t>Jeremy Gildrien</t>
  </si>
  <si>
    <t>490 DeLorm Road</t>
  </si>
  <si>
    <t>Leicester</t>
  </si>
  <si>
    <t>0007V0-6</t>
  </si>
  <si>
    <t>Hardt Yard</t>
  </si>
  <si>
    <t>Ron Hardt</t>
  </si>
  <si>
    <t>766 Smead Road</t>
  </si>
  <si>
    <t>0007V0-7</t>
  </si>
  <si>
    <t>Cole Yard</t>
  </si>
  <si>
    <t>Rob Cole</t>
  </si>
  <si>
    <t>2182 RT 7</t>
  </si>
  <si>
    <t>0007V0-1</t>
  </si>
  <si>
    <t>Lemon Fair-Home Yard</t>
  </si>
  <si>
    <t>ANdrew Munkres</t>
  </si>
  <si>
    <t>2703 West Street</t>
  </si>
  <si>
    <t>0007V0-8</t>
  </si>
  <si>
    <t>Morris Yard</t>
  </si>
  <si>
    <t>Rick Morris</t>
  </si>
  <si>
    <t>Morgan Road</t>
  </si>
  <si>
    <t>0007V0-9</t>
  </si>
  <si>
    <t>GMC</t>
  </si>
  <si>
    <t>Green Mountain College</t>
  </si>
  <si>
    <t>436 Granville St.</t>
  </si>
  <si>
    <t>0007V0-10</t>
  </si>
  <si>
    <t>Furniture yard</t>
  </si>
  <si>
    <t>Merle Schloff</t>
  </si>
  <si>
    <t>65 Plains Road</t>
  </si>
  <si>
    <t>0007V0-11</t>
  </si>
  <si>
    <t>Sudbury Town</t>
  </si>
  <si>
    <t>Oliver Ketchan</t>
  </si>
  <si>
    <t>1177 Shard Villa Road</t>
  </si>
  <si>
    <t>Sudbury</t>
  </si>
  <si>
    <t>0007V0-12</t>
  </si>
  <si>
    <t>Bristol Town</t>
  </si>
  <si>
    <t>Jono Chapin</t>
  </si>
  <si>
    <t>402 Hewitt Road</t>
  </si>
  <si>
    <t>Bristol</t>
  </si>
  <si>
    <t>Holt, Reginald</t>
  </si>
  <si>
    <t>219 HOLT ROAD PLAINFIELD VT 05667 - WASHINGTON</t>
  </si>
  <si>
    <t>0007VA-1</t>
  </si>
  <si>
    <t>Holt-Home Yard</t>
  </si>
  <si>
    <t>Plainfield Town</t>
  </si>
  <si>
    <t>Reginald Holt</t>
  </si>
  <si>
    <t>219 Holt Road</t>
  </si>
  <si>
    <t>Plainfield</t>
  </si>
  <si>
    <t>Zambon, Lois</t>
  </si>
  <si>
    <t>TOWN ROAD 52 ZAMBON DRIVE SOUTH RYEGATE VT 05069</t>
  </si>
  <si>
    <t>0007VF-1</t>
  </si>
  <si>
    <t>Zambon-Home Yard</t>
  </si>
  <si>
    <t>Ryegate Town</t>
  </si>
  <si>
    <t>Lois Zambon</t>
  </si>
  <si>
    <t>Town Road 52</t>
  </si>
  <si>
    <t>Zambon Drive</t>
  </si>
  <si>
    <t>Ryegate</t>
  </si>
  <si>
    <t>Abair, James A.</t>
  </si>
  <si>
    <t>43 SWEET ROAD WATERBURY CENTER VT 05677</t>
  </si>
  <si>
    <t>0007VM-1</t>
  </si>
  <si>
    <t>Abair Home Yard</t>
  </si>
  <si>
    <t>James Abair</t>
  </si>
  <si>
    <t>43 Sweet Road</t>
  </si>
  <si>
    <t>0007VM-2</t>
  </si>
  <si>
    <t>Green Mountain Club</t>
  </si>
  <si>
    <t>4711 Waterbury-Stowe Road</t>
  </si>
  <si>
    <t>0007VM-3</t>
  </si>
  <si>
    <t>Turner home yard</t>
  </si>
  <si>
    <t>Turner farm</t>
  </si>
  <si>
    <t>Rt 100 Waitsfield</t>
  </si>
  <si>
    <t>Reed, Richard</t>
  </si>
  <si>
    <t>1225 FERN LAKE ROAD LEICESTER VT 05733 - ADDISON</t>
  </si>
  <si>
    <t>0007VP-1</t>
  </si>
  <si>
    <t>Reed- Home</t>
  </si>
  <si>
    <t>Richard &amp; Carol Reed</t>
  </si>
  <si>
    <t>1225 Fern Lake Road</t>
  </si>
  <si>
    <t>Champlain Valley Bees and Queens</t>
  </si>
  <si>
    <t>PO BOX 381 MIDDLEBURY VT 05753 - ADDISON</t>
  </si>
  <si>
    <t>0007WB-1</t>
  </si>
  <si>
    <t>Stoddard Drone Yard</t>
  </si>
  <si>
    <t>Stoddard</t>
  </si>
  <si>
    <t>0007WB-2</t>
  </si>
  <si>
    <t>Dryer Yard</t>
  </si>
  <si>
    <t>Addison Town</t>
  </si>
  <si>
    <t>Dryer</t>
  </si>
  <si>
    <t>0007WB-3</t>
  </si>
  <si>
    <t>DeSautel Nuc Yd.</t>
  </si>
  <si>
    <t>Bridport Town</t>
  </si>
  <si>
    <t>DeSautel</t>
  </si>
  <si>
    <t>0007WB-4</t>
  </si>
  <si>
    <t>Hospital Yard end Morse Rd.</t>
  </si>
  <si>
    <t>Hospital</t>
  </si>
  <si>
    <t>0007WB-5</t>
  </si>
  <si>
    <t>Johnson Nuc Yd.</t>
  </si>
  <si>
    <t>Weybridge Town</t>
  </si>
  <si>
    <t>Morgan Horse Farm Rd</t>
  </si>
  <si>
    <t>Weybridge</t>
  </si>
  <si>
    <t>0007WB-6</t>
  </si>
  <si>
    <t>Torrey Yard</t>
  </si>
  <si>
    <t>Barnes</t>
  </si>
  <si>
    <t>Lapham Bay Rd</t>
  </si>
  <si>
    <t>0007WB-22</t>
  </si>
  <si>
    <t>Patterson Nuc Yard</t>
  </si>
  <si>
    <t>847 Mountain Road</t>
  </si>
  <si>
    <t>0007WB-23</t>
  </si>
  <si>
    <t>Webster</t>
  </si>
  <si>
    <t>1437 South Street</t>
  </si>
  <si>
    <t>0007WB-24</t>
  </si>
  <si>
    <t>Madison Honey Yard</t>
  </si>
  <si>
    <t>Whiting Town</t>
  </si>
  <si>
    <t>Barnes Rd</t>
  </si>
  <si>
    <t>Whiting</t>
  </si>
  <si>
    <t>0007WB-25</t>
  </si>
  <si>
    <t>Pitts Nuc Yard</t>
  </si>
  <si>
    <t>Pitts</t>
  </si>
  <si>
    <t>Meadow Ln</t>
  </si>
  <si>
    <t>0007WB-14</t>
  </si>
  <si>
    <t>Miller Nuc Yard</t>
  </si>
  <si>
    <t>Miller</t>
  </si>
  <si>
    <t>Drake Road</t>
  </si>
  <si>
    <t>0007WB-15</t>
  </si>
  <si>
    <t>Arrowsmith Mating Yd</t>
  </si>
  <si>
    <t>Arrowsmith</t>
  </si>
  <si>
    <t>Forge Hill Rd</t>
  </si>
  <si>
    <t>0007WB-16</t>
  </si>
  <si>
    <t>Warren Yd</t>
  </si>
  <si>
    <t>0007WB-17</t>
  </si>
  <si>
    <t>Gibb Nuc Yard</t>
  </si>
  <si>
    <t>Snake Mtn Rd</t>
  </si>
  <si>
    <t>0007WB-18</t>
  </si>
  <si>
    <t>Ashcraft Honey Yd</t>
  </si>
  <si>
    <t>Sharon Ashcraft</t>
  </si>
  <si>
    <t>Spaulding Road</t>
  </si>
  <si>
    <t>0007WB-19</t>
  </si>
  <si>
    <t>McBride Honey Yd</t>
  </si>
  <si>
    <t>Jersey St</t>
  </si>
  <si>
    <t>0007WB-8</t>
  </si>
  <si>
    <t>Severy Yard</t>
  </si>
  <si>
    <t>Mattison</t>
  </si>
  <si>
    <t>Galvan Road</t>
  </si>
  <si>
    <t>0007WB-9</t>
  </si>
  <si>
    <t>Mikkelson Drone Yard</t>
  </si>
  <si>
    <t>Pete</t>
  </si>
  <si>
    <t>QUAKER St</t>
  </si>
  <si>
    <t>0007WB-10</t>
  </si>
  <si>
    <t>Hall Drone Yard</t>
  </si>
  <si>
    <t>Hall</t>
  </si>
  <si>
    <t>Quaker St</t>
  </si>
  <si>
    <t>0007WB-11</t>
  </si>
  <si>
    <t>Torrey W.NucYd.</t>
  </si>
  <si>
    <t>0007WB-12</t>
  </si>
  <si>
    <t>Norris Yard</t>
  </si>
  <si>
    <t>Whistle Pig</t>
  </si>
  <si>
    <t>Quiet Valley Rd</t>
  </si>
  <si>
    <t>0007WB-13</t>
  </si>
  <si>
    <t>Mitchell Yd</t>
  </si>
  <si>
    <t>Mitchell</t>
  </si>
  <si>
    <t>Hallock Rd</t>
  </si>
  <si>
    <t>Cushman, Charles</t>
  </si>
  <si>
    <t>PO BOX 29 HARTLAND 4-CORNERS VT 05049</t>
  </si>
  <si>
    <t>0007Y6-1</t>
  </si>
  <si>
    <t>Cushman Home Yard</t>
  </si>
  <si>
    <t>Charles &amp; Carol Cushman</t>
  </si>
  <si>
    <t>28 Fareham Farm Road</t>
  </si>
  <si>
    <t>Hartland 4-Corners</t>
  </si>
  <si>
    <t>Hedges, Robert</t>
  </si>
  <si>
    <t>270 AUBE RIDGE ROAD HINESBURG VT 05461-9416 - CHITTENDEN</t>
  </si>
  <si>
    <t>0007YP-1</t>
  </si>
  <si>
    <t>Hedges Home yard</t>
  </si>
  <si>
    <t>Robert Hedges</t>
  </si>
  <si>
    <t>270 Aube Ridge Road</t>
  </si>
  <si>
    <t>05461-9416</t>
  </si>
  <si>
    <t>0007YP-2</t>
  </si>
  <si>
    <t>0007YP-3</t>
  </si>
  <si>
    <t>BaldwinRdYd</t>
  </si>
  <si>
    <t>Dickerson, Matthew</t>
  </si>
  <si>
    <t>46 SOUTH STREET MIDDLEBURY VT 05753 - ADDISON</t>
  </si>
  <si>
    <t>0007YY-1</t>
  </si>
  <si>
    <t>Matthew Dickerson</t>
  </si>
  <si>
    <t>5084 S 116 Road</t>
  </si>
  <si>
    <t>Taft, William R.</t>
  </si>
  <si>
    <t>19 DORRANCE STREET WINDSOR VT 05089 - WINDSOR</t>
  </si>
  <si>
    <t>0007Z5-3</t>
  </si>
  <si>
    <t>T. Anderson Yd</t>
  </si>
  <si>
    <t>Windsor Town</t>
  </si>
  <si>
    <t>T Anderson</t>
  </si>
  <si>
    <t>0007Z5-4</t>
  </si>
  <si>
    <t>Rathburn Land</t>
  </si>
  <si>
    <t>West Windsor Town</t>
  </si>
  <si>
    <t>J Rathburn</t>
  </si>
  <si>
    <t>West Windsor</t>
  </si>
  <si>
    <t>0007Z5-1</t>
  </si>
  <si>
    <t>William Taft</t>
  </si>
  <si>
    <t>19 Dorrance St.</t>
  </si>
  <si>
    <t>0007Z5-5</t>
  </si>
  <si>
    <t>G Coassin</t>
  </si>
  <si>
    <t>0007Z5-6</t>
  </si>
  <si>
    <t>M Pacquette</t>
  </si>
  <si>
    <t>90 Turner Place</t>
  </si>
  <si>
    <t>Ascutney</t>
  </si>
  <si>
    <t>Heyburn, Franklin</t>
  </si>
  <si>
    <t>PO BOX 201 CALAIS VT 05648</t>
  </si>
  <si>
    <t>0007ZQ-1</t>
  </si>
  <si>
    <t>LeDuc-Cheese Factory Rd</t>
  </si>
  <si>
    <t>LeDuc Farm</t>
  </si>
  <si>
    <t>Cheese factory Road</t>
  </si>
  <si>
    <t>0007ZQ-2</t>
  </si>
  <si>
    <t>Marchant Yard</t>
  </si>
  <si>
    <t>Fairfax Town</t>
  </si>
  <si>
    <t>Marchant</t>
  </si>
  <si>
    <t>Goose Pond Road</t>
  </si>
  <si>
    <t>Fairfax</t>
  </si>
  <si>
    <t>0007ZQ-3</t>
  </si>
  <si>
    <t>GodinYd</t>
  </si>
  <si>
    <t>Franklin Town</t>
  </si>
  <si>
    <t>0007ZQ-9</t>
  </si>
  <si>
    <t>RainvilleYd</t>
  </si>
  <si>
    <t>Highgate Town</t>
  </si>
  <si>
    <t>Rainville</t>
  </si>
  <si>
    <t>Highgate</t>
  </si>
  <si>
    <t>0007ZQ-17</t>
  </si>
  <si>
    <t>Ballard Yard - 1.75 mi.S. of Georgia Cnt</t>
  </si>
  <si>
    <t>Georgia Town</t>
  </si>
  <si>
    <t>Aldon Ballard Farm</t>
  </si>
  <si>
    <t>Georgia</t>
  </si>
  <si>
    <t>0007ZQ-22</t>
  </si>
  <si>
    <t>LePage</t>
  </si>
  <si>
    <t>Alan LePage</t>
  </si>
  <si>
    <t>LePage Road</t>
  </si>
  <si>
    <t>0007ZQ-23</t>
  </si>
  <si>
    <t>Heyburn-Home Yard</t>
  </si>
  <si>
    <t>Calais Town</t>
  </si>
  <si>
    <t>Franklin Heyburn</t>
  </si>
  <si>
    <t>841 West County Road</t>
  </si>
  <si>
    <t>Calais</t>
  </si>
  <si>
    <t>0007ZQ-24</t>
  </si>
  <si>
    <t>Walker Hill</t>
  </si>
  <si>
    <t>Williston Town</t>
  </si>
  <si>
    <t>Denis Bates</t>
  </si>
  <si>
    <t>Walker Hill Road</t>
  </si>
  <si>
    <t>Williston</t>
  </si>
  <si>
    <t>0007ZQ-25</t>
  </si>
  <si>
    <t>Hoke</t>
  </si>
  <si>
    <t>Enosburg Town</t>
  </si>
  <si>
    <t>David Hoke</t>
  </si>
  <si>
    <t>Chester Arthur Road</t>
  </si>
  <si>
    <t>Enosburg</t>
  </si>
  <si>
    <t>0007ZQ-18</t>
  </si>
  <si>
    <t>Richards Yard -2 mi.S. of Georgia Plains</t>
  </si>
  <si>
    <t>Richard Farm</t>
  </si>
  <si>
    <t>0007ZQ-19</t>
  </si>
  <si>
    <t>Bartlett Farm</t>
  </si>
  <si>
    <t>maranse rd</t>
  </si>
  <si>
    <t>georgia</t>
  </si>
  <si>
    <t>0007ZQ-20</t>
  </si>
  <si>
    <t>Intervale</t>
  </si>
  <si>
    <t>Intervale Farm</t>
  </si>
  <si>
    <t>0007ZQ-21</t>
  </si>
  <si>
    <t>Tilley Yd</t>
  </si>
  <si>
    <t>South Burlington City</t>
  </si>
  <si>
    <t>Old Farm rd</t>
  </si>
  <si>
    <t>So. Burlington</t>
  </si>
  <si>
    <t>Mares, Bill</t>
  </si>
  <si>
    <t>429 S WILLARD BURLINGTON VT 05401 - CHITTENDEN</t>
  </si>
  <si>
    <t>000810-2</t>
  </si>
  <si>
    <t>Mares Home Yard</t>
  </si>
  <si>
    <t>429 South Willard Street</t>
  </si>
  <si>
    <t>000810-3</t>
  </si>
  <si>
    <t>UVM Extention</t>
  </si>
  <si>
    <t>UVM</t>
  </si>
  <si>
    <t>665 Spear Street</t>
  </si>
  <si>
    <t>South Burlington</t>
  </si>
  <si>
    <t>000810-4</t>
  </si>
  <si>
    <t>128 Intervale Road</t>
  </si>
  <si>
    <t>Mills, Steven</t>
  </si>
  <si>
    <t>705 RTE 2 EAST DANVILLE VT 05828</t>
  </si>
  <si>
    <t>00081B-3</t>
  </si>
  <si>
    <t>Kitchel Yard</t>
  </si>
  <si>
    <t>Robert &amp; Jane Kitchel</t>
  </si>
  <si>
    <t>81 Walden Hill Road</t>
  </si>
  <si>
    <t>Tremblay, David</t>
  </si>
  <si>
    <t>808 MORETOWN COMMON ROAD MORETOWN VT 05660 - WASHINGTON</t>
  </si>
  <si>
    <t>00081M-1</t>
  </si>
  <si>
    <t>Holland Yard</t>
  </si>
  <si>
    <t>00081M-2</t>
  </si>
  <si>
    <t>South Hill</t>
  </si>
  <si>
    <t>David Tremblay</t>
  </si>
  <si>
    <t>Y</t>
  </si>
  <si>
    <t>1426 South Hill Rd</t>
  </si>
  <si>
    <t>00081M-3</t>
  </si>
  <si>
    <t>CAB W</t>
  </si>
  <si>
    <t>Tremblay</t>
  </si>
  <si>
    <t>808 Moretown Common Road</t>
  </si>
  <si>
    <t>Palmer, Mike</t>
  </si>
  <si>
    <t>441 FOREST DRIVE ST ALBANS VT 05478</t>
  </si>
  <si>
    <t>00081Y-1</t>
  </si>
  <si>
    <t>MoreauYd</t>
  </si>
  <si>
    <t>Swanton Town</t>
  </si>
  <si>
    <t>Mike Palmer</t>
  </si>
  <si>
    <t>Woods Hill Road</t>
  </si>
  <si>
    <t>Swanton</t>
  </si>
  <si>
    <t>00081Y-2</t>
  </si>
  <si>
    <t>Allard Yd.Lapan Bay</t>
  </si>
  <si>
    <t>Saint Albans Town</t>
  </si>
  <si>
    <t>Allard</t>
  </si>
  <si>
    <t>Lapin Road</t>
  </si>
  <si>
    <t>St. Albans Twn</t>
  </si>
  <si>
    <t>00081Y-5</t>
  </si>
  <si>
    <t>YandowYd</t>
  </si>
  <si>
    <t>Yandow</t>
  </si>
  <si>
    <t>Dunsmore Road</t>
  </si>
  <si>
    <t>00081Y-6</t>
  </si>
  <si>
    <t>Camisa Yard</t>
  </si>
  <si>
    <t>Camisa</t>
  </si>
  <si>
    <t>Brigham</t>
  </si>
  <si>
    <t>00081Y-7</t>
  </si>
  <si>
    <t>FerlandYd</t>
  </si>
  <si>
    <t>Ferland</t>
  </si>
  <si>
    <t>Carter Hill Road</t>
  </si>
  <si>
    <t>00081Y-8</t>
  </si>
  <si>
    <t>MartinYd</t>
  </si>
  <si>
    <t>Martin</t>
  </si>
  <si>
    <t>1871 Oakland Station Road</t>
  </si>
  <si>
    <t>00081Y-21</t>
  </si>
  <si>
    <t>Gates</t>
  </si>
  <si>
    <t>John Gates</t>
  </si>
  <si>
    <t>198 Beaver Meadow Road</t>
  </si>
  <si>
    <t>00081Y-22</t>
  </si>
  <si>
    <t>Arthur Bourerice</t>
  </si>
  <si>
    <t>00081Y-15</t>
  </si>
  <si>
    <t>Fortin</t>
  </si>
  <si>
    <t>Dan Fortin</t>
  </si>
  <si>
    <t>00081Y-16</t>
  </si>
  <si>
    <t>Berthiaume 1</t>
  </si>
  <si>
    <t>Lee Berthiaume</t>
  </si>
  <si>
    <t>247 Berthiaume Road</t>
  </si>
  <si>
    <t>00081Y-17</t>
  </si>
  <si>
    <t>Gerard Yandow</t>
  </si>
  <si>
    <t>00081Y-18</t>
  </si>
  <si>
    <t>Berthiaume 2</t>
  </si>
  <si>
    <t>00081Y-19</t>
  </si>
  <si>
    <t>00081Y-20</t>
  </si>
  <si>
    <t>Cimeron</t>
  </si>
  <si>
    <t>Ted Yandow</t>
  </si>
  <si>
    <t>2929 Lower Newton Street</t>
  </si>
  <si>
    <t>Saint Albans City</t>
  </si>
  <si>
    <t>00081Y-9</t>
  </si>
  <si>
    <t>GagneYd</t>
  </si>
  <si>
    <t>Gagne</t>
  </si>
  <si>
    <t>RT 7</t>
  </si>
  <si>
    <t>00081Y-10</t>
  </si>
  <si>
    <t>DeckerYd</t>
  </si>
  <si>
    <t>Decker</t>
  </si>
  <si>
    <t>Decker Road</t>
  </si>
  <si>
    <t>00081Y-11</t>
  </si>
  <si>
    <t>LuneauYd</t>
  </si>
  <si>
    <t>Luneau</t>
  </si>
  <si>
    <t>Kellogg Road</t>
  </si>
  <si>
    <t>00081Y-12</t>
  </si>
  <si>
    <t>441 Forest Drive</t>
  </si>
  <si>
    <t>St. Albans</t>
  </si>
  <si>
    <t>00081Y-13</t>
  </si>
  <si>
    <t>Brigham Yard</t>
  </si>
  <si>
    <t>Holy Oak Farm</t>
  </si>
  <si>
    <t>RT 104</t>
  </si>
  <si>
    <t>00081Y-14</t>
  </si>
  <si>
    <t>Abair Nuc Yard</t>
  </si>
  <si>
    <t>Abair</t>
  </si>
  <si>
    <t>Migratory</t>
  </si>
  <si>
    <t>175 French Hill Road</t>
  </si>
  <si>
    <t>Colvin, John</t>
  </si>
  <si>
    <t>1202 W TINMOUTH ROAD WEST RUTLAND VT 05777 - RUTLAND</t>
  </si>
  <si>
    <t>00082N-1</t>
  </si>
  <si>
    <t>Colvin Home Yard</t>
  </si>
  <si>
    <t>Tinmouth Town</t>
  </si>
  <si>
    <t>John Colvin</t>
  </si>
  <si>
    <t>1202 West Tinmouth Road</t>
  </si>
  <si>
    <t>Tinmouth</t>
  </si>
  <si>
    <t>00082N-2</t>
  </si>
  <si>
    <t>West Rutland Town</t>
  </si>
  <si>
    <t>Cox</t>
  </si>
  <si>
    <t>1030 Boardman Hill</t>
  </si>
  <si>
    <t>West Rutland</t>
  </si>
  <si>
    <t>00082N-3</t>
  </si>
  <si>
    <t>Brown home yard</t>
  </si>
  <si>
    <t>Brown</t>
  </si>
  <si>
    <t>202 Old Lake Rd</t>
  </si>
  <si>
    <t>Isabelle, Donald</t>
  </si>
  <si>
    <t>PO BOX 418 PITTSFORD VT 05763 - RUTLAND</t>
  </si>
  <si>
    <t>00082P-1</t>
  </si>
  <si>
    <t>Isabell-Home Yard</t>
  </si>
  <si>
    <t>Pittsford Town</t>
  </si>
  <si>
    <t>Isabelle</t>
  </si>
  <si>
    <t>117 Blue Quarry Road</t>
  </si>
  <si>
    <t>Florence</t>
  </si>
  <si>
    <t>00082P-3</t>
  </si>
  <si>
    <t>Winslow Farm Yard</t>
  </si>
  <si>
    <t>Mark Winslow</t>
  </si>
  <si>
    <t>Pittsford</t>
  </si>
  <si>
    <t>00082P-4</t>
  </si>
  <si>
    <t>Old Dean Farm</t>
  </si>
  <si>
    <t>Brandon Town</t>
  </si>
  <si>
    <t>Jim Des Marais</t>
  </si>
  <si>
    <t>Dean Road</t>
  </si>
  <si>
    <t>Brandon</t>
  </si>
  <si>
    <t>Tucker, Paul &amp; Carolyn</t>
  </si>
  <si>
    <t>107 W HILL ROAD LUDLOW VT 05149 - WINDSOR</t>
  </si>
  <si>
    <t>00082V-1</t>
  </si>
  <si>
    <t>Tucker-Home Yard</t>
  </si>
  <si>
    <t>Paul &amp; Carolyn Tucker</t>
  </si>
  <si>
    <t>107 West Hill Road</t>
  </si>
  <si>
    <t>Lewis Creek Honey &amp; Maple</t>
  </si>
  <si>
    <t>527 CONWAY ROAD STARKSBORO VT 05487 - ADDISON</t>
  </si>
  <si>
    <t>00082W-2</t>
  </si>
  <si>
    <t>Chris Sullivan</t>
  </si>
  <si>
    <t>1770 West Road</t>
  </si>
  <si>
    <t>King, Tim, Honey Dew Homestead</t>
  </si>
  <si>
    <t>1372 OLD STAGE ROAD WILLISTON VT 05495 - CHITTENDEN</t>
  </si>
  <si>
    <t>00082Y-1</t>
  </si>
  <si>
    <t>King Home Yard</t>
  </si>
  <si>
    <t>Tim King</t>
  </si>
  <si>
    <t>1372 Old Stage Road</t>
  </si>
  <si>
    <t>Mithoefer, Benjamin</t>
  </si>
  <si>
    <t>PO BOX 332 DORSET VT 05251 - BENNINGTON</t>
  </si>
  <si>
    <t>000G9W-1</t>
  </si>
  <si>
    <t>Winpenny Yard</t>
  </si>
  <si>
    <t>Winpenny</t>
  </si>
  <si>
    <t>940 Rupert Hill Road</t>
  </si>
  <si>
    <t>000G9W-2</t>
  </si>
  <si>
    <t>Hazelton</t>
  </si>
  <si>
    <t>5385 RT 153</t>
  </si>
  <si>
    <t>000G9W-4</t>
  </si>
  <si>
    <t>Ross Pit Yard</t>
  </si>
  <si>
    <t>Jim Ross</t>
  </si>
  <si>
    <t>Ross Pit Road</t>
  </si>
  <si>
    <t>000G9W-5</t>
  </si>
  <si>
    <t>Newton Yard</t>
  </si>
  <si>
    <t>Wells Town</t>
  </si>
  <si>
    <t>Newton</t>
  </si>
  <si>
    <t>RT 30</t>
  </si>
  <si>
    <t>Wells</t>
  </si>
  <si>
    <t>00083N-1</t>
  </si>
  <si>
    <t>#1Mithoefer</t>
  </si>
  <si>
    <t>Micheal Flett</t>
  </si>
  <si>
    <t>4343 RT 30</t>
  </si>
  <si>
    <t>00083N-2</t>
  </si>
  <si>
    <t>#2</t>
  </si>
  <si>
    <t>Robin Langstaff-French</t>
  </si>
  <si>
    <t>375 Lane Road</t>
  </si>
  <si>
    <t>Allen, Jeffrey J.</t>
  </si>
  <si>
    <t>77 ADAMANT ROD ADAMANT VT 05640 - WASHINGTON</t>
  </si>
  <si>
    <t>000840-1</t>
  </si>
  <si>
    <t>Dewey</t>
  </si>
  <si>
    <t>Montpelier City</t>
  </si>
  <si>
    <t>Jeffrey Allen</t>
  </si>
  <si>
    <t>11 Dewey Street</t>
  </si>
  <si>
    <t>000840-2</t>
  </si>
  <si>
    <t>Burelli home yard</t>
  </si>
  <si>
    <t>Peter Burmeister and Katherine Fanelli</t>
  </si>
  <si>
    <t>567 Muzzy Road</t>
  </si>
  <si>
    <t>Berlin</t>
  </si>
  <si>
    <t>000840-3</t>
  </si>
  <si>
    <t>Gilbset home yard</t>
  </si>
  <si>
    <t>East Montpelier Town</t>
  </si>
  <si>
    <t>Ann &amp; Larry Gilbset</t>
  </si>
  <si>
    <t>1572 County Road</t>
  </si>
  <si>
    <t>East Montpelier</t>
  </si>
  <si>
    <t>Beard, Milton (Tony)</t>
  </si>
  <si>
    <t>1606 BARNES HILL ROAD WATERBURY CENTER VT 05677</t>
  </si>
  <si>
    <t>00084B-1</t>
  </si>
  <si>
    <t>East offRT100 onGuptil</t>
  </si>
  <si>
    <t>(Tony) Beard Milton</t>
  </si>
  <si>
    <t>1606 Barnes Hill Road</t>
  </si>
  <si>
    <t>Waterbury</t>
  </si>
  <si>
    <t>Morrison, William J.</t>
  </si>
  <si>
    <t>556 POND BROOK LANE WOLCOTT VT 05680 - LAMOILLE</t>
  </si>
  <si>
    <t>00084W-1</t>
  </si>
  <si>
    <t>Morrison Home Yard</t>
  </si>
  <si>
    <t>Wolcott Town</t>
  </si>
  <si>
    <t>William Morrison</t>
  </si>
  <si>
    <t>556 Pond Brook Lane</t>
  </si>
  <si>
    <t>Wolcott</t>
  </si>
  <si>
    <t>St. Amour, Douglas</t>
  </si>
  <si>
    <t>PO BOX 631 RICHMOND VT 05477 - CHITTENDEN</t>
  </si>
  <si>
    <t>000858-1</t>
  </si>
  <si>
    <t>Harold DeGraaf</t>
  </si>
  <si>
    <t>1070 Route 2</t>
  </si>
  <si>
    <t>Singer, Donald J.</t>
  </si>
  <si>
    <t>262 HILL STREET BARRE VT 05641</t>
  </si>
  <si>
    <t>00085G-1</t>
  </si>
  <si>
    <t>Singer-Home Yard</t>
  </si>
  <si>
    <t>Donald Singer</t>
  </si>
  <si>
    <t>262 Hill St</t>
  </si>
  <si>
    <t>Yanus, Paul</t>
  </si>
  <si>
    <t>PO BOX 174 UNDERHILL CENTER VT 05490</t>
  </si>
  <si>
    <t>00085P-1</t>
  </si>
  <si>
    <t>Becker</t>
  </si>
  <si>
    <t>16 Orchard ROad</t>
  </si>
  <si>
    <t>00085P-2</t>
  </si>
  <si>
    <t>Yanus-Home Yard</t>
  </si>
  <si>
    <t>Paul Yanus</t>
  </si>
  <si>
    <t>103 Irish Settlement Road</t>
  </si>
  <si>
    <t>Underhill Center</t>
  </si>
  <si>
    <t>00085P-3</t>
  </si>
  <si>
    <t>Squires Yd.</t>
  </si>
  <si>
    <t>Squires</t>
  </si>
  <si>
    <t>35 Cilley Hill Road</t>
  </si>
  <si>
    <t>00085P-4</t>
  </si>
  <si>
    <t>Victory Garden</t>
  </si>
  <si>
    <t>266 Hwy 15</t>
  </si>
  <si>
    <t>00085P-5</t>
  </si>
  <si>
    <t>Perry Bland</t>
  </si>
  <si>
    <t>581 Cambridge Road</t>
  </si>
  <si>
    <t>White, Denny</t>
  </si>
  <si>
    <t>PO BOX 67 WILLIAMSVILLE VT 05362</t>
  </si>
  <si>
    <t>000862-3</t>
  </si>
  <si>
    <t>Walter's Field</t>
  </si>
  <si>
    <t>Walter Phelps</t>
  </si>
  <si>
    <t>89 Dover Road</t>
  </si>
  <si>
    <t>Williamsville</t>
  </si>
  <si>
    <t>000862-5</t>
  </si>
  <si>
    <t>Vincent Orchard</t>
  </si>
  <si>
    <t>Vincent Panella</t>
  </si>
  <si>
    <t>4813 Auger Hole Road</t>
  </si>
  <si>
    <t>Wesolowski, Christopher</t>
  </si>
  <si>
    <t>232 STEEPWAY ROAD NEWFANE VT 05345 - WINDHAM</t>
  </si>
  <si>
    <t>00086H-1</t>
  </si>
  <si>
    <t>Wesolowski-Home Yard</t>
  </si>
  <si>
    <t>Christopher Wesolowski</t>
  </si>
  <si>
    <t>232 Steepway Road</t>
  </si>
  <si>
    <t>Newfane</t>
  </si>
  <si>
    <t>Scott, Larry</t>
  </si>
  <si>
    <t>6059 RT 5 S NEWBURY VT 05051</t>
  </si>
  <si>
    <t>00086V-1</t>
  </si>
  <si>
    <t>Farm</t>
  </si>
  <si>
    <t>Newbury Town</t>
  </si>
  <si>
    <t>Larry Scott</t>
  </si>
  <si>
    <t>6059 Rte % South</t>
  </si>
  <si>
    <t>Newbury</t>
  </si>
  <si>
    <t>Smith, Darrell</t>
  </si>
  <si>
    <t>488 VT RTE 14 SOUTH ROYALTAON VT 05068</t>
  </si>
  <si>
    <t>000871-1</t>
  </si>
  <si>
    <t>HodgedonYd</t>
  </si>
  <si>
    <t>Randolph Town</t>
  </si>
  <si>
    <t>Randolph</t>
  </si>
  <si>
    <t>000871-2</t>
  </si>
  <si>
    <t>SkrillYd</t>
  </si>
  <si>
    <t>000871-3</t>
  </si>
  <si>
    <t>Cemetary Yd.</t>
  </si>
  <si>
    <t>000871-4</t>
  </si>
  <si>
    <t>Boles Yd.</t>
  </si>
  <si>
    <t>Royalton Town</t>
  </si>
  <si>
    <t>Royalton</t>
  </si>
  <si>
    <t>000871-5</t>
  </si>
  <si>
    <t>Bulrush Fm</t>
  </si>
  <si>
    <t>000871-6</t>
  </si>
  <si>
    <t>Darrell Smith</t>
  </si>
  <si>
    <t>488 VT RT 14</t>
  </si>
  <si>
    <t>South Royalton</t>
  </si>
  <si>
    <t>Fifield, Michael</t>
  </si>
  <si>
    <t>1123 TERRY HILL ROAD FAIRLEE VT 05045 - ORANGE</t>
  </si>
  <si>
    <t>000877-1</t>
  </si>
  <si>
    <t>Fifield-Home</t>
  </si>
  <si>
    <t>Fairlee Town</t>
  </si>
  <si>
    <t>Michael Fifield</t>
  </si>
  <si>
    <t>1123 Terry Hill Road</t>
  </si>
  <si>
    <t>Fairlee</t>
  </si>
  <si>
    <t>Northwoods Apiaries</t>
  </si>
  <si>
    <t>2770 LOOP ROAD WESTFIELD VT 05874 - ORLEANS</t>
  </si>
  <si>
    <t>00088H-1</t>
  </si>
  <si>
    <t>T. Collins Yard</t>
  </si>
  <si>
    <t>Newport Town</t>
  </si>
  <si>
    <t>Collins</t>
  </si>
  <si>
    <t>Collins Mill Road</t>
  </si>
  <si>
    <t>00088H-71</t>
  </si>
  <si>
    <t>Longmeadow</t>
  </si>
  <si>
    <t>Grand Isle Town</t>
  </si>
  <si>
    <t>uknown</t>
  </si>
  <si>
    <t>GrandIsle</t>
  </si>
  <si>
    <t>00088H-65</t>
  </si>
  <si>
    <t>Roland Rainville</t>
  </si>
  <si>
    <t>VT Rte 120</t>
  </si>
  <si>
    <t>00088H-66</t>
  </si>
  <si>
    <t>Machia</t>
  </si>
  <si>
    <t>Machia and Sons</t>
  </si>
  <si>
    <t>Machia Road</t>
  </si>
  <si>
    <t>East Highgate</t>
  </si>
  <si>
    <t>00088H-67</t>
  </si>
  <si>
    <t>Shawville</t>
  </si>
  <si>
    <t>Bruce King</t>
  </si>
  <si>
    <t>00088H-68</t>
  </si>
  <si>
    <t>Clark</t>
  </si>
  <si>
    <t>Doug Clark</t>
  </si>
  <si>
    <t>VT Rte 235</t>
  </si>
  <si>
    <t>00088H-69</t>
  </si>
  <si>
    <t>Douglas</t>
  </si>
  <si>
    <t>Troy Town</t>
  </si>
  <si>
    <t>Bear Mountain Road</t>
  </si>
  <si>
    <t>North Troy</t>
  </si>
  <si>
    <t>00088H-70</t>
  </si>
  <si>
    <t>Vallaincourt Orchard</t>
  </si>
  <si>
    <t>Vallaincourt</t>
  </si>
  <si>
    <t>Enosburg Road</t>
  </si>
  <si>
    <t>00088H-59</t>
  </si>
  <si>
    <t>Pellerin</t>
  </si>
  <si>
    <t>John Pellerin</t>
  </si>
  <si>
    <t>300 River Road</t>
  </si>
  <si>
    <t>Enosburg Falls</t>
  </si>
  <si>
    <t>00088H-60</t>
  </si>
  <si>
    <t>Wagner</t>
  </si>
  <si>
    <t>Chris Wagner</t>
  </si>
  <si>
    <t>1350 Towle Neighborhood Road</t>
  </si>
  <si>
    <t>00088H-61</t>
  </si>
  <si>
    <t>Depatie</t>
  </si>
  <si>
    <t>Simon Depatie</t>
  </si>
  <si>
    <t>1760 Campagna Road</t>
  </si>
  <si>
    <t>00088H-62</t>
  </si>
  <si>
    <t>Buermann</t>
  </si>
  <si>
    <t>South Hero Town</t>
  </si>
  <si>
    <t>21 Richards Road</t>
  </si>
  <si>
    <t>South Hero</t>
  </si>
  <si>
    <t>00088H-63</t>
  </si>
  <si>
    <t>Pierce</t>
  </si>
  <si>
    <t>Chip Pierce</t>
  </si>
  <si>
    <t>Danderand Road</t>
  </si>
  <si>
    <t>00088H-64</t>
  </si>
  <si>
    <t>Choiniere</t>
  </si>
  <si>
    <t>Guy Choiniere</t>
  </si>
  <si>
    <t>Gore Road</t>
  </si>
  <si>
    <t>HIghgate</t>
  </si>
  <si>
    <t>00088H-57</t>
  </si>
  <si>
    <t>Farney</t>
  </si>
  <si>
    <t>00088H-58</t>
  </si>
  <si>
    <t>Jasa Family Farm</t>
  </si>
  <si>
    <t>Jasa Family</t>
  </si>
  <si>
    <t>Alderbrook Road</t>
  </si>
  <si>
    <t>00088H-49</t>
  </si>
  <si>
    <t>Carmi</t>
  </si>
  <si>
    <t>Dodd</t>
  </si>
  <si>
    <t>00088H-50</t>
  </si>
  <si>
    <t>Bathalon</t>
  </si>
  <si>
    <t>Westfield Town</t>
  </si>
  <si>
    <t>Tony Braults</t>
  </si>
  <si>
    <t>264 Highway 100</t>
  </si>
  <si>
    <t>Troy</t>
  </si>
  <si>
    <t>00088H-51</t>
  </si>
  <si>
    <t>Sawmill</t>
  </si>
  <si>
    <t>Lussier</t>
  </si>
  <si>
    <t>1831 Mineral Brook Road</t>
  </si>
  <si>
    <t>Berkshire</t>
  </si>
  <si>
    <t>00088H-53</t>
  </si>
  <si>
    <t>Duhammel</t>
  </si>
  <si>
    <t>133 Breton Drive</t>
  </si>
  <si>
    <t>00088H-55</t>
  </si>
  <si>
    <t>Fiske</t>
  </si>
  <si>
    <t>2674 Browns Corner Road</t>
  </si>
  <si>
    <t>00088H-56</t>
  </si>
  <si>
    <t>Parent</t>
  </si>
  <si>
    <t>00088H-43</t>
  </si>
  <si>
    <t>Young</t>
  </si>
  <si>
    <t>321A North River Street</t>
  </si>
  <si>
    <t>00088H-44</t>
  </si>
  <si>
    <t>Frens</t>
  </si>
  <si>
    <t>200 Middle Road</t>
  </si>
  <si>
    <t>00088H-45</t>
  </si>
  <si>
    <t>Boucher</t>
  </si>
  <si>
    <t>2124 Gore Road</t>
  </si>
  <si>
    <t>00088H-46</t>
  </si>
  <si>
    <t>64 Gilman Road</t>
  </si>
  <si>
    <t>Sheldon</t>
  </si>
  <si>
    <t>00088H-47</t>
  </si>
  <si>
    <t>Berkshire Town</t>
  </si>
  <si>
    <t>39-159 Dairy Center Lane</t>
  </si>
  <si>
    <t>00088H-48</t>
  </si>
  <si>
    <t>Sheldon Town</t>
  </si>
  <si>
    <t>Unnamed Road</t>
  </si>
  <si>
    <t>00088H-37</t>
  </si>
  <si>
    <t>Griswald</t>
  </si>
  <si>
    <t>Cameron</t>
  </si>
  <si>
    <t>39 Griswold Road</t>
  </si>
  <si>
    <t>00088H-38</t>
  </si>
  <si>
    <t>North Hero</t>
  </si>
  <si>
    <t>North Hero Town</t>
  </si>
  <si>
    <t>Richard</t>
  </si>
  <si>
    <t>2773 Lakeview Drive</t>
  </si>
  <si>
    <t>00088H-39</t>
  </si>
  <si>
    <t>178 Highway 129</t>
  </si>
  <si>
    <t>Alburgh</t>
  </si>
  <si>
    <t>00088H-40</t>
  </si>
  <si>
    <t>Hunter</t>
  </si>
  <si>
    <t>11 Hunters Farm Road</t>
  </si>
  <si>
    <t>00088H-41</t>
  </si>
  <si>
    <t>Collette</t>
  </si>
  <si>
    <t>3 Champlain Street</t>
  </si>
  <si>
    <t>00088H-42</t>
  </si>
  <si>
    <t>Fournier</t>
  </si>
  <si>
    <t>40 Campbell Bay Road</t>
  </si>
  <si>
    <t>00088H-31</t>
  </si>
  <si>
    <t>Palmer Yard</t>
  </si>
  <si>
    <t>Palmer</t>
  </si>
  <si>
    <t>RT 2</t>
  </si>
  <si>
    <t>00088H-32</t>
  </si>
  <si>
    <t>Russo Yard</t>
  </si>
  <si>
    <t>Mr. Russo</t>
  </si>
  <si>
    <t>Coon Point Road</t>
  </si>
  <si>
    <t>South Alburg</t>
  </si>
  <si>
    <t>00088H-33</t>
  </si>
  <si>
    <t>Blue Heron Farm</t>
  </si>
  <si>
    <t>Blue Heron</t>
  </si>
  <si>
    <t>Quaker Road</t>
  </si>
  <si>
    <t>00088H-35</t>
  </si>
  <si>
    <t>South End</t>
  </si>
  <si>
    <t>Button</t>
  </si>
  <si>
    <t>00088H-36</t>
  </si>
  <si>
    <t>Pond</t>
  </si>
  <si>
    <t>Linn Hazen</t>
  </si>
  <si>
    <t>6856-7010 U.S. Highway 2</t>
  </si>
  <si>
    <t>00088H-18</t>
  </si>
  <si>
    <t>Asparagus Yard (RD)</t>
  </si>
  <si>
    <t>Pomykala</t>
  </si>
  <si>
    <t>Faywood Road</t>
  </si>
  <si>
    <t>00088H-19</t>
  </si>
  <si>
    <t>Trembley Yard (RD)</t>
  </si>
  <si>
    <t>Trembley</t>
  </si>
  <si>
    <t>197 Alburg Springs Road</t>
  </si>
  <si>
    <t>00088H-21</t>
  </si>
  <si>
    <t>Munson Yard (RD)</t>
  </si>
  <si>
    <t>Munson</t>
  </si>
  <si>
    <t>Lombard Road</t>
  </si>
  <si>
    <t>00088H-24</t>
  </si>
  <si>
    <t>Jill Hazen Yard (RD)</t>
  </si>
  <si>
    <t>Jill Hazen</t>
  </si>
  <si>
    <t>Lake View Road</t>
  </si>
  <si>
    <t>00088H-25</t>
  </si>
  <si>
    <t>Allenholm Yard (RD)</t>
  </si>
  <si>
    <t>Ray Allen</t>
  </si>
  <si>
    <t>South Street</t>
  </si>
  <si>
    <t>00088H-26</t>
  </si>
  <si>
    <t>Hero House Yard (RD)</t>
  </si>
  <si>
    <t>Heiss</t>
  </si>
  <si>
    <t>Station Road</t>
  </si>
  <si>
    <t>00088H-10</t>
  </si>
  <si>
    <t>Randall's Yard</t>
  </si>
  <si>
    <t>Randall</t>
  </si>
  <si>
    <t>Bonneau Road</t>
  </si>
  <si>
    <t>00088H-11</t>
  </si>
  <si>
    <t>Tinker - Palmer</t>
  </si>
  <si>
    <t>Tinker Palmer</t>
  </si>
  <si>
    <t>Off RT 2</t>
  </si>
  <si>
    <t>00088H-13</t>
  </si>
  <si>
    <t>Bridge Yard (Bohanan - RD)</t>
  </si>
  <si>
    <t>Christopher</t>
  </si>
  <si>
    <t>Alburgh Springs Road</t>
  </si>
  <si>
    <t>Alburgh Springs</t>
  </si>
  <si>
    <t>00088H-14</t>
  </si>
  <si>
    <t>RR Bed Yard (RD)</t>
  </si>
  <si>
    <t>RT 78</t>
  </si>
  <si>
    <t>00088H-15</t>
  </si>
  <si>
    <t>Corn</t>
  </si>
  <si>
    <t>Pallarty</t>
  </si>
  <si>
    <t>00088H-16</t>
  </si>
  <si>
    <t>Yandow Yard (RD)</t>
  </si>
  <si>
    <t>Lord Road</t>
  </si>
  <si>
    <t>00088H-4</t>
  </si>
  <si>
    <t>Foote Brook</t>
  </si>
  <si>
    <t>Lehouillier</t>
  </si>
  <si>
    <t>00088H-9</t>
  </si>
  <si>
    <t>White</t>
  </si>
  <si>
    <t>2770 Loop Road</t>
  </si>
  <si>
    <t>Westfield</t>
  </si>
  <si>
    <t>Olsen, Ed</t>
  </si>
  <si>
    <t>20 CAMP ROAD LAKE ELMORE VT 05657</t>
  </si>
  <si>
    <t>000892-1</t>
  </si>
  <si>
    <t>Olsen Home Yard</t>
  </si>
  <si>
    <t>Elmore Town</t>
  </si>
  <si>
    <t>Ed Olsen</t>
  </si>
  <si>
    <t>20 Camp Road</t>
  </si>
  <si>
    <t>Lake Elmore</t>
  </si>
  <si>
    <t>Bennett, Dallas</t>
  </si>
  <si>
    <t>1765 VT RT 109 WATERVILLE VT 05492 - LAMOILLE</t>
  </si>
  <si>
    <t>000897-1</t>
  </si>
  <si>
    <t>Bees at sugarhouse</t>
  </si>
  <si>
    <t>Belvidere Town</t>
  </si>
  <si>
    <t>Dallas Bennett</t>
  </si>
  <si>
    <t>1765 Vermont 109</t>
  </si>
  <si>
    <t>Waterville</t>
  </si>
  <si>
    <t>Hadeka, Peter W.</t>
  </si>
  <si>
    <t>359 PINE STREET CASTLETON VT 05735 - RUTLAND</t>
  </si>
  <si>
    <t>00089A-1</t>
  </si>
  <si>
    <t>Hadeka-Home</t>
  </si>
  <si>
    <t>Castleton Town</t>
  </si>
  <si>
    <t>Peter Hadeka</t>
  </si>
  <si>
    <t>359 Pine Street</t>
  </si>
  <si>
    <t>Castleton</t>
  </si>
  <si>
    <t>Growald, Paul</t>
  </si>
  <si>
    <t>SHELBURNE FARMS 614 FARM BARN LANE SHELBURNE VT 05482 - CHITTENDEN</t>
  </si>
  <si>
    <t>0008A5-1</t>
  </si>
  <si>
    <t>Shelburne Farms-Home Yard</t>
  </si>
  <si>
    <t>1611 Harbor Road</t>
  </si>
  <si>
    <t>Philip Brown</t>
  </si>
  <si>
    <t>116 LAROSE LANE GLOVER VT 05839 - ORLEANS</t>
  </si>
  <si>
    <t>0008AN-1</t>
  </si>
  <si>
    <t>Brown-Home</t>
  </si>
  <si>
    <t>Glover Town</t>
  </si>
  <si>
    <t>116 LaRose Lane</t>
  </si>
  <si>
    <t>Glover</t>
  </si>
  <si>
    <t>Englert, Sheri</t>
  </si>
  <si>
    <t>550 VT RT 64 WILLIAMSTOWN VT 05679 - ORANGE</t>
  </si>
  <si>
    <t>0008AP-1</t>
  </si>
  <si>
    <t>Englert Yard</t>
  </si>
  <si>
    <t>SheriEnglert</t>
  </si>
  <si>
    <t>550 VT RT 64</t>
  </si>
  <si>
    <t>0008AP-4</t>
  </si>
  <si>
    <t>Dodge Farm</t>
  </si>
  <si>
    <t>Scott Hill Road</t>
  </si>
  <si>
    <t>Coleman, Nelson</t>
  </si>
  <si>
    <t>688 COLEMAN HILL ROAD RAWSONVILLE VT 05155</t>
  </si>
  <si>
    <t>0008AY-1</t>
  </si>
  <si>
    <t>Nelson Coleman Home</t>
  </si>
  <si>
    <t>Nelson Coleman</t>
  </si>
  <si>
    <t>688 Coleman Hill Road</t>
  </si>
  <si>
    <t>Rawsonville</t>
  </si>
  <si>
    <t>Meader, Bruce R.</t>
  </si>
  <si>
    <t>PO BOX 263 VERGENNES VT 05491 - ADDISON</t>
  </si>
  <si>
    <t>0008B1-1</t>
  </si>
  <si>
    <t>Meader-Home Yard</t>
  </si>
  <si>
    <t>Vergennes City</t>
  </si>
  <si>
    <t>Bruce Meader</t>
  </si>
  <si>
    <t>33 Boothwood</t>
  </si>
  <si>
    <t>0008B1-2</t>
  </si>
  <si>
    <t>Barrows home yard</t>
  </si>
  <si>
    <t>Tim Barrows</t>
  </si>
  <si>
    <t>3768 Basin Harbor Rd</t>
  </si>
  <si>
    <t>Fortin, Mathieu (Matt) (Fortin's Apiaries) R.</t>
  </si>
  <si>
    <t>495 TRUCK ROUTE ALBURG VT 05440 - GRAND ISLE</t>
  </si>
  <si>
    <t>0008B2-1</t>
  </si>
  <si>
    <t>Matt Fortin</t>
  </si>
  <si>
    <t>371A West Shore Road</t>
  </si>
  <si>
    <t>0008B2-2</t>
  </si>
  <si>
    <t>Kratt Yard</t>
  </si>
  <si>
    <t>Isle La Motte Town</t>
  </si>
  <si>
    <t>Martin Kratt</t>
  </si>
  <si>
    <t>Nobles Hill Road</t>
  </si>
  <si>
    <t>Isle LaMotte</t>
  </si>
  <si>
    <t>0008B2-3</t>
  </si>
  <si>
    <t>Turner Yard</t>
  </si>
  <si>
    <t>Larry Turner</t>
  </si>
  <si>
    <t>Main Street</t>
  </si>
  <si>
    <t>0008B2-4</t>
  </si>
  <si>
    <t>Shulumbia's Yard</t>
  </si>
  <si>
    <t>George Shulumbia</t>
  </si>
  <si>
    <t>West Shore Road</t>
  </si>
  <si>
    <t>Isle La Motte</t>
  </si>
  <si>
    <t>0008B2-5</t>
  </si>
  <si>
    <t>Mathieu Fortin</t>
  </si>
  <si>
    <t>53 Truck Route</t>
  </si>
  <si>
    <t>0008B2-6</t>
  </si>
  <si>
    <t>New Winery</t>
  </si>
  <si>
    <t>newhouse</t>
  </si>
  <si>
    <t>500 Vt Rt 129</t>
  </si>
  <si>
    <t>Isle la Motte</t>
  </si>
  <si>
    <t>0008B2-7</t>
  </si>
  <si>
    <t>Fortin's apiaries</t>
  </si>
  <si>
    <t>Matthew Fortin</t>
  </si>
  <si>
    <t>495 Truck Route</t>
  </si>
  <si>
    <t>Landers, Karen R.</t>
  </si>
  <si>
    <t>PO BOX 537 WHITINGHAM VT 05361 - WINDHAM</t>
  </si>
  <si>
    <t>0008C6-1</t>
  </si>
  <si>
    <t>Landers-Home</t>
  </si>
  <si>
    <t>Whitingham Town</t>
  </si>
  <si>
    <t>Karen Landers</t>
  </si>
  <si>
    <t>1264 Faulkner Road</t>
  </si>
  <si>
    <t>Whitingham</t>
  </si>
  <si>
    <t>0008C6-2</t>
  </si>
  <si>
    <t>Pratt</t>
  </si>
  <si>
    <t>3258 Rd #8A</t>
  </si>
  <si>
    <t>0008C6-3</t>
  </si>
  <si>
    <t>Silverman</t>
  </si>
  <si>
    <t>320 Pratt Road</t>
  </si>
  <si>
    <t>Gagnon, Dean</t>
  </si>
  <si>
    <t>965 LAKE ROAD MILTON VT 05468 - CHITTENDEN</t>
  </si>
  <si>
    <t>0008D3-1</t>
  </si>
  <si>
    <t>Dean Gagnon</t>
  </si>
  <si>
    <t>965 Lake Road</t>
  </si>
  <si>
    <t>MIlton</t>
  </si>
  <si>
    <t>Young, Aaron</t>
  </si>
  <si>
    <t>86 BLUE SPRUCE LANE LYNDONVILLE VT 05851 - CALEDONIA</t>
  </si>
  <si>
    <t>0008DQ-1</t>
  </si>
  <si>
    <t>Sanderson Hill Farm Yard</t>
  </si>
  <si>
    <t>Charleston Town</t>
  </si>
  <si>
    <t>Aaron Young</t>
  </si>
  <si>
    <t>230 Sanderson Hill Road</t>
  </si>
  <si>
    <t>Charleston</t>
  </si>
  <si>
    <t>0008DQ-2</t>
  </si>
  <si>
    <t>Eden Ice Cider Orchards</t>
  </si>
  <si>
    <t>Albert Leger</t>
  </si>
  <si>
    <t>1023 Sanderson Hill Road</t>
  </si>
  <si>
    <t>W. Charleston</t>
  </si>
  <si>
    <t>0008DQ-5</t>
  </si>
  <si>
    <t>Lyndon Town</t>
  </si>
  <si>
    <t>86 Blue Spruce Lane</t>
  </si>
  <si>
    <t>Lyndonville</t>
  </si>
  <si>
    <t>0008DQ-6</t>
  </si>
  <si>
    <t>Larry Young</t>
  </si>
  <si>
    <t>211 Sanderson Hill Road</t>
  </si>
  <si>
    <t>Richards, Gene</t>
  </si>
  <si>
    <t>168 SUMMIT STREET BURLINGTON VT 05401 - CHITTENDEN</t>
  </si>
  <si>
    <t>0008F1-3</t>
  </si>
  <si>
    <t>Richards-Home</t>
  </si>
  <si>
    <t>Gene Richards</t>
  </si>
  <si>
    <t>168 Summit Street</t>
  </si>
  <si>
    <t>0008F1-4</t>
  </si>
  <si>
    <t>Richards home yard</t>
  </si>
  <si>
    <t>900 Dorset St</t>
  </si>
  <si>
    <t>Cobb Hill Co-Housing Community</t>
  </si>
  <si>
    <t>28A LINDEN ROAD HARTLAND VT 05048 - WINDSOR</t>
  </si>
  <si>
    <t>0008F4-1</t>
  </si>
  <si>
    <t>Home - Cobb Hill Cohousing</t>
  </si>
  <si>
    <t>28A Linden Road</t>
  </si>
  <si>
    <t>Pierce, Michael R.</t>
  </si>
  <si>
    <t>76 CASINO ROAD WILLIAMSTOWN VT 05679 - ORANGE</t>
  </si>
  <si>
    <t>0008F9-1</t>
  </si>
  <si>
    <t>Pierce-Home Yard</t>
  </si>
  <si>
    <t>Michael Pierce</t>
  </si>
  <si>
    <t>76 Casino Road</t>
  </si>
  <si>
    <t>Roy, Ruth M</t>
  </si>
  <si>
    <t>136 TROMBLEY HILL ROAD HYDE PARK VT 05655 - LAMOILLE</t>
  </si>
  <si>
    <t>0008FV-1</t>
  </si>
  <si>
    <t>Roy Home Yard</t>
  </si>
  <si>
    <t>Hyde Park Town</t>
  </si>
  <si>
    <t>Ruth Roy</t>
  </si>
  <si>
    <t>136 Trombley Hill Road</t>
  </si>
  <si>
    <t>Hyde Park</t>
  </si>
  <si>
    <t>Wilson, Scott</t>
  </si>
  <si>
    <t>118 ROTAX ROAD NORTH FERRISBURG VT 05473</t>
  </si>
  <si>
    <t>0008G3-2</t>
  </si>
  <si>
    <t>HHA4</t>
  </si>
  <si>
    <t>Mary Bargiel</t>
  </si>
  <si>
    <t>481 King Farm Road</t>
  </si>
  <si>
    <t>0008G3-3</t>
  </si>
  <si>
    <t>HHA2</t>
  </si>
  <si>
    <t>Linda Smith</t>
  </si>
  <si>
    <t>2350 Gilman Road</t>
  </si>
  <si>
    <t>0008G3-4</t>
  </si>
  <si>
    <t>HHA3</t>
  </si>
  <si>
    <t>Tod Whittaker</t>
  </si>
  <si>
    <t>2475 Baldwin Road</t>
  </si>
  <si>
    <t>0008G3-5</t>
  </si>
  <si>
    <t>HHA1</t>
  </si>
  <si>
    <t>Scott Wilson</t>
  </si>
  <si>
    <t>118 Rotax Rd</t>
  </si>
  <si>
    <t>Monkton</t>
  </si>
  <si>
    <t>Frederick, Paul-Mt View Honey Farms</t>
  </si>
  <si>
    <t>PO BOX 335 HARDWICK VT 05843 - CALEDONIA</t>
  </si>
  <si>
    <t>0008G7-3</t>
  </si>
  <si>
    <t>Notterman Yard.</t>
  </si>
  <si>
    <t>Hardwick Town</t>
  </si>
  <si>
    <t>Helmut Notterman</t>
  </si>
  <si>
    <t>841 Pumpkin Lane</t>
  </si>
  <si>
    <t>Hardwick</t>
  </si>
  <si>
    <t>0008G7-5</t>
  </si>
  <si>
    <t>Stevens Yard</t>
  </si>
  <si>
    <t>Dave Stevens</t>
  </si>
  <si>
    <t>1490 Randolph Road</t>
  </si>
  <si>
    <t>Morrisville</t>
  </si>
  <si>
    <t>Parise, Stephen G</t>
  </si>
  <si>
    <t>367 FISHER ROAD ORWELL VT 05760-9769 - ADDISON</t>
  </si>
  <si>
    <t>0008GB-1</t>
  </si>
  <si>
    <t>Parise-Home Yard</t>
  </si>
  <si>
    <t>Stephen Parise</t>
  </si>
  <si>
    <t>367 Fisher Road</t>
  </si>
  <si>
    <t>0008GB-3</t>
  </si>
  <si>
    <t>Fox/Claghorn</t>
  </si>
  <si>
    <t>1395 Leicester-Whiting Road</t>
  </si>
  <si>
    <t>0008GB-5</t>
  </si>
  <si>
    <t>Jim Ozanne</t>
  </si>
  <si>
    <t>Sawyer-Needham Road</t>
  </si>
  <si>
    <t>0008GB-6</t>
  </si>
  <si>
    <t>Jeannine Myers</t>
  </si>
  <si>
    <t>566 Ratta Road</t>
  </si>
  <si>
    <t>Chazy</t>
  </si>
  <si>
    <t>0008GB-7</t>
  </si>
  <si>
    <t>Clare SChick</t>
  </si>
  <si>
    <t>116 Adams Rd</t>
  </si>
  <si>
    <t>Rainville, Scott A</t>
  </si>
  <si>
    <t>1173 BALLARD ROAD ST ALBANS VT 05478</t>
  </si>
  <si>
    <t>0008GQ-3</t>
  </si>
  <si>
    <t>Rainville Home Yard</t>
  </si>
  <si>
    <t>1173 Ballard Road</t>
  </si>
  <si>
    <t>0008GQ-4</t>
  </si>
  <si>
    <t>Deranalow</t>
  </si>
  <si>
    <t>East Road</t>
  </si>
  <si>
    <t>0008GQ-5</t>
  </si>
  <si>
    <t>Gardner</t>
  </si>
  <si>
    <t>Gardener Road</t>
  </si>
  <si>
    <t>0008GQ-6</t>
  </si>
  <si>
    <t>Manly Road</t>
  </si>
  <si>
    <t>0008GQ-7</t>
  </si>
  <si>
    <t>Bezial</t>
  </si>
  <si>
    <t>198 Everseat Road</t>
  </si>
  <si>
    <t>0008GQ-8</t>
  </si>
  <si>
    <t>Dragon</t>
  </si>
  <si>
    <t>476 Everst Road</t>
  </si>
  <si>
    <t>0008GQ-9</t>
  </si>
  <si>
    <t>Price</t>
  </si>
  <si>
    <t>Rear of Garden PVT Westford Rd</t>
  </si>
  <si>
    <t>Davine, Robert C.</t>
  </si>
  <si>
    <t>PO BOX 484 CASTLETON VT 05735 - RUTLAND</t>
  </si>
  <si>
    <t>0008GW-1</t>
  </si>
  <si>
    <t>Davine Home Yard</t>
  </si>
  <si>
    <t>Hubbardton Town</t>
  </si>
  <si>
    <t>Bob Davine</t>
  </si>
  <si>
    <t>3435 Monument Hill Road</t>
  </si>
  <si>
    <t>Hubbardton</t>
  </si>
  <si>
    <t>0008GW-2</t>
  </si>
  <si>
    <t>Andersen Farm</t>
  </si>
  <si>
    <t>Andersen Family</t>
  </si>
  <si>
    <t>3818 Monument Hill Road</t>
  </si>
  <si>
    <t>0008GW-3</t>
  </si>
  <si>
    <t>Lincoln Yard</t>
  </si>
  <si>
    <t>D. Lincoln</t>
  </si>
  <si>
    <t>590 Old Town Farm Road</t>
  </si>
  <si>
    <t>0008GW-4</t>
  </si>
  <si>
    <t>High Pond Rd</t>
  </si>
  <si>
    <t>Keven Birch</t>
  </si>
  <si>
    <t>0008GW-5</t>
  </si>
  <si>
    <t>John Oscielowski</t>
  </si>
  <si>
    <t>2155 Whipple Hollow Road</t>
  </si>
  <si>
    <t>Mumford, Mark</t>
  </si>
  <si>
    <t>1207 COBB HILL ROAD LINCOLN VT 05443 - ADDISON</t>
  </si>
  <si>
    <t>0008H0-2</t>
  </si>
  <si>
    <t>Alan Karnatz house</t>
  </si>
  <si>
    <t>Allen Karnatz</t>
  </si>
  <si>
    <t>1207 Cobb Hill Road</t>
  </si>
  <si>
    <t>St. Pierre, Gary</t>
  </si>
  <si>
    <t>455 GILLIN ROAD FAIRFAX VT 05454 - FRANKLIN</t>
  </si>
  <si>
    <t>0008HV-1</t>
  </si>
  <si>
    <t>St. Pierre-Home</t>
  </si>
  <si>
    <t>Gary St. Pierre</t>
  </si>
  <si>
    <t>455 Gillin Road</t>
  </si>
  <si>
    <t>Croizet, Gerard</t>
  </si>
  <si>
    <t>1342 VT ROUTE 100 PO BOX 76 WESTFIELD VT 05874 - ORLEANS</t>
  </si>
  <si>
    <t>0008J1-1</t>
  </si>
  <si>
    <t>Berry Creek Farm</t>
  </si>
  <si>
    <t>Gerard Croizet</t>
  </si>
  <si>
    <t>1342 VT RT 100</t>
  </si>
  <si>
    <t>Zelley, Robert A.</t>
  </si>
  <si>
    <t>73 SAM WEB ROAD FAIRFAX VT 05454 - FRANKLIN</t>
  </si>
  <si>
    <t>0008J4-1</t>
  </si>
  <si>
    <t>Zelley's Home Yard</t>
  </si>
  <si>
    <t>Robert Zelley</t>
  </si>
  <si>
    <t>73 Sam Web Road</t>
  </si>
  <si>
    <t>Montshire Museum</t>
  </si>
  <si>
    <t>ONE MONTSHIRE ROAD NORWICH VT 05055 - WINDSOR</t>
  </si>
  <si>
    <t>0008JV-1</t>
  </si>
  <si>
    <t>At museum</t>
  </si>
  <si>
    <t>Montshire Museum of Science</t>
  </si>
  <si>
    <t>Montshire Road</t>
  </si>
  <si>
    <t>0008JV-2</t>
  </si>
  <si>
    <t>Museum ground</t>
  </si>
  <si>
    <t>Whitney, Thomas</t>
  </si>
  <si>
    <t>164 TADMER ROAD WELLS VT 05774 - RUTLAND</t>
  </si>
  <si>
    <t>0008K9-1</t>
  </si>
  <si>
    <t>Whitney-Home Yard</t>
  </si>
  <si>
    <t>Thomas Whitney</t>
  </si>
  <si>
    <t>164 Tadmer Road</t>
  </si>
  <si>
    <t>Bradley, John</t>
  </si>
  <si>
    <t>65 ALLEN DRIVE BRAINTREE VT 05060 - ORANGE</t>
  </si>
  <si>
    <t>0008KB-1</t>
  </si>
  <si>
    <t>(Same)</t>
  </si>
  <si>
    <t>65 Allen Drive</t>
  </si>
  <si>
    <t>Cronk, Donald F.</t>
  </si>
  <si>
    <t>5796 LAKE ROAD NEWPORT CENTER VT 05857-9447</t>
  </si>
  <si>
    <t>0008KM-1</t>
  </si>
  <si>
    <t>Cronk home yard</t>
  </si>
  <si>
    <t>Newport City</t>
  </si>
  <si>
    <t>Donald Cronk</t>
  </si>
  <si>
    <t>19A Lake Road</t>
  </si>
  <si>
    <t>Newport Center</t>
  </si>
  <si>
    <t>Smith, Edward W.</t>
  </si>
  <si>
    <t>853 SHUNPIKE ROAD MT HOLLY VT 05758</t>
  </si>
  <si>
    <t>0008KW-1</t>
  </si>
  <si>
    <t>Smith Home Yard</t>
  </si>
  <si>
    <t>Mount Holly Town</t>
  </si>
  <si>
    <t>Edward Smith</t>
  </si>
  <si>
    <t>853 Shunpike Road</t>
  </si>
  <si>
    <t>Mt. Holly</t>
  </si>
  <si>
    <t>Mccosker, Phebe</t>
  </si>
  <si>
    <t>268 HOUGHTON HILL ROAD THETFORD VT 05074-0066 - ORANGE</t>
  </si>
  <si>
    <t>0008M4-1</t>
  </si>
  <si>
    <t>McCosker-Home Yard</t>
  </si>
  <si>
    <t>Phebe McCosker</t>
  </si>
  <si>
    <t>268 Houghton Hill Road</t>
  </si>
  <si>
    <t>Moore, Jim</t>
  </si>
  <si>
    <t>51 EDEN AVENUE PROCTOR VT 05765 - RUTLAND</t>
  </si>
  <si>
    <t>0008M7-1</t>
  </si>
  <si>
    <t>Moore-Home</t>
  </si>
  <si>
    <t>Proctor Town</t>
  </si>
  <si>
    <t>Jim Moore</t>
  </si>
  <si>
    <t>51 Eden AVenue</t>
  </si>
  <si>
    <t>Proctor</t>
  </si>
  <si>
    <t>Newton, Jill</t>
  </si>
  <si>
    <t>119 PLEASANT VALLEY RD ROCKINGHAM VT 05101 - WINDHAM</t>
  </si>
  <si>
    <t>0008N0-1</t>
  </si>
  <si>
    <t>J Newton home yard</t>
  </si>
  <si>
    <t>Rockingham Town</t>
  </si>
  <si>
    <t>Jill Newton</t>
  </si>
  <si>
    <t>119 Pleasant Valley Road</t>
  </si>
  <si>
    <t>Rockingham</t>
  </si>
  <si>
    <t>Lost Nation Farm Apiary</t>
  </si>
  <si>
    <t>46 LOST NATION ROAD ESSEX JUNCTION VT 05452</t>
  </si>
  <si>
    <t>0008N6-2</t>
  </si>
  <si>
    <t>Potasiewicz-Home Yard</t>
  </si>
  <si>
    <t>Kevin Potasiewicz</t>
  </si>
  <si>
    <t>46 Lost Nation Road</t>
  </si>
  <si>
    <t>0008N6-4</t>
  </si>
  <si>
    <t>Nuc Yard</t>
  </si>
  <si>
    <t>293 Lost Nation Road</t>
  </si>
  <si>
    <t>Howe, Adam</t>
  </si>
  <si>
    <t>1242 MYERS ROAD SHAFTSBURY VT 05262 - BENNINGTON</t>
  </si>
  <si>
    <t>0008NN-1</t>
  </si>
  <si>
    <t>Home Yard Stockpile Yard</t>
  </si>
  <si>
    <t>James Howe</t>
  </si>
  <si>
    <t>1242 Meyers Road</t>
  </si>
  <si>
    <t>0008NN-2</t>
  </si>
  <si>
    <t>Terry's Orchard</t>
  </si>
  <si>
    <t>Terry</t>
  </si>
  <si>
    <t>0008NN-3</t>
  </si>
  <si>
    <t>Blodgett Road</t>
  </si>
  <si>
    <t>Vernon Town</t>
  </si>
  <si>
    <t>0008NN-4</t>
  </si>
  <si>
    <t>Miller Farm Yard</t>
  </si>
  <si>
    <t>1733 Fort Bridgman Road</t>
  </si>
  <si>
    <t>Vernon</t>
  </si>
  <si>
    <t>0008NN-5</t>
  </si>
  <si>
    <t>40 Victoria Drive</t>
  </si>
  <si>
    <t>0008NN-6</t>
  </si>
  <si>
    <t>Interstate 91</t>
  </si>
  <si>
    <t>0008NN-7</t>
  </si>
  <si>
    <t>208 Vermont 7A</t>
  </si>
  <si>
    <t>Arlington</t>
  </si>
  <si>
    <t>Stoner, Richard</t>
  </si>
  <si>
    <t>204 HAYTUMBLE ROAD SHELBURNE VT 05482 - CHITTENDEN</t>
  </si>
  <si>
    <t>0008PM-1</t>
  </si>
  <si>
    <t>Stoner-Home</t>
  </si>
  <si>
    <t>Richard Stoner</t>
  </si>
  <si>
    <t>204 Haytumble Road</t>
  </si>
  <si>
    <t>Lemieux, Armand, E.</t>
  </si>
  <si>
    <t>895 UPPER QUARRY ROAD NEWPORT VT 05855</t>
  </si>
  <si>
    <t>0008PX-1</t>
  </si>
  <si>
    <t>Lemieux-Home</t>
  </si>
  <si>
    <t>Armand Lemieux</t>
  </si>
  <si>
    <t>895 Upper Quarry Road</t>
  </si>
  <si>
    <t>Luquer, Peter</t>
  </si>
  <si>
    <t>PO BOX 172 HARTLAND 4-CORNERS VT 05049</t>
  </si>
  <si>
    <t>0008Q0-1</t>
  </si>
  <si>
    <t>Luquer home yard</t>
  </si>
  <si>
    <t>Peter Luquer</t>
  </si>
  <si>
    <t>Town Farm Hill Road</t>
  </si>
  <si>
    <t>Hartland Four Corners</t>
  </si>
  <si>
    <t>Haire, Todd</t>
  </si>
  <si>
    <t>717 TEXAS HILL ROAD HINESBURG VT 05461-9566 - CHITTENDEN</t>
  </si>
  <si>
    <t>0008Q4-2</t>
  </si>
  <si>
    <t>Haire home yard</t>
  </si>
  <si>
    <t>Larry Ketcum</t>
  </si>
  <si>
    <t>717 Texas Hill Road</t>
  </si>
  <si>
    <t>Robohm, John</t>
  </si>
  <si>
    <t>467 BUTLER BROOK ROAD JACKSONVILLE VT 05342</t>
  </si>
  <si>
    <t>0008QB-1</t>
  </si>
  <si>
    <t>Robohm-Home</t>
  </si>
  <si>
    <t>John Robohm</t>
  </si>
  <si>
    <t>467 Butler Brook Road</t>
  </si>
  <si>
    <t>Jacksonville</t>
  </si>
  <si>
    <t>Morse, Jason</t>
  </si>
  <si>
    <t>557 OSGOOD HILL ROAD WESTFORD VT 05494 - CHITTENDEN</t>
  </si>
  <si>
    <t>0008QC-1</t>
  </si>
  <si>
    <t>Morse-Home Yard</t>
  </si>
  <si>
    <t>Jason Morse</t>
  </si>
  <si>
    <t>557 Osgood Hill Road</t>
  </si>
  <si>
    <t>Anderson, Kent</t>
  </si>
  <si>
    <t>359 FISHER ROAD ORWELL VT 05760 - ADDISON</t>
  </si>
  <si>
    <t>0008V6-1</t>
  </si>
  <si>
    <t>Anderson-Home Yard</t>
  </si>
  <si>
    <t>Kent Anderson</t>
  </si>
  <si>
    <t>359 Fisher Road</t>
  </si>
  <si>
    <t>Alexander, Stuart A.</t>
  </si>
  <si>
    <t>22 BARBER FARM ROAD JERICHO VT 05465 - CHITTENDEN</t>
  </si>
  <si>
    <t>0008VJ-1</t>
  </si>
  <si>
    <t>Stuart Alexander</t>
  </si>
  <si>
    <t>22 Barber Farm Road</t>
  </si>
  <si>
    <t>Gates, Randall</t>
  </si>
  <si>
    <t>2700 FULLER MNT ROAD N FERRISBURGH VT 05473</t>
  </si>
  <si>
    <t>0008VM-1</t>
  </si>
  <si>
    <t>Gates-Home Yard</t>
  </si>
  <si>
    <t>Randall Gates</t>
  </si>
  <si>
    <t>2700 Fuller Mountain Road</t>
  </si>
  <si>
    <t>N. Ferrisburg</t>
  </si>
  <si>
    <t>0008VM-2</t>
  </si>
  <si>
    <t>Out Yard #2</t>
  </si>
  <si>
    <t>John Sudarsky</t>
  </si>
  <si>
    <t>4218 Spear Street</t>
  </si>
  <si>
    <t>0008VM-3</t>
  </si>
  <si>
    <t>Out Yard #3</t>
  </si>
  <si>
    <t>Stony Loam Farm CSA</t>
  </si>
  <si>
    <t>Valley View Drive</t>
  </si>
  <si>
    <t>Rathbun, Maurice</t>
  </si>
  <si>
    <t>2012 VT RT 128 WESTFORD VT 05494 - CHITTENDEN</t>
  </si>
  <si>
    <t>0008VQ-1</t>
  </si>
  <si>
    <t>Rathbun-Home Yard</t>
  </si>
  <si>
    <t>Maurice Rathbun</t>
  </si>
  <si>
    <t>2012 VT RT 128</t>
  </si>
  <si>
    <t>Rath, Jack</t>
  </si>
  <si>
    <t>690 HEATHERINGTON RD W PAWLET VT 05775</t>
  </si>
  <si>
    <t>0008W7-1</t>
  </si>
  <si>
    <t>Rath Home Yard</t>
  </si>
  <si>
    <t>Jack Rath</t>
  </si>
  <si>
    <t>690 Heatherington Road</t>
  </si>
  <si>
    <t>West Pawlet</t>
  </si>
  <si>
    <t>0008W7-2</t>
  </si>
  <si>
    <t>Liebigs</t>
  </si>
  <si>
    <t>Liebigs Berry Farm</t>
  </si>
  <si>
    <t>Button Falls Road</t>
  </si>
  <si>
    <t>0008W7-3</t>
  </si>
  <si>
    <t>Ronald Taylor</t>
  </si>
  <si>
    <t>522 Chet Clark Road</t>
  </si>
  <si>
    <t>Crete, Fernand</t>
  </si>
  <si>
    <t>69 SARATOGA AVE BURLINGTON VT 05401 - CHITTENDEN</t>
  </si>
  <si>
    <t>0008WY-1</t>
  </si>
  <si>
    <t>Fernand Crete</t>
  </si>
  <si>
    <t>69 Sarasota Ave</t>
  </si>
  <si>
    <t>Greenwood, Kim</t>
  </si>
  <si>
    <t>216 MAPLE STREET DUXBURY VT 05676 - WASHINGTON</t>
  </si>
  <si>
    <t>0008X0-1</t>
  </si>
  <si>
    <t>Parents house</t>
  </si>
  <si>
    <t>Ron &amp; Lil Greenwood</t>
  </si>
  <si>
    <t>153 Vt Route 14 North</t>
  </si>
  <si>
    <t>0008X0-2</t>
  </si>
  <si>
    <t>GreenwoodHome Yard</t>
  </si>
  <si>
    <t>Duxbury Town</t>
  </si>
  <si>
    <t>Kim Greenwood/Ian Ormon</t>
  </si>
  <si>
    <t>216 Maple Steet</t>
  </si>
  <si>
    <t>Duxbury</t>
  </si>
  <si>
    <t>Brown, Kenneth</t>
  </si>
  <si>
    <t>87 COYOTE RIDGE HINESBURG VT 05461 - CHITTENDEN</t>
  </si>
  <si>
    <t>0008X8-1</t>
  </si>
  <si>
    <t>Kenneth Brown</t>
  </si>
  <si>
    <t>87 Coyote Ridge</t>
  </si>
  <si>
    <t>0008X8-2</t>
  </si>
  <si>
    <t>Ken Brown Yard 2</t>
  </si>
  <si>
    <t>Diana</t>
  </si>
  <si>
    <t>Cross, Jim</t>
  </si>
  <si>
    <t>727 HOUGHTON LANE BENNINGTON VT 05201 - BENNINGTON</t>
  </si>
  <si>
    <t>0008XB-1</t>
  </si>
  <si>
    <t>Cross Bees</t>
  </si>
  <si>
    <t>Jim Cross</t>
  </si>
  <si>
    <t>727 Houghton Lane</t>
  </si>
  <si>
    <t>Peabody Mountain Apiaries</t>
  </si>
  <si>
    <t>21 TURNER ROAD WESTON VT 05161 - WINDSOR</t>
  </si>
  <si>
    <t>0008Y3-1</t>
  </si>
  <si>
    <t>Woodcock Farm</t>
  </si>
  <si>
    <t>Mark Fisher</t>
  </si>
  <si>
    <t>0008Y3-2</t>
  </si>
  <si>
    <t>Peabody Mountain Apiaries-Home</t>
  </si>
  <si>
    <t>Weston Town</t>
  </si>
  <si>
    <t>Steven MacLaury</t>
  </si>
  <si>
    <t>21 Turner Road</t>
  </si>
  <si>
    <t>Weston</t>
  </si>
  <si>
    <t>Barlow, Virgina</t>
  </si>
  <si>
    <t>211 JOE LORD ROAD CORINTH VT 05039 - ORANGE</t>
  </si>
  <si>
    <t>0008Y7-1</t>
  </si>
  <si>
    <t>Barlow-Home Yard</t>
  </si>
  <si>
    <t>Corinth Town</t>
  </si>
  <si>
    <t>Virginia Barlow</t>
  </si>
  <si>
    <t>211 Joe Lord Road</t>
  </si>
  <si>
    <t>Corinth</t>
  </si>
  <si>
    <t>Wheeler, Tom</t>
  </si>
  <si>
    <t>5372 US RT 7 SOUTH WALLINGFORD VT 05773 - RUTLAND</t>
  </si>
  <si>
    <t>0008YD-1</t>
  </si>
  <si>
    <t>Wheeler-Home Yard</t>
  </si>
  <si>
    <t>Wallingford Town</t>
  </si>
  <si>
    <t>Tom Wheeler</t>
  </si>
  <si>
    <t>5372 US RT 7 South</t>
  </si>
  <si>
    <t>Wallingford</t>
  </si>
  <si>
    <t>Tischler, Sarah</t>
  </si>
  <si>
    <t>5635 RT 116 ST GEORGE VT 05495</t>
  </si>
  <si>
    <t>0008YM-1</t>
  </si>
  <si>
    <t>Tischler-Home</t>
  </si>
  <si>
    <t>Saint George Town</t>
  </si>
  <si>
    <t>Sarah Tischler</t>
  </si>
  <si>
    <t>5635 RT 116</t>
  </si>
  <si>
    <t>St. George</t>
  </si>
  <si>
    <t>Howland, Dale</t>
  </si>
  <si>
    <t>642 TUCKER HILL ROAD THETFORD CENTER VT 05075</t>
  </si>
  <si>
    <t>0008YN-1</t>
  </si>
  <si>
    <t>Howland Home yard</t>
  </si>
  <si>
    <t>Dale &amp; Cindy Howland</t>
  </si>
  <si>
    <t>642 Tucker Hill Road</t>
  </si>
  <si>
    <t>Vigneau, Francis</t>
  </si>
  <si>
    <t>20 REPA ROAD UNDERHILL VT 05489 - CHITTENDEN</t>
  </si>
  <si>
    <t>0008Z2-1</t>
  </si>
  <si>
    <t>Vigneau's Home yard</t>
  </si>
  <si>
    <t>Francis Vigneau</t>
  </si>
  <si>
    <t>20 Repa Road</t>
  </si>
  <si>
    <t>Tebbetts, Rollin S.</t>
  </si>
  <si>
    <t>6215 BIGELOW COMMONS ENFIELD CT 06082</t>
  </si>
  <si>
    <t>0008Z4-1</t>
  </si>
  <si>
    <t>Family Farm</t>
  </si>
  <si>
    <t>Cabot Town</t>
  </si>
  <si>
    <t>Mary Tebbetts</t>
  </si>
  <si>
    <t>397 Tebbetts Road</t>
  </si>
  <si>
    <t>Cabot</t>
  </si>
  <si>
    <t>Pelletier, Andy</t>
  </si>
  <si>
    <t>PO BOX 156 ST ALBANS VT 05481</t>
  </si>
  <si>
    <t>0008ZC-1</t>
  </si>
  <si>
    <t>Pelletier-Home Yard</t>
  </si>
  <si>
    <t>Andy Pelletier</t>
  </si>
  <si>
    <t>6662 Georgia Shore Road</t>
  </si>
  <si>
    <t>0008ZC-2</t>
  </si>
  <si>
    <t>Breezy Acres Yd</t>
  </si>
  <si>
    <t>Dimond, Dwight</t>
  </si>
  <si>
    <t>1308 LOWER NOTCH ROAD BRISTOL VT 05443-5195 - ADDISON</t>
  </si>
  <si>
    <t>0008ZF-1</t>
  </si>
  <si>
    <t>Dimond Home Yard</t>
  </si>
  <si>
    <t>Dwight Dimond</t>
  </si>
  <si>
    <t>1308 Lower Notch Road</t>
  </si>
  <si>
    <t>Berger, Jennings</t>
  </si>
  <si>
    <t>319 HARWOOD PL TOWNSHEND VT 05353</t>
  </si>
  <si>
    <t>0008ZN-4</t>
  </si>
  <si>
    <t>Morrison Yard</t>
  </si>
  <si>
    <t>Brookline Town</t>
  </si>
  <si>
    <t>John Morrison</t>
  </si>
  <si>
    <t>7 Grassy Brook Road</t>
  </si>
  <si>
    <t>Brookline</t>
  </si>
  <si>
    <t>0008ZN-5</t>
  </si>
  <si>
    <t>CLARK YARD</t>
  </si>
  <si>
    <t>CHRIS CLARK</t>
  </si>
  <si>
    <t>853 VT RT 30</t>
  </si>
  <si>
    <t>Mansfield, Richard</t>
  </si>
  <si>
    <t>427 ELM ST MONTPELIER VT 05602</t>
  </si>
  <si>
    <t>00090B-1</t>
  </si>
  <si>
    <t>Mansfield Home Yard</t>
  </si>
  <si>
    <t>Sally Cargill</t>
  </si>
  <si>
    <t>32 Wood Road</t>
  </si>
  <si>
    <t>North Middlesex</t>
  </si>
  <si>
    <t>Neil, Kevin</t>
  </si>
  <si>
    <t>436 DAN SARGENT ROAD BRISTOL VT 05443 - ADDISON</t>
  </si>
  <si>
    <t>00090F-3</t>
  </si>
  <si>
    <t>Neil Home Yard</t>
  </si>
  <si>
    <t>Starksboro Town</t>
  </si>
  <si>
    <t>Kevin Neil</t>
  </si>
  <si>
    <t>436 Dan Sargent Road</t>
  </si>
  <si>
    <t>Bryan, Mike</t>
  </si>
  <si>
    <t>301 MIDDLE ROAD COLCHESTER VT 05446 - CHITTENDEN</t>
  </si>
  <si>
    <t>000918-1</t>
  </si>
  <si>
    <t>Bryan Home yard</t>
  </si>
  <si>
    <t>Mike Bryan</t>
  </si>
  <si>
    <t>301 Middle Road</t>
  </si>
  <si>
    <t>Valachovic, Heather</t>
  </si>
  <si>
    <t>3316 BROOK ROAD PLAINFIELD VT 05667 - WASHINGTON</t>
  </si>
  <si>
    <t>00091B-1</t>
  </si>
  <si>
    <t>Valachovic Home</t>
  </si>
  <si>
    <t>Heather Valachovic &amp; Frederick Pope</t>
  </si>
  <si>
    <t>3316 Brook Road</t>
  </si>
  <si>
    <t>Hebb, Mike</t>
  </si>
  <si>
    <t>PO BOX 204 S STRAFFORD VT 05070</t>
  </si>
  <si>
    <t>00091P-1</t>
  </si>
  <si>
    <t>Hebb-Home</t>
  </si>
  <si>
    <t>Mike Hebb</t>
  </si>
  <si>
    <t>192 Mine Road</t>
  </si>
  <si>
    <t>Buchanan, Gus</t>
  </si>
  <si>
    <t>4 BALSAM ST BURLINGTON VT 05401 - CHITTENDEN</t>
  </si>
  <si>
    <t>00092C-1</t>
  </si>
  <si>
    <t>Episcopal Diocese of Vermont</t>
  </si>
  <si>
    <t>1 Rock Point Road</t>
  </si>
  <si>
    <t>Dunham, Charles R.</t>
  </si>
  <si>
    <t>165 RIVERVALE ROAD SHELBURNE VT 05482 - CHITTENDEN</t>
  </si>
  <si>
    <t>00092G-1</t>
  </si>
  <si>
    <t>Dunham-Home</t>
  </si>
  <si>
    <t>Charles Dunham</t>
  </si>
  <si>
    <t>165 Rivervale Road</t>
  </si>
  <si>
    <t>Stahl, Bob</t>
  </si>
  <si>
    <t>163 BISHOP ROAD HINESBURG VT 05461</t>
  </si>
  <si>
    <t>00092M-2</t>
  </si>
  <si>
    <t>Marshall Yard</t>
  </si>
  <si>
    <t>Marshall Delaire</t>
  </si>
  <si>
    <t>1912 Silver Street</t>
  </si>
  <si>
    <t>00092M-4</t>
  </si>
  <si>
    <t>George Yard</t>
  </si>
  <si>
    <t>Nancy Faulkner</t>
  </si>
  <si>
    <t>283 Higbee Road</t>
  </si>
  <si>
    <t>00092M-5</t>
  </si>
  <si>
    <t>Unity</t>
  </si>
  <si>
    <t>Cathy Wells</t>
  </si>
  <si>
    <t>200 Higbee Road</t>
  </si>
  <si>
    <t>00092M-6</t>
  </si>
  <si>
    <t>Toni</t>
  </si>
  <si>
    <t>Toni Hill</t>
  </si>
  <si>
    <t>5283 Dorset Street</t>
  </si>
  <si>
    <t>00092M-7</t>
  </si>
  <si>
    <t>Amy</t>
  </si>
  <si>
    <t>Amy McVey</t>
  </si>
  <si>
    <t>37 Crowley Street</t>
  </si>
  <si>
    <t>Frey, Michael</t>
  </si>
  <si>
    <t>PO BOX 189 CEDAR GROVE NJ 07009</t>
  </si>
  <si>
    <t>00092Q-1</t>
  </si>
  <si>
    <t>Frey Land</t>
  </si>
  <si>
    <t>Frey</t>
  </si>
  <si>
    <t>3043 Rt 22 A</t>
  </si>
  <si>
    <t>00092Q-2</t>
  </si>
  <si>
    <t>LivingstonYard</t>
  </si>
  <si>
    <t>Livingston</t>
  </si>
  <si>
    <t>1531 Hardscrabble Road</t>
  </si>
  <si>
    <t>00092Q-3</t>
  </si>
  <si>
    <t>New Haven Yard</t>
  </si>
  <si>
    <t>Across Fire Department Rt 116/Rt 117</t>
  </si>
  <si>
    <t>00092Q-4</t>
  </si>
  <si>
    <t>Berry Farm</t>
  </si>
  <si>
    <t>Across from Abbey Pond Trail, Coirner Mead Lane Rt 116</t>
  </si>
  <si>
    <t>Childs, Daniel</t>
  </si>
  <si>
    <t>1148 KIBBEE ROAD BROOKFIELD VT 05036 - ORANGE</t>
  </si>
  <si>
    <t>00092V-2</t>
  </si>
  <si>
    <t>Khan Yd</t>
  </si>
  <si>
    <t>284 Turkey Hill Road</t>
  </si>
  <si>
    <t>00092V-8</t>
  </si>
  <si>
    <t>Evans Yard</t>
  </si>
  <si>
    <t>Brookfield Town</t>
  </si>
  <si>
    <t>Evans/Montte</t>
  </si>
  <si>
    <t>426 Kibbee Road</t>
  </si>
  <si>
    <t>Brookfield</t>
  </si>
  <si>
    <t>00092V-9</t>
  </si>
  <si>
    <t>Childs-Home Yard</t>
  </si>
  <si>
    <t>Childs</t>
  </si>
  <si>
    <t>1148 Kibbee Road</t>
  </si>
  <si>
    <t>Schwartz, Jeff</t>
  </si>
  <si>
    <t>95 LOGWOOD STREET SOUTH BURLINGTO VT 05403</t>
  </si>
  <si>
    <t>00092Y-1</t>
  </si>
  <si>
    <t>Schwartz home yard</t>
  </si>
  <si>
    <t>Jim Madison</t>
  </si>
  <si>
    <t>6002 Dorset St</t>
  </si>
  <si>
    <t>Rathburn, Jennifer</t>
  </si>
  <si>
    <t>305 BLOOD HILL ROAD WEST WINDSOR VT 05089 - WINDSOR</t>
  </si>
  <si>
    <t>000930-1</t>
  </si>
  <si>
    <t>Rathburn-Home</t>
  </si>
  <si>
    <t>Jennifer Rathburn</t>
  </si>
  <si>
    <t>305 Blood Hill Road</t>
  </si>
  <si>
    <t>Smith, William F.</t>
  </si>
  <si>
    <t>1376 WES WHITE HILL RICHMOND VT 05477 - CHITTENDEN</t>
  </si>
  <si>
    <t>000934-1</t>
  </si>
  <si>
    <t>Smith home yard</t>
  </si>
  <si>
    <t>William Smith</t>
  </si>
  <si>
    <t>430 Durand Rd</t>
  </si>
  <si>
    <t>Boumans, Roelof M.</t>
  </si>
  <si>
    <t>4685 GREENBUSH ROAD CHARLOTTE VT 05445 - CHITTENDEN</t>
  </si>
  <si>
    <t>000935-1</t>
  </si>
  <si>
    <t>Boumans Home Yard</t>
  </si>
  <si>
    <t>Roel Boumans</t>
  </si>
  <si>
    <t>4685 Greenbush Road</t>
  </si>
  <si>
    <t>Letourneau, Laurent</t>
  </si>
  <si>
    <t>4263 NELSON HILL ROAD DERBY VT 05829 - ORLEANS</t>
  </si>
  <si>
    <t>000936-1</t>
  </si>
  <si>
    <t>Letourneau-Home Yard</t>
  </si>
  <si>
    <t>Laurent Letourneau</t>
  </si>
  <si>
    <t>4263 Nelson Hill Road</t>
  </si>
  <si>
    <t>Derby</t>
  </si>
  <si>
    <t>Decker, Walter</t>
  </si>
  <si>
    <t>88 PEARL STREET GRAND ISLE VT 05458 - GRAND ISLE</t>
  </si>
  <si>
    <t>00093C-1</t>
  </si>
  <si>
    <t>Decker-Home</t>
  </si>
  <si>
    <t>Walter Decker</t>
  </si>
  <si>
    <t>88 Pearl Street</t>
  </si>
  <si>
    <t>Adrian, Michael</t>
  </si>
  <si>
    <t>430 S WARDSBORO ROAD NEWFANE VT 05345 - WINDHAM</t>
  </si>
  <si>
    <t>000942-1</t>
  </si>
  <si>
    <t>Adrian-Home</t>
  </si>
  <si>
    <t>Michael Adrian</t>
  </si>
  <si>
    <t>430 S Wardsboro Road</t>
  </si>
  <si>
    <t>000942-2</t>
  </si>
  <si>
    <t>Yard 1</t>
  </si>
  <si>
    <t>57 Newfane Hill</t>
  </si>
  <si>
    <t>Manice, Tita</t>
  </si>
  <si>
    <t>1249 GOLDCOAST RD BRIDGEWATER VT 05034 - WINDSOR</t>
  </si>
  <si>
    <t>00094K-1</t>
  </si>
  <si>
    <t>Manice Yard</t>
  </si>
  <si>
    <t>Bridgewater Town</t>
  </si>
  <si>
    <t>Tita Manice</t>
  </si>
  <si>
    <t>1249 Goldcoast Road</t>
  </si>
  <si>
    <t>Bridgewater</t>
  </si>
  <si>
    <t>Rowley, Dunham</t>
  </si>
  <si>
    <t>681 WESTERN AVE BRATTLEBORO VT 05301 - WINDHAM</t>
  </si>
  <si>
    <t>00094P-1</t>
  </si>
  <si>
    <t>Rowley-Home</t>
  </si>
  <si>
    <t>Sam Rowley</t>
  </si>
  <si>
    <t>681 Western Ave</t>
  </si>
  <si>
    <t>Mathewson, Jon</t>
  </si>
  <si>
    <t>12 MONTVERT RD MIDDLETOWN SPRINGS VT 05757 - RUTLAND</t>
  </si>
  <si>
    <t>000950-1</t>
  </si>
  <si>
    <t>Mathewson Home</t>
  </si>
  <si>
    <t>Middletown Springs Town</t>
  </si>
  <si>
    <t>Jon Mathewson</t>
  </si>
  <si>
    <t>12 Montvert Road</t>
  </si>
  <si>
    <t>Middletown Springs</t>
  </si>
  <si>
    <t>Rattazzi, Robin C.</t>
  </si>
  <si>
    <t>416 SHADY RILL ROAD MONTPELIER VT 05602-9374 - WASHINGTON</t>
  </si>
  <si>
    <t>000951-1</t>
  </si>
  <si>
    <t>Rattazzi-Home</t>
  </si>
  <si>
    <t>Middlesex Town</t>
  </si>
  <si>
    <t>Robin Rattazzi</t>
  </si>
  <si>
    <t>416 Shady Rill Road</t>
  </si>
  <si>
    <t>Middlesex</t>
  </si>
  <si>
    <t>Atchinson, Jeanne Ross (Genie's)</t>
  </si>
  <si>
    <t>116 STOWE STREET WATERBURY VT 05676-1112 - WASHINGTON</t>
  </si>
  <si>
    <t>000954-1</t>
  </si>
  <si>
    <t>Atchinson Yard</t>
  </si>
  <si>
    <t>Jeanne Ross Atchinson</t>
  </si>
  <si>
    <t>116 Stowe Street</t>
  </si>
  <si>
    <t>05676-1112</t>
  </si>
  <si>
    <t>O'meara, Brian</t>
  </si>
  <si>
    <t>400 RIDDLE POND ROAD E ORANGE VT 05086</t>
  </si>
  <si>
    <t>000955-1</t>
  </si>
  <si>
    <t>O'Meara-Home</t>
  </si>
  <si>
    <t>Orange Town</t>
  </si>
  <si>
    <t>Brain O'meara</t>
  </si>
  <si>
    <t>400 Riddle Pond Road</t>
  </si>
  <si>
    <t>000955-2</t>
  </si>
  <si>
    <t>Miller Yard</t>
  </si>
  <si>
    <t>Creighton, Jon (Eden Hills Apiary)</t>
  </si>
  <si>
    <t>129 DELLA-CORTE DRIVE EDEN VT 05652-8904 - LAMOILLE</t>
  </si>
  <si>
    <t>00095G-1</t>
  </si>
  <si>
    <t>Creighton Home Yard</t>
  </si>
  <si>
    <t>Eden Town</t>
  </si>
  <si>
    <t>Jon Creighton</t>
  </si>
  <si>
    <t>129 Della-Corte Drive</t>
  </si>
  <si>
    <t>Eden</t>
  </si>
  <si>
    <t>Ross, William D.</t>
  </si>
  <si>
    <t>APT 319 300 WAKE ROBIN DRIVE SHELBURNE VT 05482 - CHITTENDEN</t>
  </si>
  <si>
    <t>00095J-1</t>
  </si>
  <si>
    <t>Home @Wake Robin Retirement Complex</t>
  </si>
  <si>
    <t>Wake Robin Corporation</t>
  </si>
  <si>
    <t>Nolan, Christopher</t>
  </si>
  <si>
    <t>150 SWEET HOLLOW MANCHESTER CENTER VT 05255 - BENNINGTON</t>
  </si>
  <si>
    <t>00095M-1</t>
  </si>
  <si>
    <t>Nolan-Home Yard</t>
  </si>
  <si>
    <t>Christopher Nolan</t>
  </si>
  <si>
    <t>150 Sweet Hollow Road</t>
  </si>
  <si>
    <t>Jackson, Thomas</t>
  </si>
  <si>
    <t>5483 GREENBUSH ROAD CHARLOTTE VT 05445 - CHITTENDEN</t>
  </si>
  <si>
    <t>00095W-1</t>
  </si>
  <si>
    <t>Jackson Home yard</t>
  </si>
  <si>
    <t>Tom &amp; MP Jackson</t>
  </si>
  <si>
    <t>5483 Greenbush Road</t>
  </si>
  <si>
    <t>O'hara, Cindy</t>
  </si>
  <si>
    <t>280 RIDGE DRIVE HUNTINGTON VT 05462 - CHITTENDEN</t>
  </si>
  <si>
    <t>00096W-1</t>
  </si>
  <si>
    <t>O'Hara Home Yard</t>
  </si>
  <si>
    <t>Huntington Town</t>
  </si>
  <si>
    <t>Cindy O'Hara &amp; Sally Hillary</t>
  </si>
  <si>
    <t>280 Ridge Drive</t>
  </si>
  <si>
    <t>Huntington</t>
  </si>
  <si>
    <t>Spruit, Donald</t>
  </si>
  <si>
    <t>620 N MAIN STREET WALLINGFORD VT 05773 - RUTLAND</t>
  </si>
  <si>
    <t>000970-1</t>
  </si>
  <si>
    <t>Spruit-Home Yard</t>
  </si>
  <si>
    <t>Donald Spruit</t>
  </si>
  <si>
    <t>620 N. Main Street</t>
  </si>
  <si>
    <t>Shupe, Brian</t>
  </si>
  <si>
    <t>118 BUTCHER HOUSE ROAD WAITSFIELD VT 05673 - WASHINGTON</t>
  </si>
  <si>
    <t>00097C-1</t>
  </si>
  <si>
    <t>Shupe Home Yard</t>
  </si>
  <si>
    <t>Brian Shupe</t>
  </si>
  <si>
    <t>118 Butcher House Road</t>
  </si>
  <si>
    <t>Phillips, Daniel T.</t>
  </si>
  <si>
    <t>2069 STATES PRISON HOLLOW ROAD BRISTOL VT 05443 - ADDISON</t>
  </si>
  <si>
    <t>00097D-2</t>
  </si>
  <si>
    <t>Phillips' Out Yard</t>
  </si>
  <si>
    <t>2647 States Prison Hollow Road</t>
  </si>
  <si>
    <t>Norcross, Thomas</t>
  </si>
  <si>
    <t>431 BROWNS TRACE ROAD JERICHO VT 05465 - CHITTENDEN</t>
  </si>
  <si>
    <t>00097F-2</t>
  </si>
  <si>
    <t>431 Browns Trace Road</t>
  </si>
  <si>
    <t>Thomas Norcros</t>
  </si>
  <si>
    <t>same as home address</t>
  </si>
  <si>
    <t>Nailor, Gloria</t>
  </si>
  <si>
    <t>PO BOX 327 WORCESTER VT 05682 - WASHINGTON</t>
  </si>
  <si>
    <t>00097Z-1</t>
  </si>
  <si>
    <t>59 Hampshire Hill Road</t>
  </si>
  <si>
    <t>00097Z-2</t>
  </si>
  <si>
    <t>Brandon Yard</t>
  </si>
  <si>
    <t>Fran Bull</t>
  </si>
  <si>
    <t>Arnold District Road</t>
  </si>
  <si>
    <t>00097Z-3</t>
  </si>
  <si>
    <t>Harriott Shea</t>
  </si>
  <si>
    <t>260 Old Trail Road</t>
  </si>
  <si>
    <t>Valenta, Kurt J.</t>
  </si>
  <si>
    <t>1635 WATERTOWER ROAD ENOSBURG FALLS VT 05450 - FRANKLIN</t>
  </si>
  <si>
    <t>000980-1</t>
  </si>
  <si>
    <t>Bourdeau</t>
  </si>
  <si>
    <t>754 Rice Hill Road</t>
  </si>
  <si>
    <t>000980-2</t>
  </si>
  <si>
    <t>Valenta-Home</t>
  </si>
  <si>
    <t>Kurt Valenta</t>
  </si>
  <si>
    <t>1635 Water Tower Road</t>
  </si>
  <si>
    <t>Willard, Michael</t>
  </si>
  <si>
    <t>19 BIRCH ROAD FAIRFAX VT 05454 - FRANKLIN</t>
  </si>
  <si>
    <t>000982-1</t>
  </si>
  <si>
    <t>Michael Willard</t>
  </si>
  <si>
    <t>19 Birch Road</t>
  </si>
  <si>
    <t>000982-2</t>
  </si>
  <si>
    <t>Yard #2</t>
  </si>
  <si>
    <t>Stan Willard</t>
  </si>
  <si>
    <t>135 Foley Road</t>
  </si>
  <si>
    <t>000982-3</t>
  </si>
  <si>
    <t>Yard #3</t>
  </si>
  <si>
    <t>Ted Bissette</t>
  </si>
  <si>
    <t>2371 Main Street</t>
  </si>
  <si>
    <t>000982-4</t>
  </si>
  <si>
    <t>Yard #4</t>
  </si>
  <si>
    <t>Mike McAdoo</t>
  </si>
  <si>
    <t>124 Wilcox Road</t>
  </si>
  <si>
    <t>000982-5</t>
  </si>
  <si>
    <t>Yard #5</t>
  </si>
  <si>
    <t>Mrs Wolfe</t>
  </si>
  <si>
    <t>2105 VT RT 28</t>
  </si>
  <si>
    <t>Meyer-Bothling, Heidi</t>
  </si>
  <si>
    <t>2923 DIAMOND HILL RD ST JOHNSBURY VT 05819</t>
  </si>
  <si>
    <t>000985-1</t>
  </si>
  <si>
    <t>Meyer-Bothling Home Yard</t>
  </si>
  <si>
    <t>Saint Johnsbury Town</t>
  </si>
  <si>
    <t>Heidi Meyer-Bothling</t>
  </si>
  <si>
    <t>2923 Diamond Hill Road</t>
  </si>
  <si>
    <t>St. Johnsbury</t>
  </si>
  <si>
    <t>Floegel, Mark</t>
  </si>
  <si>
    <t>87 HOWARD STREET BURLINGTON VT 05401 - CHITTENDEN</t>
  </si>
  <si>
    <t>000988-1</t>
  </si>
  <si>
    <t>Floegel Home Yard</t>
  </si>
  <si>
    <t>Mark Floegel</t>
  </si>
  <si>
    <t>87 Howard Street</t>
  </si>
  <si>
    <t>LaWhite, Leif</t>
  </si>
  <si>
    <t>54 BRIDGE ROAD N THETFORD VT 05054</t>
  </si>
  <si>
    <t>000989-1</t>
  </si>
  <si>
    <t>LaWhite Home Yard</t>
  </si>
  <si>
    <t>Leif LaWhite</t>
  </si>
  <si>
    <t>54 Bridge Road</t>
  </si>
  <si>
    <t>North Thetford</t>
  </si>
  <si>
    <t>000989-2</t>
  </si>
  <si>
    <t>Cedar Circle Farm</t>
  </si>
  <si>
    <t>225 Pavillion Road</t>
  </si>
  <si>
    <t>000989-3</t>
  </si>
  <si>
    <t>Farthers Yard</t>
  </si>
  <si>
    <t>Eric LaWhite</t>
  </si>
  <si>
    <t>2907 Dairy Hill Road</t>
  </si>
  <si>
    <t>Welch, Martha</t>
  </si>
  <si>
    <t>147 CHURCH STREET RUTLAND VT 05701-2917</t>
  </si>
  <si>
    <t>00098G-2</t>
  </si>
  <si>
    <t>Welch home yard</t>
  </si>
  <si>
    <t>Martha Welch</t>
  </si>
  <si>
    <t>Schlueter, Max</t>
  </si>
  <si>
    <t>PO BOX 267 NORTHFIELD FALLS VT 05664 - WASHINGTON</t>
  </si>
  <si>
    <t>00098M-1</t>
  </si>
  <si>
    <t>Schlueter-Home Yard</t>
  </si>
  <si>
    <t>Max Schlueter</t>
  </si>
  <si>
    <t>328 RT 12</t>
  </si>
  <si>
    <t>Northfield Falls</t>
  </si>
  <si>
    <t>Rosenmiller, Diane</t>
  </si>
  <si>
    <t>50 WEST STREET MIDDLETOWN SPRINGS VT 05757 - RUTLAND</t>
  </si>
  <si>
    <t>00098Q-1</t>
  </si>
  <si>
    <t>Rosenmiller Home Yard</t>
  </si>
  <si>
    <t>Diane Rosenmiller &amp; Nick Seidner</t>
  </si>
  <si>
    <t>50 West Street</t>
  </si>
  <si>
    <t>Mullin, Kevin</t>
  </si>
  <si>
    <t>3299 HARTSBORO ROAD WALLINGFORD VT 05773 - RUTLAND</t>
  </si>
  <si>
    <t>00098X-1</t>
  </si>
  <si>
    <t>Mullin Home Yard</t>
  </si>
  <si>
    <t>Millie &amp; Kevin Mullin</t>
  </si>
  <si>
    <t>3299 Hartsboro Road</t>
  </si>
  <si>
    <t>00098X-2</t>
  </si>
  <si>
    <t>Wortman home yard</t>
  </si>
  <si>
    <t>Rutland Town</t>
  </si>
  <si>
    <t>Jeremy Wortman</t>
  </si>
  <si>
    <t>32 Straton Rd</t>
  </si>
  <si>
    <t>00098X-3</t>
  </si>
  <si>
    <t>Stickney home yard</t>
  </si>
  <si>
    <t>Peter Stickney</t>
  </si>
  <si>
    <t>376 Corn Hill Rd</t>
  </si>
  <si>
    <t>Sand, Neal F.</t>
  </si>
  <si>
    <t>484 BEAR TRAP ROAD MILTON VT 05468 - CHITTENDEN</t>
  </si>
  <si>
    <t>00098Y-1</t>
  </si>
  <si>
    <t>Sand-Home Yard</t>
  </si>
  <si>
    <t>Neal Sand</t>
  </si>
  <si>
    <t>484 Bear Trap Road</t>
  </si>
  <si>
    <t>00098Y-3</t>
  </si>
  <si>
    <t>Charlebois Yard</t>
  </si>
  <si>
    <t>950 RT7</t>
  </si>
  <si>
    <t>South Milton</t>
  </si>
  <si>
    <t>Driscoll, Louisa</t>
  </si>
  <si>
    <t>711 WEST HILL ROAD ST JOHNSBURY VT 05819</t>
  </si>
  <si>
    <t>00099C-1</t>
  </si>
  <si>
    <t>Driscoll-Home Yard</t>
  </si>
  <si>
    <t>Louisa Driscoll</t>
  </si>
  <si>
    <t>711 West Hill Road</t>
  </si>
  <si>
    <t>Luce, Daniel</t>
  </si>
  <si>
    <t>2408 DORSET STREET CHARLOTTE VT 05445 - CHITTENDEN</t>
  </si>
  <si>
    <t>00099M-1</t>
  </si>
  <si>
    <t>Luce-Home</t>
  </si>
  <si>
    <t>Daniel Luce</t>
  </si>
  <si>
    <t>2408 Dorset Street</t>
  </si>
  <si>
    <t>Nolan, Michael</t>
  </si>
  <si>
    <t>2719 PEARSON ROAD NEW HAVEN VT 05472 - ADDISON</t>
  </si>
  <si>
    <t>0009A0-1</t>
  </si>
  <si>
    <t>Nolan-Home</t>
  </si>
  <si>
    <t>Michael Nolan</t>
  </si>
  <si>
    <t>2719 Pearson Road</t>
  </si>
  <si>
    <t>Kish, Edward J.</t>
  </si>
  <si>
    <t>618 HOUSTON HILL ROAD HARDWICK VT 05843 - CALEDONIA</t>
  </si>
  <si>
    <t>0009A3-1</t>
  </si>
  <si>
    <t>Kish-Home Yard</t>
  </si>
  <si>
    <t>Edward Kish</t>
  </si>
  <si>
    <t>618 Houston Road</t>
  </si>
  <si>
    <t>Laber, Kurt</t>
  </si>
  <si>
    <t>905 CREEK ROAD IRASBURG VT 05845</t>
  </si>
  <si>
    <t>0009A4-1</t>
  </si>
  <si>
    <t>LaberHome</t>
  </si>
  <si>
    <t>Irasburg Town</t>
  </si>
  <si>
    <t>Kurt Laber</t>
  </si>
  <si>
    <t>905 Creek Road</t>
  </si>
  <si>
    <t>Irasburg</t>
  </si>
  <si>
    <t>Davis, Nancy</t>
  </si>
  <si>
    <t>20 GULLY ROAD WOODSTOCK VT 05091 - WINDSOR</t>
  </si>
  <si>
    <t>000ADG-1</t>
  </si>
  <si>
    <t>Nancy Davis</t>
  </si>
  <si>
    <t>20 Gully Road</t>
  </si>
  <si>
    <t>Beckwith, Chad</t>
  </si>
  <si>
    <t>3255 LAKE ST ADDISON VT 05491</t>
  </si>
  <si>
    <t>000ADP-1</t>
  </si>
  <si>
    <t>Shaky Ground Farm</t>
  </si>
  <si>
    <t>Sean Costello</t>
  </si>
  <si>
    <t>3255 Lake Street</t>
  </si>
  <si>
    <t>000ADP-2</t>
  </si>
  <si>
    <t>Beckwith home yard</t>
  </si>
  <si>
    <t>Goshen Town</t>
  </si>
  <si>
    <t>Chad Beckwith</t>
  </si>
  <si>
    <t>421 Hathaway Rd</t>
  </si>
  <si>
    <t>Goshen</t>
  </si>
  <si>
    <t>Beckwith, David</t>
  </si>
  <si>
    <t>319 CONVERSE BAY ROAD CHARLOTTE VT 05445 - CHITTENDEN</t>
  </si>
  <si>
    <t>000ADQ-1</t>
  </si>
  <si>
    <t>David Beckwith</t>
  </si>
  <si>
    <t>319 Converse Bay Road</t>
  </si>
  <si>
    <t>Martin, Robert L</t>
  </si>
  <si>
    <t>PO BOX 135 WORCESTER VT 05682</t>
  </si>
  <si>
    <t>000ADW-1</t>
  </si>
  <si>
    <t>Morse Yard</t>
  </si>
  <si>
    <t>Reginald Morse</t>
  </si>
  <si>
    <t>Off RT 12</t>
  </si>
  <si>
    <t>000ADW-2</t>
  </si>
  <si>
    <t>Martin-Home Yard</t>
  </si>
  <si>
    <t>Robert Martin</t>
  </si>
  <si>
    <t>36 Calais Road</t>
  </si>
  <si>
    <t>Robinson, Peter</t>
  </si>
  <si>
    <t>239 RIVER STREET POULTNEY VT 05764 - RUTLAND</t>
  </si>
  <si>
    <t>000AGP-1</t>
  </si>
  <si>
    <t>Robinson Home Yard</t>
  </si>
  <si>
    <t>Peter Robinson</t>
  </si>
  <si>
    <t>239 River Street</t>
  </si>
  <si>
    <t>Kravitz, Jennifer</t>
  </si>
  <si>
    <t>426 CUTTING HILL ROAD WHITING VT 05778-9537 - ADDISON</t>
  </si>
  <si>
    <t>000AGZ-1</t>
  </si>
  <si>
    <t>Kravitz-Home Yard</t>
  </si>
  <si>
    <t>Jennifer Kravitz</t>
  </si>
  <si>
    <t>426 Cutting Hill Road</t>
  </si>
  <si>
    <t>05778-9537</t>
  </si>
  <si>
    <t>Blais, David</t>
  </si>
  <si>
    <t>600 OLD CONNECTICUT RIVER ROAD SPRINGFIELD VT 05156 - WINDSOR</t>
  </si>
  <si>
    <t>000AH4-1</t>
  </si>
  <si>
    <t>Blais Home Yard</t>
  </si>
  <si>
    <t>David Blais</t>
  </si>
  <si>
    <t>600 Old Connecticut River Road</t>
  </si>
  <si>
    <t>Shambaugh, Angela</t>
  </si>
  <si>
    <t>2994 CHASE ROAD BERLIN VT 05602 - WASHINGTON</t>
  </si>
  <si>
    <t>000AH7-1</t>
  </si>
  <si>
    <t>Shambaugh Home Yard</t>
  </si>
  <si>
    <t>Angela Shambaugh</t>
  </si>
  <si>
    <t>2994 Chase Road</t>
  </si>
  <si>
    <t>Combs, Raymond</t>
  </si>
  <si>
    <t>74 GREGORY LANE HALIFAX VT 05358-4402 - WINDHAM</t>
  </si>
  <si>
    <t>000AHD-1</t>
  </si>
  <si>
    <t>Combs-Home Yard</t>
  </si>
  <si>
    <t>Halifax Town</t>
  </si>
  <si>
    <t>Raymond Combs</t>
  </si>
  <si>
    <t>74 Gregory Lane</t>
  </si>
  <si>
    <t>Halifax</t>
  </si>
  <si>
    <t>05358-4402</t>
  </si>
  <si>
    <t>Waite, Stephen</t>
  </si>
  <si>
    <t>19 BEAVER LANE HARTLAND VT 05048 - WINDSOR</t>
  </si>
  <si>
    <t>000AJ0-1</t>
  </si>
  <si>
    <t>Waite-Home Yard</t>
  </si>
  <si>
    <t>Stephen Waite</t>
  </si>
  <si>
    <t>19 Beaver Lane</t>
  </si>
  <si>
    <t>Pecor, Richard E, Jr.</t>
  </si>
  <si>
    <t>1753 NORTHFIELD ROAD BROOKFIELD VT 05036 - ORANGE</t>
  </si>
  <si>
    <t>000AJ2-1</t>
  </si>
  <si>
    <t>Pecor-Home Yard</t>
  </si>
  <si>
    <t>Richard Pecor</t>
  </si>
  <si>
    <t>1753 Northfield Road</t>
  </si>
  <si>
    <t>Harwood, Alice</t>
  </si>
  <si>
    <t>2868 VT RT 11 - W CHESTER VT 05143-9299 - WINDSOR</t>
  </si>
  <si>
    <t>000AJ3-1</t>
  </si>
  <si>
    <t>Harwood-Home Yard</t>
  </si>
  <si>
    <t>Chester Town</t>
  </si>
  <si>
    <t>Alice Harwood</t>
  </si>
  <si>
    <t>2868 VT RT 11 - W</t>
  </si>
  <si>
    <t>Chester</t>
  </si>
  <si>
    <t>Dagesse, Irene</t>
  </si>
  <si>
    <t>1456 HINMAN SETTLER ROAD NEWPORT VT 05855 - ORLEANS</t>
  </si>
  <si>
    <t>000AJJ-1</t>
  </si>
  <si>
    <t>DagesseHome Yard</t>
  </si>
  <si>
    <t>Irene Dagesse</t>
  </si>
  <si>
    <t>1456 Hinman Settler Road</t>
  </si>
  <si>
    <t>Bouchard, Ron</t>
  </si>
  <si>
    <t>3223 VT RT 108 N JEFFERSONVILLE VT 05464 - LAMOILLE</t>
  </si>
  <si>
    <t>000AJM-1</t>
  </si>
  <si>
    <t>Bouchard Home Yard</t>
  </si>
  <si>
    <t>Cambridge Town</t>
  </si>
  <si>
    <t>Ron Bouchard</t>
  </si>
  <si>
    <t>3223 VT RT 108 N</t>
  </si>
  <si>
    <t>Jeffersonville</t>
  </si>
  <si>
    <t>Sterling College</t>
  </si>
  <si>
    <t>16 STERLING DRIVE CRAFTSBURY COMMON VT 05827 - ORLEANS</t>
  </si>
  <si>
    <t>000AK2-1</t>
  </si>
  <si>
    <t>Craftsbury Town</t>
  </si>
  <si>
    <t>16 Sterling Drive</t>
  </si>
  <si>
    <t>Craftsbury Common</t>
  </si>
  <si>
    <t>Harding, Drew C.</t>
  </si>
  <si>
    <t>518 CUTLER CORNER ROAD BARRE VT 05641 - WASHINGTON</t>
  </si>
  <si>
    <t>000AK3-1</t>
  </si>
  <si>
    <t>Harding-Home Yard</t>
  </si>
  <si>
    <t>Charles Harding</t>
  </si>
  <si>
    <t>518 Cutler Corner Road</t>
  </si>
  <si>
    <t>000AK3-2</t>
  </si>
  <si>
    <t>Blackburn Yard</t>
  </si>
  <si>
    <t>Brad Blackburn</t>
  </si>
  <si>
    <t>2619Upper Road</t>
  </si>
  <si>
    <t>Freeguard, Gary</t>
  </si>
  <si>
    <t>175 STICKNEY ROAD WHITING VT 05778 - ADDISON</t>
  </si>
  <si>
    <t>000APA-1</t>
  </si>
  <si>
    <t>175 Stickney Road</t>
  </si>
  <si>
    <t>Horning, Ned</t>
  </si>
  <si>
    <t>354 SOUTH RIDGE ROAD MIDDLEBURY VT 05753 - ADDISON</t>
  </si>
  <si>
    <t>000APP-1</t>
  </si>
  <si>
    <t>Horning Home Yard</t>
  </si>
  <si>
    <t>Ned Horning</t>
  </si>
  <si>
    <t>354 South Ridge Road</t>
  </si>
  <si>
    <t>Burde, James</t>
  </si>
  <si>
    <t>PO BOX 272 JERICHO VT 05465 - CHITTENDEN</t>
  </si>
  <si>
    <t>000AQP-1</t>
  </si>
  <si>
    <t>Burde Home Yard</t>
  </si>
  <si>
    <t>James Burde</t>
  </si>
  <si>
    <t>97 Old Pump Road</t>
  </si>
  <si>
    <t>Benson, James L., Jr.</t>
  </si>
  <si>
    <t>288 BARSTOW ROAD SHELBURNE VT 05482 - CHITTENDEN</t>
  </si>
  <si>
    <t>000AQZ-1</t>
  </si>
  <si>
    <t>Benson-Home Yard</t>
  </si>
  <si>
    <t>James Benson</t>
  </si>
  <si>
    <t>288 Barstow Road</t>
  </si>
  <si>
    <t>Stanley, Frank</t>
  </si>
  <si>
    <t>PO BOX 622 HINESBURG VT 05461</t>
  </si>
  <si>
    <t>000AVZ-1</t>
  </si>
  <si>
    <t>Stanley's Home Yard</t>
  </si>
  <si>
    <t>Frank Stanley</t>
  </si>
  <si>
    <t>517 Cemetary Road</t>
  </si>
  <si>
    <t>Meservey, Matthew</t>
  </si>
  <si>
    <t>PO BOX 961 KILLINGTON VT 05751</t>
  </si>
  <si>
    <t>000AW0-1</t>
  </si>
  <si>
    <t>Meservey Home Yard</t>
  </si>
  <si>
    <t>Killington Town</t>
  </si>
  <si>
    <t>Matthew Meservey</t>
  </si>
  <si>
    <t>175 Water Mill Road</t>
  </si>
  <si>
    <t>Killington</t>
  </si>
  <si>
    <t>000AW0-2</t>
  </si>
  <si>
    <t>Goodro Lumber Yard</t>
  </si>
  <si>
    <t>Bill Shaw</t>
  </si>
  <si>
    <t>4489 US RT 4</t>
  </si>
  <si>
    <t>000AW0-3</t>
  </si>
  <si>
    <t>3 Lynam home yard</t>
  </si>
  <si>
    <t>Lynam</t>
  </si>
  <si>
    <t>979 South Hill Rd</t>
  </si>
  <si>
    <t>Stockbridge</t>
  </si>
  <si>
    <t>000AW0-4</t>
  </si>
  <si>
    <t>4 Nickerson home yard</t>
  </si>
  <si>
    <t>Nickerson</t>
  </si>
  <si>
    <t>88 Wittier Road</t>
  </si>
  <si>
    <t>Bethel</t>
  </si>
  <si>
    <t>000AW0-5</t>
  </si>
  <si>
    <t>5 Killington Ski Resort</t>
  </si>
  <si>
    <t>Killington Ski Resort</t>
  </si>
  <si>
    <t>Skye Base Station</t>
  </si>
  <si>
    <t>Martin, Brennan</t>
  </si>
  <si>
    <t>344 NORTH STREET 1 BURLINGTON VT 05401</t>
  </si>
  <si>
    <t>000AW8-1</t>
  </si>
  <si>
    <t>Settlement Farm Yard</t>
  </si>
  <si>
    <t>David Martin</t>
  </si>
  <si>
    <t>416 Irish Settlement Road</t>
  </si>
  <si>
    <t>000AW8-2</t>
  </si>
  <si>
    <t>Valley Dream Farm Yard</t>
  </si>
  <si>
    <t>Ann Tisbert</t>
  </si>
  <si>
    <t>Pleasant Valley Road</t>
  </si>
  <si>
    <t>Whitaker, Tod</t>
  </si>
  <si>
    <t>2475 BALDWIN ROAD HINESBURG VT 05461 - CHITTENDEN</t>
  </si>
  <si>
    <t>000AW9-1</t>
  </si>
  <si>
    <t>Whitaker-Home Yard</t>
  </si>
  <si>
    <t>Tod Whitaker</t>
  </si>
  <si>
    <t>Fraser, Stephen D.</t>
  </si>
  <si>
    <t>3952 TREBO ROAD CHESTER VT 05143-8307 - WINDSOR</t>
  </si>
  <si>
    <t>000AWC-1</t>
  </si>
  <si>
    <t>A</t>
  </si>
  <si>
    <t>Nate Fraser</t>
  </si>
  <si>
    <t>1 Mill Road</t>
  </si>
  <si>
    <t>North Springfield</t>
  </si>
  <si>
    <t>000AWC-2</t>
  </si>
  <si>
    <t>B</t>
  </si>
  <si>
    <t>Mary Fraser</t>
  </si>
  <si>
    <t>2155 Rt 11</t>
  </si>
  <si>
    <t>Bodin, John</t>
  </si>
  <si>
    <t>124 WEST ROAD NORTH CHITTENDEN VT 05763 - RUTLAND</t>
  </si>
  <si>
    <t>000AX0-1</t>
  </si>
  <si>
    <t>Bodin Home Yard</t>
  </si>
  <si>
    <t>Chittenden Town</t>
  </si>
  <si>
    <t>John Bodin</t>
  </si>
  <si>
    <t>124 West Road</t>
  </si>
  <si>
    <t>North Chittenden</t>
  </si>
  <si>
    <t>Sightler, Randal</t>
  </si>
  <si>
    <t>123 N WINOOSKI AVENUE BURLINGTON VT 05401 - CHITTENDEN</t>
  </si>
  <si>
    <t>000AY0-1</t>
  </si>
  <si>
    <t>Sightler Home Yard</t>
  </si>
  <si>
    <t>Randal Sightler</t>
  </si>
  <si>
    <t>123 N. Winooski Avenue</t>
  </si>
  <si>
    <t>Gilman, Kristine</t>
  </si>
  <si>
    <t>PO BOX 432 HIGHGATE CENTER VT 05459</t>
  </si>
  <si>
    <t>000AZ8-1</t>
  </si>
  <si>
    <t>"Happy Bluebird"</t>
  </si>
  <si>
    <t>Richard Gadovas</t>
  </si>
  <si>
    <t>3588 St. Armand Road</t>
  </si>
  <si>
    <t>Elm Hill Inc</t>
  </si>
  <si>
    <t>1329 JOHN FOWLER ROAD PLAINFIELD VT 05667 - WASHINGTON</t>
  </si>
  <si>
    <t>000BXY-1</t>
  </si>
  <si>
    <t>Elmhill Inc</t>
  </si>
  <si>
    <t>1329 John Fowler Road</t>
  </si>
  <si>
    <t>Luna Bleu Farm</t>
  </si>
  <si>
    <t>96 BOLES ROAD SOUTH ROYALTON VT 05068 - WINDSOR</t>
  </si>
  <si>
    <t>000DVZ-1</t>
  </si>
  <si>
    <t>Sanford-Home Yard</t>
  </si>
  <si>
    <t>Tim Sanford</t>
  </si>
  <si>
    <t>96 Boles Road</t>
  </si>
  <si>
    <t>Stilbroke Farm Family Market</t>
  </si>
  <si>
    <t>1313 LUCE ROAD PLAINFIELD VT 05667 - WASHINGTON</t>
  </si>
  <si>
    <t>000FPB-1</t>
  </si>
  <si>
    <t>Brenda George</t>
  </si>
  <si>
    <t>1313 Luce Road</t>
  </si>
  <si>
    <t>Hill, Roger R.</t>
  </si>
  <si>
    <t>186 MACKENZIE DRIVE WORCESTER VT 05682 - WASHINGTON</t>
  </si>
  <si>
    <t>000G98-1</t>
  </si>
  <si>
    <t>R. Hill</t>
  </si>
  <si>
    <t>186 MacKenzie Drive</t>
  </si>
  <si>
    <t>Worchester</t>
  </si>
  <si>
    <t>Barney, Christine A.</t>
  </si>
  <si>
    <t>163 CLAY HILL ROAD HARTLAND VT 05048 - WINDSOR</t>
  </si>
  <si>
    <t>000G9A-1</t>
  </si>
  <si>
    <t>Myrrh Meadow Farm</t>
  </si>
  <si>
    <t>C. Barney</t>
  </si>
  <si>
    <t>163 Clay Hill Road</t>
  </si>
  <si>
    <t>Corven, Jim - Fenn Farmstead &amp; Gardens</t>
  </si>
  <si>
    <t>PO BOX 175 BELMONT VT 05730 - RUTLAND</t>
  </si>
  <si>
    <t>000G9K-1</t>
  </si>
  <si>
    <t>Corven Home Yard</t>
  </si>
  <si>
    <t>Jim Corven</t>
  </si>
  <si>
    <t>175 Fenn Road</t>
  </si>
  <si>
    <t>Howland, William &amp; Anne</t>
  </si>
  <si>
    <t>1553 WEST SHORE ROAD ISLE LA MOTTE VT 05463 - GRAND ISLE</t>
  </si>
  <si>
    <t>000GAC-4</t>
  </si>
  <si>
    <t>Noble</t>
  </si>
  <si>
    <t>2032 Main St.</t>
  </si>
  <si>
    <t>000GAC-3</t>
  </si>
  <si>
    <t>Luce</t>
  </si>
  <si>
    <t>Kris Luce</t>
  </si>
  <si>
    <t>320 New Road</t>
  </si>
  <si>
    <t>ISLE LA MOTTE</t>
  </si>
  <si>
    <t>Mitchell, James</t>
  </si>
  <si>
    <t>79 CLAY HILL ROAD HARTLAND VT 05048 - WINDSOR</t>
  </si>
  <si>
    <t>000GAD-1</t>
  </si>
  <si>
    <t>Mitchell Home Yard</t>
  </si>
  <si>
    <t>Jim Mitchell</t>
  </si>
  <si>
    <t>79 Clay Hill Road</t>
  </si>
  <si>
    <t>Reeve, Steven (Old Elk Farm)</t>
  </si>
  <si>
    <t>515 CHURCH STREET ISLE LA MOTTE VT 05463 - GRAND ISLE</t>
  </si>
  <si>
    <t>000GAF-1</t>
  </si>
  <si>
    <t>Reeve Home Yard</t>
  </si>
  <si>
    <t>Beth Meese</t>
  </si>
  <si>
    <t>515 Church Street</t>
  </si>
  <si>
    <t>Michele Ratte, Eric Shenholm</t>
  </si>
  <si>
    <t>PO BOX 643 SAXTONS RIVER VT 05154 - WINDHAM</t>
  </si>
  <si>
    <t>000GBD-1</t>
  </si>
  <si>
    <t>Shenholm Home</t>
  </si>
  <si>
    <t>Eric Shenholm and Michele ratte</t>
  </si>
  <si>
    <t>29 Pleasant Street</t>
  </si>
  <si>
    <t>Saxtons River</t>
  </si>
  <si>
    <t>Merriam, Fred</t>
  </si>
  <si>
    <t>4683 VT RT 12 BRAINTREE VT 05060 - UNKNOWN</t>
  </si>
  <si>
    <t>000GC8-1</t>
  </si>
  <si>
    <t>Shop</t>
  </si>
  <si>
    <t>Fred Merriam</t>
  </si>
  <si>
    <t>4683 VT RT 12</t>
  </si>
  <si>
    <t>000GC8-2</t>
  </si>
  <si>
    <t>Whalen Yard</t>
  </si>
  <si>
    <t>Tunbridge Town</t>
  </si>
  <si>
    <t>Tunbridge Road</t>
  </si>
  <si>
    <t>Tunbridge</t>
  </si>
  <si>
    <t>000GC8-3</t>
  </si>
  <si>
    <t>Ferris #1</t>
  </si>
  <si>
    <t>Ferris</t>
  </si>
  <si>
    <t>000GC8-4</t>
  </si>
  <si>
    <t>Ferris #2</t>
  </si>
  <si>
    <t>000GC8-5</t>
  </si>
  <si>
    <t>Goat Farm</t>
  </si>
  <si>
    <t>Ayers Brook Farm</t>
  </si>
  <si>
    <t>000GC8-6</t>
  </si>
  <si>
    <t>Peth # 1</t>
  </si>
  <si>
    <t>000GC8-25</t>
  </si>
  <si>
    <t>Fat Rooster Farm</t>
  </si>
  <si>
    <t>000GC8-26</t>
  </si>
  <si>
    <t>Snowgrow</t>
  </si>
  <si>
    <t>Bill Snow</t>
  </si>
  <si>
    <t>000GC8-19</t>
  </si>
  <si>
    <t>Simpson #1</t>
  </si>
  <si>
    <t>Bob Simpson</t>
  </si>
  <si>
    <t>000GC8-20</t>
  </si>
  <si>
    <t>Bucky's</t>
  </si>
  <si>
    <t>Aaron Larocque</t>
  </si>
  <si>
    <t>340 Strafford Road</t>
  </si>
  <si>
    <t>000GC8-21</t>
  </si>
  <si>
    <t>Dad's</t>
  </si>
  <si>
    <t>Bethel Town</t>
  </si>
  <si>
    <t>Royal Larocque</t>
  </si>
  <si>
    <t>000GC8-22</t>
  </si>
  <si>
    <t>Chapman's</t>
  </si>
  <si>
    <t>Cory Chapman</t>
  </si>
  <si>
    <t>000GC8-23</t>
  </si>
  <si>
    <t>Accountant</t>
  </si>
  <si>
    <t>Gee Hill</t>
  </si>
  <si>
    <t>000GC8-24</t>
  </si>
  <si>
    <t>Durkee</t>
  </si>
  <si>
    <t>John Durkee</t>
  </si>
  <si>
    <t>000GC8-13</t>
  </si>
  <si>
    <t>Church Yard</t>
  </si>
  <si>
    <t>000GC8-14</t>
  </si>
  <si>
    <t>Rte 66</t>
  </si>
  <si>
    <t>000GC8-15</t>
  </si>
  <si>
    <t>Stock Farm</t>
  </si>
  <si>
    <t>000GC8-16</t>
  </si>
  <si>
    <t>Grey Barn</t>
  </si>
  <si>
    <t>Grey Barn Farm</t>
  </si>
  <si>
    <t>000GC8-17</t>
  </si>
  <si>
    <t>Nonimaker</t>
  </si>
  <si>
    <t>East Bethel</t>
  </si>
  <si>
    <t>000GC8-18</t>
  </si>
  <si>
    <t>Bigelow</t>
  </si>
  <si>
    <t>000GC8-7</t>
  </si>
  <si>
    <t>Benoir</t>
  </si>
  <si>
    <t>Larry Benoir</t>
  </si>
  <si>
    <t>000GC8-8</t>
  </si>
  <si>
    <t>Benoir 2</t>
  </si>
  <si>
    <t>000GC8-9</t>
  </si>
  <si>
    <t>Foggy Bottom</t>
  </si>
  <si>
    <t>000GC8-10</t>
  </si>
  <si>
    <t>Middle Simpson</t>
  </si>
  <si>
    <t>000GC8-11</t>
  </si>
  <si>
    <t>Adams</t>
  </si>
  <si>
    <t>Adam Larocque</t>
  </si>
  <si>
    <t>000GC8-12</t>
  </si>
  <si>
    <t>Merriam</t>
  </si>
  <si>
    <t>971 Gage Road</t>
  </si>
  <si>
    <t>Boczar, Bogdan</t>
  </si>
  <si>
    <t>8 CHELSEA ROAD ESSEX VT 05452 - CHITTENDEN</t>
  </si>
  <si>
    <t>000GX6-1</t>
  </si>
  <si>
    <t>Boczar Home Yard</t>
  </si>
  <si>
    <t>Bogdan Boczar</t>
  </si>
  <si>
    <t>8 Chelsea Road</t>
  </si>
  <si>
    <t>Essex</t>
  </si>
  <si>
    <t>Wolfe, Julie</t>
  </si>
  <si>
    <t>2384 OAK HILL ROAD WILLISTON VT 05495 - CHITTENDEN</t>
  </si>
  <si>
    <t>000GX9-1</t>
  </si>
  <si>
    <t>Wolfe Home Yard</t>
  </si>
  <si>
    <t>Julie Wolfe</t>
  </si>
  <si>
    <t>2384 Oak Hill Road</t>
  </si>
  <si>
    <t>Meyer, Heike</t>
  </si>
  <si>
    <t>38 MEADE ROAD FAIRFAX VT 05454 - FRANKLIN</t>
  </si>
  <si>
    <t>000GY1-1</t>
  </si>
  <si>
    <t>Meyer-Home Yard</t>
  </si>
  <si>
    <t>Heike Meyer</t>
  </si>
  <si>
    <t>38 Meade Road</t>
  </si>
  <si>
    <t>Karwoski, Barry M</t>
  </si>
  <si>
    <t>1607 EAST ROAD BARRE VT 05641 - WASHINGTON</t>
  </si>
  <si>
    <t>000GY2-1</t>
  </si>
  <si>
    <t>1607 East Road</t>
  </si>
  <si>
    <t>Dusablon, Armond J</t>
  </si>
  <si>
    <t>1574 BALLARD ROAD SWANTON VT 05488-8717 - FRANKLIN</t>
  </si>
  <si>
    <t>000GY9-1</t>
  </si>
  <si>
    <t>Dusablon-Home Yard</t>
  </si>
  <si>
    <t>Armond Dusablon</t>
  </si>
  <si>
    <t>1574 Ballard Road</t>
  </si>
  <si>
    <t>05488-8717</t>
  </si>
  <si>
    <t>Crooks, Jason</t>
  </si>
  <si>
    <t>7 KINGFISHER DRIVE WESTFORD VT 05494 - CHITTENDEN</t>
  </si>
  <si>
    <t>000GYP-1</t>
  </si>
  <si>
    <t>Crooks-Home Yard</t>
  </si>
  <si>
    <t>Jason Crooks</t>
  </si>
  <si>
    <t>7 Kingfisher Drive</t>
  </si>
  <si>
    <t>Goossen, Dan</t>
  </si>
  <si>
    <t>507 SAINT PAUL STREET BURLINGTON VT 05401 - CHITTENDEN</t>
  </si>
  <si>
    <t>000H3B-1</t>
  </si>
  <si>
    <t>Williston Yard</t>
  </si>
  <si>
    <t>CSWD</t>
  </si>
  <si>
    <t>Redmond Road</t>
  </si>
  <si>
    <t>Cassiday, Julie</t>
  </si>
  <si>
    <t>260 TOWER ROAD BENNINGTON VT 05201 - BENNINGTON</t>
  </si>
  <si>
    <t>000H3C-1</t>
  </si>
  <si>
    <t>Cassiday Home Yard</t>
  </si>
  <si>
    <t>Julie Cassiday</t>
  </si>
  <si>
    <t>260 Tower Road</t>
  </si>
  <si>
    <t>Haggart, Beth</t>
  </si>
  <si>
    <t>68 CATHERINE STREET BURLINGTON VT 05401 - CHITTENDEN</t>
  </si>
  <si>
    <t>000H3G-1</t>
  </si>
  <si>
    <t>Beth Haggart</t>
  </si>
  <si>
    <t>68 Catherine Street</t>
  </si>
  <si>
    <t>Snow, Heather</t>
  </si>
  <si>
    <t>1191 SUNDERLAND HILL ROAD ARLINGTON VT 05250</t>
  </si>
  <si>
    <t>000H3W-1</t>
  </si>
  <si>
    <t>Arlington Town</t>
  </si>
  <si>
    <t>Adrienne Kimball</t>
  </si>
  <si>
    <t>2590 West Road</t>
  </si>
  <si>
    <t>000H3W-2</t>
  </si>
  <si>
    <t>2589 West Road</t>
  </si>
  <si>
    <t>000H3W-3</t>
  </si>
  <si>
    <t>Snow-Home yard</t>
  </si>
  <si>
    <t>Sunderland Town</t>
  </si>
  <si>
    <t>Heather Snow</t>
  </si>
  <si>
    <t>1191 Sunderland Hill Road</t>
  </si>
  <si>
    <t>Brohinsky, Candee</t>
  </si>
  <si>
    <t>900 BIBLE HILL ROAD BROWNSVILLE VT 05037</t>
  </si>
  <si>
    <t>000H40-1</t>
  </si>
  <si>
    <t>Candees home yard</t>
  </si>
  <si>
    <t>Scott &amp; Candee Brohinsky</t>
  </si>
  <si>
    <t>900 Bible Hill Rd</t>
  </si>
  <si>
    <t>BROWNSVILLE</t>
  </si>
  <si>
    <t>Boulmetis, Charles</t>
  </si>
  <si>
    <t>4101 VT RTE 58E LOWELL VT 05847 - ORLEANS</t>
  </si>
  <si>
    <t>000H41-1</t>
  </si>
  <si>
    <t>Boulmetis Home Yard</t>
  </si>
  <si>
    <t>Lowell Town</t>
  </si>
  <si>
    <t>Charles Boulmetis</t>
  </si>
  <si>
    <t>4101 VT RT 58 East</t>
  </si>
  <si>
    <t>Lowell</t>
  </si>
  <si>
    <t>Reisenweaver, Dennis W.</t>
  </si>
  <si>
    <t>518 RICHMOND ROAD BRANDON VT 05733 - RUTLAND</t>
  </si>
  <si>
    <t>000H43-1</t>
  </si>
  <si>
    <t>Reisenweaver Home Yard</t>
  </si>
  <si>
    <t>Dennis Reisenweaver</t>
  </si>
  <si>
    <t>518 Richmond Road</t>
  </si>
  <si>
    <t>Davis, John E.</t>
  </si>
  <si>
    <t>52 BOOTH STREET BURLINGTON VT 05401 - CHITTENDEN</t>
  </si>
  <si>
    <t>000H4W-1</t>
  </si>
  <si>
    <t>John Davis</t>
  </si>
  <si>
    <t>52 Booth Street</t>
  </si>
  <si>
    <t>Gilbert, Don</t>
  </si>
  <si>
    <t>251 SHERMAN HOLLOW ROAD HINESBURG VT 05461 - CHITTENDEN</t>
  </si>
  <si>
    <t>000H4Y-1</t>
  </si>
  <si>
    <t>Gilbert-Home Yard</t>
  </si>
  <si>
    <t>Don Gilbert</t>
  </si>
  <si>
    <t>251 Sherman Hollow Road</t>
  </si>
  <si>
    <t>Cormier, Robert</t>
  </si>
  <si>
    <t>4181 STATE PARK ROAD ENOSBURG FALLS VT 05450 - FRANKLIN</t>
  </si>
  <si>
    <t>000H51-1</t>
  </si>
  <si>
    <t>Cormier-Home Yard</t>
  </si>
  <si>
    <t>Robert Cormier</t>
  </si>
  <si>
    <t>4181 State Park Road</t>
  </si>
  <si>
    <t>Gibson, Hugh</t>
  </si>
  <si>
    <t>6 SCHOOL STREET ESSEX JUNCTION VT 05452</t>
  </si>
  <si>
    <t>000H6X-1</t>
  </si>
  <si>
    <t>Gibson Home Yard</t>
  </si>
  <si>
    <t>Hugh Gibson</t>
  </si>
  <si>
    <t>6 School Street</t>
  </si>
  <si>
    <t>McLaughlin, Martin</t>
  </si>
  <si>
    <t>323 LOST NATION ROAD ESSEX JUNCTION VT 05452 - CHITTENDEN</t>
  </si>
  <si>
    <t>000H6Y-1</t>
  </si>
  <si>
    <t>McLaughlin Home Yard</t>
  </si>
  <si>
    <t>Martin McLaughlin</t>
  </si>
  <si>
    <t>323 Lost Nation Road</t>
  </si>
  <si>
    <t>Andersson-Swayze, Jean</t>
  </si>
  <si>
    <t>209 MUSEUM ROAD CHARLOTTE VT 05445 - CHITTENDEN</t>
  </si>
  <si>
    <t>000HAC-1</t>
  </si>
  <si>
    <t>Andersson-Swayze-Home Yard</t>
  </si>
  <si>
    <t>Jean Andersson-Swayze</t>
  </si>
  <si>
    <t>209 Museum Road</t>
  </si>
  <si>
    <t>Russell, Sheila</t>
  </si>
  <si>
    <t>1345 CROSSETT HILL ROAD DUXBURY VT 05676 - WASHINGTON</t>
  </si>
  <si>
    <t>000HAD-1</t>
  </si>
  <si>
    <t>1345 Crossett Hill Road</t>
  </si>
  <si>
    <t>Cloutier, Sister Holly</t>
  </si>
  <si>
    <t>56 HOWARD HILL ROAD BENSON VT 05743 - RUTLAND</t>
  </si>
  <si>
    <t>000HC1-1</t>
  </si>
  <si>
    <t>Mercy Farm Yard</t>
  </si>
  <si>
    <t>Benson Town</t>
  </si>
  <si>
    <t>Sisters of Mercy</t>
  </si>
  <si>
    <t>56 Howard Hill Road</t>
  </si>
  <si>
    <t>Benson</t>
  </si>
  <si>
    <t>Potvin, William J.</t>
  </si>
  <si>
    <t>85 GLENDALE MEADOW LANE HARRISVILLE RI 02830</t>
  </si>
  <si>
    <t>000HC3-1</t>
  </si>
  <si>
    <t>Summer Camp</t>
  </si>
  <si>
    <t>Victory Town</t>
  </si>
  <si>
    <t>William Potvin</t>
  </si>
  <si>
    <t>2418 Victory Road</t>
  </si>
  <si>
    <t>Victory</t>
  </si>
  <si>
    <t>Chamberlin, Kendall</t>
  </si>
  <si>
    <t>98 OLD PUMP ROAD ESSEX VT 05452 - CHITTENDEN</t>
  </si>
  <si>
    <t>000HG5-1</t>
  </si>
  <si>
    <t>Chamberlin-Home Yard</t>
  </si>
  <si>
    <t>Kendall Chamberlin</t>
  </si>
  <si>
    <t>98 Old Pump Road</t>
  </si>
  <si>
    <t>000HG5-2</t>
  </si>
  <si>
    <t>281 Explanade</t>
  </si>
  <si>
    <t>Town of Richmond</t>
  </si>
  <si>
    <t>Kraft, Lori</t>
  </si>
  <si>
    <t>90 MAQUAM SHORE ROAD SWANTON VT 05488-9640 - FRANKLIN</t>
  </si>
  <si>
    <t>000HNJ-1</t>
  </si>
  <si>
    <t>Sirious Rising Apiary</t>
  </si>
  <si>
    <t>Lori Kraft</t>
  </si>
  <si>
    <t>90 Maquam Shore Road</t>
  </si>
  <si>
    <t>05488-9640</t>
  </si>
  <si>
    <t>Pitmon, Stephen</t>
  </si>
  <si>
    <t>31 MAPLE LEAF FARM ROAD UNDERHILL VT 05489 - CHITTENDEN</t>
  </si>
  <si>
    <t>000HNM-1</t>
  </si>
  <si>
    <t>Pitmon Home Yard</t>
  </si>
  <si>
    <t>Stephen Pitmon</t>
  </si>
  <si>
    <t>31 Maple Leaf Farm Road</t>
  </si>
  <si>
    <t>Catlin, Mark</t>
  </si>
  <si>
    <t>101 MINISTER ROAD MONTPELIER VT 05602 - WASHINGTON</t>
  </si>
  <si>
    <t>000HVZ-1</t>
  </si>
  <si>
    <t>Catlin-Home Yard</t>
  </si>
  <si>
    <t>Mark Catlin</t>
  </si>
  <si>
    <t>101 Minister Road</t>
  </si>
  <si>
    <t>E. Montpelier</t>
  </si>
  <si>
    <t>Kalp, James C</t>
  </si>
  <si>
    <t>313 TJADER ROAD WOLCOTT VT 05680 - LAMOILLE</t>
  </si>
  <si>
    <t>000J66-1</t>
  </si>
  <si>
    <t>Kalp Family Farm</t>
  </si>
  <si>
    <t>Kalp</t>
  </si>
  <si>
    <t>313 Tjader Road</t>
  </si>
  <si>
    <t>Filkowski, Eric</t>
  </si>
  <si>
    <t>370 LOOMIS HIGHLANDS WATERBURY CENTER VT 05677 - WASHINGTON</t>
  </si>
  <si>
    <t>000J6C-1</t>
  </si>
  <si>
    <t>Filkowski-Home Yard</t>
  </si>
  <si>
    <t>Eric Filkowski</t>
  </si>
  <si>
    <t>370 Loomis Highlands</t>
  </si>
  <si>
    <t>Fowler, Sarah</t>
  </si>
  <si>
    <t>331 SPRING HILL ROAD MORRISVILLE VT 05661 - LAMOILLE</t>
  </si>
  <si>
    <t>000J7P-1</t>
  </si>
  <si>
    <t>Fowler-Home Yard</t>
  </si>
  <si>
    <t>Sarah Fowler</t>
  </si>
  <si>
    <t>331 Spring Hill Road</t>
  </si>
  <si>
    <t>Thibault, Daniel- Daniel's Apiary</t>
  </si>
  <si>
    <t>575 SPOONER ROAD FAIRFAX VT 05454 - FRANKLIN</t>
  </si>
  <si>
    <t>000J8N-1</t>
  </si>
  <si>
    <t>Thibault Home Yard</t>
  </si>
  <si>
    <t>Tim Thibault</t>
  </si>
  <si>
    <t>575 Spooner Road</t>
  </si>
  <si>
    <t>Morrow, Laureli</t>
  </si>
  <si>
    <t>600 ELM STREET MONTPELIER VT 05602 - WASHINGTON</t>
  </si>
  <si>
    <t>000J90-1</t>
  </si>
  <si>
    <t>Morrow Home Yard</t>
  </si>
  <si>
    <t>Laureli Morrow</t>
  </si>
  <si>
    <t>600 Elm Street</t>
  </si>
  <si>
    <t>Brust, Mary</t>
  </si>
  <si>
    <t>445 ST PAUL STREET BURLINGTON VT 05701</t>
  </si>
  <si>
    <t>000J92-1</t>
  </si>
  <si>
    <t>Triple Combination Farm</t>
  </si>
  <si>
    <t>579 Dakin Road</t>
  </si>
  <si>
    <t>Dindo, Howard</t>
  </si>
  <si>
    <t>155 BOBBIN SHOP ROAD CHELSEA VT 05038 - ORANGE</t>
  </si>
  <si>
    <t>000JCA-1</t>
  </si>
  <si>
    <t>Dindo Home Yard</t>
  </si>
  <si>
    <t>Chelsea Town</t>
  </si>
  <si>
    <t>Howard Dindo</t>
  </si>
  <si>
    <t>155 Bobbin Shop Road</t>
  </si>
  <si>
    <t>Chelsea</t>
  </si>
  <si>
    <t>Gaudreau, Paul M.</t>
  </si>
  <si>
    <t>1104 KENT HOLLOW ROAD WEST RUPERT VT 05776 - BENNINGTON</t>
  </si>
  <si>
    <t>000JCV-1</t>
  </si>
  <si>
    <t>Gaudreau-Home Yard</t>
  </si>
  <si>
    <t>Rupert Town</t>
  </si>
  <si>
    <t>Paul Gaudreau</t>
  </si>
  <si>
    <t>1104 Kent Hollow Road</t>
  </si>
  <si>
    <t>West Rupert</t>
  </si>
  <si>
    <t>Gullotti, Gail</t>
  </si>
  <si>
    <t>121 RYAN ROAD DUMMERSTON VT 05301 - WINDHAM</t>
  </si>
  <si>
    <t>000JCW-1</t>
  </si>
  <si>
    <t>Gullotti Home Yard</t>
  </si>
  <si>
    <t>Gail Gullotti</t>
  </si>
  <si>
    <t>121 Ryan Road</t>
  </si>
  <si>
    <t>Schnell, Lisa</t>
  </si>
  <si>
    <t>46 CRESCENT ROAD BURLINGTON VT 05401-4119 - CHITTENDEN</t>
  </si>
  <si>
    <t>000JD1-1</t>
  </si>
  <si>
    <t>Schnell Home Yard</t>
  </si>
  <si>
    <t>Lisa Schnell</t>
  </si>
  <si>
    <t>46 Crescent Road</t>
  </si>
  <si>
    <t>05401-4119</t>
  </si>
  <si>
    <t>Wooster, Chuck</t>
  </si>
  <si>
    <t>270 ORRIZZONTO ROAD WHITE RIVER JUNCTION VT 05001 - WINDSOR</t>
  </si>
  <si>
    <t>000JF1-1</t>
  </si>
  <si>
    <t>WoosterHome Yard</t>
  </si>
  <si>
    <t>Chuck Wooster</t>
  </si>
  <si>
    <t>270 Orrizzonto Road</t>
  </si>
  <si>
    <t>White River Junction</t>
  </si>
  <si>
    <t>Dittmeier, Stewart B.</t>
  </si>
  <si>
    <t>2017 WEST LAKE ROAD WELLS VT 05774 - RUTLAND</t>
  </si>
  <si>
    <t>000JQW-1</t>
  </si>
  <si>
    <t>Dittmeier-Home Yard (Lake Yard)</t>
  </si>
  <si>
    <t>Dittmeier</t>
  </si>
  <si>
    <t>2017 West Lake Road</t>
  </si>
  <si>
    <t>000JQW-2</t>
  </si>
  <si>
    <t>Main Street Yard</t>
  </si>
  <si>
    <t>Heather Thomas</t>
  </si>
  <si>
    <t>000JQW-3</t>
  </si>
  <si>
    <t>Saw Mill Hill Yard</t>
  </si>
  <si>
    <t>William West</t>
  </si>
  <si>
    <t>Sawmill Hill Road</t>
  </si>
  <si>
    <t>000JQW-4</t>
  </si>
  <si>
    <t>North Street Yard</t>
  </si>
  <si>
    <t>1904 North Street</t>
  </si>
  <si>
    <t>Steele, Brian</t>
  </si>
  <si>
    <t>652 WITCHCAT ROAD ENOSBURG FALLS VT 05450 - FRANKLIN</t>
  </si>
  <si>
    <t>000JQY-1</t>
  </si>
  <si>
    <t>Lazy Bee Farm</t>
  </si>
  <si>
    <t>Bakersfield Town</t>
  </si>
  <si>
    <t>Brian Steele</t>
  </si>
  <si>
    <t>652 Witchcat Road</t>
  </si>
  <si>
    <t>Thayer, Greg</t>
  </si>
  <si>
    <t>132 WOODBURY ROAD BURLINGTON VT 05408</t>
  </si>
  <si>
    <t>000JQZ-1</t>
  </si>
  <si>
    <t>Paul Mazza Farm</t>
  </si>
  <si>
    <t>Paul Mazza</t>
  </si>
  <si>
    <t>000JQZ-2</t>
  </si>
  <si>
    <t>P Mazza</t>
  </si>
  <si>
    <t>Westcott, Steven</t>
  </si>
  <si>
    <t>69 JOHNSON ROAD PROCTORSVILLE VT 05153 - WINDSOR</t>
  </si>
  <si>
    <t>000JV1-1</t>
  </si>
  <si>
    <t>Westcott-Home Yard</t>
  </si>
  <si>
    <t>Steven Westcott</t>
  </si>
  <si>
    <t>69 Johnson Road</t>
  </si>
  <si>
    <t>000JV1-2</t>
  </si>
  <si>
    <t>103 Chapman Rd</t>
  </si>
  <si>
    <t>103 Chapman Road</t>
  </si>
  <si>
    <t>Gustavsen, Lars</t>
  </si>
  <si>
    <t>PO BOX 71 EAST BURKE VT 05832 - CALEDONIA</t>
  </si>
  <si>
    <t>000JV3-1</t>
  </si>
  <si>
    <t>Gustavsen-Home Yard</t>
  </si>
  <si>
    <t>Burke Town</t>
  </si>
  <si>
    <t>Lars Gustavsen</t>
  </si>
  <si>
    <t>104 Winterset Drive</t>
  </si>
  <si>
    <t>Havard, Edward P.</t>
  </si>
  <si>
    <t>557 TEN STONES CIRCLE CHARLOTTE VT 05445 - CHITTENDEN</t>
  </si>
  <si>
    <t>000JV4-1</t>
  </si>
  <si>
    <t>Ten Stones Circle Garden</t>
  </si>
  <si>
    <t>Community Association</t>
  </si>
  <si>
    <t>557 Ten Stones Circle</t>
  </si>
  <si>
    <t>Mellen, David, Mellen Meadows</t>
  </si>
  <si>
    <t>81 GROUSE LANE PERKINSVILLE VT 05151 - WINDSOR</t>
  </si>
  <si>
    <t>000JV5-1</t>
  </si>
  <si>
    <t>Mellen Home Yard</t>
  </si>
  <si>
    <t>David Mellen</t>
  </si>
  <si>
    <t>81 Grouse Lane</t>
  </si>
  <si>
    <t>Perkinsville</t>
  </si>
  <si>
    <t>Fahey, Antoine</t>
  </si>
  <si>
    <t>46 GRAPEVINE LANE POWNAL VT 05261</t>
  </si>
  <si>
    <t>000JVN-1</t>
  </si>
  <si>
    <t>Fahey Home Yard</t>
  </si>
  <si>
    <t>Fahey</t>
  </si>
  <si>
    <t>46 Grapevine Lane</t>
  </si>
  <si>
    <t>000JVN-2</t>
  </si>
  <si>
    <t>Gardner Yard</t>
  </si>
  <si>
    <t>Mike Gardner</t>
  </si>
  <si>
    <t>Mann Hill Road</t>
  </si>
  <si>
    <t>000JVN-3</t>
  </si>
  <si>
    <t>Peckham Yard</t>
  </si>
  <si>
    <t>Steve Peckham</t>
  </si>
  <si>
    <t>Buck Hill Road</t>
  </si>
  <si>
    <t>Shafsbury</t>
  </si>
  <si>
    <t>000JVN-4</t>
  </si>
  <si>
    <t>Richard Dundas</t>
  </si>
  <si>
    <t>109 Chandler Way</t>
  </si>
  <si>
    <t>000JVN-5</t>
  </si>
  <si>
    <t>Amara Farm</t>
  </si>
  <si>
    <t>1228 Skiparee Road</t>
  </si>
  <si>
    <t>000JVN-6</t>
  </si>
  <si>
    <t>Michael Darling</t>
  </si>
  <si>
    <t>370 Palmer Road</t>
  </si>
  <si>
    <t>000JVN-7</t>
  </si>
  <si>
    <t>7northwest hill</t>
  </si>
  <si>
    <t>NW Hill Road</t>
  </si>
  <si>
    <t>Palmer, Gisela</t>
  </si>
  <si>
    <t>PO BOX 7 MIDDLEBURY VT 05753</t>
  </si>
  <si>
    <t>000JVQ-1</t>
  </si>
  <si>
    <t>Palmer-Home Yard</t>
  </si>
  <si>
    <t>Gisela Palmer</t>
  </si>
  <si>
    <t>627 Bardon Drive</t>
  </si>
  <si>
    <t>Lariviere, James</t>
  </si>
  <si>
    <t>3192 WEST BERKSHIRE ROAD ENOSBURG VT 05450 - FRANKLIN</t>
  </si>
  <si>
    <t>000JW6-1</t>
  </si>
  <si>
    <t>Lariviere home yard</t>
  </si>
  <si>
    <t>James Lariviere</t>
  </si>
  <si>
    <t>3192 West Berkshire Road</t>
  </si>
  <si>
    <t>000JW6-2</t>
  </si>
  <si>
    <t>Chates</t>
  </si>
  <si>
    <t>William Chates</t>
  </si>
  <si>
    <t>?</t>
  </si>
  <si>
    <t>Haven, Bob</t>
  </si>
  <si>
    <t>145 LITTLE HORSE LANE CHARLOTTE VT 05445 - CHITTENDEN</t>
  </si>
  <si>
    <t>000JWB-1</t>
  </si>
  <si>
    <t>Haven-Home Yard</t>
  </si>
  <si>
    <t>Bob Haven</t>
  </si>
  <si>
    <t>145 Little Horse Lane</t>
  </si>
  <si>
    <t>Wasyliko, Richard</t>
  </si>
  <si>
    <t>PO BOX 384 LONDONDERRY VT 05148 - WINDHAM</t>
  </si>
  <si>
    <t>000JWC-1</t>
  </si>
  <si>
    <t>Wasyliko-Home Yard</t>
  </si>
  <si>
    <t>Richard Wasyliko</t>
  </si>
  <si>
    <t>196 Old Sawmill Road</t>
  </si>
  <si>
    <t>Brook, Judy</t>
  </si>
  <si>
    <t>603 SOUTH BEACH ROAD SOUTH BURLINGTON VT 05403</t>
  </si>
  <si>
    <t>000JWD-1</t>
  </si>
  <si>
    <t>Shelburn Farms</t>
  </si>
  <si>
    <t>Delaney, Jill</t>
  </si>
  <si>
    <t>85 SHEDDSVILLE ROAD BROWNSVILLE VT 05037 - WINDSOR</t>
  </si>
  <si>
    <t>000JWG-1</t>
  </si>
  <si>
    <t>Delaney Home Yard</t>
  </si>
  <si>
    <t>Jill Delaney</t>
  </si>
  <si>
    <t>85 Sheddsville Road</t>
  </si>
  <si>
    <t>Brownsville</t>
  </si>
  <si>
    <t>Rausenberger, Wayne L.</t>
  </si>
  <si>
    <t>2891 UNION STREET BRANDON VT 05733 - RUTLAND</t>
  </si>
  <si>
    <t>000JWN-2</t>
  </si>
  <si>
    <t>Maurice Racine</t>
  </si>
  <si>
    <t>1535 Hollow Road</t>
  </si>
  <si>
    <t>000JWN-3</t>
  </si>
  <si>
    <t>Jesse Wilbur</t>
  </si>
  <si>
    <t>152 Royce Hill Road</t>
  </si>
  <si>
    <t>Guilmartin, Sheila</t>
  </si>
  <si>
    <t>4815 MAIN ROAD HUNTINGTON VT 05462</t>
  </si>
  <si>
    <t>000JWV-1</t>
  </si>
  <si>
    <t>Guilmartin Home Yard</t>
  </si>
  <si>
    <t>Sheila Guilmartin</t>
  </si>
  <si>
    <t>4815 Main Road</t>
  </si>
  <si>
    <t>Huntington Center</t>
  </si>
  <si>
    <t>000JWV-2</t>
  </si>
  <si>
    <t>3912 Hunting Road</t>
  </si>
  <si>
    <t>Ralph &amp; Rachel Towers</t>
  </si>
  <si>
    <t>3912 Huntington Road</t>
  </si>
  <si>
    <t>Davis, Wayne L.</t>
  </si>
  <si>
    <t>9 SHORT STREET BARRE VT 05641-3715 - WASHINGTON</t>
  </si>
  <si>
    <t>000JWZ-1</t>
  </si>
  <si>
    <t>Leo Martineau</t>
  </si>
  <si>
    <t>90 Spencer Road</t>
  </si>
  <si>
    <t>Thompson, Deborah</t>
  </si>
  <si>
    <t>20 BLISS ROAD TINMOUTH VT 05773 - RUTLAND</t>
  </si>
  <si>
    <t>000JX0-1</t>
  </si>
  <si>
    <t>Thompson Home Yard</t>
  </si>
  <si>
    <t>Deborah Thompson</t>
  </si>
  <si>
    <t>20 Bliss Road</t>
  </si>
  <si>
    <t>Chicoine, Lawrence</t>
  </si>
  <si>
    <t>896 VT RT 15 UNDERHILL VT 05489 - CHITTENDEN</t>
  </si>
  <si>
    <t>000JX1-1</t>
  </si>
  <si>
    <t>Chicoine Home Yard</t>
  </si>
  <si>
    <t>Lawrence Chicoine</t>
  </si>
  <si>
    <t>896 VT RT 15</t>
  </si>
  <si>
    <t>Burns, Jeremiah</t>
  </si>
  <si>
    <t>PO BOX 221 HARTLAND VT 05048 - WINDSOR</t>
  </si>
  <si>
    <t>000JX2-1</t>
  </si>
  <si>
    <t>Burns-Home Yard</t>
  </si>
  <si>
    <t>Jermiah Burns</t>
  </si>
  <si>
    <t>P.O. Box 221</t>
  </si>
  <si>
    <t>000JX2-2</t>
  </si>
  <si>
    <t>Dottie Cummings</t>
  </si>
  <si>
    <t>20 US Rte 2</t>
  </si>
  <si>
    <t>Senn, Eric</t>
  </si>
  <si>
    <t>158 WEED ROAD ESSEX JUNCTION VT 05452 - UNKNOWN</t>
  </si>
  <si>
    <t>000JX5-1</t>
  </si>
  <si>
    <t>Senn-Home Yard</t>
  </si>
  <si>
    <t>Walter Senn</t>
  </si>
  <si>
    <t>258 Jericho Road</t>
  </si>
  <si>
    <t>Graham, Thomas</t>
  </si>
  <si>
    <t>40 ADVENT HILL ROAD HARTLAND VT 05048 - WINDSOR</t>
  </si>
  <si>
    <t>000JXB-1</t>
  </si>
  <si>
    <t>Thomas Graham</t>
  </si>
  <si>
    <t>40 Advent Hill Road</t>
  </si>
  <si>
    <t>Feiker, Kim</t>
  </si>
  <si>
    <t>525 BLAIR ROAD ALBURGH VT 05440 - GRAND ISLE</t>
  </si>
  <si>
    <t>000JXQ-1</t>
  </si>
  <si>
    <t>Feiker-Home Yard</t>
  </si>
  <si>
    <t>Kim Feiker</t>
  </si>
  <si>
    <t>525 Blair Road</t>
  </si>
  <si>
    <t>Clark, Horace</t>
  </si>
  <si>
    <t>29 WOODS COURT MILTON VT 05468 - CHITTENDEN</t>
  </si>
  <si>
    <t>000JZ5-1</t>
  </si>
  <si>
    <t>Clark Home Yard</t>
  </si>
  <si>
    <t>Horace Clark</t>
  </si>
  <si>
    <t>29 Woods Court</t>
  </si>
  <si>
    <t>Allen, Martha</t>
  </si>
  <si>
    <t>928 EAST STREET BROOKFIELD VT 05036 - ORANGE</t>
  </si>
  <si>
    <t>000K01-1</t>
  </si>
  <si>
    <t>Allen Home Yard</t>
  </si>
  <si>
    <t>Martha Allen</t>
  </si>
  <si>
    <t>928 East Street</t>
  </si>
  <si>
    <t>Saavedra, Brother Daniel</t>
  </si>
  <si>
    <t>58 PRIORY HILL ROAD WESTON VT 05161-6400 - WINDSOR</t>
  </si>
  <si>
    <t>000K02-1</t>
  </si>
  <si>
    <t>Weston Priory</t>
  </si>
  <si>
    <t>Benedictine Monks</t>
  </si>
  <si>
    <t>58 Priory Hill Road</t>
  </si>
  <si>
    <t>05161-6400</t>
  </si>
  <si>
    <t>Wolf, Kristin</t>
  </si>
  <si>
    <t>185 ALPINE MEADOW WATERBURY VT 05676</t>
  </si>
  <si>
    <t>000K03-2</t>
  </si>
  <si>
    <t>Champlain College Apiary</t>
  </si>
  <si>
    <t>Champlain College</t>
  </si>
  <si>
    <t>163 South Willard Street</t>
  </si>
  <si>
    <t>Kennedy, Heather</t>
  </si>
  <si>
    <t>74 CHATEAUGUAY ROAD BRIDGEWATER CORNERS VT 05035 - WINDSOR</t>
  </si>
  <si>
    <t>000K56-1</t>
  </si>
  <si>
    <t>Kennedy-Our Residence</t>
  </si>
  <si>
    <t>Randall &amp; Heather Kennedy</t>
  </si>
  <si>
    <t>74 Chateauguay Road</t>
  </si>
  <si>
    <t>Bridgewater Center</t>
  </si>
  <si>
    <t>Pine Ledge Farm</t>
  </si>
  <si>
    <t>406 POND ROAD VERNON VT 05354</t>
  </si>
  <si>
    <t>000KC4-1</t>
  </si>
  <si>
    <t>Jean Carr</t>
  </si>
  <si>
    <t>406 Pond Road</t>
  </si>
  <si>
    <t>Bowers, Anne</t>
  </si>
  <si>
    <t>1067 PERLEY ROAD RICHFORD VT 05476 - FRANKLIN</t>
  </si>
  <si>
    <t>000KGK-1</t>
  </si>
  <si>
    <t>Bowers Home Yard</t>
  </si>
  <si>
    <t>Anne Bowers</t>
  </si>
  <si>
    <t>1067 Perley Road</t>
  </si>
  <si>
    <t>Richford</t>
  </si>
  <si>
    <t>Lane, Andrew</t>
  </si>
  <si>
    <t>PO BOX 252 SOUTH STRAFFORD VT 05070</t>
  </si>
  <si>
    <t>000KGM-1</t>
  </si>
  <si>
    <t>Lane-Home Yard</t>
  </si>
  <si>
    <t>Andrew Lane</t>
  </si>
  <si>
    <t>61 Turnpike Road</t>
  </si>
  <si>
    <t>South Strafford</t>
  </si>
  <si>
    <t>Benoit, Darci (Bees On Broadway)</t>
  </si>
  <si>
    <t>20 BROADWAY STREET SWANTON VT 05488</t>
  </si>
  <si>
    <t>000KGY-1</t>
  </si>
  <si>
    <t>Parent's House Yard</t>
  </si>
  <si>
    <t>Self</t>
  </si>
  <si>
    <t>20 Broadway St</t>
  </si>
  <si>
    <t>000KGY-2</t>
  </si>
  <si>
    <t>Benoit Home Yard</t>
  </si>
  <si>
    <t>Christina &amp; Troy Forcier</t>
  </si>
  <si>
    <t>2506 Highgate Road</t>
  </si>
  <si>
    <t>St Albans</t>
  </si>
  <si>
    <t>000KGY-3</t>
  </si>
  <si>
    <t>Benoit Home yard</t>
  </si>
  <si>
    <t>Ray &amp; Sue Laroche</t>
  </si>
  <si>
    <t>975 Carter Hill Road</t>
  </si>
  <si>
    <t>Highgate Center</t>
  </si>
  <si>
    <t>Loving, Rose</t>
  </si>
  <si>
    <t>33 JOHNSON CIRCLE TUNBRIDGE VT 05077 - ORANGE</t>
  </si>
  <si>
    <t>000KH0-1</t>
  </si>
  <si>
    <t>Loving-Home Yard</t>
  </si>
  <si>
    <t>Rose Loving</t>
  </si>
  <si>
    <t>33 Johnson Circle</t>
  </si>
  <si>
    <t>Stasz, Bird</t>
  </si>
  <si>
    <t>1331 JAMES ROAD WEYBRIDGE VT 05753 - ADDISON</t>
  </si>
  <si>
    <t>000KH1-1</t>
  </si>
  <si>
    <t>Stasz-Home Yard</t>
  </si>
  <si>
    <t>Bird Stasz</t>
  </si>
  <si>
    <t>1331 James Road</t>
  </si>
  <si>
    <t>Coffey, Gary</t>
  </si>
  <si>
    <t>750 PINE STREET BURLINGTON VT 05401 - CHITTENDEN</t>
  </si>
  <si>
    <t>000KH4-1</t>
  </si>
  <si>
    <t>LCC</t>
  </si>
  <si>
    <t>000KH4-2</t>
  </si>
  <si>
    <t>Intercale</t>
  </si>
  <si>
    <t>Half Pint Farm</t>
  </si>
  <si>
    <t>Eberhardy, James</t>
  </si>
  <si>
    <t>500 FRANK ORVIS ROAD BRISTOL VT 05443 - ADDISON</t>
  </si>
  <si>
    <t>000KHB-1</t>
  </si>
  <si>
    <t>3979 River Road</t>
  </si>
  <si>
    <t>Christopher North</t>
  </si>
  <si>
    <t>Hiller, Louis</t>
  </si>
  <si>
    <t>17 HALLS LAKE ROAD NEWBURY VT 05051</t>
  </si>
  <si>
    <t>000KHD-1</t>
  </si>
  <si>
    <t>Summer Home</t>
  </si>
  <si>
    <t>Louis Hiller</t>
  </si>
  <si>
    <t>171 Halls Lake Road</t>
  </si>
  <si>
    <t>Yankura, Joanne</t>
  </si>
  <si>
    <t>26 BLUEBERRY HILL DRIVE WILMINGTON VT 05363 - WINDHAM</t>
  </si>
  <si>
    <t>000KHF-1</t>
  </si>
  <si>
    <t>Yankura Home Yard</t>
  </si>
  <si>
    <t>Wilmington Town</t>
  </si>
  <si>
    <t>Joanne Yankura</t>
  </si>
  <si>
    <t>26 Blueberry Hill Drive</t>
  </si>
  <si>
    <t>Menard, Gloria</t>
  </si>
  <si>
    <t>162 MISTY MEADOWS CIRCLE CLARENDON SPRINGS VT 05777 - RUTLAND</t>
  </si>
  <si>
    <t>000KHM-1</t>
  </si>
  <si>
    <t>Munchkin Farm Apiary</t>
  </si>
  <si>
    <t>Clarendon Town</t>
  </si>
  <si>
    <t>Gloria Menard</t>
  </si>
  <si>
    <t>162 Misty Meadows Circle</t>
  </si>
  <si>
    <t>Simanskas, Lindsey</t>
  </si>
  <si>
    <t>430 SADIE FOSS ROAD MARSHFIELD VT 05602 - WASHINGTON</t>
  </si>
  <si>
    <t>000KHN-1</t>
  </si>
  <si>
    <t>Simanskas Home Yard</t>
  </si>
  <si>
    <t>Lindsey Samanskas</t>
  </si>
  <si>
    <t>430 Sadie Foss Road</t>
  </si>
  <si>
    <t>Wadle, Janet</t>
  </si>
  <si>
    <t>77 JALBERT ROAD BARRE VT 05641 - WASHINGTON</t>
  </si>
  <si>
    <t>000KKD-1</t>
  </si>
  <si>
    <t>Wadle-Home Yard</t>
  </si>
  <si>
    <t>Janet Wadle</t>
  </si>
  <si>
    <t>77 Jalbert Road</t>
  </si>
  <si>
    <t>Henrikson, Miriam</t>
  </si>
  <si>
    <t>11 PADDOCK LANE MILTON VT 05468 - CHITTENDEN</t>
  </si>
  <si>
    <t>000KKK-1</t>
  </si>
  <si>
    <t>Henrikson-Home Yard</t>
  </si>
  <si>
    <t>Miriam Henrikson</t>
  </si>
  <si>
    <t>11 Paddock Lane</t>
  </si>
  <si>
    <t>Yelton, Allison</t>
  </si>
  <si>
    <t>PO BOX 595 WALLINGFORD VT 05773 - RUTLAND</t>
  </si>
  <si>
    <t>000KKN-1</t>
  </si>
  <si>
    <t>Yelton-Home Yard</t>
  </si>
  <si>
    <t>Allison Yelton</t>
  </si>
  <si>
    <t>125 Willow Heights</t>
  </si>
  <si>
    <t>Conde, Jeanne</t>
  </si>
  <si>
    <t>1359 MACINTOSH HILL ROAD RANDOLPH VT 05060 - WINDSOR</t>
  </si>
  <si>
    <t>000KKQ-1</t>
  </si>
  <si>
    <t>Conde Home Yard</t>
  </si>
  <si>
    <t>Jeanine Conde</t>
  </si>
  <si>
    <t>1359 MacIntosh Hill Road</t>
  </si>
  <si>
    <t>Curran, Frank</t>
  </si>
  <si>
    <t>4001 N CAMBRIDGE ROAD JEFFERSONVILLE VT 05464 - LAMOILLE</t>
  </si>
  <si>
    <t>000KKX-1</t>
  </si>
  <si>
    <t>Curran-Home Yard</t>
  </si>
  <si>
    <t>Frank Curran</t>
  </si>
  <si>
    <t>4001 N. Cambridge Road</t>
  </si>
  <si>
    <t>Crosby, Jeffrey</t>
  </si>
  <si>
    <t>20 FOX CHAIR MOUNTAIN ROAD SPRINGFIELD VT 05156 - WINDSOR</t>
  </si>
  <si>
    <t>000KKY-1</t>
  </si>
  <si>
    <t>Jeffrey Crosby</t>
  </si>
  <si>
    <t>20 Fox Chair Mountain Road</t>
  </si>
  <si>
    <t>Miller, Andrew</t>
  </si>
  <si>
    <t>49 TYLER STREET BRATTLEBORO VT 05301 - WINDHAM</t>
  </si>
  <si>
    <t>000KKZ-1</t>
  </si>
  <si>
    <t>Riverbloom Yard</t>
  </si>
  <si>
    <t>Andrew Miller</t>
  </si>
  <si>
    <t>49 Tyler Street</t>
  </si>
  <si>
    <t>Laird, Victor</t>
  </si>
  <si>
    <t>189 TROBRIDGE ROAD BAKERSFIELD VT 05441 - FRANKLIN</t>
  </si>
  <si>
    <t>000KM2-1</t>
  </si>
  <si>
    <t>Laird Home Yard</t>
  </si>
  <si>
    <t>Cal Ried</t>
  </si>
  <si>
    <t>189 Trobridge Road</t>
  </si>
  <si>
    <t>Bakersfield</t>
  </si>
  <si>
    <t>Andresen, Christian</t>
  </si>
  <si>
    <t>1104 HAGGETT RD MONTPELIER VT 05602</t>
  </si>
  <si>
    <t>000KM3-1</t>
  </si>
  <si>
    <t>Andresen Home Yard</t>
  </si>
  <si>
    <t>Christian Andresen</t>
  </si>
  <si>
    <t>4 Greenfield Terrace</t>
  </si>
  <si>
    <t>Blanchette, Mark</t>
  </si>
  <si>
    <t>33 LAUREL HILL DRIVE SOUTH BURLINGTON VT 05403 - CHITTENDEN</t>
  </si>
  <si>
    <t>000KMD-1</t>
  </si>
  <si>
    <t>Old Stage Road</t>
  </si>
  <si>
    <t>John Adams</t>
  </si>
  <si>
    <t>000KMD-2</t>
  </si>
  <si>
    <t>Matt Kozlowski</t>
  </si>
  <si>
    <t>Oak Hill Road</t>
  </si>
  <si>
    <t>Buck, James</t>
  </si>
  <si>
    <t>1677 HALLSTROM ROAD NORTHFIELD VT 05663</t>
  </si>
  <si>
    <t>000KMG-1</t>
  </si>
  <si>
    <t>Anne Lewis</t>
  </si>
  <si>
    <t>1677 Hallstrom Road</t>
  </si>
  <si>
    <t>Carrier, Steven</t>
  </si>
  <si>
    <t>20 WINDSWEPT DRIVE DANVILLE VT 05828</t>
  </si>
  <si>
    <t>000KMK-1</t>
  </si>
  <si>
    <t>Carrier Out Yard</t>
  </si>
  <si>
    <t>Scott Marshia</t>
  </si>
  <si>
    <t>84 Library Road</t>
  </si>
  <si>
    <t>Gould, Gretchen</t>
  </si>
  <si>
    <t>300 BUTTON HILL ROAD SHREWSBURY VT 05738 - RUTLAND</t>
  </si>
  <si>
    <t>000KMY-1</t>
  </si>
  <si>
    <t>Gould-Home Yard</t>
  </si>
  <si>
    <t>Gretchen Gould</t>
  </si>
  <si>
    <t>300 Button Hill Road</t>
  </si>
  <si>
    <t>Mackenzie, Allan</t>
  </si>
  <si>
    <t>33 MACKENZIE LANE MILTON VT 05468-4079 - CHITTENDEN</t>
  </si>
  <si>
    <t>000KP6-1</t>
  </si>
  <si>
    <t>Mackenzie Home Yard</t>
  </si>
  <si>
    <t>Allan Mackenzie</t>
  </si>
  <si>
    <t>33 Mackenzie Lane</t>
  </si>
  <si>
    <t>05468-4079</t>
  </si>
  <si>
    <t>Klein, Rebecca M.</t>
  </si>
  <si>
    <t>PO BOX 4004 ST JOHNSBURY VT 05819 - CALEDONIA</t>
  </si>
  <si>
    <t>000KPD-1</t>
  </si>
  <si>
    <t>Klein Home Yard</t>
  </si>
  <si>
    <t>Rebecca Klein</t>
  </si>
  <si>
    <t>1104 Crepeault Hill Road</t>
  </si>
  <si>
    <t>van Loon, Deborah</t>
  </si>
  <si>
    <t>100 COSTA AVE ST JOHNSBURY VT 05819</t>
  </si>
  <si>
    <t>000KPF-1</t>
  </si>
  <si>
    <t>Klein Yard</t>
  </si>
  <si>
    <t>Deborah van Loon</t>
  </si>
  <si>
    <t>Charbonneau, William</t>
  </si>
  <si>
    <t>206 SLEEPY HOLLOW LANE VERGENNES VT 05461-9081 - CHITTENDEN</t>
  </si>
  <si>
    <t>000KPG-1</t>
  </si>
  <si>
    <t>Charbonneau Home Yard</t>
  </si>
  <si>
    <t>William Charbonneau</t>
  </si>
  <si>
    <t>206 Sleepy Hollow Lane</t>
  </si>
  <si>
    <t>Ferrisbury</t>
  </si>
  <si>
    <t>Wood, Stephen</t>
  </si>
  <si>
    <t>252 ORCHARD HILL ROAD PITTSFORD VT 05763 - RUTLAND</t>
  </si>
  <si>
    <t>000KQK-1</t>
  </si>
  <si>
    <t>Wood-Home Yard</t>
  </si>
  <si>
    <t>Stephen Wood</t>
  </si>
  <si>
    <t>252 Orchard Hill Road</t>
  </si>
  <si>
    <t>Bouvier, Timothy</t>
  </si>
  <si>
    <t>2569 SOUTH STREET NEW HAVEN VT 05472</t>
  </si>
  <si>
    <t>000KWH-1</t>
  </si>
  <si>
    <t>Buck Mountain Maple Farm</t>
  </si>
  <si>
    <t>Terry Evarts</t>
  </si>
  <si>
    <t>3796 Green Street</t>
  </si>
  <si>
    <t>Augustine, Ted</t>
  </si>
  <si>
    <t>2500 GARVIN HILL ROAD WOODSTOCK VT 05091 - WINDSOR</t>
  </si>
  <si>
    <t>000M19-1</t>
  </si>
  <si>
    <t>Augustine-Home Yard</t>
  </si>
  <si>
    <t>Ted Augustine</t>
  </si>
  <si>
    <t>2500 Garvin Hill Road</t>
  </si>
  <si>
    <t>Ordinetz, Sue</t>
  </si>
  <si>
    <t>1434 TURKEY HILL ROAD CORINTH VT 05039 - ORANGE</t>
  </si>
  <si>
    <t>000M1B-1</t>
  </si>
  <si>
    <t>Ordinetz-Home Yard</t>
  </si>
  <si>
    <t>Sue Ordinetz</t>
  </si>
  <si>
    <t>1434 Turkey Hill Road</t>
  </si>
  <si>
    <t>Nyweide, Jeffrey O.</t>
  </si>
  <si>
    <t>527 BENSON ROAD MANCHESTER CENTER VT 05255 - BENNINGTON</t>
  </si>
  <si>
    <t>000M5V-1</t>
  </si>
  <si>
    <t>Nyweide Home Yard</t>
  </si>
  <si>
    <t>Jeffrey Nyweide</t>
  </si>
  <si>
    <t>527 Benson Road</t>
  </si>
  <si>
    <t>Manchester Center</t>
  </si>
  <si>
    <t>Turner, Ben</t>
  </si>
  <si>
    <t>904 LEWIS ROAD POULTNEY VT 05764 - RUTLAND</t>
  </si>
  <si>
    <t>000M5X-1</t>
  </si>
  <si>
    <t>Turner-Home Yard</t>
  </si>
  <si>
    <t>Ben Turner</t>
  </si>
  <si>
    <t>904 Lewis Road</t>
  </si>
  <si>
    <t>Zeichner, Oliver</t>
  </si>
  <si>
    <t>PO BOX 365 NORTHFIELD VT 05663 - WASHINGTON</t>
  </si>
  <si>
    <t>000M7Z-1</t>
  </si>
  <si>
    <t>Zeichner Home Yard</t>
  </si>
  <si>
    <t>Oliver Zeichner</t>
  </si>
  <si>
    <t>1934 Hallstrom Road</t>
  </si>
  <si>
    <t>000M7Z-2</t>
  </si>
  <si>
    <t>East Hill Tree Farm</t>
  </si>
  <si>
    <t>Nicko Rubin</t>
  </si>
  <si>
    <t>3499 East Hill Rd</t>
  </si>
  <si>
    <t>McFarline, Tim</t>
  </si>
  <si>
    <t>833 PARKHILL ROAD BENSON VT 05743 - RUTLAND</t>
  </si>
  <si>
    <t>00072K-7</t>
  </si>
  <si>
    <t>Munger Yard</t>
  </si>
  <si>
    <t>Munger</t>
  </si>
  <si>
    <t>North Lake Road</t>
  </si>
  <si>
    <t>00072K-9</t>
  </si>
  <si>
    <t>Cold Springs Road Yard</t>
  </si>
  <si>
    <t>West Haven Town</t>
  </si>
  <si>
    <t>Cold Spring</t>
  </si>
  <si>
    <t>Cold Springs Road</t>
  </si>
  <si>
    <t>West Haven</t>
  </si>
  <si>
    <t>00072K-35</t>
  </si>
  <si>
    <t>Pettis Yard</t>
  </si>
  <si>
    <t>Pettis</t>
  </si>
  <si>
    <t>Pettis Road</t>
  </si>
  <si>
    <t>000M83-1</t>
  </si>
  <si>
    <t>McFarline-Home Yard</t>
  </si>
  <si>
    <t>Tim McFarline</t>
  </si>
  <si>
    <t>833 Parkhill Road</t>
  </si>
  <si>
    <t>000M83-36</t>
  </si>
  <si>
    <t>Book Yard</t>
  </si>
  <si>
    <t>Books</t>
  </si>
  <si>
    <t>Book Road</t>
  </si>
  <si>
    <t>000M83-37</t>
  </si>
  <si>
    <t>MAC</t>
  </si>
  <si>
    <t>Pat Maclaren</t>
  </si>
  <si>
    <t>Carter Street</t>
  </si>
  <si>
    <t>000M83-38</t>
  </si>
  <si>
    <t>FH</t>
  </si>
  <si>
    <t>000M83-39</t>
  </si>
  <si>
    <t>FM</t>
  </si>
  <si>
    <t>Paul Horton</t>
  </si>
  <si>
    <t>Gluck, Frederic</t>
  </si>
  <si>
    <t>46 MUNSON ROAD HYDE PARK VT 05655 - LAMOILLE</t>
  </si>
  <si>
    <t>000MBH-1</t>
  </si>
  <si>
    <t>Gluck-Home Yard</t>
  </si>
  <si>
    <t>Frederic Gluck</t>
  </si>
  <si>
    <t>46 Munson Road</t>
  </si>
  <si>
    <t>Bishop, William L., Jr.</t>
  </si>
  <si>
    <t>1443 N ORWELL ROAD SHOREHAM VT 05770 - ADDISON</t>
  </si>
  <si>
    <t>000MMH-1</t>
  </si>
  <si>
    <t>Bishop Home Yard</t>
  </si>
  <si>
    <t>William Bishop</t>
  </si>
  <si>
    <t>1443 North Orwell Road</t>
  </si>
  <si>
    <t>Wurtzbacher, Joe</t>
  </si>
  <si>
    <t>34 HOMESTEAD LANE WATERBURY CENTER VT 05677 - WASHINGTON</t>
  </si>
  <si>
    <t>000MN1-1</t>
  </si>
  <si>
    <t>Wurthbacher-Home Yard</t>
  </si>
  <si>
    <t>Joe Wurtzbacher</t>
  </si>
  <si>
    <t>34 Homestead Lane</t>
  </si>
  <si>
    <t>Giovannetti, Susan</t>
  </si>
  <si>
    <t>120 BRIDGE ST HUNTINGTON VT 05462 - CHITTENDEN</t>
  </si>
  <si>
    <t>000MN2-1</t>
  </si>
  <si>
    <t>Giovannetti-Home Yard</t>
  </si>
  <si>
    <t>Susan Giovannetti</t>
  </si>
  <si>
    <t>120 Bridge Street</t>
  </si>
  <si>
    <t>Thompson, Robert</t>
  </si>
  <si>
    <t>450 BERT WHITE ROAD HUNTINGTON VT 05462 - CHITTENDEN</t>
  </si>
  <si>
    <t>000MN3-1</t>
  </si>
  <si>
    <t>Robert Thompson</t>
  </si>
  <si>
    <t>450 Bert White Road</t>
  </si>
  <si>
    <t>000MN3-2</t>
  </si>
  <si>
    <t>Faye's Corner Yard</t>
  </si>
  <si>
    <t>Collin Campbell</t>
  </si>
  <si>
    <t>115 East Hill Road</t>
  </si>
  <si>
    <t>Holmes, Carolyn</t>
  </si>
  <si>
    <t>191 ASH STREET STOUGHTON MA 02072</t>
  </si>
  <si>
    <t>000MN6-1</t>
  </si>
  <si>
    <t>Carolyn's Bee Forest</t>
  </si>
  <si>
    <t>Bradford Town</t>
  </si>
  <si>
    <t>Dave &amp; Carolyn Holmes</t>
  </si>
  <si>
    <t>1086 Goshen Road</t>
  </si>
  <si>
    <t>Bradford</t>
  </si>
  <si>
    <t>Carpenter, Jonathan</t>
  </si>
  <si>
    <t>306 CARTER STREET BARNET VT 05821 - CALEDONIA</t>
  </si>
  <si>
    <t>000MXA-1</t>
  </si>
  <si>
    <t>Barnet Town</t>
  </si>
  <si>
    <t>David Jewell</t>
  </si>
  <si>
    <t>827 Somerhill Road</t>
  </si>
  <si>
    <t>West Barnet</t>
  </si>
  <si>
    <t>Kolber, Bonnie</t>
  </si>
  <si>
    <t>3285 BACK COVENTRY ROAD IRASBURG VT 05845 - ORLEANS</t>
  </si>
  <si>
    <t>000MXC-1</t>
  </si>
  <si>
    <t>Kolber-Home Yard</t>
  </si>
  <si>
    <t>Bonnie Kolber</t>
  </si>
  <si>
    <t>3285 Back Coventry Road</t>
  </si>
  <si>
    <t>Lepuschenko, Karen</t>
  </si>
  <si>
    <t>8 MOUNTAIN VIEW STREET FAIRFAX VT 05454 - FRANKLIN</t>
  </si>
  <si>
    <t>000MXH-1</t>
  </si>
  <si>
    <t>Lepuschenko-Home Yard</t>
  </si>
  <si>
    <t>Karen Lepuschenko</t>
  </si>
  <si>
    <t>8 Mountain View Street</t>
  </si>
  <si>
    <t>Lessley, Leanne D.</t>
  </si>
  <si>
    <t>794 STONE BRIDGE ROAD GEORGIA VT 05468 - FRANKLIN</t>
  </si>
  <si>
    <t>000MXJ-1</t>
  </si>
  <si>
    <t>Lessley-Home Yard</t>
  </si>
  <si>
    <t>Leanne Lessley</t>
  </si>
  <si>
    <t>794 Stone Bridge Road</t>
  </si>
  <si>
    <t>000MXJ-2</t>
  </si>
  <si>
    <t>Julie Parent Patterson</t>
  </si>
  <si>
    <t>184 Steeple View Drive</t>
  </si>
  <si>
    <t>Kennedy, David</t>
  </si>
  <si>
    <t>135 SWEETWATER LANE EAST BURKE VT 05832 - CALEDONIA</t>
  </si>
  <si>
    <t>000MXK-1</t>
  </si>
  <si>
    <t>David Kennedy</t>
  </si>
  <si>
    <t>135 Sweetwater Lane</t>
  </si>
  <si>
    <t>East Burke</t>
  </si>
  <si>
    <t>Stoehr, Ed</t>
  </si>
  <si>
    <t>27 OLD MAPLE LANE DANBY VT 05739 - RUTLAND</t>
  </si>
  <si>
    <t>000MXM-1</t>
  </si>
  <si>
    <t>Stoehr-Home Yard</t>
  </si>
  <si>
    <t>Danby Town</t>
  </si>
  <si>
    <t>Ed Stoehr</t>
  </si>
  <si>
    <t>27 Old Maple Lane</t>
  </si>
  <si>
    <t>Danby</t>
  </si>
  <si>
    <t>Stowell, Wayne</t>
  </si>
  <si>
    <t>228 FLETCHER HILL ROAD CHESTER VT 05143 - WINDSOR</t>
  </si>
  <si>
    <t>000MXN-1</t>
  </si>
  <si>
    <t>Stowell-Home Yard</t>
  </si>
  <si>
    <t>Wayne Stowel</t>
  </si>
  <si>
    <t>228 Fletcher Hill Road</t>
  </si>
  <si>
    <t>Bingham, Alyssa</t>
  </si>
  <si>
    <t>197 PIGGERY ROAD WESTMINSTER VT 05158 - WINDSOR</t>
  </si>
  <si>
    <t>000MXV-1</t>
  </si>
  <si>
    <t>Bingham home yard</t>
  </si>
  <si>
    <t>Lance Harlow</t>
  </si>
  <si>
    <t>197 Piggery Road</t>
  </si>
  <si>
    <t>Westminster</t>
  </si>
  <si>
    <t>000MXV-2</t>
  </si>
  <si>
    <t>Bosenberg Hoisington Farm</t>
  </si>
  <si>
    <t>260 Asa Grout Lane</t>
  </si>
  <si>
    <t>000MXV-3</t>
  </si>
  <si>
    <t>Harlow home yard</t>
  </si>
  <si>
    <t>Chris Harlow Bettina Berg Bump Farm</t>
  </si>
  <si>
    <t>406 Bump Road</t>
  </si>
  <si>
    <t>Westminster West</t>
  </si>
  <si>
    <t>Stannard, Paul</t>
  </si>
  <si>
    <t>723 STANNARD ROAD SANDGATE VT 05250 - BENNINGTON</t>
  </si>
  <si>
    <t>000MXY-1</t>
  </si>
  <si>
    <t>Stannard-Home Yard</t>
  </si>
  <si>
    <t>Paul Stannard</t>
  </si>
  <si>
    <t>723 Stannard Road</t>
  </si>
  <si>
    <t>Lees, Michael</t>
  </si>
  <si>
    <t>382 STAPLES ROAD DANBY VT 05739 - RUTLAND</t>
  </si>
  <si>
    <t>000MXZ-1</t>
  </si>
  <si>
    <t>Lees Home Yard</t>
  </si>
  <si>
    <t>Michael Lees</t>
  </si>
  <si>
    <t>382 Staples Road</t>
  </si>
  <si>
    <t>Hayden, John</t>
  </si>
  <si>
    <t>3727 VT RT 15 JEFFERSONVILLE VT 05464 - LAMOILLE</t>
  </si>
  <si>
    <t>000MZW-1</t>
  </si>
  <si>
    <t>Hayden-Home Yard</t>
  </si>
  <si>
    <t>John Hayden</t>
  </si>
  <si>
    <t>3727 VT RT 15</t>
  </si>
  <si>
    <t>Gaines, Gary R.</t>
  </si>
  <si>
    <t>190 MONROE WAY WALTHAM VT 05491 - ADDISON</t>
  </si>
  <si>
    <t>000MZZ-1</t>
  </si>
  <si>
    <t>Gaines Home Yard</t>
  </si>
  <si>
    <t>Gary Gaines</t>
  </si>
  <si>
    <t>190 Monroe Way</t>
  </si>
  <si>
    <t>Zajac, Ryan</t>
  </si>
  <si>
    <t>PO BOX 86 ROXBURY VT 05669 - WASHINGTON</t>
  </si>
  <si>
    <t>000N01-1</t>
  </si>
  <si>
    <t>Zajak-Home Yard</t>
  </si>
  <si>
    <t>Roxbury Town</t>
  </si>
  <si>
    <t>Ryan Zajak</t>
  </si>
  <si>
    <t>440 Cram Hill Road</t>
  </si>
  <si>
    <t>Roxbury</t>
  </si>
  <si>
    <t>000N01-2</t>
  </si>
  <si>
    <t>Jeff Lourie</t>
  </si>
  <si>
    <t>85 Curtis Road</t>
  </si>
  <si>
    <t>Farmor Farm</t>
  </si>
  <si>
    <t>232 THOMPSON HILL NORTHFIELD VT 05663 - WASHINGTON</t>
  </si>
  <si>
    <t>000N11-1</t>
  </si>
  <si>
    <t>Charlie Morse</t>
  </si>
  <si>
    <t>232 Thompson Hill</t>
  </si>
  <si>
    <t>Hall, Howard</t>
  </si>
  <si>
    <t>410 RIDGELINE ROAD PANTON VT 05491-9301 - ADDISON</t>
  </si>
  <si>
    <t>000N4W-1</t>
  </si>
  <si>
    <t>Hall-Home Yard</t>
  </si>
  <si>
    <t>Howard Hall</t>
  </si>
  <si>
    <t>410 Ridgeline Road</t>
  </si>
  <si>
    <t>05491-9301</t>
  </si>
  <si>
    <t>Varney, Don</t>
  </si>
  <si>
    <t>70 MURRAY HILL DRIVE MONTPELIER VT 05602 - WASHINGTON</t>
  </si>
  <si>
    <t>000N51-1</t>
  </si>
  <si>
    <t>Varney-Home Yard</t>
  </si>
  <si>
    <t>Don Varney</t>
  </si>
  <si>
    <t>70 Murray Hill Drive</t>
  </si>
  <si>
    <t>Weyer, Cliff</t>
  </si>
  <si>
    <t>859 BROCKWAY MILLS ROAD SPRINGFIELD VT 05156 - WINDSOR</t>
  </si>
  <si>
    <t>000N57-1</t>
  </si>
  <si>
    <t>Weyer-Home Yard</t>
  </si>
  <si>
    <t>Cliff Weyer</t>
  </si>
  <si>
    <t>859 Brockway Mills Road</t>
  </si>
  <si>
    <t>Solt, Larry N.</t>
  </si>
  <si>
    <t>111 EDGEMOOR DRIVE BURLINGTON VT 05408 - CHITTENDEN</t>
  </si>
  <si>
    <t>000N58-1</t>
  </si>
  <si>
    <t>North Shore Apiary</t>
  </si>
  <si>
    <t>Burlington Parks &amp; Rec Dept.</t>
  </si>
  <si>
    <t>Starr Farm Road</t>
  </si>
  <si>
    <t>Young, Li Ling</t>
  </si>
  <si>
    <t>66 CHERRY LANE BURLINGTON VT 05401 - CHITTENDEN</t>
  </si>
  <si>
    <t>000N5A-1</t>
  </si>
  <si>
    <t>Young-Home Yard</t>
  </si>
  <si>
    <t>Li Ling Young</t>
  </si>
  <si>
    <t>66 Cherry Lane</t>
  </si>
  <si>
    <t>Murphy, Bruno (high Hedge Farm)</t>
  </si>
  <si>
    <t>69 ASHE RD CHARLOTTE VT 05445 - ORANGE</t>
  </si>
  <si>
    <t>000N5F-1</t>
  </si>
  <si>
    <t>1753 Chase Hollow Road</t>
  </si>
  <si>
    <t>000N5F-2</t>
  </si>
  <si>
    <t>Bruno Murphy</t>
  </si>
  <si>
    <t>69 Ashe Road</t>
  </si>
  <si>
    <t>Reed, James</t>
  </si>
  <si>
    <t>20 DUCHESS STREET NEWPORT VT 05855 - ORLEANS</t>
  </si>
  <si>
    <t>000N5H-1</t>
  </si>
  <si>
    <t>James Reed</t>
  </si>
  <si>
    <t>4486 Glenn Road</t>
  </si>
  <si>
    <t>Coventry</t>
  </si>
  <si>
    <t>Aldrich, Charlie</t>
  </si>
  <si>
    <t>12 PARKS ROAD SAINT JOHNSBURY VT 05819 - CALEDONIA</t>
  </si>
  <si>
    <t>000N72-1</t>
  </si>
  <si>
    <t>Aldrich Home Yard</t>
  </si>
  <si>
    <t>Charlie Aldrich</t>
  </si>
  <si>
    <t>12 Parks Road</t>
  </si>
  <si>
    <t>Saint Johnsbury</t>
  </si>
  <si>
    <t>Hatch, Jonathan</t>
  </si>
  <si>
    <t>196 LOVERS LANE NORTHFIELD VT 05663 - WASHINGTON</t>
  </si>
  <si>
    <t>000N78-1</t>
  </si>
  <si>
    <t>Hatch-Home Yard</t>
  </si>
  <si>
    <t>Jonathan Hatch</t>
  </si>
  <si>
    <t>196 Lovers Lane</t>
  </si>
  <si>
    <t>000N78-2</t>
  </si>
  <si>
    <t>Gus Osterberg</t>
  </si>
  <si>
    <t>Graniteville</t>
  </si>
  <si>
    <t>Graddock, Becky</t>
  </si>
  <si>
    <t>1509 BARROWS ROAD STOWE VT 05672 - LAMOILLE</t>
  </si>
  <si>
    <t>000N7F-1</t>
  </si>
  <si>
    <t>Hunger Mountain Farm</t>
  </si>
  <si>
    <t>Stowe Town</t>
  </si>
  <si>
    <t>1509 Barrows Road</t>
  </si>
  <si>
    <t>Stowe</t>
  </si>
  <si>
    <t>Miles, Lynn W.</t>
  </si>
  <si>
    <t>3173 HARBOR ROAD SHELBURNE VT 05482 - LAMOILLE</t>
  </si>
  <si>
    <t>000N7G-1</t>
  </si>
  <si>
    <t>Lynn's Bees</t>
  </si>
  <si>
    <t>Angelo Pizzagalli</t>
  </si>
  <si>
    <t>3173 Harbor Road</t>
  </si>
  <si>
    <t>Lynn, Bonnie</t>
  </si>
  <si>
    <t>53 VARNEY ROAD JERICHO VT 05465 - CHITTENDEN</t>
  </si>
  <si>
    <t>000N7K-1</t>
  </si>
  <si>
    <t>Lynn-Home Yard</t>
  </si>
  <si>
    <t>Bonnie Lynn</t>
  </si>
  <si>
    <t>53 Varney Road</t>
  </si>
  <si>
    <t>Brandt, Michelle</t>
  </si>
  <si>
    <t>2 ORION AVENUE LUDLOW VT 05149</t>
  </si>
  <si>
    <t>000N89-1</t>
  </si>
  <si>
    <t>Peace &amp; Plenty Farm</t>
  </si>
  <si>
    <t>Michelle Brandt</t>
  </si>
  <si>
    <t>2 Orion Avenue</t>
  </si>
  <si>
    <t>Philip Dudley, Jennifer Findley</t>
  </si>
  <si>
    <t>PO BOX 118 3458 ELMORE POND ROAD ELMORE VT 05657 - LAMOILLE</t>
  </si>
  <si>
    <t>000N8A-1</t>
  </si>
  <si>
    <t>Dudley Home Yard</t>
  </si>
  <si>
    <t>Philip Dudley/Jennifer Findley</t>
  </si>
  <si>
    <t>3458 Elmore Pond Road</t>
  </si>
  <si>
    <t>Elmore</t>
  </si>
  <si>
    <t>Randall, Megan</t>
  </si>
  <si>
    <t>PO BOX 246 NORTH POWNAL VT 05260 - BENNINGTON</t>
  </si>
  <si>
    <t>000N8C-1</t>
  </si>
  <si>
    <t>Sisterhill Honey</t>
  </si>
  <si>
    <t>Megan Randall</t>
  </si>
  <si>
    <t>1500 Skiparee Road</t>
  </si>
  <si>
    <t>North Pownal</t>
  </si>
  <si>
    <t>Sturgis, Glenn</t>
  </si>
  <si>
    <t>126 EAST HILL ROAD MIDDLESEX VT 05602 - WASHINGTON</t>
  </si>
  <si>
    <t>000N8D-1</t>
  </si>
  <si>
    <t>Sturgis Home Yard</t>
  </si>
  <si>
    <t>Glenn Sturgis</t>
  </si>
  <si>
    <t>126 East Hill Road</t>
  </si>
  <si>
    <t>Lesko, William</t>
  </si>
  <si>
    <t>864 APACHE ROAD FRANKLIN LAKES NJ 07417-2803</t>
  </si>
  <si>
    <t>000N8H-1</t>
  </si>
  <si>
    <t>Lesko Home Yard</t>
  </si>
  <si>
    <t>William Lesko</t>
  </si>
  <si>
    <t>3173 VT RT 313</t>
  </si>
  <si>
    <t>West Arlington</t>
  </si>
  <si>
    <t>Murphy, Megan A.</t>
  </si>
  <si>
    <t>207 WENTWORTH ROAD BOLTON VALLEY VT 05477</t>
  </si>
  <si>
    <t>000N8M-1</t>
  </si>
  <si>
    <t>Murphy-Home Yard</t>
  </si>
  <si>
    <t>Bolton Town</t>
  </si>
  <si>
    <t>Megan Murphy and Andrew Cronder</t>
  </si>
  <si>
    <t>207 Wentworth Road</t>
  </si>
  <si>
    <t>Bolton Valley</t>
  </si>
  <si>
    <t>Slater, Jennifer (Bee My Honey)</t>
  </si>
  <si>
    <t>2111 MT PHILO ROAD CHARLOTTE VT 05445 - CHITTENDEN</t>
  </si>
  <si>
    <t>000N9J-1</t>
  </si>
  <si>
    <t>Bee My Honey</t>
  </si>
  <si>
    <t>Jennifer Slater</t>
  </si>
  <si>
    <t>2111 Mt. Philo Road</t>
  </si>
  <si>
    <t>Lubicich, Ted</t>
  </si>
  <si>
    <t>948 WYLIE HILL ROAD CRAFTSBURY COMMON VT 05827 - ORLEANS</t>
  </si>
  <si>
    <t>000NC3-1</t>
  </si>
  <si>
    <t>Lubicich-Home Yard</t>
  </si>
  <si>
    <t>Ted Lubicich</t>
  </si>
  <si>
    <t>948 Wylie Hill Road</t>
  </si>
  <si>
    <t>Craftsbury</t>
  </si>
  <si>
    <t>Hurley, Lori</t>
  </si>
  <si>
    <t>505 BLUEBERRY HILL ROAD SHAFTSBURY VT 05262 - BENNINGTON</t>
  </si>
  <si>
    <t>000NC5-1</t>
  </si>
  <si>
    <t>"Tobias Funke"</t>
  </si>
  <si>
    <t>Phil Hoar</t>
  </si>
  <si>
    <t>356 Glastenview Drive</t>
  </si>
  <si>
    <t>000NC5-2</t>
  </si>
  <si>
    <t>Woodford Town</t>
  </si>
  <si>
    <t>John Hurley</t>
  </si>
  <si>
    <t>5447 Route 9</t>
  </si>
  <si>
    <t>Woodford</t>
  </si>
  <si>
    <t>Chase, Jack L.</t>
  </si>
  <si>
    <t>169 CRYSTAL HEIGHTS BOMOSEEN VT 05732 - RUTLAND</t>
  </si>
  <si>
    <t>000NC8-1</t>
  </si>
  <si>
    <t>Chase Home Yard</t>
  </si>
  <si>
    <t>Jack Chase</t>
  </si>
  <si>
    <t>263 Burns Road</t>
  </si>
  <si>
    <t>Bomoseen</t>
  </si>
  <si>
    <t>Phillips, Patrick</t>
  </si>
  <si>
    <t>428 JUSTIN MORGAN DRIVE COLCHESTER VT 05446 - CHITTENDEN</t>
  </si>
  <si>
    <t>000NCC-1</t>
  </si>
  <si>
    <t>Phillips-Home Yard</t>
  </si>
  <si>
    <t>Patrick Phillips</t>
  </si>
  <si>
    <t>428 Justin Morgan Drive</t>
  </si>
  <si>
    <t>Boucher, Heather</t>
  </si>
  <si>
    <t>48 WILDWOOD ACRES ROAD NEWFANE VT 05345 - WINDHAM</t>
  </si>
  <si>
    <t>000NCK-1</t>
  </si>
  <si>
    <t>Boucher Home Yard</t>
  </si>
  <si>
    <t>Heather Boucher</t>
  </si>
  <si>
    <t>48 Wildwood Acres Road</t>
  </si>
  <si>
    <t>Rauch, Michelle</t>
  </si>
  <si>
    <t>179 OWLS HEAD LANE STOWE VT 05672 - LAMOILLE</t>
  </si>
  <si>
    <t>000NCM-1</t>
  </si>
  <si>
    <t>Stowe Hollow</t>
  </si>
  <si>
    <t>Michelle Rauch</t>
  </si>
  <si>
    <t>179 Owls Head Lane</t>
  </si>
  <si>
    <t>Chadwick, Michael</t>
  </si>
  <si>
    <t>466 VAIL ROAD WHITING VT 05778 - RUTLAND</t>
  </si>
  <si>
    <t>000NCN-1</t>
  </si>
  <si>
    <t>Chadwick-Home Yard</t>
  </si>
  <si>
    <t>Michael Chadwick</t>
  </si>
  <si>
    <t>466 Vail Road</t>
  </si>
  <si>
    <t>Wallace, Margaret</t>
  </si>
  <si>
    <t>27 WASHINGTON STREET BURLINGTON VT 05401 - CHITTENDEN</t>
  </si>
  <si>
    <t>000NCV-1</t>
  </si>
  <si>
    <t>Wallace Home Yard</t>
  </si>
  <si>
    <t>Margaret Wallace</t>
  </si>
  <si>
    <t>27 Washington Street</t>
  </si>
  <si>
    <t>Airold, Sara</t>
  </si>
  <si>
    <t>269 JIGGER HILL ROAD SOUTH ROYALTON VT 05068 - WINDSOR</t>
  </si>
  <si>
    <t>000NCX-1</t>
  </si>
  <si>
    <t>Airold Home Yard</t>
  </si>
  <si>
    <t>Sara Airold</t>
  </si>
  <si>
    <t>269 Jigger Hill Road</t>
  </si>
  <si>
    <t>Nolfi, Barbara</t>
  </si>
  <si>
    <t>4 EAST VILLAGE DRIVE BURLINGTON VT 05401 - CHITTENDEN</t>
  </si>
  <si>
    <t>000NCZ-1</t>
  </si>
  <si>
    <t>Burlington Cohousing</t>
  </si>
  <si>
    <t>Barbara Nolfi</t>
  </si>
  <si>
    <t>4 East Village Drive</t>
  </si>
  <si>
    <t>Sheridan, Moira</t>
  </si>
  <si>
    <t>148 PLAINS ROAD JERICHO VT 05465 - CHITTENDEN</t>
  </si>
  <si>
    <t>000ND1-1</t>
  </si>
  <si>
    <t>Sheridan Home Yard</t>
  </si>
  <si>
    <t>Moira Sheridan</t>
  </si>
  <si>
    <t>148 Plains Road</t>
  </si>
  <si>
    <t>Goreau, Peter</t>
  </si>
  <si>
    <t>3501 OLD COUNTRY ROAD SOUTH WATERFORD VT 05819 - CALEDONIA</t>
  </si>
  <si>
    <t>000ND3-1</t>
  </si>
  <si>
    <t>Goreau-Home Yard</t>
  </si>
  <si>
    <t>Waterford Town</t>
  </si>
  <si>
    <t>Peter Goreau</t>
  </si>
  <si>
    <t>3501 Old County Road South</t>
  </si>
  <si>
    <t>Waterford</t>
  </si>
  <si>
    <t>Broe, Patricia &amp; Timothy</t>
  </si>
  <si>
    <t>1646 SWEET HOLLOW ROAD SHELDON VT 05483 - FRANKLIN</t>
  </si>
  <si>
    <t>000ND4-1</t>
  </si>
  <si>
    <t>Broe-Home Yard</t>
  </si>
  <si>
    <t>Patricia and Timothy Broe</t>
  </si>
  <si>
    <t>1646 Sweet Hollow Road</t>
  </si>
  <si>
    <t>Sheldon Springs</t>
  </si>
  <si>
    <t>Von Lepel, Audrey (Fairfax Apiary)</t>
  </si>
  <si>
    <t>PO BOX 297 FAIRFAX VT 05454</t>
  </si>
  <si>
    <t>000ND6-1</t>
  </si>
  <si>
    <t>Von Lepel Home Yard</t>
  </si>
  <si>
    <t>Audrey Von Lepel</t>
  </si>
  <si>
    <t>7 Stewart Street</t>
  </si>
  <si>
    <t>000ND6-2</t>
  </si>
  <si>
    <t>303 LLoyd Road</t>
  </si>
  <si>
    <t>Krystal Jenners</t>
  </si>
  <si>
    <t>303 Lloyd Road</t>
  </si>
  <si>
    <t>Frye, Nancy</t>
  </si>
  <si>
    <t>207 URSA RIDGE BRATTLEBORO VT 05301</t>
  </si>
  <si>
    <t>000NDH-1</t>
  </si>
  <si>
    <t>Frye-Home Yard</t>
  </si>
  <si>
    <t>Nancy Frye</t>
  </si>
  <si>
    <t>297 Ursa Ridge Road</t>
  </si>
  <si>
    <t>Maple Star Farm</t>
  </si>
  <si>
    <t>39 KELLEY RD UNDERHILL VT 05489</t>
  </si>
  <si>
    <t>000NDN-1</t>
  </si>
  <si>
    <t>Sedney home yard</t>
  </si>
  <si>
    <t>Damian Sedney</t>
  </si>
  <si>
    <t>39 Kelley Road</t>
  </si>
  <si>
    <t>Goggin, Richard</t>
  </si>
  <si>
    <t>30 WHIPPLE ROAD SOUTH HERO VT 05486</t>
  </si>
  <si>
    <t>000NMJ-1</t>
  </si>
  <si>
    <t>Goggin Home Yard</t>
  </si>
  <si>
    <t>Richard Goggin</t>
  </si>
  <si>
    <t>30 Whipple Road</t>
  </si>
  <si>
    <t>Cahoon, Michael L.</t>
  </si>
  <si>
    <t>370 NEW BOSTON ROAD NORWICH VT 05055</t>
  </si>
  <si>
    <t>000NMK-1</t>
  </si>
  <si>
    <t>Cahoon-Home Yard</t>
  </si>
  <si>
    <t>Michael Cahoon</t>
  </si>
  <si>
    <t>370 New Boston Road</t>
  </si>
  <si>
    <t>Buzzell, Steve</t>
  </si>
  <si>
    <t>165 CLARK ROAD STOWE VT 05672</t>
  </si>
  <si>
    <t>000NMX-1</t>
  </si>
  <si>
    <t>Buzzell-Home Yard</t>
  </si>
  <si>
    <t>Steve Buzzell</t>
  </si>
  <si>
    <t>165 Clark Road</t>
  </si>
  <si>
    <t>Callahan, Matt</t>
  </si>
  <si>
    <t>1576 FERRY ROAD CHARLOTTE VT 05445</t>
  </si>
  <si>
    <t>000NMY-1</t>
  </si>
  <si>
    <t>Jim McCullaugh</t>
  </si>
  <si>
    <t>251 Govenor Chittenden Road</t>
  </si>
  <si>
    <t>000NMY-2</t>
  </si>
  <si>
    <t>2-Home Yard</t>
  </si>
  <si>
    <t>John Havenstein</t>
  </si>
  <si>
    <t>1576 Ferry Road</t>
  </si>
  <si>
    <t>Choquette, Lynn</t>
  </si>
  <si>
    <t>668 CHERRY TREE HILL ROAD EAST MONTPELIER VT 05651</t>
  </si>
  <si>
    <t>000NN2-1</t>
  </si>
  <si>
    <t>Choquette-Home Yard</t>
  </si>
  <si>
    <t>Lynn Choquette</t>
  </si>
  <si>
    <t>668 Cherry Tree Hill Road</t>
  </si>
  <si>
    <t>Shortsleeve, Dane W.</t>
  </si>
  <si>
    <t>21 ORCHARD TERRACE ESSEX JUNCTION VT 05452</t>
  </si>
  <si>
    <t>000NN8-1</t>
  </si>
  <si>
    <t>Shortsleeve-Home Yard</t>
  </si>
  <si>
    <t>Dane Shortsleeve</t>
  </si>
  <si>
    <t>21 Orchard Terrace</t>
  </si>
  <si>
    <t>Village of Essex Jct</t>
  </si>
  <si>
    <t>Welch, Jensen - Laughing Stock Farm O.</t>
  </si>
  <si>
    <t>960 POND ROAD JEFFERSONVILLE VT 05464</t>
  </si>
  <si>
    <t>000NNM-1</t>
  </si>
  <si>
    <t>Welch-Home Yard</t>
  </si>
  <si>
    <t>Fletcher Town</t>
  </si>
  <si>
    <t>Jensen Welch</t>
  </si>
  <si>
    <t>960 Pond Road</t>
  </si>
  <si>
    <t>Fletcher</t>
  </si>
  <si>
    <t>Pratt, Candace</t>
  </si>
  <si>
    <t>450 OAK KNOLL ROAD WILLISTON VT 05495</t>
  </si>
  <si>
    <t>000NQ3-1</t>
  </si>
  <si>
    <t>Pratt-Home Yard</t>
  </si>
  <si>
    <t>Candace Pratt</t>
  </si>
  <si>
    <t>450 Oak Knoll Road</t>
  </si>
  <si>
    <t>Rothstein, Jay L.</t>
  </si>
  <si>
    <t>18 ELM STREET NORWICH VT 05055</t>
  </si>
  <si>
    <t>000Q41-1</t>
  </si>
  <si>
    <t>Rothstein-Home Yard</t>
  </si>
  <si>
    <t>Jay Rothstein</t>
  </si>
  <si>
    <t>18 Elm Street</t>
  </si>
  <si>
    <t>Martin, Marjorie</t>
  </si>
  <si>
    <t>1126 JEFFERSON HILL ROAD SOUTH RYEGATE VT 05069</t>
  </si>
  <si>
    <t>000Q73-1</t>
  </si>
  <si>
    <t>Starlit Hill Farm</t>
  </si>
  <si>
    <t>Marjorie Martin</t>
  </si>
  <si>
    <t>1126 Jefferson Hill Road</t>
  </si>
  <si>
    <t>South Ryegate</t>
  </si>
  <si>
    <t>Barsotti, Shannon</t>
  </si>
  <si>
    <t>141 ROIZIN ROAD BENNINGTON VT 05201</t>
  </si>
  <si>
    <t>000QAB-1</t>
  </si>
  <si>
    <t>Chris &amp; Shannon Barsotti</t>
  </si>
  <si>
    <t>141 Roizin Road</t>
  </si>
  <si>
    <t>Fitz-Gerald, Ralph</t>
  </si>
  <si>
    <t>288 MONKTON RIDGE ROAD NORTH FERRISBURGH VT 05473</t>
  </si>
  <si>
    <t>000QAG-1</t>
  </si>
  <si>
    <t>Charlie Proutt</t>
  </si>
  <si>
    <t>2111 Green Bush Road</t>
  </si>
  <si>
    <t>North Ferrisburgh</t>
  </si>
  <si>
    <t>Lovett, Richard</t>
  </si>
  <si>
    <t>1434 MCKINLEY AVENUE RUTLAND VT 05701</t>
  </si>
  <si>
    <t>000QAK-1</t>
  </si>
  <si>
    <t>Richard Lowett</t>
  </si>
  <si>
    <t>1434 McKinley Avenue</t>
  </si>
  <si>
    <t>Monaghan, Matthew</t>
  </si>
  <si>
    <t>404 VAIL ROAD BENNINGTON VT 05201</t>
  </si>
  <si>
    <t>000QAM-1</t>
  </si>
  <si>
    <t>Monaghan-Home Yard</t>
  </si>
  <si>
    <t>Matthew Monaghan</t>
  </si>
  <si>
    <t>404 Vail Road</t>
  </si>
  <si>
    <t>Bard, Douglas- Bard's Bees and Trees H.</t>
  </si>
  <si>
    <t>84 WEST SHORE ROAD NORTH HERO VT 05474</t>
  </si>
  <si>
    <t>000QAY-1</t>
  </si>
  <si>
    <t>Bard Home Yard</t>
  </si>
  <si>
    <t>Douglas Bard</t>
  </si>
  <si>
    <t>84 West Shore Road</t>
  </si>
  <si>
    <t>Brunken, Diedrich</t>
  </si>
  <si>
    <t>5936 VT RT 30 PAWLET VT 05761-9806</t>
  </si>
  <si>
    <t>000QB1-1</t>
  </si>
  <si>
    <t>5 Hearths Apiary</t>
  </si>
  <si>
    <t>Diedrich Brunken</t>
  </si>
  <si>
    <t>5936 VT RT 30</t>
  </si>
  <si>
    <t>05761-9806</t>
  </si>
  <si>
    <t>Bolus, Robert</t>
  </si>
  <si>
    <t>340 SCHOOL ROAD BARRE VT 05641</t>
  </si>
  <si>
    <t>000QB2-1</t>
  </si>
  <si>
    <t>Bob 1</t>
  </si>
  <si>
    <t>Robert Bolus</t>
  </si>
  <si>
    <t>340 School Road</t>
  </si>
  <si>
    <t>Leamy, Ryan</t>
  </si>
  <si>
    <t>2198 WILD BRANCH ROAD CRAFTSBURY VT 05826</t>
  </si>
  <si>
    <t>000QC4-1</t>
  </si>
  <si>
    <t>Brown-Home Yard</t>
  </si>
  <si>
    <t>Patrick Brown</t>
  </si>
  <si>
    <t>1213 North Williston Road</t>
  </si>
  <si>
    <t>Chaput, Tricia A</t>
  </si>
  <si>
    <t>13 WEST ST APT A BRISTOL VT 05443 - ADDISON</t>
  </si>
  <si>
    <t>000QCZ-1</t>
  </si>
  <si>
    <t>Chaput home yard</t>
  </si>
  <si>
    <t>David &amp; Veronica Estey</t>
  </si>
  <si>
    <t>415 Leavensworth Rd</t>
  </si>
  <si>
    <t>05461-0004</t>
  </si>
  <si>
    <t>Loseke, Zelma</t>
  </si>
  <si>
    <t>ZELMAS FARM 30 WOODARD LANE E CORINTH VT 05040</t>
  </si>
  <si>
    <t>000QFJ-1</t>
  </si>
  <si>
    <t>Zelma's Farm of Taste &amp; See</t>
  </si>
  <si>
    <t>Zelma Loseke</t>
  </si>
  <si>
    <t>30 Woodward Lane</t>
  </si>
  <si>
    <t>East Corinth</t>
  </si>
  <si>
    <t>Grover, Shawn</t>
  </si>
  <si>
    <t>2600 CREAMERY ROAD GUILFORD VT 05301</t>
  </si>
  <si>
    <t>000QFM-1</t>
  </si>
  <si>
    <t>Grover-Home Yard</t>
  </si>
  <si>
    <t>Guilford Town</t>
  </si>
  <si>
    <t>Shawn Grover</t>
  </si>
  <si>
    <t>2600 Creamery Road</t>
  </si>
  <si>
    <t>Guilford</t>
  </si>
  <si>
    <t>Chapple-Sokol, Jonathan</t>
  </si>
  <si>
    <t>143 NORTH PROSPECT STREET BURLINGTON VT 05401</t>
  </si>
  <si>
    <t>000QFV-1</t>
  </si>
  <si>
    <t>Chapple-Sokol-Home Yard</t>
  </si>
  <si>
    <t>Jonathan Chapple-Sokol</t>
  </si>
  <si>
    <t>143 North Prospect Street</t>
  </si>
  <si>
    <t>Boguzewski, Michael</t>
  </si>
  <si>
    <t>2 SHORE DRIVE TUNBRIDGE VT 05077</t>
  </si>
  <si>
    <t>000QFX-1</t>
  </si>
  <si>
    <t>Hazel's Honey</t>
  </si>
  <si>
    <t>Michael Boguzewski</t>
  </si>
  <si>
    <t>2 Shore Drive</t>
  </si>
  <si>
    <t>Doyle, Eugenie</t>
  </si>
  <si>
    <t>2246 TYLER BRIDGE ROAD BRISTOL VT 05443</t>
  </si>
  <si>
    <t>000QGQ-1</t>
  </si>
  <si>
    <t>Doyle-Home Yard</t>
  </si>
  <si>
    <t>Eugenie Doyle</t>
  </si>
  <si>
    <t>2246 Tyler Bridge Road</t>
  </si>
  <si>
    <t>Werner, Cheryl</t>
  </si>
  <si>
    <t>429 PAINTER ROAD MIDDLEBURY VT 05753</t>
  </si>
  <si>
    <t>000QGV-1</t>
  </si>
  <si>
    <t>Werner Tree Farm</t>
  </si>
  <si>
    <t>Cheryl Werner</t>
  </si>
  <si>
    <t>429 Painter Road</t>
  </si>
  <si>
    <t>Santorello, John</t>
  </si>
  <si>
    <t>176 ELM STREET BARRE VT 05641</t>
  </si>
  <si>
    <t>000QGX-1</t>
  </si>
  <si>
    <t>Hidden Steps Gardens</t>
  </si>
  <si>
    <t>Santorello</t>
  </si>
  <si>
    <t>176 Elm Street</t>
  </si>
  <si>
    <t>McManus, Jill &amp; Matthew</t>
  </si>
  <si>
    <t>1541 TUCKER HILL ROAD WAITSFIELD VT 05673</t>
  </si>
  <si>
    <t>000QGY-1</t>
  </si>
  <si>
    <t>Matt McManus Yard</t>
  </si>
  <si>
    <t>Fayston Town</t>
  </si>
  <si>
    <t>Matt McManus</t>
  </si>
  <si>
    <t>1541 Tucker Hill Road</t>
  </si>
  <si>
    <t>Fayston</t>
  </si>
  <si>
    <t>Sweitzer, Jim</t>
  </si>
  <si>
    <t>89 HOG FARM ROAD PUTNEY VT 05346</t>
  </si>
  <si>
    <t>000QH7-1</t>
  </si>
  <si>
    <t>Sweitzer-Home Yard</t>
  </si>
  <si>
    <t>Jim Sweitzer</t>
  </si>
  <si>
    <t>89 Hog Farm Road</t>
  </si>
  <si>
    <t>Timmer, Diana</t>
  </si>
  <si>
    <t>42 SPAFFORD ROAD FAIRFAX VT 05454</t>
  </si>
  <si>
    <t>000QJ5-1</t>
  </si>
  <si>
    <t>Timmer-Home Yard</t>
  </si>
  <si>
    <t>Daniel &amp; Diana Timmer</t>
  </si>
  <si>
    <t>42 Spafford Road</t>
  </si>
  <si>
    <t>Catella, Roy John</t>
  </si>
  <si>
    <t>2722 BOROUGH HILL ROAD MONKTON VT 05443</t>
  </si>
  <si>
    <t>000QJ7-1</t>
  </si>
  <si>
    <t>Catella</t>
  </si>
  <si>
    <t>2722 Borough Hill Road</t>
  </si>
  <si>
    <t>000QJ7-2</t>
  </si>
  <si>
    <t>Pecor</t>
  </si>
  <si>
    <t>676 Mountain Road</t>
  </si>
  <si>
    <t>Gooley, Brenda</t>
  </si>
  <si>
    <t>75 HEMLOCK DRIVE BRISTOL VT 05443</t>
  </si>
  <si>
    <t>000QJ9-1</t>
  </si>
  <si>
    <t>Brenda Gooley</t>
  </si>
  <si>
    <t>75 Hemlock Drive</t>
  </si>
  <si>
    <t>Scavone, William (Flyring bird Farm)</t>
  </si>
  <si>
    <t>1655 TURNPIKE ROAD NORWICH VT 05055</t>
  </si>
  <si>
    <t>000QK8-1</t>
  </si>
  <si>
    <t>Scavone Home Yard</t>
  </si>
  <si>
    <t>William Scavone</t>
  </si>
  <si>
    <t>1655 Turnpike Road</t>
  </si>
  <si>
    <t>000QK8-2</t>
  </si>
  <si>
    <t>Norwich Farms</t>
  </si>
  <si>
    <t>VTC</t>
  </si>
  <si>
    <t>723 Turnpike road</t>
  </si>
  <si>
    <t>norwich</t>
  </si>
  <si>
    <t>Sequist, David</t>
  </si>
  <si>
    <t>PO BOX 1357 STOWE VT 05672 - LAMOILLE</t>
  </si>
  <si>
    <t>000QK9-1</t>
  </si>
  <si>
    <t>Sequist</t>
  </si>
  <si>
    <t>David Sequist</t>
  </si>
  <si>
    <t>49 Bennett Lane</t>
  </si>
  <si>
    <t>000QK9-2</t>
  </si>
  <si>
    <t>Two</t>
  </si>
  <si>
    <t>171 Standoff</t>
  </si>
  <si>
    <t>Brown, Candace A</t>
  </si>
  <si>
    <t>1504 SCOTTSVILLE ROAD DANBY VT 05739 - RUTLAND</t>
  </si>
  <si>
    <t>000QKA-1</t>
  </si>
  <si>
    <t>Candace A. Brown</t>
  </si>
  <si>
    <t>1504 Scottsville Road</t>
  </si>
  <si>
    <t>Hicks, Adrian</t>
  </si>
  <si>
    <t>441 PINEY WOODS ROAD BRISTOL VT 05443</t>
  </si>
  <si>
    <t>000QKB-1</t>
  </si>
  <si>
    <t>Backyard Bees</t>
  </si>
  <si>
    <t>Adrian Hicks</t>
  </si>
  <si>
    <t>441 Piney Woods Road</t>
  </si>
  <si>
    <t>Walsh, Seamus</t>
  </si>
  <si>
    <t>8 BROOKS AVE ESSEX JUNCTION VT 05452 - CHITTENDEN</t>
  </si>
  <si>
    <t>000QKD-1</t>
  </si>
  <si>
    <t>Walsh Home</t>
  </si>
  <si>
    <t>Seamus Walsh</t>
  </si>
  <si>
    <t>8 Brooks Ave</t>
  </si>
  <si>
    <t>Roy, Richard</t>
  </si>
  <si>
    <t>881 CLAY POINT ROAD COLCHESTER VT 05446 - CHITTENDEN</t>
  </si>
  <si>
    <t>000QKG-1</t>
  </si>
  <si>
    <t>Roy-Home Yard</t>
  </si>
  <si>
    <t>Roy Richard</t>
  </si>
  <si>
    <t>881 Clay Point Road</t>
  </si>
  <si>
    <t>Herbert, Bob</t>
  </si>
  <si>
    <t>P O BOX 613 MANCHESTER VT 05254 - BENNINGTON</t>
  </si>
  <si>
    <t>000QKN-1</t>
  </si>
  <si>
    <t>Maplewood Apiary</t>
  </si>
  <si>
    <t>Bob Herbert</t>
  </si>
  <si>
    <t>38 Dandy Mountain Road</t>
  </si>
  <si>
    <t>Plouffe, James</t>
  </si>
  <si>
    <t>1827 BAPTIST STREET WILLIAMSTOWN VT 05679</t>
  </si>
  <si>
    <t>000QM4-1</t>
  </si>
  <si>
    <t>Ploufe-Home</t>
  </si>
  <si>
    <t>James Plouffe</t>
  </si>
  <si>
    <t>1827 Baptist Street</t>
  </si>
  <si>
    <t>Raymond, Adam</t>
  </si>
  <si>
    <t>56 BAKER STREET ALBURGH VT 05440 - GRAND ISLE</t>
  </si>
  <si>
    <t>000QM5-1</t>
  </si>
  <si>
    <t>Adam Raymond</t>
  </si>
  <si>
    <t>56 Baker Street</t>
  </si>
  <si>
    <t>Bodan, Katharine</t>
  </si>
  <si>
    <t>160 WORCESTER MOUNTAIN VIEW DRIVE WATERBURY CENTER VT 05677 - WASHINGTON</t>
  </si>
  <si>
    <t>000QM6-1</t>
  </si>
  <si>
    <t>Bodan-Home</t>
  </si>
  <si>
    <t>Katharine &amp; Michael Bodan</t>
  </si>
  <si>
    <t>160 Worcester Mountain View Drive</t>
  </si>
  <si>
    <t>Beauregard, Dannah</t>
  </si>
  <si>
    <t>157 CAMBRIDGE ROAD CAMBRIDGE VT 05444</t>
  </si>
  <si>
    <t>000QM7-1</t>
  </si>
  <si>
    <t>Beauregard home yard</t>
  </si>
  <si>
    <t>Dannah Beauregard</t>
  </si>
  <si>
    <t>157 Cambridge Road</t>
  </si>
  <si>
    <t>Cambridge</t>
  </si>
  <si>
    <t>Morris, Travis</t>
  </si>
  <si>
    <t>119 NORTHVIEW DR NORTHFIELD VT 05663 - WASHINGTON</t>
  </si>
  <si>
    <t>000QMA-1</t>
  </si>
  <si>
    <t>Morris-Home</t>
  </si>
  <si>
    <t>Morris</t>
  </si>
  <si>
    <t>119 Northview Drive</t>
  </si>
  <si>
    <t>Kaigle, Leslie</t>
  </si>
  <si>
    <t>55 BEDFORD ROAD VERGENNES VT 05491 - ADDISON</t>
  </si>
  <si>
    <t>000QMM-1</t>
  </si>
  <si>
    <t>Kaigle-Home</t>
  </si>
  <si>
    <t>Leslie Kaigle</t>
  </si>
  <si>
    <t>55 Bedford Road</t>
  </si>
  <si>
    <t>Denis Querrard</t>
  </si>
  <si>
    <t>P O BOX 303 92 SPENCER HILL ROAD NORTH STRATFORD NH 03590-0303 - COOS</t>
  </si>
  <si>
    <t>000QN5-1</t>
  </si>
  <si>
    <t>Querrard 1</t>
  </si>
  <si>
    <t>Bloomfield Town</t>
  </si>
  <si>
    <t>Debra Laverty</t>
  </si>
  <si>
    <t>92 Spencer Hill Road</t>
  </si>
  <si>
    <t>Bloomfield</t>
  </si>
  <si>
    <t>Battaglini, Jeff</t>
  </si>
  <si>
    <t>6828 RT 100 N PO BOX 294 WEST WARDSBORO VT 05360</t>
  </si>
  <si>
    <t>000QN9-1</t>
  </si>
  <si>
    <t>Weis Batty Bees</t>
  </si>
  <si>
    <t>Lesley Weisburt/Jeff Battaglini</t>
  </si>
  <si>
    <t>6828 Rt 100 N</t>
  </si>
  <si>
    <t>PO Box 294</t>
  </si>
  <si>
    <t>West Wardsboro</t>
  </si>
  <si>
    <t>000QN9-2</t>
  </si>
  <si>
    <t>Neumann</t>
  </si>
  <si>
    <t>Marv Neumann</t>
  </si>
  <si>
    <t>39 Morgan Drive</t>
  </si>
  <si>
    <t>Schonholtz, Tim</t>
  </si>
  <si>
    <t>106 JONESVILLE ESTATES RICHMOND VT 05477 - CHITTENDEN</t>
  </si>
  <si>
    <t>000QNB-1</t>
  </si>
  <si>
    <t>Schonholtz Home Yard</t>
  </si>
  <si>
    <t>Tim Schonholtz</t>
  </si>
  <si>
    <t>106 Jonesville Estates</t>
  </si>
  <si>
    <t>Pride, David J</t>
  </si>
  <si>
    <t>160 ANDERSON ROAD 688 PLAIN ST CHESTER VT 05143 - WINDSOR</t>
  </si>
  <si>
    <t>000QNG-1</t>
  </si>
  <si>
    <t>Pride-Home Yard</t>
  </si>
  <si>
    <t>Pride</t>
  </si>
  <si>
    <t>160 Anderson Road</t>
  </si>
  <si>
    <t>000QNG-2</t>
  </si>
  <si>
    <t>David Pride</t>
  </si>
  <si>
    <t>688 Main Street</t>
  </si>
  <si>
    <t>Kitchel, Frederick</t>
  </si>
  <si>
    <t>P O BOX 115 45 COVERED BRIDGE ROAD DANVILLE VT 05828 - CALEDONIA</t>
  </si>
  <si>
    <t>000QNK-1</t>
  </si>
  <si>
    <t>Field/Yard</t>
  </si>
  <si>
    <t>Kitchel</t>
  </si>
  <si>
    <t>45 Covered Bridge Road</t>
  </si>
  <si>
    <t>Bibb, Stefan and Dana</t>
  </si>
  <si>
    <t>272 SHELLHOUSE MT ROAD FERRISBURG VT 05456 - ADDISON</t>
  </si>
  <si>
    <t>000QNN-1</t>
  </si>
  <si>
    <t>Bibb-Home Yard</t>
  </si>
  <si>
    <t>Bibb</t>
  </si>
  <si>
    <t>272 Shellhouse Mt. Road</t>
  </si>
  <si>
    <t>Laszakovits, Diane</t>
  </si>
  <si>
    <t>898 VT RT 105 SHELDON VT 05483 - FRANKLIN</t>
  </si>
  <si>
    <t>000QNP-1</t>
  </si>
  <si>
    <t>Backyard Bees/Yard</t>
  </si>
  <si>
    <t>Laszakovits</t>
  </si>
  <si>
    <t>898 VT Rt. 105</t>
  </si>
  <si>
    <t>Fitzhugh, John H</t>
  </si>
  <si>
    <t>1398 WEST HILL ROAD WEST BERLIN VT 05663 - WASHINGTON</t>
  </si>
  <si>
    <t>000QNQ-1</t>
  </si>
  <si>
    <t>Jessup via Sheri Englert</t>
  </si>
  <si>
    <t>Fitzhugh</t>
  </si>
  <si>
    <t>1398 West Hill Road</t>
  </si>
  <si>
    <t>West Berlin</t>
  </si>
  <si>
    <t>Montalban, Mark</t>
  </si>
  <si>
    <t>45 GREEN ACRES DRIVE BURLINGTON VT 05408 - CHITTENDEN</t>
  </si>
  <si>
    <t>000QNX-1</t>
  </si>
  <si>
    <t>Montalban-Home</t>
  </si>
  <si>
    <t>Montalban and Rebecca Roy</t>
  </si>
  <si>
    <t>45 Green Acres Drive</t>
  </si>
  <si>
    <t>Taylor, Edward</t>
  </si>
  <si>
    <t>23 WALLACE FARM ROAD NORWICH VT 05055 - WINDSOR</t>
  </si>
  <si>
    <t>000QNY-1</t>
  </si>
  <si>
    <t>Taylor Home yard</t>
  </si>
  <si>
    <t>Ed Taylor</t>
  </si>
  <si>
    <t>23 Wallace Farm Road</t>
  </si>
  <si>
    <t>Coyle, William F, Jr.</t>
  </si>
  <si>
    <t>1026 PALMER HILL ROAD WAITSFIELD VT 05673 - WASHINGTON</t>
  </si>
  <si>
    <t>000QP4-1</t>
  </si>
  <si>
    <t>Palmer Hill Road</t>
  </si>
  <si>
    <t>William F. Coyle Jr.</t>
  </si>
  <si>
    <t>1026 Palmer Hill Road</t>
  </si>
  <si>
    <t>Farley, William</t>
  </si>
  <si>
    <t>370 RICHARD WOOLCUTT ROAD WOLCOTT VT 05680</t>
  </si>
  <si>
    <t>000QPH-1</t>
  </si>
  <si>
    <t>William and Anne Farley</t>
  </si>
  <si>
    <t>370 Richard Woolcutt Road</t>
  </si>
  <si>
    <t>Wilson, Jessica</t>
  </si>
  <si>
    <t>67 WHITE BIRCH LANE WILLISTON VT 05495</t>
  </si>
  <si>
    <t>000QQD-1</t>
  </si>
  <si>
    <t>Jane Wilson</t>
  </si>
  <si>
    <t>667 Willow Brook Lane</t>
  </si>
  <si>
    <t>Yaryna, Luba</t>
  </si>
  <si>
    <t>334 HILLSIDE ROAD WILLISTON VT 05495</t>
  </si>
  <si>
    <t>000QQG-1</t>
  </si>
  <si>
    <t>Yarina Homeyard</t>
  </si>
  <si>
    <t>Luba Yarina</t>
  </si>
  <si>
    <t>334 Hillside Road</t>
  </si>
  <si>
    <t>Leontieva, Irina</t>
  </si>
  <si>
    <t>460 MT PRITCHARD LANE ST GEORGE VT 05495</t>
  </si>
  <si>
    <t>000QQM-1</t>
  </si>
  <si>
    <t>Leontieva home yard</t>
  </si>
  <si>
    <t>Irina Leontieva</t>
  </si>
  <si>
    <t>460 Mt. Pritchard Lane</t>
  </si>
  <si>
    <t>Saint George</t>
  </si>
  <si>
    <t>Gagne, Leonard</t>
  </si>
  <si>
    <t>2794 VT RTE 5A WEST BURKE VT 05871-9204 - CALEDONIA</t>
  </si>
  <si>
    <t>000QQV-1</t>
  </si>
  <si>
    <t>Sutton Town</t>
  </si>
  <si>
    <t>Leonard Gagne</t>
  </si>
  <si>
    <t>2794 VT Rte 5A</t>
  </si>
  <si>
    <t>Sutton</t>
  </si>
  <si>
    <t>Dunham, John</t>
  </si>
  <si>
    <t>134 CHURCH ROAD BRISTOL VT 05443</t>
  </si>
  <si>
    <t>000QVV-1</t>
  </si>
  <si>
    <t>John &amp; Lindsay Dunham</t>
  </si>
  <si>
    <t>134 Church Road</t>
  </si>
  <si>
    <t>Brian Pine, Liz Curry</t>
  </si>
  <si>
    <t>16 CROWLEY STREET BURLINGTON VT 05401</t>
  </si>
  <si>
    <t>000QW2-1</t>
  </si>
  <si>
    <t>Curry and Pine Home Yard</t>
  </si>
  <si>
    <t>Curry &amp; Pine</t>
  </si>
  <si>
    <t>16 Crowley Street</t>
  </si>
  <si>
    <t>Hygeia Apiary</t>
  </si>
  <si>
    <t>72 W LOWER MAIN ST APT 52 JOHNSON VT 05656</t>
  </si>
  <si>
    <t>000QWK-1</t>
  </si>
  <si>
    <t>Mark Woodward</t>
  </si>
  <si>
    <t>72 W. Lower Main St. Apt 52</t>
  </si>
  <si>
    <t>Gouchoe, Frank</t>
  </si>
  <si>
    <t>2349 MT PHILO ROAD CHARLOTTE VT 05445</t>
  </si>
  <si>
    <t>000QX3-1</t>
  </si>
  <si>
    <t>Gouchoe-Home Yard</t>
  </si>
  <si>
    <t>Frank Gouchoe</t>
  </si>
  <si>
    <t>2349 Mt Philo Road</t>
  </si>
  <si>
    <t>Welch, Tom</t>
  </si>
  <si>
    <t>506 HICKORY PLACE HINESBURG VT 05461</t>
  </si>
  <si>
    <t>000QXG-1</t>
  </si>
  <si>
    <t>Tom Welch</t>
  </si>
  <si>
    <t>506 Hickory Place</t>
  </si>
  <si>
    <t>Buxton, Clinton</t>
  </si>
  <si>
    <t>426 STONEFENCE ROAD RICHMOND VT 05477</t>
  </si>
  <si>
    <t>000QXH-1</t>
  </si>
  <si>
    <t>Clint Buxton</t>
  </si>
  <si>
    <t>426 Stonefence Road</t>
  </si>
  <si>
    <t>Lucas, Kristie</t>
  </si>
  <si>
    <t>27 BASCOM ROAD ORWELL VT 05760</t>
  </si>
  <si>
    <t>000QXK-1</t>
  </si>
  <si>
    <t>Jean Audet</t>
  </si>
  <si>
    <t>27 Bascom Road</t>
  </si>
  <si>
    <t>Zucker, Matthew R</t>
  </si>
  <si>
    <t>1311 CHURCH HILL ROAD CHARLOTTE VT 05445</t>
  </si>
  <si>
    <t>000QXQ-1</t>
  </si>
  <si>
    <t>Zucker-Home</t>
  </si>
  <si>
    <t>Matthew Zucker</t>
  </si>
  <si>
    <t>1311 Church Hill Road</t>
  </si>
  <si>
    <t>Spring Mist Farm</t>
  </si>
  <si>
    <t>72 COREYS DR MORETOWN VT 05660</t>
  </si>
  <si>
    <t>000QXV-1</t>
  </si>
  <si>
    <t>Amy &amp; Kevin Kuzio</t>
  </si>
  <si>
    <t>72 Coreys Dr</t>
  </si>
  <si>
    <t>Larabee's Point Apiary</t>
  </si>
  <si>
    <t>50 KINGSLEY AVENUE RUTLAND VT 05701</t>
  </si>
  <si>
    <t>000QYJ-1</t>
  </si>
  <si>
    <t>Orwell Yard</t>
  </si>
  <si>
    <t>Timothy Short</t>
  </si>
  <si>
    <t>244 Royce Hill Road</t>
  </si>
  <si>
    <t>P's Bees</t>
  </si>
  <si>
    <t>84 CEMETERY LANE FERRISBURGH VT 05491</t>
  </si>
  <si>
    <t>000QYK-1</t>
  </si>
  <si>
    <t>Pennie Beach</t>
  </si>
  <si>
    <t>84 Cemetery Lane</t>
  </si>
  <si>
    <t>B-Town</t>
  </si>
  <si>
    <t>234 PINE STREET BURLINGTON VT 05401</t>
  </si>
  <si>
    <t>000QYX-1</t>
  </si>
  <si>
    <t>Doll-Home Yard</t>
  </si>
  <si>
    <t>Diana Doll</t>
  </si>
  <si>
    <t>234 Pine Street</t>
  </si>
  <si>
    <t>000QYX-2</t>
  </si>
  <si>
    <t>Intervail Community Farms</t>
  </si>
  <si>
    <t>283 Intervail Road</t>
  </si>
  <si>
    <t>Happy Hives Honey Production</t>
  </si>
  <si>
    <t>4377 SILVER STREET MONKTON VT 05469</t>
  </si>
  <si>
    <t>000QZF-1</t>
  </si>
  <si>
    <t>Lee-Home Yard</t>
  </si>
  <si>
    <t>Sharon Lee</t>
  </si>
  <si>
    <t>4377 Silver St.</t>
  </si>
  <si>
    <t>HInesburg</t>
  </si>
  <si>
    <t>Lewis Creek Trout Farm</t>
  </si>
  <si>
    <t>1835 RTE 116 STARKSBORO VT 05487</t>
  </si>
  <si>
    <t>000V0F-1</t>
  </si>
  <si>
    <t>Laura Nugent</t>
  </si>
  <si>
    <t>1835 Rte 116</t>
  </si>
  <si>
    <t>Starksboro</t>
  </si>
  <si>
    <t>Douville, Gary</t>
  </si>
  <si>
    <t>211 SWEETWATER DR WHITE RIVER JUNCTION VT 05001</t>
  </si>
  <si>
    <t>000V0P-1</t>
  </si>
  <si>
    <t>Sweetwater Drive</t>
  </si>
  <si>
    <t>Gary Douville</t>
  </si>
  <si>
    <t>211 Sweetwater Dr.</t>
  </si>
  <si>
    <t>Pratt, Daniel, III</t>
  </si>
  <si>
    <t>5 JENNINGS DRIVE BENNINGTON VT 05201</t>
  </si>
  <si>
    <t>000V0V-1</t>
  </si>
  <si>
    <t>Dan Pratt</t>
  </si>
  <si>
    <t>5 Jennings Dr.</t>
  </si>
  <si>
    <t>West, Todd</t>
  </si>
  <si>
    <t>446 MISSING LINK ROAD BELLOWS FALLS VT 05101</t>
  </si>
  <si>
    <t>000V2J-1</t>
  </si>
  <si>
    <t>Todd West</t>
  </si>
  <si>
    <t>446 Missing Link Road</t>
  </si>
  <si>
    <t>Minister Hill Orchard</t>
  </si>
  <si>
    <t>857 MIDDLE ROAD FRANKLIN VT 05457</t>
  </si>
  <si>
    <t>000V4D-1</t>
  </si>
  <si>
    <t>Charles Magnant</t>
  </si>
  <si>
    <t>857 Middle Road</t>
  </si>
  <si>
    <t>000V4D-2</t>
  </si>
  <si>
    <t>441 Lake Road</t>
  </si>
  <si>
    <t>Burt Monyard</t>
  </si>
  <si>
    <t>000V4D-3</t>
  </si>
  <si>
    <t>157 Barnum Road</t>
  </si>
  <si>
    <t>Adriane Rainville</t>
  </si>
  <si>
    <t>Broad Brook Bees</t>
  </si>
  <si>
    <t>2455 BROAD BROOK ROAD SOUTH ROYALTON VT 05068</t>
  </si>
  <si>
    <t>000V4W-1</t>
  </si>
  <si>
    <t>Noble Home Yard</t>
  </si>
  <si>
    <t>Chris &amp; Diane Noble</t>
  </si>
  <si>
    <t>2455 Broad Brook Road</t>
  </si>
  <si>
    <t>000V4W-2</t>
  </si>
  <si>
    <t>Ralf Shaw</t>
  </si>
  <si>
    <t>Myers, Jeannine K</t>
  </si>
  <si>
    <t>125 OLD BRANDON ROAD BRANDON VT 05733 - RUTLAND</t>
  </si>
  <si>
    <t>000V4X-1</t>
  </si>
  <si>
    <t>Myers-Home Yard</t>
  </si>
  <si>
    <t>125 Old Brandon Road</t>
  </si>
  <si>
    <t>Lacorte, Thomas</t>
  </si>
  <si>
    <t>325 MOFFITT ROAD PLATTSBURGH NY 12901</t>
  </si>
  <si>
    <t>000V4Y-1</t>
  </si>
  <si>
    <t>Joe's</t>
  </si>
  <si>
    <t>Joseph Couture</t>
  </si>
  <si>
    <t>768 Camp Kiniya Road</t>
  </si>
  <si>
    <t>000V4Y-2</t>
  </si>
  <si>
    <t>Mike's</t>
  </si>
  <si>
    <t>Mike Stiles</t>
  </si>
  <si>
    <t>9 Old Farmer Road</t>
  </si>
  <si>
    <t>000V4Y-3</t>
  </si>
  <si>
    <t>Karl</t>
  </si>
  <si>
    <t>Karl Kruger</t>
  </si>
  <si>
    <t>229 South Street</t>
  </si>
  <si>
    <t>000V4Y-4</t>
  </si>
  <si>
    <t>Thom</t>
  </si>
  <si>
    <t>Thom McNeil</t>
  </si>
  <si>
    <t>10 Tracy Road</t>
  </si>
  <si>
    <t>000V4Y-5</t>
  </si>
  <si>
    <t>Wayne</t>
  </si>
  <si>
    <t>Wayne Lafayette</t>
  </si>
  <si>
    <t>153 East Shore North</t>
  </si>
  <si>
    <t>000V4Y-6</t>
  </si>
  <si>
    <t>Sloan's</t>
  </si>
  <si>
    <t>Sloan Abranczyk</t>
  </si>
  <si>
    <t>117 Adams School Road</t>
  </si>
  <si>
    <t>000V4Y-7</t>
  </si>
  <si>
    <t>Trevor</t>
  </si>
  <si>
    <t>Trevor Ewald</t>
  </si>
  <si>
    <t>46 Poor Farm Road</t>
  </si>
  <si>
    <t>000V4Y-8</t>
  </si>
  <si>
    <t>Sonny</t>
  </si>
  <si>
    <t>Sonny Beaulieu</t>
  </si>
  <si>
    <t>1363 Route 2</t>
  </si>
  <si>
    <t>000V4Y-9</t>
  </si>
  <si>
    <t>POW</t>
  </si>
  <si>
    <t>Shawn Martin</t>
  </si>
  <si>
    <t>Reynolds Road and Griswol Road Corner</t>
  </si>
  <si>
    <t>Instone Design Llc</t>
  </si>
  <si>
    <t>3748 RT 4 KILLINGTON VT 05751</t>
  </si>
  <si>
    <t>000V5K-1</t>
  </si>
  <si>
    <t>Fuliana-Home Yard</t>
  </si>
  <si>
    <t>Plymouth Town</t>
  </si>
  <si>
    <t>Antonio Fuliana</t>
  </si>
  <si>
    <t>210 Bear Hill Road</t>
  </si>
  <si>
    <t>Plymouth</t>
  </si>
  <si>
    <t>000V5K-2</t>
  </si>
  <si>
    <t>Steve Bolze</t>
  </si>
  <si>
    <t>558 Trailview Drive</t>
  </si>
  <si>
    <t>Noble, Sandra S</t>
  </si>
  <si>
    <t>2519 WEEKS HILL ROAD STOWE VT 05672</t>
  </si>
  <si>
    <t>000V6B-1</t>
  </si>
  <si>
    <t>Sandra Noble</t>
  </si>
  <si>
    <t>2519 Weeks Hill Road</t>
  </si>
  <si>
    <t>Greenwood, Harold</t>
  </si>
  <si>
    <t>3090 RTE 12A BRAINTREE VT 05060</t>
  </si>
  <si>
    <t>000V6Y-1</t>
  </si>
  <si>
    <t>Braintree Colony</t>
  </si>
  <si>
    <t>Harold Greenwood</t>
  </si>
  <si>
    <t>3090 Rte 12A</t>
  </si>
  <si>
    <t>000V6Y-2</t>
  </si>
  <si>
    <t>Bethel Colony</t>
  </si>
  <si>
    <t>2312 Findley Bridge Road</t>
  </si>
  <si>
    <t>000V6Y-3</t>
  </si>
  <si>
    <t>2069 Findley Bridge Road</t>
  </si>
  <si>
    <t>Baasch, David A</t>
  </si>
  <si>
    <t>3261 WEST HILL ROAD WALLINGFORD VT 05773</t>
  </si>
  <si>
    <t>000V6Z-1</t>
  </si>
  <si>
    <t>Baasch-Home Yard</t>
  </si>
  <si>
    <t>David &amp; Debra Baasch</t>
  </si>
  <si>
    <t>3261 West Hill Road</t>
  </si>
  <si>
    <t>Kauffman, David</t>
  </si>
  <si>
    <t>1428 PEPIN ROAD BROWNINGTON VT 05860 - ORLEANS</t>
  </si>
  <si>
    <t>000V7K-1</t>
  </si>
  <si>
    <t>Kauffman home yard</t>
  </si>
  <si>
    <t>Brownington Town</t>
  </si>
  <si>
    <t>David Kauffman</t>
  </si>
  <si>
    <t>1428 Pepin Road</t>
  </si>
  <si>
    <t>Brownington</t>
  </si>
  <si>
    <t>Labate, Michael</t>
  </si>
  <si>
    <t>1537 FINEL HOLLOW ROAD POULTNEY VT 05764</t>
  </si>
  <si>
    <t>000V7P-1</t>
  </si>
  <si>
    <t>Steve Bartlett</t>
  </si>
  <si>
    <t>120 Orchard Road</t>
  </si>
  <si>
    <t>000V7P-2</t>
  </si>
  <si>
    <t>Michael LaBate</t>
  </si>
  <si>
    <t>1537 Finel Hollow Road</t>
  </si>
  <si>
    <t>000V7P-3</t>
  </si>
  <si>
    <t>Margaret Fowler</t>
  </si>
  <si>
    <t>000V7P-4</t>
  </si>
  <si>
    <t>Beebe, Chris</t>
  </si>
  <si>
    <t>11 JULIE LANE CASTLETON VT 05735</t>
  </si>
  <si>
    <t>000V7Q-1</t>
  </si>
  <si>
    <t>Beebe-Home Yard</t>
  </si>
  <si>
    <t>Chris Beebe</t>
  </si>
  <si>
    <t>11 Julie Lane</t>
  </si>
  <si>
    <t>Westra, Phillip</t>
  </si>
  <si>
    <t>49 CHURCH ST VERGENNES VT 05491</t>
  </si>
  <si>
    <t>000V9X-1</t>
  </si>
  <si>
    <t>Westra-Home yard</t>
  </si>
  <si>
    <t>Phillip Westra</t>
  </si>
  <si>
    <t>49 Church St.</t>
  </si>
  <si>
    <t>000V9X-2</t>
  </si>
  <si>
    <t>Sjabbo</t>
  </si>
  <si>
    <t>1495 Basin Harbor Road</t>
  </si>
  <si>
    <t>000V9X-3</t>
  </si>
  <si>
    <t>Carpenter</t>
  </si>
  <si>
    <t>Dave Carpenter</t>
  </si>
  <si>
    <t>5292 VT Rt 22A</t>
  </si>
  <si>
    <t>Flemer, Steve</t>
  </si>
  <si>
    <t>11 VALE DRIVE SOUTH BURLINGTON VT 05403</t>
  </si>
  <si>
    <t>000VAD-1</t>
  </si>
  <si>
    <t>Flemer-Home Yard</t>
  </si>
  <si>
    <t>Steve Flemer</t>
  </si>
  <si>
    <t>11 Vale Drive</t>
  </si>
  <si>
    <t>Bartemy, Ronald H, Jr</t>
  </si>
  <si>
    <t>2171 KELLOGG ROAD ST ALBANS VT 05478 - FRANKLIN</t>
  </si>
  <si>
    <t>000VAG-1</t>
  </si>
  <si>
    <t>Bartemy-Home Yard</t>
  </si>
  <si>
    <t>Ronald Bartemy</t>
  </si>
  <si>
    <t>2171 Kellogg Road</t>
  </si>
  <si>
    <t>000VAG-2</t>
  </si>
  <si>
    <t>382 County Road</t>
  </si>
  <si>
    <t>Steve &amp; Tracey Wagnor</t>
  </si>
  <si>
    <t>Faturos, Donna</t>
  </si>
  <si>
    <t>75 FORBES ROAD ANDOVER VT 05143</t>
  </si>
  <si>
    <t>000VB7-1</t>
  </si>
  <si>
    <t>Faturos Home Yard</t>
  </si>
  <si>
    <t>John/Donna Faturos</t>
  </si>
  <si>
    <t>75 Forbes</t>
  </si>
  <si>
    <t>Blackmore, Jeanne</t>
  </si>
  <si>
    <t>278 WILLIAMS HILL ROAD CHARLOTTE VT 05445</t>
  </si>
  <si>
    <t>000VC3-1</t>
  </si>
  <si>
    <t>Blackmore-Home Yard</t>
  </si>
  <si>
    <t>Jeanne Blackmore</t>
  </si>
  <si>
    <t>278 Williams Hill Road</t>
  </si>
  <si>
    <t>Lourie, Suzanne</t>
  </si>
  <si>
    <t>245 TEN STONES CIRCLE CHARLOTTE VT 05445</t>
  </si>
  <si>
    <t>000VJ0-1</t>
  </si>
  <si>
    <t>Lourie-Home Garden</t>
  </si>
  <si>
    <t>Community</t>
  </si>
  <si>
    <t>245 Ten Stones Circle</t>
  </si>
  <si>
    <t>Klezos, Rosalind &amp; Jason</t>
  </si>
  <si>
    <t>97 BROPHY LANE LONDONDERRY VT 05148</t>
  </si>
  <si>
    <t>000VJ1-1</t>
  </si>
  <si>
    <t>Klezos</t>
  </si>
  <si>
    <t>97 Brophy Lane</t>
  </si>
  <si>
    <t>Sullivan, Farley</t>
  </si>
  <si>
    <t>545 STARBUCK ROAD NORTH POMFRET VT 05053</t>
  </si>
  <si>
    <t>000VJ2-1</t>
  </si>
  <si>
    <t>starbuck</t>
  </si>
  <si>
    <t>Pomfret Town</t>
  </si>
  <si>
    <t>Joffrey Roy, Farley Sullivan</t>
  </si>
  <si>
    <t>545 Starbuck Road</t>
  </si>
  <si>
    <t>N Pomfret</t>
  </si>
  <si>
    <t>Osowski, John and Deborah</t>
  </si>
  <si>
    <t>14 WARWICK ROAD NORTHFIELD MA 01360</t>
  </si>
  <si>
    <t>000VJ4-1</t>
  </si>
  <si>
    <t>Marlboro Town</t>
  </si>
  <si>
    <t>Hugh and Joyce Whitney</t>
  </si>
  <si>
    <t>1274 South Road</t>
  </si>
  <si>
    <t>Marlboro</t>
  </si>
  <si>
    <t>Guay, Steven</t>
  </si>
  <si>
    <t>58 RIVER ROAD UNDERHILL VT 05489</t>
  </si>
  <si>
    <t>000VKC-1</t>
  </si>
  <si>
    <t>Steven Guay</t>
  </si>
  <si>
    <t>58 River Road</t>
  </si>
  <si>
    <t>Knoff, Jesse</t>
  </si>
  <si>
    <t>2836 HARBOR ROAD SHELBURNE VT 05482</t>
  </si>
  <si>
    <t>000VKG-1</t>
  </si>
  <si>
    <t>Knoff home yard</t>
  </si>
  <si>
    <t>Elroy Langdell</t>
  </si>
  <si>
    <t>2836 Harbor Road</t>
  </si>
  <si>
    <t>Monkton Elder</t>
  </si>
  <si>
    <t>2301 ROTAX ROAD MONKTON VT 05469</t>
  </si>
  <si>
    <t>000VM2-1</t>
  </si>
  <si>
    <t>Burbo-Home Yard</t>
  </si>
  <si>
    <t>Victor &amp; Deborah Burbo</t>
  </si>
  <si>
    <t>2301 Rotax Road</t>
  </si>
  <si>
    <t>Stanley, Carol D</t>
  </si>
  <si>
    <t>325 MCNALL ROAD FAIRFAX VT 05454 - FRANKLIN</t>
  </si>
  <si>
    <t>000VM5-1</t>
  </si>
  <si>
    <t>Stanley-Home Yard</t>
  </si>
  <si>
    <t>Dave &amp; Carol Stanley</t>
  </si>
  <si>
    <t>289 Cherrierville Road</t>
  </si>
  <si>
    <t>Wrase, Rich</t>
  </si>
  <si>
    <t>516 GOODENOUGH RD BRATTLEBORO VT 05301</t>
  </si>
  <si>
    <t>000VN4-1</t>
  </si>
  <si>
    <t>Wrase-Home Yard</t>
  </si>
  <si>
    <t>Rich Wrase</t>
  </si>
  <si>
    <t>516 Goodenough Rd</t>
  </si>
  <si>
    <t>Holler, John</t>
  </si>
  <si>
    <t>535 MTN VIEW ROAD TINMOUTH VT 05773</t>
  </si>
  <si>
    <t>000VNF-1</t>
  </si>
  <si>
    <t>Holler- Home Yard</t>
  </si>
  <si>
    <t>John Holler</t>
  </si>
  <si>
    <t>535 Mountain View Rd</t>
  </si>
  <si>
    <t>Miller, Mike</t>
  </si>
  <si>
    <t>119 METAYER COURT WATERBURY VT 05677</t>
  </si>
  <si>
    <t>000VNG-1</t>
  </si>
  <si>
    <t>Mike's place</t>
  </si>
  <si>
    <t>Shanye Fisk</t>
  </si>
  <si>
    <t>119 Metayer Court</t>
  </si>
  <si>
    <t>Ransom, Geoffrey</t>
  </si>
  <si>
    <t>875 MORRISON HILL ROAD BARNET VT 05821 - CALEDONIA</t>
  </si>
  <si>
    <t>000VNJ-1</t>
  </si>
  <si>
    <t>Geoffrey Ransom</t>
  </si>
  <si>
    <t>same</t>
  </si>
  <si>
    <t>875 Morrison Hill Road</t>
  </si>
  <si>
    <t>Barnet</t>
  </si>
  <si>
    <t>Sauer, Greg</t>
  </si>
  <si>
    <t>2385 EAGLE PEAK ROAD WEST BROOKFIELD VT 05060</t>
  </si>
  <si>
    <t>000VQQ-1</t>
  </si>
  <si>
    <t>Sauer-Home Yard</t>
  </si>
  <si>
    <t>Greg Sauer</t>
  </si>
  <si>
    <t>2385 Eagle Peak Road</t>
  </si>
  <si>
    <t>West Brookfield</t>
  </si>
  <si>
    <t>Ryley, Kate</t>
  </si>
  <si>
    <t>1440 EAST WARREN ROAD WAITSFIELD VT 05673</t>
  </si>
  <si>
    <t>000VV3-1</t>
  </si>
  <si>
    <t>Ryley-home yard</t>
  </si>
  <si>
    <t>Kate Ryley</t>
  </si>
  <si>
    <t>1440 East Warren Road</t>
  </si>
  <si>
    <t>Hand, Susan</t>
  </si>
  <si>
    <t>20 HUBBARD PARK DRIVE MONTPELIER VT 05602</t>
  </si>
  <si>
    <t>000VV4-1</t>
  </si>
  <si>
    <t>Hand-Home Yard</t>
  </si>
  <si>
    <t>Susan Hand &amp; Danielle Lafleour Brooks</t>
  </si>
  <si>
    <t>20 Hubbard Park Drive</t>
  </si>
  <si>
    <t>Graham Hayes Govoni, &amp; Leslie Black</t>
  </si>
  <si>
    <t>PO BOX 353 MORRISVILLE VT 05661</t>
  </si>
  <si>
    <t>000VV7-1</t>
  </si>
  <si>
    <t>Graham Hayes Govoni &amp; Leslie Black</t>
  </si>
  <si>
    <t>96 Carpenter Road</t>
  </si>
  <si>
    <t>Francoeur, Paul</t>
  </si>
  <si>
    <t>780 SHACKETT ROAD LEICESTER VT 05733</t>
  </si>
  <si>
    <t>000VVB-1</t>
  </si>
  <si>
    <t>Francoeur-Home Yard</t>
  </si>
  <si>
    <t>Paul &amp; Kris Francoeur</t>
  </si>
  <si>
    <t>780 Shackett Road</t>
  </si>
  <si>
    <t>Latta, Jeff</t>
  </si>
  <si>
    <t>901 LAKE ROAD MILTON VT 05468</t>
  </si>
  <si>
    <t>000VVD-1</t>
  </si>
  <si>
    <t>Latta-Home Yard</t>
  </si>
  <si>
    <t>Jeff Latta</t>
  </si>
  <si>
    <t>901 Lake Road</t>
  </si>
  <si>
    <t>Bowen, Rebecca</t>
  </si>
  <si>
    <t>9 ISABEL CIRCLE MONTPELIER VT 05602</t>
  </si>
  <si>
    <t>000VVG-1</t>
  </si>
  <si>
    <t>Bowen home yard</t>
  </si>
  <si>
    <t>Rebecca Bowen</t>
  </si>
  <si>
    <t>9 Isabel Circle</t>
  </si>
  <si>
    <t>Minckler, Deborah- Chicken Run Apiary</t>
  </si>
  <si>
    <t>1402 WEST STREET FAIRFIELD VT 05455</t>
  </si>
  <si>
    <t>000VVH-1</t>
  </si>
  <si>
    <t>Minckler home yard</t>
  </si>
  <si>
    <t>Fairfield Town</t>
  </si>
  <si>
    <t>Deborah Minckler</t>
  </si>
  <si>
    <t>1402 West Street</t>
  </si>
  <si>
    <t>Fairfield</t>
  </si>
  <si>
    <t>Brian's Vermont Apiaries</t>
  </si>
  <si>
    <t>16 WELLS STREET WINDSOR VT 05089</t>
  </si>
  <si>
    <t>000VVN-1</t>
  </si>
  <si>
    <t>Roy</t>
  </si>
  <si>
    <t>000VVN-2</t>
  </si>
  <si>
    <t>2 Brian Jasinski</t>
  </si>
  <si>
    <t>Carol and Michael Jasinski</t>
  </si>
  <si>
    <t>184 Parker Hill Rd</t>
  </si>
  <si>
    <t>000VVN-4</t>
  </si>
  <si>
    <t>3 Siegler home yard</t>
  </si>
  <si>
    <t>Ted &amp; Cindy Siegler</t>
  </si>
  <si>
    <t>000VVN-3</t>
  </si>
  <si>
    <t>1 Bill home yard</t>
  </si>
  <si>
    <t>Bill</t>
  </si>
  <si>
    <t>000VVN-5</t>
  </si>
  <si>
    <t>Whittemore Yard</t>
  </si>
  <si>
    <t>Ed Whittemore</t>
  </si>
  <si>
    <t>000VVN-6</t>
  </si>
  <si>
    <t>Cohen Yard</t>
  </si>
  <si>
    <t>John Cohen</t>
  </si>
  <si>
    <t>Stillinger, Susan</t>
  </si>
  <si>
    <t>1959 WEST HILL ROAD NORTHFIELD VT 05663</t>
  </si>
  <si>
    <t>000VVX-1</t>
  </si>
  <si>
    <t>S Stillinger</t>
  </si>
  <si>
    <t>1959 West Hill Road</t>
  </si>
  <si>
    <t>Russo, David</t>
  </si>
  <si>
    <t>71 DEER RUN LANE MONTPELIER VT 05602 - WASHINGTON</t>
  </si>
  <si>
    <t>000VVY-1</t>
  </si>
  <si>
    <t>David Russo</t>
  </si>
  <si>
    <t>71 Deer Run Lane</t>
  </si>
  <si>
    <t>The Shepherdess</t>
  </si>
  <si>
    <t>575 HUNTER ROAD JOHNSON VT 05656 - LAMOILLE</t>
  </si>
  <si>
    <t>000VW0-1</t>
  </si>
  <si>
    <t>Cook Home Yard</t>
  </si>
  <si>
    <t>Paula Cook</t>
  </si>
  <si>
    <t>575 Hunter Road</t>
  </si>
  <si>
    <t>000VW0-2</t>
  </si>
  <si>
    <t>2160 Bartle Row</t>
  </si>
  <si>
    <t>Lynch, Susan</t>
  </si>
  <si>
    <t>454 PAULS WAY DORSET VT 05251</t>
  </si>
  <si>
    <t>000VWB-1</t>
  </si>
  <si>
    <t>Susan Lynch</t>
  </si>
  <si>
    <t>Susan and Jeff Lynch</t>
  </si>
  <si>
    <t>454 Paul's Way</t>
  </si>
  <si>
    <t>Giroux, Ryan</t>
  </si>
  <si>
    <t>297 OLD PIPER ROAD BALTIMORE VT 05143</t>
  </si>
  <si>
    <t>000VWM-1</t>
  </si>
  <si>
    <t>Giroux Home Yard</t>
  </si>
  <si>
    <t>Ryan Giroux</t>
  </si>
  <si>
    <t>297 Old Piper Road</t>
  </si>
  <si>
    <t>Baltimore</t>
  </si>
  <si>
    <t>Kennedy, Scott &amp; Tina</t>
  </si>
  <si>
    <t>82 LONGLEY ROAD MORETOWN VT 05660</t>
  </si>
  <si>
    <t>000VWP-1</t>
  </si>
  <si>
    <t>Kennedy home yard</t>
  </si>
  <si>
    <t>Scott &amp; Tina Kennedy</t>
  </si>
  <si>
    <t>82 Longley Road</t>
  </si>
  <si>
    <t>Katie Gardiner &amp;, Jeffrey Swedberg</t>
  </si>
  <si>
    <t>168 LUGE RUN EAST DORSET VT 05253</t>
  </si>
  <si>
    <t>000VX1-1</t>
  </si>
  <si>
    <t>Katie Gardiner &amp; Jeff Swedberg</t>
  </si>
  <si>
    <t>168 Luge Run</t>
  </si>
  <si>
    <t>East Dorset</t>
  </si>
  <si>
    <t>Terrier, Lee</t>
  </si>
  <si>
    <t>3006 SOUTH ST EXT MIDDLEBURY VT 05753</t>
  </si>
  <si>
    <t>000VX2-1</t>
  </si>
  <si>
    <t>Terrier</t>
  </si>
  <si>
    <t>Lee Terrier</t>
  </si>
  <si>
    <t>3006 South St Ext</t>
  </si>
  <si>
    <t>Senger, Matthias</t>
  </si>
  <si>
    <t>52 OLD STRONG ROAD THETFORD CENTER VT 05075</t>
  </si>
  <si>
    <t>000VX3-1</t>
  </si>
  <si>
    <t>Senger home yard</t>
  </si>
  <si>
    <t>Matthias Senger</t>
  </si>
  <si>
    <t>52 Old Strong Road</t>
  </si>
  <si>
    <t>Thetford Center</t>
  </si>
  <si>
    <t>Paladine Meadows</t>
  </si>
  <si>
    <t>251 FISHER HILL ROAD GRAFTON VT 05146</t>
  </si>
  <si>
    <t>000VX5-1</t>
  </si>
  <si>
    <t>Iva Fisher</t>
  </si>
  <si>
    <t>1191-1393 Vermont 121</t>
  </si>
  <si>
    <t>Grafton</t>
  </si>
  <si>
    <t>Putnam, Fred - Busy Bee Honey, Jr</t>
  </si>
  <si>
    <t>179 TOWN FARM ROAD BRANDON VT 05733</t>
  </si>
  <si>
    <t>000VX6-1</t>
  </si>
  <si>
    <t>Fred Putnam Jr home yard</t>
  </si>
  <si>
    <t>Fred Putnam</t>
  </si>
  <si>
    <t>179 Town Farm Road</t>
  </si>
  <si>
    <t>000VX6-2</t>
  </si>
  <si>
    <t>WARNER &amp; WATSON</t>
  </si>
  <si>
    <t>803 FERN LAKE ROAD</t>
  </si>
  <si>
    <t>LEICESTER</t>
  </si>
  <si>
    <t>Main, Amy Beth &amp; Ron</t>
  </si>
  <si>
    <t>4067 WEATHERSFIELD CENTER ROAD PERKINSVILLE VT 05151</t>
  </si>
  <si>
    <t>000VXC-1</t>
  </si>
  <si>
    <t>Main Home Yard</t>
  </si>
  <si>
    <t>Amy Beth &amp; Ron Main</t>
  </si>
  <si>
    <t>4067 Weathersfield Center Road</t>
  </si>
  <si>
    <t>McEnaney, Erin</t>
  </si>
  <si>
    <t>599 TOWN LINE ROAD BENNINGTON VT 05201</t>
  </si>
  <si>
    <t>000VXJ-1</t>
  </si>
  <si>
    <t>Erin &amp; Scott Mchaney</t>
  </si>
  <si>
    <t>599 Town Line Road</t>
  </si>
  <si>
    <t>Park, Robert</t>
  </si>
  <si>
    <t>955 MIDDLE ROAD COLCHESTER VT 05446</t>
  </si>
  <si>
    <t>000VXM-1</t>
  </si>
  <si>
    <t>Park Home yard</t>
  </si>
  <si>
    <t>Robert Park</t>
  </si>
  <si>
    <t>955 Middle Road</t>
  </si>
  <si>
    <t>Criscolo, Mike &amp; Nikki</t>
  </si>
  <si>
    <t>375 WESTFORD MILTON ROAD WESTFORD VT 05494</t>
  </si>
  <si>
    <t>000VXV-1</t>
  </si>
  <si>
    <t>Criscolo</t>
  </si>
  <si>
    <t>375 Westford Milton Road</t>
  </si>
  <si>
    <t>Kampf, Frank</t>
  </si>
  <si>
    <t>84 MCKINSTRY RD CABOT VT 05647</t>
  </si>
  <si>
    <t>000VXW-1</t>
  </si>
  <si>
    <t>Kampf-Home Yard</t>
  </si>
  <si>
    <t>Frank Kampf</t>
  </si>
  <si>
    <t>84 McKinstry Rd</t>
  </si>
  <si>
    <t>Powers, Matthew</t>
  </si>
  <si>
    <t>3 POWERS ROAD TOPSHAM VT 05076</t>
  </si>
  <si>
    <t>000VY9-1</t>
  </si>
  <si>
    <t>Matthew Powers</t>
  </si>
  <si>
    <t>Topsham Town</t>
  </si>
  <si>
    <t>3 Powers Road</t>
  </si>
  <si>
    <t>Topsham</t>
  </si>
  <si>
    <t>Foote, Michael, Mike Foote Home Yard</t>
  </si>
  <si>
    <t>131 SWAMP ROAD RICHMOND VT 05477</t>
  </si>
  <si>
    <t>000VYA-1</t>
  </si>
  <si>
    <t>Mike Foote home yard</t>
  </si>
  <si>
    <t>Mike Foote</t>
  </si>
  <si>
    <t>131 Swamp Road</t>
  </si>
  <si>
    <t>Atomanuk, Laura</t>
  </si>
  <si>
    <t>680 GUILFORD ST BRATTLEBORO VT 05301</t>
  </si>
  <si>
    <t>000VYB-1</t>
  </si>
  <si>
    <t>Atomanuk Home Yard</t>
  </si>
  <si>
    <t>James Atomanuk</t>
  </si>
  <si>
    <t>680 Guilford St.</t>
  </si>
  <si>
    <t>O'Donnell, Vanessa</t>
  </si>
  <si>
    <t>PO BOX 212 EAST THETFORD VT 05043-0212</t>
  </si>
  <si>
    <t>000VYC-1</t>
  </si>
  <si>
    <t>O'Donnell Home Yard</t>
  </si>
  <si>
    <t>Vanessa O'Donnell</t>
  </si>
  <si>
    <t>1559 Latham Road</t>
  </si>
  <si>
    <t>Lussier, Jesse</t>
  </si>
  <si>
    <t>702 OAK KNOLL ROAD WILLISTON VT 05495</t>
  </si>
  <si>
    <t>000VYJ-1</t>
  </si>
  <si>
    <t>Awesome Sauce Apiary</t>
  </si>
  <si>
    <t>Jesse Lussier</t>
  </si>
  <si>
    <t>702 Oak Knoll Road</t>
  </si>
  <si>
    <t>Alger, Samantha</t>
  </si>
  <si>
    <t>109 CARRIGAN DRIVE BURLINGTON VT 05405</t>
  </si>
  <si>
    <t>000VZ6-1</t>
  </si>
  <si>
    <t>Homes Road</t>
  </si>
  <si>
    <t>Karen &amp; John Wolff</t>
  </si>
  <si>
    <t>109 Carrigan Drive</t>
  </si>
  <si>
    <t>Mather, Rob</t>
  </si>
  <si>
    <t>75 ROUTE 10 NORTH SPRINGFIELD VT 05150</t>
  </si>
  <si>
    <t>000VZA-1</t>
  </si>
  <si>
    <t>Karen Bailey</t>
  </si>
  <si>
    <t>75 Route 10</t>
  </si>
  <si>
    <t>John Byrnes and, Kiersten McKenney</t>
  </si>
  <si>
    <t>88 MACINTOSH LANE WEST BRATTLEBORO VT 05303</t>
  </si>
  <si>
    <t>000VZK-1</t>
  </si>
  <si>
    <t>Byrnes-Home Yard</t>
  </si>
  <si>
    <t>John Byrnes</t>
  </si>
  <si>
    <t>88 MacIntosh Lane</t>
  </si>
  <si>
    <t>Desjardins, Christine</t>
  </si>
  <si>
    <t>16 ORCHARD LANE SPRINGFIELD VT 05156</t>
  </si>
  <si>
    <t>000VZN-1</t>
  </si>
  <si>
    <t>Desjardins Home Yard</t>
  </si>
  <si>
    <t>Jeremy &amp; Christine Desjardins</t>
  </si>
  <si>
    <t>16 Orchard Lane</t>
  </si>
  <si>
    <t>Daniels, Cecil</t>
  </si>
  <si>
    <t>522 MIDDLE ST PO BOX 367 ISLAND POND VT 05846</t>
  </si>
  <si>
    <t>000VZQ-1</t>
  </si>
  <si>
    <t>Daniels Home Yard</t>
  </si>
  <si>
    <t>Brighton Town</t>
  </si>
  <si>
    <t>Cecil Daniels</t>
  </si>
  <si>
    <t>522 Middle St</t>
  </si>
  <si>
    <t>Brighton</t>
  </si>
  <si>
    <t>Kelly, Nancy</t>
  </si>
  <si>
    <t>1404 ORCHARD ROAD CHARLOTTE VT 05445</t>
  </si>
  <si>
    <t>000VZZ-1</t>
  </si>
  <si>
    <t>Kelly Home Yard</t>
  </si>
  <si>
    <t>Nancy &amp; Jack Kelly</t>
  </si>
  <si>
    <t>1404 Orchard Road</t>
  </si>
  <si>
    <t>Vance, Mike</t>
  </si>
  <si>
    <t>947 NEW BOSTON RD ST JOHNSBURY VT 05819</t>
  </si>
  <si>
    <t>000W06-1</t>
  </si>
  <si>
    <t>Vance home yard</t>
  </si>
  <si>
    <t>Mike Vance</t>
  </si>
  <si>
    <t>947 New Boston Road</t>
  </si>
  <si>
    <t>St Johnsbury</t>
  </si>
  <si>
    <t>King, Nikki</t>
  </si>
  <si>
    <t>9 MERRITT ROAD HARTLAND VT 05048</t>
  </si>
  <si>
    <t>000W10-1</t>
  </si>
  <si>
    <t>Jeannine Black</t>
  </si>
  <si>
    <t>9 Merritt Road</t>
  </si>
  <si>
    <t>Hart, Chip</t>
  </si>
  <si>
    <t>147 VAN PATTEN BURLINGTON VT 05408</t>
  </si>
  <si>
    <t>000W11-1</t>
  </si>
  <si>
    <t>147 Van Patten Pkwy</t>
  </si>
  <si>
    <t>Chip Hart</t>
  </si>
  <si>
    <t>147 Van Patten</t>
  </si>
  <si>
    <t>Cowan, Dan</t>
  </si>
  <si>
    <t>PO BOX 106 EAST MONTPELIER VT 05651 - WASHINGTON</t>
  </si>
  <si>
    <t>000W12-1</t>
  </si>
  <si>
    <t>Cowan Home yard</t>
  </si>
  <si>
    <t>Dan Cowan</t>
  </si>
  <si>
    <t>2875 US Rt 2</t>
  </si>
  <si>
    <t>000W12-2</t>
  </si>
  <si>
    <t>Betsy Stanford</t>
  </si>
  <si>
    <t>278 Farwell St</t>
  </si>
  <si>
    <t>Downs, Timothy</t>
  </si>
  <si>
    <t>245 HUNT STREET FAIRFAX VT 05454</t>
  </si>
  <si>
    <t>000W16-1</t>
  </si>
  <si>
    <t>185 Green Hill Road</t>
  </si>
  <si>
    <t>Gordon Spencer</t>
  </si>
  <si>
    <t>000W16-2</t>
  </si>
  <si>
    <t>Tim Downs</t>
  </si>
  <si>
    <t>245 Hunt Street</t>
  </si>
  <si>
    <t>000W16-3</t>
  </si>
  <si>
    <t>Connell</t>
  </si>
  <si>
    <t>John Connell</t>
  </si>
  <si>
    <t>20 Delorme Road</t>
  </si>
  <si>
    <t>000W16-4</t>
  </si>
  <si>
    <t>Shelley White</t>
  </si>
  <si>
    <t>329 Plains Road</t>
  </si>
  <si>
    <t>River Cloud Farm</t>
  </si>
  <si>
    <t>804 COUNTY HILL ROAD BARNET VT 05823</t>
  </si>
  <si>
    <t>000W17-1</t>
  </si>
  <si>
    <t>Butterfield-Home</t>
  </si>
  <si>
    <t>Dakota Butterfield</t>
  </si>
  <si>
    <t>804 County Hill Road</t>
  </si>
  <si>
    <t>Fletcher Meadows Honey St. Albans</t>
  </si>
  <si>
    <t>18 TWIN CT ST ALBANS VT 05478</t>
  </si>
  <si>
    <t>000W19-1</t>
  </si>
  <si>
    <t>Bill Guyette</t>
  </si>
  <si>
    <t>18 Twin CT</t>
  </si>
  <si>
    <t>000W19-2</t>
  </si>
  <si>
    <t>Raymond Hafin</t>
  </si>
  <si>
    <t>Rte 104</t>
  </si>
  <si>
    <t>Eldred, Ernie</t>
  </si>
  <si>
    <t>615 SHAW HILL ROAD STOWE VT 05672</t>
  </si>
  <si>
    <t>000W1A-1</t>
  </si>
  <si>
    <t>Eldred-Home Yard</t>
  </si>
  <si>
    <t>Ernie Eldred</t>
  </si>
  <si>
    <t>194 Fairwood Parkway</t>
  </si>
  <si>
    <t>Price, Nicoal</t>
  </si>
  <si>
    <t>319 HAGUE ROAD DUMMERSTON VT 05301 - WINDHAM</t>
  </si>
  <si>
    <t>000W1C-1</t>
  </si>
  <si>
    <t>Price-Home Yard</t>
  </si>
  <si>
    <t>Nicoal Price &amp; Todd Blackman</t>
  </si>
  <si>
    <t>319 Hague Road</t>
  </si>
  <si>
    <t>Top Acres Farm</t>
  </si>
  <si>
    <t>1390 FLETCHER SCHOOLHOUSE ROAD SOUTH WOODSTOCK VT 05071 - WINDSOR</t>
  </si>
  <si>
    <t>000W1D-1</t>
  </si>
  <si>
    <t>McCuaig-Home Yard</t>
  </si>
  <si>
    <t>Carl &amp; Mary McCuaig</t>
  </si>
  <si>
    <t>1390 Fletcher Schoolhouse Road</t>
  </si>
  <si>
    <t>South Woodstock</t>
  </si>
  <si>
    <t>Berries &amp; Bees</t>
  </si>
  <si>
    <t>184 STOWE HILL ROAD WILMINGTON VT 05363</t>
  </si>
  <si>
    <t>000W26-1</t>
  </si>
  <si>
    <t>Elder-Home Yard</t>
  </si>
  <si>
    <t>Dr Alexander Elder</t>
  </si>
  <si>
    <t>184 Stowe Hill Road</t>
  </si>
  <si>
    <t>Stoffel, Michael</t>
  </si>
  <si>
    <t>225 ROUTE 132 SOUTH STRAFFORD VT 05070</t>
  </si>
  <si>
    <t>000W27-1</t>
  </si>
  <si>
    <t>Stoffel Home Yard</t>
  </si>
  <si>
    <t>Michael Stoffel / R Temeny</t>
  </si>
  <si>
    <t>225 Route 132</t>
  </si>
  <si>
    <t>Becker, Eric M</t>
  </si>
  <si>
    <t>105 TURNPIKE ROAD SOUTH STRAFFORD VT 05070</t>
  </si>
  <si>
    <t>000W2D-1</t>
  </si>
  <si>
    <t>Becker-home</t>
  </si>
  <si>
    <t>Eric Becker</t>
  </si>
  <si>
    <t>105 Turnpike Road</t>
  </si>
  <si>
    <t>Staples, Scott</t>
  </si>
  <si>
    <t>368 GUILMETTE ROAD RICHFORD VT 05476</t>
  </si>
  <si>
    <t>000W2J-1</t>
  </si>
  <si>
    <t>Staples-Home Yard</t>
  </si>
  <si>
    <t>Richford Town</t>
  </si>
  <si>
    <t>Scott &amp; Susan Staples</t>
  </si>
  <si>
    <t>368 Guilmette Road</t>
  </si>
  <si>
    <t>Longley, Damian</t>
  </si>
  <si>
    <t>429 HARD WOOD HILL ROAD RICHFORD VT 05476</t>
  </si>
  <si>
    <t>000W2M-1</t>
  </si>
  <si>
    <t>Longley Family Apiary</t>
  </si>
  <si>
    <t>Pam and Gary Royea</t>
  </si>
  <si>
    <t>429 Hard Wood Hill Road</t>
  </si>
  <si>
    <t>Parker, Fran</t>
  </si>
  <si>
    <t>394 TIMSON HILL RD NEWFANE VT 05345</t>
  </si>
  <si>
    <t>000W2X-1</t>
  </si>
  <si>
    <t>Parker-Home</t>
  </si>
  <si>
    <t>Fran Parker</t>
  </si>
  <si>
    <t>394 Timson Hill Rd</t>
  </si>
  <si>
    <t>000W2X-2</t>
  </si>
  <si>
    <t>Mia Scheffy</t>
  </si>
  <si>
    <t>29 Timson Hill Rd</t>
  </si>
  <si>
    <t>000W2X-3</t>
  </si>
  <si>
    <t>Sweet Tree Farm</t>
  </si>
  <si>
    <t>1656 VT Rt 5</t>
  </si>
  <si>
    <t>Countryman Peony Farm</t>
  </si>
  <si>
    <t>868 WINCH HILL ROAD NORTHFIELD VT 05663</t>
  </si>
  <si>
    <t>000W30-1</t>
  </si>
  <si>
    <t>Countryman Peony Farm-Home Yard</t>
  </si>
  <si>
    <t>Ann and Dan Sivori</t>
  </si>
  <si>
    <t>868 Winch Hill Road</t>
  </si>
  <si>
    <t>Wood, Julie-Lynn</t>
  </si>
  <si>
    <t>399 DEPOT ST PROCTORSVILLE VT 05153</t>
  </si>
  <si>
    <t>000W32-1</t>
  </si>
  <si>
    <t>M&amp;J Wood</t>
  </si>
  <si>
    <t>399 Depot Street</t>
  </si>
  <si>
    <t>Proctorsville</t>
  </si>
  <si>
    <t>Reeb, Mike</t>
  </si>
  <si>
    <t>456 CHANDLER ROAD CHESTER VT 05143</t>
  </si>
  <si>
    <t>000W34-1</t>
  </si>
  <si>
    <t>Mike Reeb</t>
  </si>
  <si>
    <t>456 Chandler Road</t>
  </si>
  <si>
    <t>DeMarco, Robert</t>
  </si>
  <si>
    <t>1925 WEST CREEK ROAD FLORENCE VT 05744</t>
  </si>
  <si>
    <t>000W3J-1</t>
  </si>
  <si>
    <t>DeMarco-Home</t>
  </si>
  <si>
    <t>Bob DeMarco</t>
  </si>
  <si>
    <t>1925 West Creek Road</t>
  </si>
  <si>
    <t>Merkert, Robert</t>
  </si>
  <si>
    <t>PO BOX 286 BRANDON VT 05733</t>
  </si>
  <si>
    <t>000W3M-1</t>
  </si>
  <si>
    <t>Merkert-home yard</t>
  </si>
  <si>
    <t>Robert Merkert</t>
  </si>
  <si>
    <t>580 Long Swamp Road</t>
  </si>
  <si>
    <t>000W3M-2</t>
  </si>
  <si>
    <t>Joe &amp; Emily Pearl</t>
  </si>
  <si>
    <t>186 Evergreen Lane</t>
  </si>
  <si>
    <t>Pouech, Phil</t>
  </si>
  <si>
    <t>67 NEW SOUTH FARM ROAD HINESBURG VT 05461</t>
  </si>
  <si>
    <t>000W3N-1</t>
  </si>
  <si>
    <t>Pouech-Home Yard</t>
  </si>
  <si>
    <t>Phil Pouech</t>
  </si>
  <si>
    <t>67 New South Farm Road</t>
  </si>
  <si>
    <t>Smith, Douglas</t>
  </si>
  <si>
    <t>284 BOLTON VALLEY ACCESS ROAD BOLTON VT 05676</t>
  </si>
  <si>
    <t>000W3P-1</t>
  </si>
  <si>
    <t>Smith-Home</t>
  </si>
  <si>
    <t>Douglas Smith</t>
  </si>
  <si>
    <t>284 Bolton Valley Access Road</t>
  </si>
  <si>
    <t>Bolton</t>
  </si>
  <si>
    <t>Rivers, Robert</t>
  </si>
  <si>
    <t>273 STOKES ROAD WEATHERSFIELD VT 05156</t>
  </si>
  <si>
    <t>000W44-1</t>
  </si>
  <si>
    <t>Stone Hill</t>
  </si>
  <si>
    <t>Bob Rivers</t>
  </si>
  <si>
    <t>271 Stokes Road</t>
  </si>
  <si>
    <t>Blue Moon Farm</t>
  </si>
  <si>
    <t>295 BRIGHAM HILL ESSEX JUNCTION VT 05453</t>
  </si>
  <si>
    <t>000W45-1</t>
  </si>
  <si>
    <t>Blue Moon</t>
  </si>
  <si>
    <t>Frank Oliver</t>
  </si>
  <si>
    <t>295 Brigham Hill</t>
  </si>
  <si>
    <t>Bee Tribe LLC</t>
  </si>
  <si>
    <t>13 BRIGHAM ROAD ST ALBANS VT 05478</t>
  </si>
  <si>
    <t>000W47-1</t>
  </si>
  <si>
    <t>Blondel's Home Yard</t>
  </si>
  <si>
    <t>Celine Blondel</t>
  </si>
  <si>
    <t>13 Brigham Road</t>
  </si>
  <si>
    <t>Stoddard, Robert</t>
  </si>
  <si>
    <t>340 STEELE ROAD SHARON VT 05065</t>
  </si>
  <si>
    <t>000W4B-1</t>
  </si>
  <si>
    <t>Sharon Town</t>
  </si>
  <si>
    <t>Bob &amp; Mary Stoddard</t>
  </si>
  <si>
    <t>340 Steele Road</t>
  </si>
  <si>
    <t>Sharon</t>
  </si>
  <si>
    <t>Van Dine, Lee S</t>
  </si>
  <si>
    <t>125 SNOWDEN LANE MORETOWN VT 05660</t>
  </si>
  <si>
    <t>000W4F-1</t>
  </si>
  <si>
    <t>Van Dine Home yard</t>
  </si>
  <si>
    <t>Lee &amp; Nancy Van Dine</t>
  </si>
  <si>
    <t>125 Snowden Lane</t>
  </si>
  <si>
    <t>Wee Bee Nature</t>
  </si>
  <si>
    <t>109 WHIPPLE HOLLOW ROAD WEST RUTLAND VT 05777</t>
  </si>
  <si>
    <t>000W4V-1</t>
  </si>
  <si>
    <t>Shanholzter-Home</t>
  </si>
  <si>
    <t>Melissa Shanholtzer</t>
  </si>
  <si>
    <t>109 Whipple Hollow Road</t>
  </si>
  <si>
    <t>Gallitano, Laura</t>
  </si>
  <si>
    <t>654 COGSWELL STREET GRANITEVILLE VT 05654</t>
  </si>
  <si>
    <t>000W52-1</t>
  </si>
  <si>
    <t>Gallitano-Home Yard</t>
  </si>
  <si>
    <t>Laura Gallitano</t>
  </si>
  <si>
    <t>654 Cogswell Street</t>
  </si>
  <si>
    <t>Harris, Anne</t>
  </si>
  <si>
    <t>1286 PRATT ROAD JEFFERSONVILLE VT 05464</t>
  </si>
  <si>
    <t>000W5K-1</t>
  </si>
  <si>
    <t>Anne &amp; Dick Harris</t>
  </si>
  <si>
    <t>1286 Pratt Road</t>
  </si>
  <si>
    <t>cambridge</t>
  </si>
  <si>
    <t>Terhune, Lea</t>
  </si>
  <si>
    <t>63 APPLETREE POINT LANE BURLINGTON VT 05401</t>
  </si>
  <si>
    <t>000W5V-1</t>
  </si>
  <si>
    <t>63 Appletree Point Lane</t>
  </si>
  <si>
    <t>Benoit, Mitchell</t>
  </si>
  <si>
    <t>834 RT 131 CAVENDISH VT 05142</t>
  </si>
  <si>
    <t>000W5W-1</t>
  </si>
  <si>
    <t>Mitchell Benoit</t>
  </si>
  <si>
    <t>834 Rt 131</t>
  </si>
  <si>
    <t>West, Ethan</t>
  </si>
  <si>
    <t>234 CAPE LOOKOFF RD GOSHEN VT 05733</t>
  </si>
  <si>
    <t>000W5X-1</t>
  </si>
  <si>
    <t>Humphrey</t>
  </si>
  <si>
    <t>Sam Stagg</t>
  </si>
  <si>
    <t>460 Humphrey Road</t>
  </si>
  <si>
    <t>000W5X-2</t>
  </si>
  <si>
    <t>West Creek</t>
  </si>
  <si>
    <t>Larry Haselton</t>
  </si>
  <si>
    <t>2847 West Creek Road</t>
  </si>
  <si>
    <t>000W5X-3</t>
  </si>
  <si>
    <t>barbra Darling</t>
  </si>
  <si>
    <t>1045 Birch Hill Road</t>
  </si>
  <si>
    <t>000W5X-4</t>
  </si>
  <si>
    <t>Mona Sullivan</t>
  </si>
  <si>
    <t>160 Ferry Road</t>
  </si>
  <si>
    <t>000W5X-5</t>
  </si>
  <si>
    <t>Fox Farm</t>
  </si>
  <si>
    <t>Ed Fox</t>
  </si>
  <si>
    <t>1099 Corn Hill Road</t>
  </si>
  <si>
    <t>000W5X-6</t>
  </si>
  <si>
    <t>Rochester Yard</t>
  </si>
  <si>
    <t>2139 Middle Hollow Road</t>
  </si>
  <si>
    <t>000W5X-7</t>
  </si>
  <si>
    <t>Gravel Pit</t>
  </si>
  <si>
    <t>North Hollow Farm</t>
  </si>
  <si>
    <t>84 Brandond Mountain Rd</t>
  </si>
  <si>
    <t>000W5X-8</t>
  </si>
  <si>
    <t>Number 8</t>
  </si>
  <si>
    <t>437 Middle Hollow Road</t>
  </si>
  <si>
    <t>Trukenbrod Mill and Bakery</t>
  </si>
  <si>
    <t>775 ABE JACOBS ROAD CORINTH VT 05039</t>
  </si>
  <si>
    <t>000W61-1</t>
  </si>
  <si>
    <t>John Mellquist</t>
  </si>
  <si>
    <t>775 Abe Jacobs Road</t>
  </si>
  <si>
    <t>Grech, Alexander, III</t>
  </si>
  <si>
    <t>30 DAHLBERGH ROAD ST JOHNSBURY VT 05819</t>
  </si>
  <si>
    <t>000W64-1</t>
  </si>
  <si>
    <t>Back Field</t>
  </si>
  <si>
    <t>Grech</t>
  </si>
  <si>
    <t>30 Dahlbergh Road</t>
  </si>
  <si>
    <t>Eldred, Christine</t>
  </si>
  <si>
    <t>2528 KELLOGG ROAD ST ALBANS VT 05488</t>
  </si>
  <si>
    <t>000W69-1</t>
  </si>
  <si>
    <t>Christine Eldred and Jason Barney</t>
  </si>
  <si>
    <t>2528 Kellogg Road</t>
  </si>
  <si>
    <t>Richard, Alyssa &amp; Edward</t>
  </si>
  <si>
    <t>440 BAYLEY-HAZEN ROAD WALDEN VT 05843</t>
  </si>
  <si>
    <t>000W6B-1</t>
  </si>
  <si>
    <t>Richard Home Yard</t>
  </si>
  <si>
    <t>Edward &amp; Alyssa Richard</t>
  </si>
  <si>
    <t>440 Bayley-Hazen Road</t>
  </si>
  <si>
    <t>Jackson, Steven</t>
  </si>
  <si>
    <t>486 FAIRFIELD ROAD BAKERSFIELD VT 05441</t>
  </si>
  <si>
    <t>000W6F-1</t>
  </si>
  <si>
    <t>Steven Jackson</t>
  </si>
  <si>
    <t>486 Fairfield Road</t>
  </si>
  <si>
    <t>Williams, Jill M</t>
  </si>
  <si>
    <t>140 NANCY LANE BROOKFIELD VT 05036</t>
  </si>
  <si>
    <t>000W6G-1</t>
  </si>
  <si>
    <t>Jill Williams</t>
  </si>
  <si>
    <t>140 Nancy Lane</t>
  </si>
  <si>
    <t>1492 EAST HILL ROAD ANDOVER VT 05143</t>
  </si>
  <si>
    <t>000W6H-1</t>
  </si>
  <si>
    <t>Harlows</t>
  </si>
  <si>
    <t>Paul Harlow</t>
  </si>
  <si>
    <t>6365 US 5</t>
  </si>
  <si>
    <t>Northcountry Bees</t>
  </si>
  <si>
    <t>2 CANOE ROAD EXT GRAND ISLE VT 05458</t>
  </si>
  <si>
    <t>000W6K-1</t>
  </si>
  <si>
    <t>Grenon-home</t>
  </si>
  <si>
    <t>Jeremy Grenon</t>
  </si>
  <si>
    <t>2 Canoe Road Ext.</t>
  </si>
  <si>
    <t>000W6K-2</t>
  </si>
  <si>
    <t>Grennys</t>
  </si>
  <si>
    <t>Jerry Grenon</t>
  </si>
  <si>
    <t>122 Adams School Road</t>
  </si>
  <si>
    <t>Butterfield's Bees</t>
  </si>
  <si>
    <t>97 RAY FORREST ROAD BRANDON VT 05733</t>
  </si>
  <si>
    <t>000W71-1</t>
  </si>
  <si>
    <t>David Butterfield</t>
  </si>
  <si>
    <t>97 Ray Forrest Road</t>
  </si>
  <si>
    <t>Priest, Gretchen</t>
  </si>
  <si>
    <t>125 CRANBERRY MEADOW EAST CALAIS VT 05650</t>
  </si>
  <si>
    <t>000W7H-1</t>
  </si>
  <si>
    <t>Shao Shan Honey</t>
  </si>
  <si>
    <t>Gretchen Priest</t>
  </si>
  <si>
    <t>359 Cranberry Meadow</t>
  </si>
  <si>
    <t>Rush's Family Farm</t>
  </si>
  <si>
    <t>99 ROUNDS ROAD FAIRFAX VT 05454</t>
  </si>
  <si>
    <t>000W7J-1</t>
  </si>
  <si>
    <t>sugar house</t>
  </si>
  <si>
    <t>DKKE Inc</t>
  </si>
  <si>
    <t>0 Seymour Road</t>
  </si>
  <si>
    <t>Lafirira, Wendy</t>
  </si>
  <si>
    <t>119 GEORGE STREET EAST CALAIS VT 05650</t>
  </si>
  <si>
    <t>000W7N-1</t>
  </si>
  <si>
    <t>100 acre Apiary</t>
  </si>
  <si>
    <t>Lafirira</t>
  </si>
  <si>
    <t>119 George Street</t>
  </si>
  <si>
    <t>East Calais</t>
  </si>
  <si>
    <t>Duboff, Lynn</t>
  </si>
  <si>
    <t>237 HAWLEY LANE RUTLAND VT 05701</t>
  </si>
  <si>
    <t>000W7Z-1</t>
  </si>
  <si>
    <t>Duboff-Home Yard</t>
  </si>
  <si>
    <t>Lynn Duboff</t>
  </si>
  <si>
    <t>237 Hawley Lane</t>
  </si>
  <si>
    <t>Ward, Dana</t>
  </si>
  <si>
    <t>479 JUSTIN MORRILL HWY STRAFFORD VT 05072</t>
  </si>
  <si>
    <t>000W8H-1</t>
  </si>
  <si>
    <t>Ward Home Yard</t>
  </si>
  <si>
    <t>Dana Ward &amp; Tina Moses</t>
  </si>
  <si>
    <t>479 Justin Morrill Hwy</t>
  </si>
  <si>
    <t>Rhode, Solon</t>
  </si>
  <si>
    <t>522 BOUPLON HOLLOW ROAD NORTH BENNINGTON VT 05257</t>
  </si>
  <si>
    <t>000W8N-1</t>
  </si>
  <si>
    <t>Rhode Home Yard</t>
  </si>
  <si>
    <t>Solon Rhode</t>
  </si>
  <si>
    <t>522 Bouplon Hollow Road</t>
  </si>
  <si>
    <t>Cline, Andrea</t>
  </si>
  <si>
    <t>125 WINTERBIRD ROAD STOWE VT 05672</t>
  </si>
  <si>
    <t>000W8V-1</t>
  </si>
  <si>
    <t>Cline-Home Yard</t>
  </si>
  <si>
    <t>Andrea &amp; Brett Cline</t>
  </si>
  <si>
    <t>125 Winterbird Road</t>
  </si>
  <si>
    <t>Gautney, Karen</t>
  </si>
  <si>
    <t>1778 GOULDEN RIDGE RD SPRINGFIELD VT 05156</t>
  </si>
  <si>
    <t>000XHX-1</t>
  </si>
  <si>
    <t>Gautney-Home Yard</t>
  </si>
  <si>
    <t>Karen Gautney</t>
  </si>
  <si>
    <t>1778 Goulden Ridge</t>
  </si>
  <si>
    <t>Washburn, Mark &amp; Brenda</t>
  </si>
  <si>
    <t>3225 PLEASANT ST BETHEL VT 05032</t>
  </si>
  <si>
    <t>000XJ4-1</t>
  </si>
  <si>
    <t>Washburn-Home Yard</t>
  </si>
  <si>
    <t>Mark &amp; Brenda Washburn</t>
  </si>
  <si>
    <t>3225 Pleasant St.</t>
  </si>
  <si>
    <t>Norton, David</t>
  </si>
  <si>
    <t>BOX 221 STRAFFORD VT 05070 - ORANGE</t>
  </si>
  <si>
    <t>000XJ5-1</t>
  </si>
  <si>
    <t>Pierson</t>
  </si>
  <si>
    <t>M L Pierson</t>
  </si>
  <si>
    <t>20Powell Road</t>
  </si>
  <si>
    <t>THETFORD CENTER</t>
  </si>
  <si>
    <t>BOX 221 S STRAFFORD VT 05070</t>
  </si>
  <si>
    <t>000XJ6-1</t>
  </si>
  <si>
    <t>M.L. Pierson</t>
  </si>
  <si>
    <t>20 Powell Road</t>
  </si>
  <si>
    <t>Endicott, John P</t>
  </si>
  <si>
    <t>205 HAPPY VALLEY ROAD TAFTSVILLE VT 05073</t>
  </si>
  <si>
    <t>000XJ8-1</t>
  </si>
  <si>
    <t>Endicott-Home Yard</t>
  </si>
  <si>
    <t>John Endicott</t>
  </si>
  <si>
    <t>205 Happy Valley Road</t>
  </si>
  <si>
    <t>Taftsville</t>
  </si>
  <si>
    <t>Melamed, Steven</t>
  </si>
  <si>
    <t>28 NOTCH ROAD MIDDLESEX VT 05602</t>
  </si>
  <si>
    <t>000XJA-1</t>
  </si>
  <si>
    <t>Melamed home yard</t>
  </si>
  <si>
    <t>Steven Melamed</t>
  </si>
  <si>
    <t>28 Notch Road</t>
  </si>
  <si>
    <t>Torcoletti, Tara J</t>
  </si>
  <si>
    <t>210 LAWRENCE DRIVE WEST TOWNSHEND VT 05359-9713 - WINDHAM</t>
  </si>
  <si>
    <t>000XJB-1</t>
  </si>
  <si>
    <t>Torcoletti home yard</t>
  </si>
  <si>
    <t>Tara Torcoletti</t>
  </si>
  <si>
    <t>210 Lawrence Drive</t>
  </si>
  <si>
    <t>West Townshend</t>
  </si>
  <si>
    <t>05359-9713</t>
  </si>
  <si>
    <t>Priscilla White</t>
  </si>
  <si>
    <t>514 DONER ROAD CALAIS VT 05648</t>
  </si>
  <si>
    <t>000XJZ-1</t>
  </si>
  <si>
    <t>White-Home Yard</t>
  </si>
  <si>
    <t>514 Doner Road</t>
  </si>
  <si>
    <t>Thibault, Garrett</t>
  </si>
  <si>
    <t>583 AUGER HOLD ROAD BARTON VT 05822</t>
  </si>
  <si>
    <t>000XK3-1</t>
  </si>
  <si>
    <t>Thibault-Home Yard</t>
  </si>
  <si>
    <t>Barton Town</t>
  </si>
  <si>
    <t>Garrett Thibault</t>
  </si>
  <si>
    <t>583 Auger Hold Road</t>
  </si>
  <si>
    <t>Barton</t>
  </si>
  <si>
    <t>Pattee Hill Farm</t>
  </si>
  <si>
    <t>144 PATTEE HILL ROAD GEORGIA VT 05468</t>
  </si>
  <si>
    <t>000XK9-1</t>
  </si>
  <si>
    <t>#1</t>
  </si>
  <si>
    <t>Donald Vickers</t>
  </si>
  <si>
    <t>144 Pattee Hill Road</t>
  </si>
  <si>
    <t>Stetson, Arthur</t>
  </si>
  <si>
    <t>6014 ETHAN ALLEN HWY APT 2 ST ALBANS VT 05478</t>
  </si>
  <si>
    <t>000XKM-1</t>
  </si>
  <si>
    <t>Stetson-Home Yard</t>
  </si>
  <si>
    <t>Jeff</t>
  </si>
  <si>
    <t>6014 Ethan Allen Hwy Apt # 2</t>
  </si>
  <si>
    <t>000XKM-2</t>
  </si>
  <si>
    <t>372 Lake Road Milton</t>
  </si>
  <si>
    <t>Brain</t>
  </si>
  <si>
    <t>372 Lake Rd</t>
  </si>
  <si>
    <t>Macchia, Carmen</t>
  </si>
  <si>
    <t>894 HOWARD HILL ROAD ANDOVER VT 05143</t>
  </si>
  <si>
    <t>000XKX-1</t>
  </si>
  <si>
    <t>Macchia Home Yard</t>
  </si>
  <si>
    <t>Carmen Macchia</t>
  </si>
  <si>
    <t>894 Howard Hill Road</t>
  </si>
  <si>
    <t>Goodman, Jessica</t>
  </si>
  <si>
    <t>PO BOX 5 PROCTORSVILLE VT 05153</t>
  </si>
  <si>
    <t>000XM2-1</t>
  </si>
  <si>
    <t>Jessica Goodman</t>
  </si>
  <si>
    <t>17 Pratt Hill</t>
  </si>
  <si>
    <t>Green Mountain Honey</t>
  </si>
  <si>
    <t>135 HANNA ROAD HIGHGATE CENTER VT 05459</t>
  </si>
  <si>
    <t>000XM3-1</t>
  </si>
  <si>
    <t>Ray Gagner</t>
  </si>
  <si>
    <t>Cindy Shedrick</t>
  </si>
  <si>
    <t>135 Hanna Road</t>
  </si>
  <si>
    <t>000XM3-2</t>
  </si>
  <si>
    <t>Eugene Gagner</t>
  </si>
  <si>
    <t>185 Boucher Road</t>
  </si>
  <si>
    <t>000XM3-3</t>
  </si>
  <si>
    <t>1210 Lamkin Street</t>
  </si>
  <si>
    <t>000XM3-4</t>
  </si>
  <si>
    <t>David Dragon</t>
  </si>
  <si>
    <t>1740 Rice Hill Road</t>
  </si>
  <si>
    <t>000XM3-5</t>
  </si>
  <si>
    <t>Corey McCuin</t>
  </si>
  <si>
    <t>118 Rollo Road</t>
  </si>
  <si>
    <t>Coughlin-Galbraith, Eli K</t>
  </si>
  <si>
    <t>105 WINTER ST 1 BRATTLEBORO VT 05301</t>
  </si>
  <si>
    <t>000XMN-1</t>
  </si>
  <si>
    <t>Coughlin-Galbraith Home Yard</t>
  </si>
  <si>
    <t>James K Galbraith</t>
  </si>
  <si>
    <t>McDermid, Leese S</t>
  </si>
  <si>
    <t>181 W HILL RD ENOSBURG FALLS VT 05450</t>
  </si>
  <si>
    <t>000XN6-1</t>
  </si>
  <si>
    <t>181 W Hill Road</t>
  </si>
  <si>
    <t>Stanion</t>
  </si>
  <si>
    <t>Finelli, Janis</t>
  </si>
  <si>
    <t>2181 S HILL ROAD WAITSFIELD VT 05660</t>
  </si>
  <si>
    <t>000XP3-1</t>
  </si>
  <si>
    <t>Finelli-Home Yard</t>
  </si>
  <si>
    <t>Janis Finelli</t>
  </si>
  <si>
    <t>2181 S Hill Road</t>
  </si>
  <si>
    <t>Full Plate Farm</t>
  </si>
  <si>
    <t>440 MILLER ROAD EAST DUMMERSTON VT 05346</t>
  </si>
  <si>
    <t>000XPX-1</t>
  </si>
  <si>
    <t>Matthew Crowley Laura Hecht</t>
  </si>
  <si>
    <t>440 Miller Road</t>
  </si>
  <si>
    <t>East Dummerston</t>
  </si>
  <si>
    <t>The Shaman's Touch Apiary</t>
  </si>
  <si>
    <t>94 ROSS HILL RD MORRISVILLE VT 05661</t>
  </si>
  <si>
    <t>000XQ0-1</t>
  </si>
  <si>
    <t>Pauly home yard</t>
  </si>
  <si>
    <t>Anthony Pauly</t>
  </si>
  <si>
    <t>94 Ross Hill Rd</t>
  </si>
  <si>
    <t>000XQ0-2</t>
  </si>
  <si>
    <t>Elford home yard</t>
  </si>
  <si>
    <t>Elford</t>
  </si>
  <si>
    <t>202 Fergison Hill</t>
  </si>
  <si>
    <t>Riker, Jack&amp; Maureen</t>
  </si>
  <si>
    <t>27 VAN CORTLAND ROAD BRANDON VT 05733</t>
  </si>
  <si>
    <t>000XVF-1</t>
  </si>
  <si>
    <t>Jack &amp; Maureen Riker</t>
  </si>
  <si>
    <t>27 Van Cortland Road</t>
  </si>
  <si>
    <t>Heroway Vineyard</t>
  </si>
  <si>
    <t>3821 US ROUTE 2 NORTH HERO VT 05474</t>
  </si>
  <si>
    <t>000XW1-1</t>
  </si>
  <si>
    <t>Jane Way</t>
  </si>
  <si>
    <t>3821 US Route 2</t>
  </si>
  <si>
    <t>Deemer (Api Chicks), Kathy</t>
  </si>
  <si>
    <t>70 MOSS GLENN LANE SOUTH BURLINGTON VT 05403</t>
  </si>
  <si>
    <t>000XYD-1</t>
  </si>
  <si>
    <t>Kathy Deemer Home yard</t>
  </si>
  <si>
    <t>Kathy Deemer</t>
  </si>
  <si>
    <t>70 Moss Glenn Lane</t>
  </si>
  <si>
    <t>Peck, Loren</t>
  </si>
  <si>
    <t>532 PARAN ROAD NORTH BENNINGTON VT 05257</t>
  </si>
  <si>
    <t>000Y05-1</t>
  </si>
  <si>
    <t>Loren and Hilary Peck</t>
  </si>
  <si>
    <t>532 Paran Road</t>
  </si>
  <si>
    <t>HALL APIARIES</t>
  </si>
  <si>
    <t>374 ROUTE 12A PLAINFIELD NH 03781</t>
  </si>
  <si>
    <t>000Y23-1</t>
  </si>
  <si>
    <t>Path of Life</t>
  </si>
  <si>
    <t>Terry McDonald</t>
  </si>
  <si>
    <t>000Y23-2</t>
  </si>
  <si>
    <t>Killdeer</t>
  </si>
  <si>
    <t>Jake Guest</t>
  </si>
  <si>
    <t>000Y23-3</t>
  </si>
  <si>
    <t>Farrell Farm</t>
  </si>
  <si>
    <t>Bob Sherwin</t>
  </si>
  <si>
    <t>000Y23-4</t>
  </si>
  <si>
    <t>Jeff Boggie</t>
  </si>
  <si>
    <t>000Y23-5</t>
  </si>
  <si>
    <t>ELY</t>
  </si>
  <si>
    <t>000Y23-6</t>
  </si>
  <si>
    <t>Hartland Nuc Yard</t>
  </si>
  <si>
    <t>Brian</t>
  </si>
  <si>
    <t>000Y23-7</t>
  </si>
  <si>
    <t>Mating Yard #2</t>
  </si>
  <si>
    <t>Ed Micheum</t>
  </si>
  <si>
    <t>North Hartland</t>
  </si>
  <si>
    <t>MATTERA, STEVE</t>
  </si>
  <si>
    <t>48 MILO WHITE ROAD JERICHO VT 05465</t>
  </si>
  <si>
    <t>000Y2Z-1</t>
  </si>
  <si>
    <t>48 MILO WHITE ROAD</t>
  </si>
  <si>
    <t>JERICHO</t>
  </si>
  <si>
    <t>TUCKER, JEROME</t>
  </si>
  <si>
    <t>2616 EAST CLARENDON ROAD NORTH CLARENDON VT 05759</t>
  </si>
  <si>
    <t>000Y3N-1</t>
  </si>
  <si>
    <t>Jerome Tucker</t>
  </si>
  <si>
    <t>2616 EAST CLARENDON ROAD</t>
  </si>
  <si>
    <t>North Clarendon</t>
  </si>
  <si>
    <t>Jones, Eleanor</t>
  </si>
  <si>
    <t>193 NORTH ST WELLS VT 05774</t>
  </si>
  <si>
    <t>000Y92-1</t>
  </si>
  <si>
    <t>Eleanor Jones</t>
  </si>
  <si>
    <t>193 North Street</t>
  </si>
  <si>
    <t>LAMBERT, KIMBERLY</t>
  </si>
  <si>
    <t>196 FITCH HILL ROAD HYDE PARK VT 05655</t>
  </si>
  <si>
    <t>000Y9Q-1</t>
  </si>
  <si>
    <t>Ted &amp; Kim Lambert</t>
  </si>
  <si>
    <t>196 FITCH HILL ROAD</t>
  </si>
  <si>
    <t>HYDE PARK</t>
  </si>
  <si>
    <t>DORSCHNER, CHERYL</t>
  </si>
  <si>
    <t>2361 N WILLISTON ROAD WILLISTON VT 05495</t>
  </si>
  <si>
    <t>000Y9V-1</t>
  </si>
  <si>
    <t>Dorschner Home Yard</t>
  </si>
  <si>
    <t>CHERYL DORSCHNER</t>
  </si>
  <si>
    <t>2361 N WILLISTON ROAD</t>
  </si>
  <si>
    <t>WILLISTON</t>
  </si>
  <si>
    <t>BEAUPRE, MARC</t>
  </si>
  <si>
    <t>1726 MONKTON ROAD MONKTON VT 05469</t>
  </si>
  <si>
    <t>000Y9W-1</t>
  </si>
  <si>
    <t>BEAUPRE HOME YARD</t>
  </si>
  <si>
    <t>MARC BEAUPRE</t>
  </si>
  <si>
    <t>1726 MONKTON ROAD</t>
  </si>
  <si>
    <t>MONKTON</t>
  </si>
  <si>
    <t>CRAWFORD, JUSTIN &amp; CHRISTEN</t>
  </si>
  <si>
    <t>23 BANK ST NO BENNINGTON VT 05257</t>
  </si>
  <si>
    <t>000Y9X-1</t>
  </si>
  <si>
    <t>Justin Crawford</t>
  </si>
  <si>
    <t>23 BANK ST</t>
  </si>
  <si>
    <t>NO BENNINGTON</t>
  </si>
  <si>
    <t>RAWSON, TESSA</t>
  </si>
  <si>
    <t>127 MOSCOW ROAD STOWE VT 05672</t>
  </si>
  <si>
    <t>000YAY-1</t>
  </si>
  <si>
    <t>Rawson home yard</t>
  </si>
  <si>
    <t>TESSA RAWSON</t>
  </si>
  <si>
    <t>127 MOSCOW ROAD</t>
  </si>
  <si>
    <t>STOWE</t>
  </si>
  <si>
    <t>MAZZA, MIKE</t>
  </si>
  <si>
    <t>1059 MIDDLE ROAD COLCHESTER VT 05446</t>
  </si>
  <si>
    <t>000YAZ-1</t>
  </si>
  <si>
    <t>Sweet Treat yard</t>
  </si>
  <si>
    <t>MIKE MAZZA</t>
  </si>
  <si>
    <t>1059 MIDDLE ROAD</t>
  </si>
  <si>
    <t>COLCHESTER</t>
  </si>
  <si>
    <t>Anderson, Kyle</t>
  </si>
  <si>
    <t>28 MAPLE DRIVE GEORGIA VT 05478</t>
  </si>
  <si>
    <t>000YB0-1</t>
  </si>
  <si>
    <t>home yard</t>
  </si>
  <si>
    <t>Kyle Anderson</t>
  </si>
  <si>
    <t>28 Maple Drive</t>
  </si>
  <si>
    <t>Tucker Mountain Apiary</t>
  </si>
  <si>
    <t>170 TUCKER MOUNTAIN ROAD WEST NEWBURY VT 05085</t>
  </si>
  <si>
    <t>000YB3-1</t>
  </si>
  <si>
    <t>Denise Ayers</t>
  </si>
  <si>
    <t>170 Tucker Mountain Road</t>
  </si>
  <si>
    <t>West Newbury</t>
  </si>
  <si>
    <t>Salyer, Robert</t>
  </si>
  <si>
    <t>414 NOBLE HILL ROAD ENOSBURG FALLS VT 05450 - FRANKLIN</t>
  </si>
  <si>
    <t>000YB4-1</t>
  </si>
  <si>
    <t>Salyer-Home Yard</t>
  </si>
  <si>
    <t>Robert Salyer</t>
  </si>
  <si>
    <t>414 Noble Hill Road</t>
  </si>
  <si>
    <t>THE LITTLE ACRE FARM LLC</t>
  </si>
  <si>
    <t>217 FERRY ROAD FERRISBURGH VT 05491</t>
  </si>
  <si>
    <t>000YB8-1</t>
  </si>
  <si>
    <t>Laura Wright</t>
  </si>
  <si>
    <t>217 FERRY RAOD</t>
  </si>
  <si>
    <t>FERRISBURGH</t>
  </si>
  <si>
    <t>RYAN, CHANTAL</t>
  </si>
  <si>
    <t>1933 HILLVIEW ROAD RICHMOND VT 05477</t>
  </si>
  <si>
    <t>000YB9-1</t>
  </si>
  <si>
    <t>Ryan home yard</t>
  </si>
  <si>
    <t>CHANTAL RYAN</t>
  </si>
  <si>
    <t>1933 HILLVIEW ROAD</t>
  </si>
  <si>
    <t>RICHMOND</t>
  </si>
  <si>
    <t>LAROSE, ANDY</t>
  </si>
  <si>
    <t>165 RICHARDSON ROAD ORANGE VT 05641</t>
  </si>
  <si>
    <t>000YBB-1</t>
  </si>
  <si>
    <t>ANDY LAROSE</t>
  </si>
  <si>
    <t>165 RICHARDSON ROAD</t>
  </si>
  <si>
    <t>ORANGE</t>
  </si>
  <si>
    <t>THE HONEY POT APIARY</t>
  </si>
  <si>
    <t>158 CHRISTIAN ST WHITE RIVER JUNCTION VT 05001</t>
  </si>
  <si>
    <t>000YBC-1</t>
  </si>
  <si>
    <t>STEVE DAVIS</t>
  </si>
  <si>
    <t>158 CHRISTIAN ST</t>
  </si>
  <si>
    <t>WHITE RIVER JUNCTION</t>
  </si>
  <si>
    <t>ROCKWOOD, TIM</t>
  </si>
  <si>
    <t>24 COBB HILL ROAD HARTLAND VT 05048</t>
  </si>
  <si>
    <t>000YBD-1</t>
  </si>
  <si>
    <t>home</t>
  </si>
  <si>
    <t>Codie Rockwood Trust</t>
  </si>
  <si>
    <t>24 COBB HILL ROAD</t>
  </si>
  <si>
    <t>HARTLAND</t>
  </si>
  <si>
    <t>BARR, CORINNE</t>
  </si>
  <si>
    <t>373 FLETCHER HILL ROAD SOUTH WOODSTOCK VT 05071</t>
  </si>
  <si>
    <t>000YBF-1</t>
  </si>
  <si>
    <t>CORINNE BARR</t>
  </si>
  <si>
    <t>373 FLETCHER HILL ROAD</t>
  </si>
  <si>
    <t>SOUTH WOODSTOCK</t>
  </si>
  <si>
    <t>Giammusso, Michael</t>
  </si>
  <si>
    <t>1337 ADAMANT RD CALAIS VT 05640 - WASHINGTON</t>
  </si>
  <si>
    <t>000YBG-1</t>
  </si>
  <si>
    <t>Giammusso Home Yard</t>
  </si>
  <si>
    <t>Michael Giammusso</t>
  </si>
  <si>
    <t>1337 Adamant Rd</t>
  </si>
  <si>
    <t>Whitney, Sandra</t>
  </si>
  <si>
    <t>21 WHITNEY LYMAN DR CHELSEA VT 05038</t>
  </si>
  <si>
    <t>000YBH-1</t>
  </si>
  <si>
    <t>Merrill &amp; Sandra Whitney</t>
  </si>
  <si>
    <t>21 Whitney Lyman Dr</t>
  </si>
  <si>
    <t>Key, James, Jr</t>
  </si>
  <si>
    <t>1329 OLD STAGE RD WESTFORD VT 05494</t>
  </si>
  <si>
    <t>000YBJ-1</t>
  </si>
  <si>
    <t>Mead-Home Yard</t>
  </si>
  <si>
    <t>Mary Mead</t>
  </si>
  <si>
    <t>1329 Old Stage Road</t>
  </si>
  <si>
    <t>Wells, Benjamin &amp; Roger</t>
  </si>
  <si>
    <t>149 DEER RUN LN NEWPORT VT 05855 - ORLEANS</t>
  </si>
  <si>
    <t>000YBK-1</t>
  </si>
  <si>
    <t>Wells-Home Yard</t>
  </si>
  <si>
    <t>Roger Wells</t>
  </si>
  <si>
    <t>149 Deer Run Lane</t>
  </si>
  <si>
    <t>000YBK-2</t>
  </si>
  <si>
    <t>Wells-Home yard 2</t>
  </si>
  <si>
    <t>Canaan Town</t>
  </si>
  <si>
    <t>149 Hudson Rd</t>
  </si>
  <si>
    <t>Canaan</t>
  </si>
  <si>
    <t>Winslow, Kate</t>
  </si>
  <si>
    <t>PO BOX 757 129 JOHNSON LANE WASHINGTON VT 05675</t>
  </si>
  <si>
    <t>000YD2-1</t>
  </si>
  <si>
    <t>Washington Town</t>
  </si>
  <si>
    <t>Kate Winslow and Bob Sherman</t>
  </si>
  <si>
    <t>129 Johnson Lane</t>
  </si>
  <si>
    <t>ADAMS, VICKY</t>
  </si>
  <si>
    <t>3255 LEIGHTON HILL ROAD WELLS RIVER VT 05081</t>
  </si>
  <si>
    <t>000YD3-1</t>
  </si>
  <si>
    <t>VICTORIA and ROBERT ADAMS</t>
  </si>
  <si>
    <t>3255 LEIGHTON HILL ROAD</t>
  </si>
  <si>
    <t>WELLS RIVER</t>
  </si>
  <si>
    <t>BAZARIAN BEES</t>
  </si>
  <si>
    <t>1155 SAFFORD ROAD QUECHEE VT 05059</t>
  </si>
  <si>
    <t>000YD4-1</t>
  </si>
  <si>
    <t>Bazarian home yard</t>
  </si>
  <si>
    <t>Harvey &amp; Barbara Bazarian</t>
  </si>
  <si>
    <t>1155 SAFFORD ROAD</t>
  </si>
  <si>
    <t>QUECHEE</t>
  </si>
  <si>
    <t>Cheryl Gates Home Yard</t>
  </si>
  <si>
    <t>11 APPLE TREE LANE WESTFORD VT 05494</t>
  </si>
  <si>
    <t>000YD5-1</t>
  </si>
  <si>
    <t>Cheryl Gates</t>
  </si>
  <si>
    <t>11 Apple Tree Lane</t>
  </si>
  <si>
    <t>Panic Swamp Farm</t>
  </si>
  <si>
    <t>36 ALLY RD PUTNEY VT 05346</t>
  </si>
  <si>
    <t>000YD7-1</t>
  </si>
  <si>
    <t>Lucia Turino</t>
  </si>
  <si>
    <t>same as mailing address</t>
  </si>
  <si>
    <t>Hyde, Theresa</t>
  </si>
  <si>
    <t>83 SOFTWOOD RD WOLCOTT VT 05680</t>
  </si>
  <si>
    <t>000YD9-1</t>
  </si>
  <si>
    <t>Theresa Hyde</t>
  </si>
  <si>
    <t>83 Softwood Rd</t>
  </si>
  <si>
    <t>Ellsworth-Spooner, Kristina</t>
  </si>
  <si>
    <t>22 S ELM ST ST ALBANS VT 05478</t>
  </si>
  <si>
    <t>000YDA-1</t>
  </si>
  <si>
    <t>Kristina Ellsworth-Spooner</t>
  </si>
  <si>
    <t>22 S Elm St</t>
  </si>
  <si>
    <t>GLEASON, PAMELA</t>
  </si>
  <si>
    <t>65 HIGHLAND LANE JAMAICA VT 05343</t>
  </si>
  <si>
    <t>000YDB-1</t>
  </si>
  <si>
    <t>Personal Hives</t>
  </si>
  <si>
    <t>PAMELA and Arthur GLEASON</t>
  </si>
  <si>
    <t>65 HIGHLAND LANE</t>
  </si>
  <si>
    <t>JAMAICA</t>
  </si>
  <si>
    <t>L'Ecuyer, Samantha</t>
  </si>
  <si>
    <t>12 CASCADE STREET ESSEX JUNCTION VT 05452</t>
  </si>
  <si>
    <t>000YDG-1</t>
  </si>
  <si>
    <t>Samantha L'Ecuyer</t>
  </si>
  <si>
    <t>12 Cascade Street</t>
  </si>
  <si>
    <t>ORR, LINDA DEAN</t>
  </si>
  <si>
    <t>309 SUNRISE ROAD BETHEL VT 05032</t>
  </si>
  <si>
    <t>000YDH-1</t>
  </si>
  <si>
    <t>LINDA and Jerome ORR</t>
  </si>
  <si>
    <t>309 SUNRISE ROAD</t>
  </si>
  <si>
    <t>BETHEL</t>
  </si>
  <si>
    <t>Berger, Maria</t>
  </si>
  <si>
    <t>PO BOX 4 HINESBURG VT 05461-0004</t>
  </si>
  <si>
    <t>000YDM-1</t>
  </si>
  <si>
    <t>Len Duffy</t>
  </si>
  <si>
    <t>1070 Silver St</t>
  </si>
  <si>
    <t>Winegar, Richard</t>
  </si>
  <si>
    <t>136 BROOKSIDE LANE HINESBURG VT 05461-0004</t>
  </si>
  <si>
    <t>000YDV-1</t>
  </si>
  <si>
    <t>Richard &amp; Jennifer Winegar</t>
  </si>
  <si>
    <t>136 Brookside Lane</t>
  </si>
  <si>
    <t>GARDNER, KELLY</t>
  </si>
  <si>
    <t>1490 SAWNEE BEAN ROAD THETFORD CENTER VT 05075</t>
  </si>
  <si>
    <t>000YF6-1</t>
  </si>
  <si>
    <t>KELLY GARDNER</t>
  </si>
  <si>
    <t>1490 SAWNEE BEAN ROAD</t>
  </si>
  <si>
    <t>000YF6-2</t>
  </si>
  <si>
    <t>Vershire Town</t>
  </si>
  <si>
    <t>Brian Collins</t>
  </si>
  <si>
    <t>1903 Vershire Center Road</t>
  </si>
  <si>
    <t>Vershire</t>
  </si>
  <si>
    <t>STACEY FAMILY APIARY</t>
  </si>
  <si>
    <t>6961 MONUMENT HILL ROAD HUBBARTON VT 05735</t>
  </si>
  <si>
    <t>000YF7-1</t>
  </si>
  <si>
    <t>Stacey Family</t>
  </si>
  <si>
    <t>Shelly &amp; Carl Stacey</t>
  </si>
  <si>
    <t>6961 MONUMENT HILL ROAD</t>
  </si>
  <si>
    <t>HUBBARTON</t>
  </si>
  <si>
    <t>SARGENT, IRA &amp; JUSTIN</t>
  </si>
  <si>
    <t>694 WILLIAMSTOWN ROAD WILLIAMSTOWN VT 05679</t>
  </si>
  <si>
    <t>000YF8-1</t>
  </si>
  <si>
    <t>Brian &amp; Tanya Sargent</t>
  </si>
  <si>
    <t>694 WILLIAMSTOWN ROAD</t>
  </si>
  <si>
    <t>WILLIAMSTOWN</t>
  </si>
  <si>
    <t>Schoville, Nick</t>
  </si>
  <si>
    <t>121 GILLS ROAD BETHEL VT 05032</t>
  </si>
  <si>
    <t>000YFZ-1</t>
  </si>
  <si>
    <t>Schoville Home Yard</t>
  </si>
  <si>
    <t>Barnard Town</t>
  </si>
  <si>
    <t>Nick Schoville</t>
  </si>
  <si>
    <t>121 Gills Road</t>
  </si>
  <si>
    <t>Johnson, Laura</t>
  </si>
  <si>
    <t>2307 BEAVER MEADOW ROAD SHARON VT 05065</t>
  </si>
  <si>
    <t>000YG0-1</t>
  </si>
  <si>
    <t>Richard Johnson</t>
  </si>
  <si>
    <t>2307 Beaver Meadow Road</t>
  </si>
  <si>
    <t>Saunders, Adam</t>
  </si>
  <si>
    <t>122 FOX HAVEN LN GEORGIA VT 05478</t>
  </si>
  <si>
    <t>000YG6-1</t>
  </si>
  <si>
    <t>Saunders home Yard</t>
  </si>
  <si>
    <t>Adam Saunders</t>
  </si>
  <si>
    <t>122 Fox Haven Lane</t>
  </si>
  <si>
    <t>LADDS, LAURA</t>
  </si>
  <si>
    <t>11 VILLAGE VIEW ROAD WEST DANVILLE VT 05873</t>
  </si>
  <si>
    <t>000YGK-1</t>
  </si>
  <si>
    <t>Ladds- Home Yard</t>
  </si>
  <si>
    <t>LAURA LADDS</t>
  </si>
  <si>
    <t>11 VILLAGE VIEW ROAD</t>
  </si>
  <si>
    <t>WEST DANVILLE</t>
  </si>
  <si>
    <t>WHITING, CHRISTOPHER</t>
  </si>
  <si>
    <t>4328 PINE HILL ROAD NEWPORT VT 05855</t>
  </si>
  <si>
    <t>000YH1-1</t>
  </si>
  <si>
    <t>Coventry Town</t>
  </si>
  <si>
    <t>CHRISTOPHER WHITING</t>
  </si>
  <si>
    <t>4328 PINE HILL ROAD</t>
  </si>
  <si>
    <t>VERMONT BEES LLC</t>
  </si>
  <si>
    <t>444 ZEPHYR ROAD WILLISTON VT 05495-1721</t>
  </si>
  <si>
    <t>000YHA-1</t>
  </si>
  <si>
    <t>Athleen Wagner</t>
  </si>
  <si>
    <t>1998 Upper French Hill Road</t>
  </si>
  <si>
    <t>000YHA-2</t>
  </si>
  <si>
    <t>Darrel Draper</t>
  </si>
  <si>
    <t>15 Reen Drive</t>
  </si>
  <si>
    <t>000YHA-3</t>
  </si>
  <si>
    <t>Stub Earl</t>
  </si>
  <si>
    <t>1876 Belvidere Road</t>
  </si>
  <si>
    <t>000YHA-4</t>
  </si>
  <si>
    <t>John Gordon</t>
  </si>
  <si>
    <t>170 Racine Road</t>
  </si>
  <si>
    <t>000YHA-5</t>
  </si>
  <si>
    <t>Tim Henderson</t>
  </si>
  <si>
    <t>57 Summit Way</t>
  </si>
  <si>
    <t>000YHA-6</t>
  </si>
  <si>
    <t>Tim Kranz</t>
  </si>
  <si>
    <t>961 Lake Road</t>
  </si>
  <si>
    <t>000YHA-7</t>
  </si>
  <si>
    <t>Beth Smith</t>
  </si>
  <si>
    <t>105 Smitty Brook Dr.</t>
  </si>
  <si>
    <t>000YHA-8</t>
  </si>
  <si>
    <t>Deb Patinka</t>
  </si>
  <si>
    <t>456 Sanderson Road</t>
  </si>
  <si>
    <t>FLOAT BRIDGE APIARY LLC</t>
  </si>
  <si>
    <t>619 FLOAT BRIDGE ROAD CASTLETON VT 05735</t>
  </si>
  <si>
    <t>000YJC-1</t>
  </si>
  <si>
    <t>Brian Tomasette</t>
  </si>
  <si>
    <t>619 FLOAT BRIDGE ROAD</t>
  </si>
  <si>
    <t>Northridge Highland Farm</t>
  </si>
  <si>
    <t>182 SHERMAN RD WAITSFIELD VT 05673</t>
  </si>
  <si>
    <t>000YJD-1</t>
  </si>
  <si>
    <t>Mooney home yard</t>
  </si>
  <si>
    <t>Reynold &amp; Hilary Mooney</t>
  </si>
  <si>
    <t>182 Sherman Road</t>
  </si>
  <si>
    <t>BERRY, THOMAS</t>
  </si>
  <si>
    <t>76 OLD SAWMILL ROAD COLCHESTER VT 05446</t>
  </si>
  <si>
    <t>000YJN-1</t>
  </si>
  <si>
    <t>Berry-Home Yard</t>
  </si>
  <si>
    <t>Thomas &amp; Jeanette Berry</t>
  </si>
  <si>
    <t>76 Old Sawmill Road</t>
  </si>
  <si>
    <t>HOPPER, JESSICA</t>
  </si>
  <si>
    <t>42 NASON STREET SAINT ALBANS VT 05470</t>
  </si>
  <si>
    <t>000YJW-1</t>
  </si>
  <si>
    <t>Hopper-Home Yard</t>
  </si>
  <si>
    <t>Jessica and Ed Hopper</t>
  </si>
  <si>
    <t>42 NASON STREET</t>
  </si>
  <si>
    <t>Bent, Erin</t>
  </si>
  <si>
    <t>RT 17 STARKSBORO VT 05443</t>
  </si>
  <si>
    <t>000YKB-1</t>
  </si>
  <si>
    <t>Erin Bent home yard</t>
  </si>
  <si>
    <t>Erin Bent</t>
  </si>
  <si>
    <t>586 Vt Rt 17</t>
  </si>
  <si>
    <t>South Starkboro</t>
  </si>
  <si>
    <t>DESORDA, RICK &amp; SANDY</t>
  </si>
  <si>
    <t>147 HEMLOCK DRIVE BRISTOL VT 05443</t>
  </si>
  <si>
    <t>000YKV-1</t>
  </si>
  <si>
    <t>Desorda</t>
  </si>
  <si>
    <t>Richard Desorda</t>
  </si>
  <si>
    <t>147 HEMLOCK DRIVE</t>
  </si>
  <si>
    <t>BRISTOL</t>
  </si>
  <si>
    <t>MINOR, ELIZABETH</t>
  </si>
  <si>
    <t>170 PARK ST APT 2 BURLINGTON VT 05401</t>
  </si>
  <si>
    <t>000YKW-1</t>
  </si>
  <si>
    <t>LOVE BETH &amp; DOUG</t>
  </si>
  <si>
    <t>EMILY HOANG</t>
  </si>
  <si>
    <t>170 PARK STREET</t>
  </si>
  <si>
    <t>BURLINGTON</t>
  </si>
  <si>
    <t>WARD, DAVID</t>
  </si>
  <si>
    <t>PO BOX 781 BRATTLEBORO VT 05302</t>
  </si>
  <si>
    <t>000YN2-1</t>
  </si>
  <si>
    <t>Ward-Home Yard</t>
  </si>
  <si>
    <t>David Ward</t>
  </si>
  <si>
    <t>310 Cowpath Road</t>
  </si>
  <si>
    <t>MOOSE RIVER FARMSTEAD</t>
  </si>
  <si>
    <t>951 RTE 2 EAST ST JOHNSBURY VT 05819</t>
  </si>
  <si>
    <t>000YN3-1</t>
  </si>
  <si>
    <t>St. JOHNSBURY</t>
  </si>
  <si>
    <t>951 Rte 2 East</t>
  </si>
  <si>
    <t>Munkres, Susan</t>
  </si>
  <si>
    <t>129 CAROLINE ST BURLINGTON VT 05401</t>
  </si>
  <si>
    <t>000YN7-1</t>
  </si>
  <si>
    <t>Munkres home yard</t>
  </si>
  <si>
    <t>Susan Munkres</t>
  </si>
  <si>
    <t>129 Caroline St</t>
  </si>
  <si>
    <t>NUITE, ZYLA</t>
  </si>
  <si>
    <t>380 HOLMAN DR BROOKFIELD VT 05036</t>
  </si>
  <si>
    <t>000YNC-1</t>
  </si>
  <si>
    <t>Zyla Nuite-Home yard</t>
  </si>
  <si>
    <t>Zyla Nuite</t>
  </si>
  <si>
    <t>380 HOLMAN DR</t>
  </si>
  <si>
    <t>HART, SHARON</t>
  </si>
  <si>
    <t>423 WATERMAN ROAD E DUMMERSTON VT 05346</t>
  </si>
  <si>
    <t>000YP3-1</t>
  </si>
  <si>
    <t>Hart-Home Yard</t>
  </si>
  <si>
    <t>Sharon Hart</t>
  </si>
  <si>
    <t>423 WATERMAN ROAD</t>
  </si>
  <si>
    <t>HODGDON, SARAH</t>
  </si>
  <si>
    <t>34 DEWEY ROAD FAIRFAX VT 05454</t>
  </si>
  <si>
    <t>000YP7-1</t>
  </si>
  <si>
    <t>Hodgdon Home Yard</t>
  </si>
  <si>
    <t>Sarah and Matthew Hodgdon</t>
  </si>
  <si>
    <t>34 DEWEY ROAD</t>
  </si>
  <si>
    <t>SEQUOIA, CHARLIE</t>
  </si>
  <si>
    <t>12 US ROUTE 2 GRAND ISLE VT 05458</t>
  </si>
  <si>
    <t>000YPB-1</t>
  </si>
  <si>
    <t>Queendom</t>
  </si>
  <si>
    <t>MARY ZAMPETI</t>
  </si>
  <si>
    <t>12 US ROUTE</t>
  </si>
  <si>
    <t>GRAND ISLE</t>
  </si>
  <si>
    <t>KOELSCH, DON &amp; KATHY</t>
  </si>
  <si>
    <t>137 STRATTON ARLINGTON ROAD WEST WARDSBORO VT 05360</t>
  </si>
  <si>
    <t>000YPD-1</t>
  </si>
  <si>
    <t>Koelsch-Home Yard</t>
  </si>
  <si>
    <t>Don &amp; Kathy Koelsch</t>
  </si>
  <si>
    <t>137 STRATTON ARLINGTON ROAD</t>
  </si>
  <si>
    <t>WEST WARDSBORO</t>
  </si>
  <si>
    <t>BROOKS, MIKE</t>
  </si>
  <si>
    <t>65 ROCKYLEDGE CT VERNON VT 05354</t>
  </si>
  <si>
    <t>000YPF-1</t>
  </si>
  <si>
    <t>Brooks-Home Yard</t>
  </si>
  <si>
    <t>Mike Brooks</t>
  </si>
  <si>
    <t>65 ROCKYLEDGE CT</t>
  </si>
  <si>
    <t>HOLCOMB, ERIK</t>
  </si>
  <si>
    <t>33 S MAIN ST 1 CAMBRIDGE VT 05444</t>
  </si>
  <si>
    <t>000YPJ-1</t>
  </si>
  <si>
    <t>Holcomb-Home Yard</t>
  </si>
  <si>
    <t>Erik Holcomb</t>
  </si>
  <si>
    <t>33 S MAIN ST #1</t>
  </si>
  <si>
    <t>CAMBRIDGE</t>
  </si>
  <si>
    <t>RANDALL, SUSAN</t>
  </si>
  <si>
    <t>536 BREEZY HILL ROAD BARTON VT 05822</t>
  </si>
  <si>
    <t>000YPK-1</t>
  </si>
  <si>
    <t>Earle Randall</t>
  </si>
  <si>
    <t>536 BREEZY HILL ROAD</t>
  </si>
  <si>
    <t>BARTON</t>
  </si>
  <si>
    <t>OLD BEAR APIARY</t>
  </si>
  <si>
    <t>1026 LITTLE RIVER FARM ROAD STOWE VT 05672</t>
  </si>
  <si>
    <t>000YPM-1</t>
  </si>
  <si>
    <t>Old Bear Apiary</t>
  </si>
  <si>
    <t>1026 LITTLE RIVER FARM ROAD</t>
  </si>
  <si>
    <t>000YPM-2</t>
  </si>
  <si>
    <t>2 Old Bear</t>
  </si>
  <si>
    <t>Old Bear</t>
  </si>
  <si>
    <t>561 Lower Baird Road</t>
  </si>
  <si>
    <t>BIRGE, SUSAN</t>
  </si>
  <si>
    <t>2642 SEARLES ROAD NORTH TROY VT 05859</t>
  </si>
  <si>
    <t>000YPN-1</t>
  </si>
  <si>
    <t>Susan Birge</t>
  </si>
  <si>
    <t>2642 SEARLES ROAD</t>
  </si>
  <si>
    <t>Heron's Roost Farm</t>
  </si>
  <si>
    <t>1133 ATWOOD LN WOODSTOCK VT 05091</t>
  </si>
  <si>
    <t>000YPY-1</t>
  </si>
  <si>
    <t>Heron's Roost</t>
  </si>
  <si>
    <t>Anne Dean</t>
  </si>
  <si>
    <t>1133 Atwood Ln</t>
  </si>
  <si>
    <t>Shawville Honey</t>
  </si>
  <si>
    <t>1450 VT ROUTE 78 FRANKLIN VT 05457</t>
  </si>
  <si>
    <t>000YQ1-1</t>
  </si>
  <si>
    <t>David Benneig</t>
  </si>
  <si>
    <t>1450 VT Route 78</t>
  </si>
  <si>
    <t>Graf, Louise</t>
  </si>
  <si>
    <t>1060 BEAR NOTCH RD BRADFORD VT 05033</t>
  </si>
  <si>
    <t>000YQ2-1</t>
  </si>
  <si>
    <t>Graf home yard</t>
  </si>
  <si>
    <t>Luise Graf</t>
  </si>
  <si>
    <t>1060 Bear Notch Rd</t>
  </si>
  <si>
    <t>Smela, Greg</t>
  </si>
  <si>
    <t>1 HIGH ST BRANDON VT 05733</t>
  </si>
  <si>
    <t>000YQ3-1</t>
  </si>
  <si>
    <t>Smela home yard</t>
  </si>
  <si>
    <t>David Gatz</t>
  </si>
  <si>
    <t>93 Wood Lane</t>
  </si>
  <si>
    <t>State Line Hill Farm</t>
  </si>
  <si>
    <t>601 STATE LINE RD NORTH BENNINGTON VT 05257</t>
  </si>
  <si>
    <t>000YQ4-1</t>
  </si>
  <si>
    <t>Carol Gamez</t>
  </si>
  <si>
    <t>601 State Line Rd</t>
  </si>
  <si>
    <t>North Bennington</t>
  </si>
  <si>
    <t>Lorette, William (Haley's Honey Bees)</t>
  </si>
  <si>
    <t>11 SCAREY LANE NORTH BENNINGTON VT 05257</t>
  </si>
  <si>
    <t>000YQ5-1</t>
  </si>
  <si>
    <t>Lorette home yard</t>
  </si>
  <si>
    <t>William Lorette</t>
  </si>
  <si>
    <t>11 Scarey Lane</t>
  </si>
  <si>
    <t>Brown, Joshua</t>
  </si>
  <si>
    <t>15 CATHERINE ST BURLINGTON VT 05401</t>
  </si>
  <si>
    <t>000YQ6-1</t>
  </si>
  <si>
    <t>Joshua Brown</t>
  </si>
  <si>
    <t>15 Catherine St</t>
  </si>
  <si>
    <t>Foster, David</t>
  </si>
  <si>
    <t>5 BROOKS AVENUE ESSEX JCT VT 05452</t>
  </si>
  <si>
    <t>000YQ7-1</t>
  </si>
  <si>
    <t>Foster home yard</t>
  </si>
  <si>
    <t>David Foster</t>
  </si>
  <si>
    <t>5 Brooks Avenue</t>
  </si>
  <si>
    <t>Essex Jct</t>
  </si>
  <si>
    <t>Precourt, Mary</t>
  </si>
  <si>
    <t>18 BAYFIELD DR SHELBURNE VT 05482 - CHITTENDEN</t>
  </si>
  <si>
    <t>000YQ8-1</t>
  </si>
  <si>
    <t>Precourt home yard</t>
  </si>
  <si>
    <t>Mary Precourt</t>
  </si>
  <si>
    <t>18 Bayfield Dr</t>
  </si>
  <si>
    <t>Fraser, Melanie</t>
  </si>
  <si>
    <t>2135 E WOODSTOCK RD WOODSTOCK VT 05091</t>
  </si>
  <si>
    <t>000YQ9-1</t>
  </si>
  <si>
    <t>Fraser home yard</t>
  </si>
  <si>
    <t>Melanie Fraser</t>
  </si>
  <si>
    <t>2154 E Woodstock Rd</t>
  </si>
  <si>
    <t>Langlois, Morgan</t>
  </si>
  <si>
    <t>382 NORTH RD EDEN MILLS VT 05653</t>
  </si>
  <si>
    <t>000YQA-1</t>
  </si>
  <si>
    <t>Langlois home yard</t>
  </si>
  <si>
    <t>Morgan Langlois</t>
  </si>
  <si>
    <t>382 North Rd</t>
  </si>
  <si>
    <t>Eden Mills</t>
  </si>
  <si>
    <t>IRISH HILL FARM</t>
  </si>
  <si>
    <t>1597 BROOKFIELD ROAD BERLIN VT 05602</t>
  </si>
  <si>
    <t>000YQP-1</t>
  </si>
  <si>
    <t>Nancy Fitzgerald</t>
  </si>
  <si>
    <t>1597 BROOKFIELD ROAD</t>
  </si>
  <si>
    <t>Fletcher Meadows Honey Jeffersonville</t>
  </si>
  <si>
    <t>2226 POND ROAD FLETCHER VT 05464</t>
  </si>
  <si>
    <t>000YQW-1</t>
  </si>
  <si>
    <t>Janice Girard</t>
  </si>
  <si>
    <t>2226 Pond Road</t>
  </si>
  <si>
    <t>000YQW-2</t>
  </si>
  <si>
    <t>Donald Guyette</t>
  </si>
  <si>
    <t>18 Twin Ct.</t>
  </si>
  <si>
    <t>CHEEVER, BRUCE</t>
  </si>
  <si>
    <t>1040 EAST STREET NEW HAVEN VT 05472</t>
  </si>
  <si>
    <t>000YQX-1</t>
  </si>
  <si>
    <t>Bruce/Karen Cheever</t>
  </si>
  <si>
    <t>1040 EAST STREET</t>
  </si>
  <si>
    <t>MARTLEY, CHARLES</t>
  </si>
  <si>
    <t>573 RANKIN ROAD NORTH FAYSTON VT 05660</t>
  </si>
  <si>
    <t>000YQY-1</t>
  </si>
  <si>
    <t>Martley Home Yard</t>
  </si>
  <si>
    <t>Charles Martley</t>
  </si>
  <si>
    <t>573 RANKIN ROAD</t>
  </si>
  <si>
    <t>GROGAN, RICHARD</t>
  </si>
  <si>
    <t>72 LARSON LANE HYDE PARK VT 05655</t>
  </si>
  <si>
    <t>000YQZ-1</t>
  </si>
  <si>
    <t>Grogan</t>
  </si>
  <si>
    <t>368 WEBSTER ROAD</t>
  </si>
  <si>
    <t>ROYCE, DONNA</t>
  </si>
  <si>
    <t>56 CHAPEL HILL ROAD NORWICH VT 05055</t>
  </si>
  <si>
    <t>000YV0-1</t>
  </si>
  <si>
    <t>Royce-Home Yard</t>
  </si>
  <si>
    <t>Donna Royce</t>
  </si>
  <si>
    <t>56 CHAPEL HILL ROAD</t>
  </si>
  <si>
    <t>FANO, ANN &amp; CAROL</t>
  </si>
  <si>
    <t>1385 MCKINSTRY HILL HYDE PARK VT 05655</t>
  </si>
  <si>
    <t>000YV1-1</t>
  </si>
  <si>
    <t>Ann &amp; Carol Fano</t>
  </si>
  <si>
    <t>1385 MCKINSTRY HILL</t>
  </si>
  <si>
    <t>BRAUCH, MARY</t>
  </si>
  <si>
    <t>382 SITE 1 ROAD LUDLOW VT 05149</t>
  </si>
  <si>
    <t>000YV2-1</t>
  </si>
  <si>
    <t>Brauch Home Yard</t>
  </si>
  <si>
    <t>Mary Brauch</t>
  </si>
  <si>
    <t>382 SITE 1 ROAD</t>
  </si>
  <si>
    <t>LINDENMEYR, REBECCA</t>
  </si>
  <si>
    <t>6608 ROUTE 116 SHELBURNE VT 05482</t>
  </si>
  <si>
    <t>000YV3-1</t>
  </si>
  <si>
    <t>Rebecca Lindenmeyr</t>
  </si>
  <si>
    <t>6608 ROUTE 116</t>
  </si>
  <si>
    <t>LaSante, Lauren</t>
  </si>
  <si>
    <t>23 NORTH ST MIDDLETOW VT 05701</t>
  </si>
  <si>
    <t>000YV4-1</t>
  </si>
  <si>
    <t>Lauren LaSante</t>
  </si>
  <si>
    <t>23 North St</t>
  </si>
  <si>
    <t>TURNER, JEREMIAH</t>
  </si>
  <si>
    <t>2755 A LAKE STREET ADDISON VT 05491</t>
  </si>
  <si>
    <t>000YV7-1</t>
  </si>
  <si>
    <t>Tanner-Home</t>
  </si>
  <si>
    <t>Michelle Johnson</t>
  </si>
  <si>
    <t>2755 A LAKE STREET</t>
  </si>
  <si>
    <t>WRIGHT, DANIEL</t>
  </si>
  <si>
    <t>1168 SYMONDS MILL ROAD WOLCOTT VT 05680</t>
  </si>
  <si>
    <t>000YVC-1</t>
  </si>
  <si>
    <t>Lilly Bee</t>
  </si>
  <si>
    <t>Dan &amp; Tatiana Wright</t>
  </si>
  <si>
    <t>1168 SYMONDS MILL ROAD</t>
  </si>
  <si>
    <t>GAGNON, SANDRA</t>
  </si>
  <si>
    <t>1831 CORN HILL ROAD PITTSFORD VT 05763</t>
  </si>
  <si>
    <t>000YVH-1</t>
  </si>
  <si>
    <t>Gagnon Home</t>
  </si>
  <si>
    <t>Sandra Gagnon</t>
  </si>
  <si>
    <t>1831 CORN HILL ROAD</t>
  </si>
  <si>
    <t>Arnold, Chris</t>
  </si>
  <si>
    <t>130 SKUNK HOLLOW RD JERICHO VT 05465</t>
  </si>
  <si>
    <t>000YVK-1</t>
  </si>
  <si>
    <t>Arnold home yard</t>
  </si>
  <si>
    <t>Chris Arnold</t>
  </si>
  <si>
    <t>130 Skunk Hollow Rd</t>
  </si>
  <si>
    <t>WALLINGFORD CONSERVATION CMSN</t>
  </si>
  <si>
    <t>TOWN OF WALLINGFORD 78 SCHOOL ST WALLINGFORD VT 05773</t>
  </si>
  <si>
    <t>000YW4-1</t>
  </si>
  <si>
    <t>WALLINGFORD CONSERVATION</t>
  </si>
  <si>
    <t>TOWN OF WALLINGFORD</t>
  </si>
  <si>
    <t>75 SCHOOL ST</t>
  </si>
  <si>
    <t>WALLINGFORD</t>
  </si>
  <si>
    <t>Sun Hill Farm</t>
  </si>
  <si>
    <t>89 HOOD ST WINOOSKI VT 05404</t>
  </si>
  <si>
    <t>000YWW-1</t>
  </si>
  <si>
    <t>49 Dakin</t>
  </si>
  <si>
    <t>James DeRosia</t>
  </si>
  <si>
    <t>49 Dakin St</t>
  </si>
  <si>
    <t>OWL MOUNTAIN HOMESTEAD</t>
  </si>
  <si>
    <t>382 COLD SPRING ROAD WILLIAMSTOWN VT 05679</t>
  </si>
  <si>
    <t>000YWY-1</t>
  </si>
  <si>
    <t>LYDIA GABITOSI-JUSTIN FINSEN</t>
  </si>
  <si>
    <t>382 COLD SPRING ROAD</t>
  </si>
  <si>
    <t>PASHO, DEBORAH</t>
  </si>
  <si>
    <t>24 EASTMAN RD HARTLAND VT 05048</t>
  </si>
  <si>
    <t>000YX8-1</t>
  </si>
  <si>
    <t>PASHO HOME YARD</t>
  </si>
  <si>
    <t>DEBORAH PASHO</t>
  </si>
  <si>
    <t>24 EASTMAN RD</t>
  </si>
  <si>
    <t>APPLEWOODS BEES</t>
  </si>
  <si>
    <t>619 WEST MOUNTAIN RD SHAFTSBURY VT 05262</t>
  </si>
  <si>
    <t>000YXK-1</t>
  </si>
  <si>
    <t>Applewoods</t>
  </si>
  <si>
    <t>Dana Wood</t>
  </si>
  <si>
    <t>619 WEST MOUNTAIN RD</t>
  </si>
  <si>
    <t>URBAN FAMILY APIARY</t>
  </si>
  <si>
    <t>21 HENDERSON TERRACE BURLINGTON VT 05401</t>
  </si>
  <si>
    <t>000YXM-1</t>
  </si>
  <si>
    <t>Urban Family Apiary</t>
  </si>
  <si>
    <t>Jack Visco</t>
  </si>
  <si>
    <t>21 HENDERSON TERRACE</t>
  </si>
  <si>
    <t>SMITH, CATHY</t>
  </si>
  <si>
    <t>PO BOX 946 1035 HOWARD HILL ROAD CHESTER VT 05143</t>
  </si>
  <si>
    <t>000YY2-1</t>
  </si>
  <si>
    <t>Home yard-Cathy Smith</t>
  </si>
  <si>
    <t>Cathy Smith</t>
  </si>
  <si>
    <t>1035 HOWARD HILL ROAD</t>
  </si>
  <si>
    <t>ANDOVER</t>
  </si>
  <si>
    <t>AVERY, ROBIN</t>
  </si>
  <si>
    <t>5136 LAKE MOREY ROAD FAIRLEE VT 05045</t>
  </si>
  <si>
    <t>000YY5-1</t>
  </si>
  <si>
    <t>Beenide 15</t>
  </si>
  <si>
    <t>Avery</t>
  </si>
  <si>
    <t>5136 LAKE MOREY ROAD</t>
  </si>
  <si>
    <t>FAIRLEE</t>
  </si>
  <si>
    <t>WILDEY, ROBERT</t>
  </si>
  <si>
    <t>255 WILLIAMS HILL DRIVE CHARLOTTE VT 05445</t>
  </si>
  <si>
    <t>000YY7-1</t>
  </si>
  <si>
    <t>Wildey Home Yard</t>
  </si>
  <si>
    <t>Robert Wildey</t>
  </si>
  <si>
    <t>255 WILLIAMS HILL DRIVE</t>
  </si>
  <si>
    <t>000YY7-2</t>
  </si>
  <si>
    <t>Adam Crapy</t>
  </si>
  <si>
    <t>4903 Monkton Road</t>
  </si>
  <si>
    <t>CROCKER, RICHARD</t>
  </si>
  <si>
    <t>56 BURNETT ROAD PUTNEY VT 05346</t>
  </si>
  <si>
    <t>000YZA-1</t>
  </si>
  <si>
    <t>CROCKER-HOME YARD</t>
  </si>
  <si>
    <t>J CROCKER</t>
  </si>
  <si>
    <t>56 Burnett Road</t>
  </si>
  <si>
    <t>000YZA-2</t>
  </si>
  <si>
    <t>Crocker home yard</t>
  </si>
  <si>
    <t>K Wolfe , partner</t>
  </si>
  <si>
    <t>559 Windhmill Hill Rd</t>
  </si>
  <si>
    <t>HONEY BROOK FARM</t>
  </si>
  <si>
    <t>973 HONEY BROOK RD SHARON VT 05065</t>
  </si>
  <si>
    <t>000YZP-1</t>
  </si>
  <si>
    <t>Denk home yard</t>
  </si>
  <si>
    <t>Ashley Denk</t>
  </si>
  <si>
    <t>973 HONEY BROOK RD</t>
  </si>
  <si>
    <t>SHARON</t>
  </si>
  <si>
    <t>HOGAN, NEAL</t>
  </si>
  <si>
    <t>179 MORGAN ST BENNINGTON VT 05201</t>
  </si>
  <si>
    <t>000YZZ-1</t>
  </si>
  <si>
    <t>NEAL HOGAN HOME</t>
  </si>
  <si>
    <t>NEAL HOGAN</t>
  </si>
  <si>
    <t>179 MORGAN ST</t>
  </si>
  <si>
    <t>BENNINGTON</t>
  </si>
  <si>
    <t>YOUNG, PHIL</t>
  </si>
  <si>
    <t>233 OLD SHADY LANE MORRISTOWN VT 05661</t>
  </si>
  <si>
    <t>000Z0G-1</t>
  </si>
  <si>
    <t>Phil Young Home Yard</t>
  </si>
  <si>
    <t>MORRISTOWN</t>
  </si>
  <si>
    <t>233 OLD SHADY LANE</t>
  </si>
  <si>
    <t>000Z0G-2</t>
  </si>
  <si>
    <t>Dave Wilkins</t>
  </si>
  <si>
    <t>255 Tamarack Road</t>
  </si>
  <si>
    <t>O'Donnell, Kathryn</t>
  </si>
  <si>
    <t>47 GILBERT HILL RD FAIRFIELD VT 05455</t>
  </si>
  <si>
    <t>000Z0H-1</t>
  </si>
  <si>
    <t>O'Donnell home yard</t>
  </si>
  <si>
    <t>Kathryn O'Donnell/spouse</t>
  </si>
  <si>
    <t>47 Gilbert Hill Rd</t>
  </si>
  <si>
    <t>WING FARM APIARY</t>
  </si>
  <si>
    <t>95 WING FARM ROAD ROCHESTER VT 05767</t>
  </si>
  <si>
    <t>000Z0Y-1</t>
  </si>
  <si>
    <t>Greg White</t>
  </si>
  <si>
    <t>Maple Hill Road</t>
  </si>
  <si>
    <t>000Z0Y-2</t>
  </si>
  <si>
    <t>Tuggle</t>
  </si>
  <si>
    <t>Clyde Tuggle</t>
  </si>
  <si>
    <t>2403 Maple Hill</t>
  </si>
  <si>
    <t>Hancock</t>
  </si>
  <si>
    <t>000Z0Y-3</t>
  </si>
  <si>
    <t>The Gathering Inn</t>
  </si>
  <si>
    <t>Hancock Town</t>
  </si>
  <si>
    <t>1295 VT RTE 100</t>
  </si>
  <si>
    <t>Dalpe, Steven &amp; Amy</t>
  </si>
  <si>
    <t>335 ALEXANDER LANE IRASBURG VT 05845</t>
  </si>
  <si>
    <t>000Z10-1</t>
  </si>
  <si>
    <t>Dalpe home yard</t>
  </si>
  <si>
    <t>Steven &amp; Amy Dalpe</t>
  </si>
  <si>
    <t>335 Alexander Lane</t>
  </si>
  <si>
    <t>Schilke, Jessica</t>
  </si>
  <si>
    <t>155 COWIE HILL RD SOUTH RYEGATE VT 05069</t>
  </si>
  <si>
    <t>000Z1W-1</t>
  </si>
  <si>
    <t>Schilke home yard</t>
  </si>
  <si>
    <t>Jessica &amp; Fred Schilke</t>
  </si>
  <si>
    <t>155 Cowie Hill Rd</t>
  </si>
  <si>
    <t>WYMAN, KYLE</t>
  </si>
  <si>
    <t>1831 EAST HUBBARDTON ROAD CASTLETON VT 05735</t>
  </si>
  <si>
    <t>000Z42-1</t>
  </si>
  <si>
    <t>Wyman home yard</t>
  </si>
  <si>
    <t>Kyle Wyman</t>
  </si>
  <si>
    <t>1831 East Hubbardton Rd</t>
  </si>
  <si>
    <t>Robens, Ward H</t>
  </si>
  <si>
    <t>452 LEVESQUE ROAD HYDE PARK VT 05655</t>
  </si>
  <si>
    <t>000Z4B-1</t>
  </si>
  <si>
    <t>Robens home yard</t>
  </si>
  <si>
    <t>Ward Robens</t>
  </si>
  <si>
    <t>452 Levesque Road</t>
  </si>
  <si>
    <t>Swick, Zebulon</t>
  </si>
  <si>
    <t>184 ROXBURY MOUNTAIN ROAD WARREN VT 05674 - WASHINGTON</t>
  </si>
  <si>
    <t>000Z4X-1</t>
  </si>
  <si>
    <t>Warren</t>
  </si>
  <si>
    <t>184 Roxbury Mountain Rd</t>
  </si>
  <si>
    <t>LUNT, JOHN F</t>
  </si>
  <si>
    <t>239 HILLS POINT ROAD CHARLOTTE VT 05445</t>
  </si>
  <si>
    <t>000Z93-1</t>
  </si>
  <si>
    <t>John Lunt</t>
  </si>
  <si>
    <t>239 HILLS POINT ROAD</t>
  </si>
  <si>
    <t>CHARLOTTE</t>
  </si>
  <si>
    <t>Bigelow, Scott</t>
  </si>
  <si>
    <t>3829 WEST CREEK RD PITTSFORD VT 05763</t>
  </si>
  <si>
    <t>0010M8-1</t>
  </si>
  <si>
    <t>Scott Bigelow home yard</t>
  </si>
  <si>
    <t>Scott Bigelow</t>
  </si>
  <si>
    <t>3829 West Creek Rd</t>
  </si>
  <si>
    <t>Riggs, Tyler J</t>
  </si>
  <si>
    <t>960 POND RD JEFFERSONVILLE VT 05464</t>
  </si>
  <si>
    <t>0010VY-1</t>
  </si>
  <si>
    <t>Riggs home yard</t>
  </si>
  <si>
    <t>Tyler Riggs</t>
  </si>
  <si>
    <t>STADTLANDER, FRITZ</t>
  </si>
  <si>
    <t>25 ALPINE DRIVE JERICHO VT 05465</t>
  </si>
  <si>
    <t>0010YZ-1</t>
  </si>
  <si>
    <t>Gress Stadtlander</t>
  </si>
  <si>
    <t>25 ALPINE DRIVE</t>
  </si>
  <si>
    <t>KEVIN &amp; GAIL WILLIAMS</t>
  </si>
  <si>
    <t>318 NORTH STREET BRANDON VT 05733</t>
  </si>
  <si>
    <t>0010Z0-1</t>
  </si>
  <si>
    <t>Hive Hill</t>
  </si>
  <si>
    <t>Kevin &amp; Gail Williams</t>
  </si>
  <si>
    <t>318 NORTH STREET</t>
  </si>
  <si>
    <t>FOLGER, FLORIAN F, JR</t>
  </si>
  <si>
    <t>1245 GREEN STREET WALTHAM VT 05491</t>
  </si>
  <si>
    <t>0010Z1-1</t>
  </si>
  <si>
    <t>Florian F Folger Jr Home yard</t>
  </si>
  <si>
    <t>Ann Folger</t>
  </si>
  <si>
    <t>1245 GREEN STREET</t>
  </si>
  <si>
    <t>TIHOLIZ, JOHN</t>
  </si>
  <si>
    <t>100 MAPLE HILL ROAD STRAFFORD VT 05075</t>
  </si>
  <si>
    <t>0010Z4-1</t>
  </si>
  <si>
    <t>Tiholiz Home Yard</t>
  </si>
  <si>
    <t>Susan Tiholiz</t>
  </si>
  <si>
    <t>100 MAPLE HILL ROAD</t>
  </si>
  <si>
    <t>WILSON, HELEN L</t>
  </si>
  <si>
    <t>98 BIBLE HILL ROAD ST JOHNSBURY VT 05819</t>
  </si>
  <si>
    <t>0010Z5-1</t>
  </si>
  <si>
    <t>Wilson Home Yard</t>
  </si>
  <si>
    <t>Helen Wilson</t>
  </si>
  <si>
    <t>98 BIBLE HILL ROAD</t>
  </si>
  <si>
    <t>ST JOHNSBURY</t>
  </si>
  <si>
    <t>RUS, THOMAS</t>
  </si>
  <si>
    <t>7320 US RTE 2 PLAINFIELD VT 05667</t>
  </si>
  <si>
    <t>0010Z6-1</t>
  </si>
  <si>
    <t>Thomas Rus</t>
  </si>
  <si>
    <t>7388 US RTE 2</t>
  </si>
  <si>
    <t>CHAUDOIR, MERIDETH</t>
  </si>
  <si>
    <t>9 WILDBERRY LANE UNDERHILL VT 05489</t>
  </si>
  <si>
    <t>0010ZA-1</t>
  </si>
  <si>
    <t>Chaudoir home yard</t>
  </si>
  <si>
    <t>Merideth Chaudoir</t>
  </si>
  <si>
    <t>9 WILDBERRY LANE</t>
  </si>
  <si>
    <t>ROWAN, ELICIA</t>
  </si>
  <si>
    <t>304 HEWETT ROAD WINDSOR VT 05089</t>
  </si>
  <si>
    <t>0010ZG-1</t>
  </si>
  <si>
    <t>Rowan Home</t>
  </si>
  <si>
    <t>Elicia Rowan</t>
  </si>
  <si>
    <t>304 HEWETT ROAD</t>
  </si>
  <si>
    <t>Spencer, Molly</t>
  </si>
  <si>
    <t>514 BARKER ROAD LONDONDERRY VT 05148</t>
  </si>
  <si>
    <t>0010ZW-1</t>
  </si>
  <si>
    <t>Spencer home yard</t>
  </si>
  <si>
    <t>Molly Spencer/Josh Parks</t>
  </si>
  <si>
    <t>514 Barker Road</t>
  </si>
  <si>
    <t>BITTY ACRES FARM</t>
  </si>
  <si>
    <t>35 SHEDD ROAD FAIRFAX VT 05454</t>
  </si>
  <si>
    <t>00110A-1</t>
  </si>
  <si>
    <t>CF Home Yard</t>
  </si>
  <si>
    <t>Clay Forgan</t>
  </si>
  <si>
    <t>35 SHEDD ROAD</t>
  </si>
  <si>
    <t>GAGNE, ARMAND</t>
  </si>
  <si>
    <t>4767 GORE ROAD HIGHGATE VT 05459</t>
  </si>
  <si>
    <t>00110B-1</t>
  </si>
  <si>
    <t>Armands Apiary</t>
  </si>
  <si>
    <t>Linda Gagne</t>
  </si>
  <si>
    <t>155 Decker Road</t>
  </si>
  <si>
    <t>GIROT, JACQUES V</t>
  </si>
  <si>
    <t>3961 HARLAND HILL ROAD WOODSTOCK VT 05091</t>
  </si>
  <si>
    <t>00110F-1</t>
  </si>
  <si>
    <t>Girot Back Yard</t>
  </si>
  <si>
    <t>J Vincent Girot</t>
  </si>
  <si>
    <t>3961 HARLAND HILL ROAD</t>
  </si>
  <si>
    <t>WOODSTOCK</t>
  </si>
  <si>
    <t>BUTTERNUT LANE BEES</t>
  </si>
  <si>
    <t>147 BUTTERNUT LANE TAFTSVILLE VT 05073</t>
  </si>
  <si>
    <t>00110G-1</t>
  </si>
  <si>
    <t>Young-Breuleux Home Yard</t>
  </si>
  <si>
    <t>Mary Young-Breuleux</t>
  </si>
  <si>
    <t>147 BUTTERNUT LANE</t>
  </si>
  <si>
    <t>NOVOTHY, COREY</t>
  </si>
  <si>
    <t>589 VT RTE 100 STOCKBRIDGE VT 05772</t>
  </si>
  <si>
    <t>00110Z-1</t>
  </si>
  <si>
    <t>COREY</t>
  </si>
  <si>
    <t>Stockbridge Town</t>
  </si>
  <si>
    <t>COREY NOVOTHY</t>
  </si>
  <si>
    <t>589 VT RTE 100</t>
  </si>
  <si>
    <t>STOCKBRIDGE</t>
  </si>
  <si>
    <t>TATRO-LAVIGNE, MARK &amp; DANIEL</t>
  </si>
  <si>
    <t>799 VT RTE 15 UNDERHILL VT 05489</t>
  </si>
  <si>
    <t>001110-1</t>
  </si>
  <si>
    <t>H&amp;R Apiaries</t>
  </si>
  <si>
    <t>Tatro-Lavigne</t>
  </si>
  <si>
    <t>799 VT RTE 15</t>
  </si>
  <si>
    <t>SCHIMDT, ALYSSA</t>
  </si>
  <si>
    <t>280 MILL ROAD BROOKLINE VT 05345</t>
  </si>
  <si>
    <t>001111-1</t>
  </si>
  <si>
    <t>Alyssa Schmidt Home Yard</t>
  </si>
  <si>
    <t>Alyssa Schmidt</t>
  </si>
  <si>
    <t>280 MILL ROAD</t>
  </si>
  <si>
    <t>HOLLER, JENNY</t>
  </si>
  <si>
    <t>107 FLAGSHIP PL WESTMISTER VT 05346</t>
  </si>
  <si>
    <t>001112-1</t>
  </si>
  <si>
    <t>Jenny Holler Home Yard</t>
  </si>
  <si>
    <t>Warner Clark</t>
  </si>
  <si>
    <t>107 FLAGSHIP PL</t>
  </si>
  <si>
    <t>CORNWALL SCHOOL</t>
  </si>
  <si>
    <t>112 SCHOOL ROAD CORNWALL VT 05753</t>
  </si>
  <si>
    <t>001113-1</t>
  </si>
  <si>
    <t>Cornwall School</t>
  </si>
  <si>
    <t>ACSD</t>
  </si>
  <si>
    <t>112 SCHOOL ROAD</t>
  </si>
  <si>
    <t>CORNWALL</t>
  </si>
  <si>
    <t>LUCKY DOG FARM</t>
  </si>
  <si>
    <t>18 BLANCHARD ROAD SOUTH STRAFFORD VT 05070</t>
  </si>
  <si>
    <t>001116-1</t>
  </si>
  <si>
    <t>Lucky Dog Farm</t>
  </si>
  <si>
    <t>David Paganelli</t>
  </si>
  <si>
    <t>17 BLANCHARD ROAD</t>
  </si>
  <si>
    <t>SOUTH STRAFFORD</t>
  </si>
  <si>
    <t>NATURES PEACE APIARY</t>
  </si>
  <si>
    <t>15 SPRING ST JOHNSBURY VT 05819</t>
  </si>
  <si>
    <t>001118-1</t>
  </si>
  <si>
    <t>Nature's Peace Apiary</t>
  </si>
  <si>
    <t>Laura Tobin</t>
  </si>
  <si>
    <t>15 SPRING</t>
  </si>
  <si>
    <t>SITHAVADY, JENNIFER</t>
  </si>
  <si>
    <t>741 ROUTE 113 EAST THETFORD VT 05043</t>
  </si>
  <si>
    <t>00111V-1</t>
  </si>
  <si>
    <t>Old Orchard Apiary</t>
  </si>
  <si>
    <t>Jennifer Sithavady</t>
  </si>
  <si>
    <t>39 Apple Tree Road</t>
  </si>
  <si>
    <t>HERRINGTON, HEATHER</t>
  </si>
  <si>
    <t>1052 WHALLEY ROAD CHARLOTTE VT 05445</t>
  </si>
  <si>
    <t>00111W-1</t>
  </si>
  <si>
    <t>Golden Apple Orchard</t>
  </si>
  <si>
    <t>Heather Herrington</t>
  </si>
  <si>
    <t>1052 WHALLEY ROAD</t>
  </si>
  <si>
    <t>Pherrino River Homestead</t>
  </si>
  <si>
    <t>1045 VT RT 114 MORGAN VT 05853</t>
  </si>
  <si>
    <t>00111Y-1</t>
  </si>
  <si>
    <t>Lazzara home yard</t>
  </si>
  <si>
    <t>Morgan Town</t>
  </si>
  <si>
    <t>Anthony Lazzara</t>
  </si>
  <si>
    <t>1045 VT Rt 114</t>
  </si>
  <si>
    <t>WHAPLES, LARRY</t>
  </si>
  <si>
    <t>444 CUTLER CORNER ROAD BARRE VT 05641</t>
  </si>
  <si>
    <t>001124-1</t>
  </si>
  <si>
    <t>Whaple Home Yard</t>
  </si>
  <si>
    <t>Larry Whaple</t>
  </si>
  <si>
    <t>444 CUTLER CORNER ROAD</t>
  </si>
  <si>
    <t>WOODRUFF, DANA</t>
  </si>
  <si>
    <t>1178 CARTER HILL ROAD SWANTON VT 05488</t>
  </si>
  <si>
    <t>001128-1</t>
  </si>
  <si>
    <t>Home #1</t>
  </si>
  <si>
    <t>Dana Woodruff</t>
  </si>
  <si>
    <t>1178 CARTER HILL ROAD</t>
  </si>
  <si>
    <t>SWANTON</t>
  </si>
  <si>
    <t>ANTHONY, NICHOLAS</t>
  </si>
  <si>
    <t>1261 VT RTE 100 JAMAICA VT 05343</t>
  </si>
  <si>
    <t>001129-1</t>
  </si>
  <si>
    <t>Nicks Bee Yard</t>
  </si>
  <si>
    <t>Nicholas Anthony</t>
  </si>
  <si>
    <t>1261 VT RTE 100</t>
  </si>
  <si>
    <t>RABIN, HANNAH</t>
  </si>
  <si>
    <t>196 FORTY ACRE LANE WILLISTON VT 05495</t>
  </si>
  <si>
    <t>00112H-1</t>
  </si>
  <si>
    <t>Rabin Therriault Home Yard</t>
  </si>
  <si>
    <t>Hannah Rabin</t>
  </si>
  <si>
    <t>196 FORTY ACRE LANE</t>
  </si>
  <si>
    <t>GREESON, MICHELLE</t>
  </si>
  <si>
    <t>1412 CHURCHILL ROAD ELMORE VT 05661</t>
  </si>
  <si>
    <t>00112J-1</t>
  </si>
  <si>
    <t>deGreeBoersons Apiary</t>
  </si>
  <si>
    <t>Michelle Greeson</t>
  </si>
  <si>
    <t>1412 CHURCHILL ROAD</t>
  </si>
  <si>
    <t>ELMORE</t>
  </si>
  <si>
    <t>THE ORVIS COMPANY INC</t>
  </si>
  <si>
    <t>178 CONSERVATION WAY SUNDERLAND VT 05250</t>
  </si>
  <si>
    <t>00112K-1</t>
  </si>
  <si>
    <t>ORVIS</t>
  </si>
  <si>
    <t>178 ORVIS ROAD</t>
  </si>
  <si>
    <t>SUNDERLAND</t>
  </si>
  <si>
    <t>LEAVITT, JILL &amp; DAN</t>
  </si>
  <si>
    <t>117 WALKER HILL ROAD SOUTH ROYALTON VT 05068</t>
  </si>
  <si>
    <t>00112M-1</t>
  </si>
  <si>
    <t>Hone Yard Leavitt</t>
  </si>
  <si>
    <t>Jill &amp; Dan Leavitt</t>
  </si>
  <si>
    <t>117 WALKER HILL ROAD</t>
  </si>
  <si>
    <t>Barnard</t>
  </si>
  <si>
    <t>HULL, DAVID</t>
  </si>
  <si>
    <t>2959 VT RTE 108 SOUTH JEFFERSONVILLE VT 05464</t>
  </si>
  <si>
    <t>001133-1</t>
  </si>
  <si>
    <t>Hull Home Yard</t>
  </si>
  <si>
    <t>David Hull</t>
  </si>
  <si>
    <t>2959 VT RTE 108 SOUTH</t>
  </si>
  <si>
    <t>JEFFERSONVILLE</t>
  </si>
  <si>
    <t>RIVERBEND APIARY</t>
  </si>
  <si>
    <t>118 RIVERBEND ROAD ROCHESTER VT 05767</t>
  </si>
  <si>
    <t>001134-1</t>
  </si>
  <si>
    <t>Riverbend Apiary</t>
  </si>
  <si>
    <t>Alvina Harvey</t>
  </si>
  <si>
    <t>118 RIVERBEND ROAD</t>
  </si>
  <si>
    <t>ROCHESTER</t>
  </si>
  <si>
    <t>TWIN BEARS MAPLE WORKS</t>
  </si>
  <si>
    <t>1004 GULF ROAD WOLCOTT VT 05680</t>
  </si>
  <si>
    <t>001137-1</t>
  </si>
  <si>
    <t>Twin Bear Mapleworks Home</t>
  </si>
  <si>
    <t>Eric Gagnon</t>
  </si>
  <si>
    <t>1004 GULF ROAD</t>
  </si>
  <si>
    <t>WOLCOTT</t>
  </si>
  <si>
    <t>RAATIKAINEN, TOMMY</t>
  </si>
  <si>
    <t>24 GILBERT STREET SOUTH BURLINGTON VT 05403</t>
  </si>
  <si>
    <t>001138-1</t>
  </si>
  <si>
    <t>Tommy Home yard</t>
  </si>
  <si>
    <t>Tommy Raatikainen</t>
  </si>
  <si>
    <t>24 GILBERT STREET</t>
  </si>
  <si>
    <t>SOUTH BURLINGTON</t>
  </si>
  <si>
    <t>WHITTLE, SUSAN</t>
  </si>
  <si>
    <t>472 STICKNEY BROOK ROAD DUMMERSTON VT 05301</t>
  </si>
  <si>
    <t>001139-1</t>
  </si>
  <si>
    <t>WHITTLE BEES</t>
  </si>
  <si>
    <t>SUSAN WHITTLE</t>
  </si>
  <si>
    <t>472 STICKNEY BROOK ROAD</t>
  </si>
  <si>
    <t>DUMMERSTON</t>
  </si>
  <si>
    <t>SARGENT, KEVIN P</t>
  </si>
  <si>
    <t>31 BEVERLY STREET NEWPORT NH 03773</t>
  </si>
  <si>
    <t>00113A-1</t>
  </si>
  <si>
    <t>Touch of Peace Farm</t>
  </si>
  <si>
    <t>Tony &amp; Jennifer Varga</t>
  </si>
  <si>
    <t>413 South Hill Road</t>
  </si>
  <si>
    <t>LUDLOW</t>
  </si>
  <si>
    <t>MIKE AND ROBIN HARRIS</t>
  </si>
  <si>
    <t>5 DAIRY LANE MONTPELIER VT 05602</t>
  </si>
  <si>
    <t>00113Q-1</t>
  </si>
  <si>
    <t>Harris Home yard</t>
  </si>
  <si>
    <t>Mike and Robin Harris</t>
  </si>
  <si>
    <t>5 DAIRY LANE</t>
  </si>
  <si>
    <t>SUDDABEE'S HONEY</t>
  </si>
  <si>
    <t>323 CHURCHILL ROAD MORRISTOWN VT 05661</t>
  </si>
  <si>
    <t>00113V-1</t>
  </si>
  <si>
    <t>One</t>
  </si>
  <si>
    <t>Starr</t>
  </si>
  <si>
    <t>182 Green Mountain Drive</t>
  </si>
  <si>
    <t>00113V-2</t>
  </si>
  <si>
    <t>Cross</t>
  </si>
  <si>
    <t>1387 Lowe Elmore Mountain Road</t>
  </si>
  <si>
    <t>00113V-3</t>
  </si>
  <si>
    <t>Three</t>
  </si>
  <si>
    <t>Becht</t>
  </si>
  <si>
    <t>3734 Stage Coach Road</t>
  </si>
  <si>
    <t>00113V-4</t>
  </si>
  <si>
    <t>Four</t>
  </si>
  <si>
    <t>Boudreau</t>
  </si>
  <si>
    <t>1897 Rte 12</t>
  </si>
  <si>
    <t>00113V-5</t>
  </si>
  <si>
    <t>Five</t>
  </si>
  <si>
    <t>Knowlton</t>
  </si>
  <si>
    <t>854 Thistle Hill Road</t>
  </si>
  <si>
    <t>ROBERT AND HOLLY POTTER</t>
  </si>
  <si>
    <t>257 BEAVER MEADOW ROAD SHARON VT 05065</t>
  </si>
  <si>
    <t>00113Y-1</t>
  </si>
  <si>
    <t>Potter Home Yard</t>
  </si>
  <si>
    <t>Robert and Holly Potter</t>
  </si>
  <si>
    <t>257 BEAVER MEADOW ROAD</t>
  </si>
  <si>
    <t>Crucitti, Jim</t>
  </si>
  <si>
    <t>19 DISCOVERY RD ESSEX JCT VT 05452</t>
  </si>
  <si>
    <t>001145-1</t>
  </si>
  <si>
    <t>Crucitti home yard</t>
  </si>
  <si>
    <t>Jim Crucitti</t>
  </si>
  <si>
    <t>19 Discovery Rd</t>
  </si>
  <si>
    <t>WALLS-THUMMA, ROBERT</t>
  </si>
  <si>
    <t>168 NEBELSKI ROAD ORLEANS VT 05860</t>
  </si>
  <si>
    <t>00114G-1</t>
  </si>
  <si>
    <t>Walls-Thumma Home Yard</t>
  </si>
  <si>
    <t>ROBERT WALLS_THUMMA</t>
  </si>
  <si>
    <t>168 NEBELSKI ROAD</t>
  </si>
  <si>
    <t>Babic, Kris</t>
  </si>
  <si>
    <t>223 NUISSL RD BARRE VT 05641</t>
  </si>
  <si>
    <t>00114H-1</t>
  </si>
  <si>
    <t>Babic home yard</t>
  </si>
  <si>
    <t>Kris Babic</t>
  </si>
  <si>
    <t>223 Nuissl Rd</t>
  </si>
  <si>
    <t>Crochetiere, Martin</t>
  </si>
  <si>
    <t>2-1028 BRUANT-DES-MARAIS MAGOG QC J1X 7S5 - UNKNOWN</t>
  </si>
  <si>
    <t>00114P-1</t>
  </si>
  <si>
    <t>Crochetiere home yard</t>
  </si>
  <si>
    <t>Martin Crochetiere</t>
  </si>
  <si>
    <t>1767 Stevens Mill Rd Lot #3</t>
  </si>
  <si>
    <t>Jay</t>
  </si>
  <si>
    <t>FREDERICK, JEREMY</t>
  </si>
  <si>
    <t>2095 KINSLEY RAOD JEFFERSONVILLE VT 05464</t>
  </si>
  <si>
    <t>00114V-1</t>
  </si>
  <si>
    <t>Frederick Home yard</t>
  </si>
  <si>
    <t>JEREMY FREDERICK</t>
  </si>
  <si>
    <t>2095 KINSLEY RAOD</t>
  </si>
  <si>
    <t>WHITE, ADAM A</t>
  </si>
  <si>
    <t>107 ALLEN ROAD GRAND ISLE VT 05458</t>
  </si>
  <si>
    <t>00115Y-1</t>
  </si>
  <si>
    <t>Adam Side Yard</t>
  </si>
  <si>
    <t>Adam &amp; Emily WHite</t>
  </si>
  <si>
    <t>107 ALLEN ROAD</t>
  </si>
  <si>
    <t>Wilcox, Debb</t>
  </si>
  <si>
    <t>179 SWEET HOLLOW RD SHELDON VT 05483</t>
  </si>
  <si>
    <t>001163-1</t>
  </si>
  <si>
    <t>Wilcox home yard</t>
  </si>
  <si>
    <t>Deb Wilcox</t>
  </si>
  <si>
    <t>179 Sweet Hollow Rd</t>
  </si>
  <si>
    <t>KENYON FARMS</t>
  </si>
  <si>
    <t>3337 MAIN STREET WAITSFIELD VT 05673</t>
  </si>
  <si>
    <t>00116V-1</t>
  </si>
  <si>
    <t>Kenyon Farm</t>
  </si>
  <si>
    <t>Doug Kenyon</t>
  </si>
  <si>
    <t>3337 MAIN STREET</t>
  </si>
  <si>
    <t>WAITSFIELD</t>
  </si>
  <si>
    <t>BOSCO, AMY</t>
  </si>
  <si>
    <t>472 TUCKER HILL ROAD THETFORD CENTER VT 05075</t>
  </si>
  <si>
    <t>00116Z-1</t>
  </si>
  <si>
    <t>Bosco Home yard</t>
  </si>
  <si>
    <t>AMY BOSCO</t>
  </si>
  <si>
    <t>472 TUCKER HILL ROAD</t>
  </si>
  <si>
    <t>HEAD WATERS FARM</t>
  </si>
  <si>
    <t>244 SWIFT ROAD NEWBURY VT 05051</t>
  </si>
  <si>
    <t>00117X-1</t>
  </si>
  <si>
    <t>Head Waters Farm</t>
  </si>
  <si>
    <t>Jackie &amp; Matthew Osanitsch</t>
  </si>
  <si>
    <t>324 SWIFT ROAD</t>
  </si>
  <si>
    <t>NEWBURY</t>
  </si>
  <si>
    <t>FRASER-HARRIS, EVA</t>
  </si>
  <si>
    <t>3085 SPEAR STREET CHARLOTTE VT 05445</t>
  </si>
  <si>
    <t>001181-1</t>
  </si>
  <si>
    <t>Eva Fraser Harris Home Yard</t>
  </si>
  <si>
    <t>Eva Fraser Harris</t>
  </si>
  <si>
    <t>3085 SPEAR STREET</t>
  </si>
  <si>
    <t>Lake, Hayden</t>
  </si>
  <si>
    <t>25 TAVERN HILL PUTNEY VT 05346</t>
  </si>
  <si>
    <t>001183-1</t>
  </si>
  <si>
    <t>Lake home yard</t>
  </si>
  <si>
    <t>Hayden Lake</t>
  </si>
  <si>
    <t>857 Bunker Road</t>
  </si>
  <si>
    <t>Parker, Mark &amp; Elizabeth</t>
  </si>
  <si>
    <t>2043 RIDGE ROAD BROOKFIELD VT 05036</t>
  </si>
  <si>
    <t>001184-1</t>
  </si>
  <si>
    <t>Parker homeyard</t>
  </si>
  <si>
    <t>Mark &amp; Elizabeth Parker</t>
  </si>
  <si>
    <t>2043 Ridge Road</t>
  </si>
  <si>
    <t>The Farm at 84 LLC</t>
  </si>
  <si>
    <t>84 SAWMILL RD JERICHO VT 05465 - CHITTENDEN</t>
  </si>
  <si>
    <t>00118A-1</t>
  </si>
  <si>
    <t>Bordelon home yard</t>
  </si>
  <si>
    <t>Bonnie Bordelon</t>
  </si>
  <si>
    <t>84 Sawmill Rd</t>
  </si>
  <si>
    <t>WHEELOCK PERHAM, LISA</t>
  </si>
  <si>
    <t>1472 SUMMIT ROAD MOUNT HOLLY VT 05758</t>
  </si>
  <si>
    <t>00118F-1</t>
  </si>
  <si>
    <t>Wheelock Perham Home</t>
  </si>
  <si>
    <t>Baltimore Town</t>
  </si>
  <si>
    <t>Lora Wheelock</t>
  </si>
  <si>
    <t>193 Beaver Brook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</si>
</sst>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wrapText="1"/>
    </xf>
    <xf numFmtId="22" fontId="0" fillId="0" borderId="10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8"/>
  <sheetViews>
    <sheetView showGridLines="0" tabSelected="1" topLeftCell="F1" workbookViewId="0">
      <selection activeCell="F2" sqref="F2"/>
    </sheetView>
  </sheetViews>
  <sheetFormatPr baseColWidth="10" defaultColWidth="8.83203125" defaultRowHeight="14" x14ac:dyDescent="0"/>
  <cols>
    <col min="1" max="1" width="9.1640625" bestFit="1" customWidth="1"/>
    <col min="2" max="2" width="35.33203125" bestFit="1" customWidth="1"/>
    <col min="3" max="3" width="36.33203125" bestFit="1" customWidth="1"/>
    <col min="4" max="4" width="5.6640625" bestFit="1" customWidth="1"/>
    <col min="5" max="5" width="10.6640625" bestFit="1" customWidth="1"/>
    <col min="6" max="6" width="14" bestFit="1" customWidth="1"/>
    <col min="7" max="7" width="10.1640625" bestFit="1" customWidth="1"/>
    <col min="8" max="8" width="7.6640625" bestFit="1" customWidth="1"/>
    <col min="9" max="9" width="10.6640625" bestFit="1" customWidth="1"/>
    <col min="10" max="10" width="34.33203125" bestFit="1" customWidth="1"/>
    <col min="11" max="11" width="11" bestFit="1" customWidth="1"/>
    <col min="12" max="12" width="21.5" bestFit="1" customWidth="1"/>
    <col min="13" max="13" width="31.5" bestFit="1" customWidth="1"/>
    <col min="14" max="14" width="15.1640625" bestFit="1" customWidth="1"/>
    <col min="15" max="15" width="14.33203125" bestFit="1" customWidth="1"/>
    <col min="16" max="16" width="15.6640625" bestFit="1" customWidth="1"/>
    <col min="17" max="17" width="9.33203125" bestFit="1" customWidth="1"/>
    <col min="18" max="18" width="9.83203125" bestFit="1" customWidth="1"/>
    <col min="19" max="19" width="6.1640625" bestFit="1" customWidth="1"/>
    <col min="20" max="20" width="11.6640625" bestFit="1" customWidth="1"/>
    <col min="21" max="21" width="12.33203125" bestFit="1" customWidth="1"/>
    <col min="22" max="22" width="36.33203125" bestFit="1" customWidth="1"/>
    <col min="23" max="23" width="11.6640625" bestFit="1" customWidth="1"/>
    <col min="24" max="24" width="8.6640625" bestFit="1" customWidth="1"/>
    <col min="25" max="25" width="21.5" bestFit="1" customWidth="1"/>
    <col min="26" max="26" width="10.33203125" bestFit="1" customWidth="1"/>
  </cols>
  <sheetData>
    <row r="1" spans="1:26" ht="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42">
      <c r="A2" s="1" t="str">
        <f>"0002KF"</f>
        <v>0002KF</v>
      </c>
      <c r="B2" s="1" t="s">
        <v>26</v>
      </c>
      <c r="C2" s="1" t="s">
        <v>27</v>
      </c>
      <c r="D2" s="1" t="str">
        <f>"8024723054"</f>
        <v>8024723054</v>
      </c>
      <c r="E2" s="1">
        <v>5019</v>
      </c>
      <c r="F2" s="1" t="s">
        <v>28</v>
      </c>
      <c r="G2" s="1" t="s">
        <v>29</v>
      </c>
      <c r="H2" s="1"/>
      <c r="I2" s="1">
        <v>3</v>
      </c>
      <c r="J2" s="1" t="s">
        <v>30</v>
      </c>
      <c r="K2" s="1" t="s">
        <v>31</v>
      </c>
      <c r="L2" s="1" t="s">
        <v>32</v>
      </c>
      <c r="M2" s="1" t="s">
        <v>33</v>
      </c>
      <c r="N2" s="2">
        <v>42544</v>
      </c>
      <c r="O2" s="1"/>
      <c r="P2" s="1"/>
      <c r="Q2" s="1" t="s">
        <v>34</v>
      </c>
      <c r="R2" s="1"/>
      <c r="S2" s="1" t="s">
        <v>35</v>
      </c>
      <c r="T2" s="1">
        <v>44.448846000000003</v>
      </c>
      <c r="U2" s="1">
        <v>-72.413735999999901</v>
      </c>
      <c r="V2" s="1" t="s">
        <v>36</v>
      </c>
      <c r="W2" s="1"/>
      <c r="X2" s="1" t="s">
        <v>37</v>
      </c>
      <c r="Y2" s="1" t="s">
        <v>38</v>
      </c>
      <c r="Z2" s="1">
        <v>5681</v>
      </c>
    </row>
    <row r="3" spans="1:26" ht="42">
      <c r="A3" s="1" t="str">
        <f>"0002MQ"</f>
        <v>0002MQ</v>
      </c>
      <c r="B3" s="1" t="s">
        <v>39</v>
      </c>
      <c r="C3" s="1" t="s">
        <v>40</v>
      </c>
      <c r="D3" s="1" t="str">
        <f>"8028620146"</f>
        <v>8028620146</v>
      </c>
      <c r="E3" s="1">
        <v>5203</v>
      </c>
      <c r="F3" s="1" t="s">
        <v>28</v>
      </c>
      <c r="G3" s="1" t="s">
        <v>41</v>
      </c>
      <c r="H3" s="1"/>
      <c r="I3" s="1">
        <v>2</v>
      </c>
      <c r="J3" s="1" t="s">
        <v>42</v>
      </c>
      <c r="K3" s="1" t="s">
        <v>43</v>
      </c>
      <c r="L3" s="1" t="s">
        <v>44</v>
      </c>
      <c r="M3" s="1" t="s">
        <v>39</v>
      </c>
      <c r="N3" s="2">
        <v>42929</v>
      </c>
      <c r="O3" s="1"/>
      <c r="P3" s="1"/>
      <c r="Q3" s="1" t="s">
        <v>34</v>
      </c>
      <c r="R3" s="1"/>
      <c r="S3" s="1" t="s">
        <v>35</v>
      </c>
      <c r="T3" s="1">
        <v>44.463868699999999</v>
      </c>
      <c r="U3" s="1">
        <v>-73.201548199999905</v>
      </c>
      <c r="V3" s="1" t="s">
        <v>45</v>
      </c>
      <c r="W3" s="1"/>
      <c r="X3" s="1" t="s">
        <v>37</v>
      </c>
      <c r="Y3" s="1" t="s">
        <v>46</v>
      </c>
      <c r="Z3" s="1">
        <v>5401</v>
      </c>
    </row>
    <row r="4" spans="1:26" ht="42">
      <c r="A4" s="1" t="str">
        <f>"0003HA"</f>
        <v>0003HA</v>
      </c>
      <c r="B4" s="1" t="s">
        <v>47</v>
      </c>
      <c r="C4" s="1" t="s">
        <v>48</v>
      </c>
      <c r="D4" s="1" t="str">
        <f>"8029511129"</f>
        <v>8029511129</v>
      </c>
      <c r="E4" s="1">
        <v>4843</v>
      </c>
      <c r="F4" s="1" t="s">
        <v>28</v>
      </c>
      <c r="G4" s="1" t="s">
        <v>49</v>
      </c>
      <c r="H4" s="1"/>
      <c r="I4" s="1">
        <v>4</v>
      </c>
      <c r="J4" s="1" t="s">
        <v>50</v>
      </c>
      <c r="K4" s="1" t="s">
        <v>43</v>
      </c>
      <c r="L4" s="1" t="s">
        <v>51</v>
      </c>
      <c r="M4" s="1" t="s">
        <v>52</v>
      </c>
      <c r="N4" s="2">
        <v>42152</v>
      </c>
      <c r="O4" s="1"/>
      <c r="P4" s="1"/>
      <c r="Q4" s="1" t="s">
        <v>34</v>
      </c>
      <c r="R4" s="1"/>
      <c r="S4" s="1" t="s">
        <v>35</v>
      </c>
      <c r="T4" s="1"/>
      <c r="U4" s="1"/>
      <c r="V4" s="1" t="s">
        <v>53</v>
      </c>
      <c r="W4" s="1"/>
      <c r="X4" s="1" t="s">
        <v>37</v>
      </c>
      <c r="Y4" s="1" t="s">
        <v>54</v>
      </c>
      <c r="Z4" s="1">
        <v>5408</v>
      </c>
    </row>
    <row r="5" spans="1:26" ht="42">
      <c r="A5" s="1" t="str">
        <f>"0004D1"</f>
        <v>0004D1</v>
      </c>
      <c r="B5" s="1" t="s">
        <v>55</v>
      </c>
      <c r="C5" s="1" t="s">
        <v>56</v>
      </c>
      <c r="D5" s="1" t="str">
        <f>"8024725797"</f>
        <v>8024725797</v>
      </c>
      <c r="E5" s="1">
        <v>4908</v>
      </c>
      <c r="F5" s="1" t="s">
        <v>28</v>
      </c>
      <c r="G5" s="1" t="s">
        <v>57</v>
      </c>
      <c r="H5" s="1"/>
      <c r="I5" s="1">
        <v>2</v>
      </c>
      <c r="J5" s="1" t="s">
        <v>58</v>
      </c>
      <c r="K5" s="1" t="s">
        <v>59</v>
      </c>
      <c r="L5" s="1" t="s">
        <v>60</v>
      </c>
      <c r="M5" s="1" t="s">
        <v>61</v>
      </c>
      <c r="N5" s="2">
        <v>42214</v>
      </c>
      <c r="O5" s="1"/>
      <c r="P5" s="1"/>
      <c r="Q5" s="1" t="s">
        <v>34</v>
      </c>
      <c r="R5" s="1"/>
      <c r="S5" s="1" t="s">
        <v>35</v>
      </c>
      <c r="T5" s="1">
        <v>44.461792899999999</v>
      </c>
      <c r="U5" s="1">
        <v>-72.310070199999899</v>
      </c>
      <c r="V5" s="1" t="s">
        <v>62</v>
      </c>
      <c r="W5" s="1"/>
      <c r="X5" s="1" t="s">
        <v>37</v>
      </c>
      <c r="Y5" s="1" t="s">
        <v>63</v>
      </c>
      <c r="Z5" s="1">
        <v>5836</v>
      </c>
    </row>
    <row r="6" spans="1:26" ht="42">
      <c r="A6" s="1" t="str">
        <f>"0005DA"</f>
        <v>0005DA</v>
      </c>
      <c r="B6" s="1" t="s">
        <v>64</v>
      </c>
      <c r="C6" s="1" t="s">
        <v>65</v>
      </c>
      <c r="D6" s="1" t="str">
        <f>"8022997238"</f>
        <v>8022997238</v>
      </c>
      <c r="E6" s="1">
        <v>4833</v>
      </c>
      <c r="F6" s="1" t="s">
        <v>28</v>
      </c>
      <c r="G6" s="1" t="s">
        <v>66</v>
      </c>
      <c r="H6" s="1"/>
      <c r="I6" s="1">
        <v>3</v>
      </c>
      <c r="J6" s="1" t="s">
        <v>67</v>
      </c>
      <c r="K6" s="1" t="s">
        <v>68</v>
      </c>
      <c r="L6" s="1" t="s">
        <v>69</v>
      </c>
      <c r="M6" s="1" t="s">
        <v>70</v>
      </c>
      <c r="N6" s="2">
        <v>42152</v>
      </c>
      <c r="O6" s="1"/>
      <c r="P6" s="1"/>
      <c r="Q6" s="1" t="s">
        <v>34</v>
      </c>
      <c r="R6" s="1"/>
      <c r="S6" s="1" t="s">
        <v>35</v>
      </c>
      <c r="T6" s="1"/>
      <c r="U6" s="1"/>
      <c r="V6" s="1" t="s">
        <v>71</v>
      </c>
      <c r="W6" s="1"/>
      <c r="X6" s="1" t="s">
        <v>37</v>
      </c>
      <c r="Y6" s="1" t="s">
        <v>72</v>
      </c>
      <c r="Z6" s="1">
        <v>5043</v>
      </c>
    </row>
    <row r="7" spans="1:26" ht="42">
      <c r="A7" s="1" t="str">
        <f>"000706"</f>
        <v>000706</v>
      </c>
      <c r="B7" s="1" t="s">
        <v>73</v>
      </c>
      <c r="C7" s="1" t="s">
        <v>74</v>
      </c>
      <c r="D7" s="1" t="str">
        <f>"8022284521"</f>
        <v>8022284521</v>
      </c>
      <c r="E7" s="1">
        <v>3466</v>
      </c>
      <c r="F7" s="1" t="s">
        <v>28</v>
      </c>
      <c r="G7" s="1" t="s">
        <v>75</v>
      </c>
      <c r="H7" s="1">
        <v>4609</v>
      </c>
      <c r="I7" s="1">
        <v>2</v>
      </c>
      <c r="J7" s="1" t="s">
        <v>76</v>
      </c>
      <c r="K7" s="1" t="s">
        <v>77</v>
      </c>
      <c r="L7" s="1" t="s">
        <v>78</v>
      </c>
      <c r="M7" s="1" t="s">
        <v>79</v>
      </c>
      <c r="N7" s="2">
        <v>36892</v>
      </c>
      <c r="O7" s="1"/>
      <c r="P7" s="2">
        <v>39289</v>
      </c>
      <c r="Q7" s="1" t="s">
        <v>34</v>
      </c>
      <c r="R7" s="1"/>
      <c r="S7" s="1" t="s">
        <v>35</v>
      </c>
      <c r="T7" s="1">
        <v>43.397366599999998</v>
      </c>
      <c r="U7" s="1">
        <v>-72.679362999999896</v>
      </c>
      <c r="V7" s="1" t="s">
        <v>80</v>
      </c>
      <c r="W7" s="1"/>
      <c r="X7" s="1" t="s">
        <v>37</v>
      </c>
      <c r="Y7" s="1" t="s">
        <v>81</v>
      </c>
      <c r="Z7" s="1">
        <v>5149</v>
      </c>
    </row>
    <row r="8" spans="1:26" ht="42">
      <c r="A8" s="1" t="str">
        <f>"00070F"</f>
        <v>00070F</v>
      </c>
      <c r="B8" s="1" t="s">
        <v>82</v>
      </c>
      <c r="C8" s="1" t="s">
        <v>83</v>
      </c>
      <c r="D8" s="1" t="str">
        <f>"8028932162"</f>
        <v>8028932162</v>
      </c>
      <c r="E8" s="1">
        <v>3151</v>
      </c>
      <c r="F8" s="1" t="s">
        <v>28</v>
      </c>
      <c r="G8" s="1" t="s">
        <v>84</v>
      </c>
      <c r="H8" s="1">
        <v>4230</v>
      </c>
      <c r="I8" s="1">
        <v>1</v>
      </c>
      <c r="J8" s="1" t="s">
        <v>85</v>
      </c>
      <c r="K8" s="1" t="s">
        <v>43</v>
      </c>
      <c r="L8" s="1" t="s">
        <v>86</v>
      </c>
      <c r="M8" s="1" t="s">
        <v>87</v>
      </c>
      <c r="N8" s="2">
        <v>36892</v>
      </c>
      <c r="O8" s="1"/>
      <c r="P8" s="2">
        <v>37833</v>
      </c>
      <c r="Q8" s="1" t="s">
        <v>34</v>
      </c>
      <c r="R8" s="1"/>
      <c r="S8" s="1" t="s">
        <v>35</v>
      </c>
      <c r="T8" s="1">
        <v>44.640520799999997</v>
      </c>
      <c r="U8" s="1">
        <v>-73.056437700000004</v>
      </c>
      <c r="V8" s="1" t="s">
        <v>88</v>
      </c>
      <c r="W8" s="1"/>
      <c r="X8" s="1" t="s">
        <v>37</v>
      </c>
      <c r="Y8" s="1" t="s">
        <v>89</v>
      </c>
      <c r="Z8" s="1">
        <v>5468</v>
      </c>
    </row>
    <row r="9" spans="1:26" ht="42">
      <c r="A9" s="1" t="str">
        <f>"00070H"</f>
        <v>00070H</v>
      </c>
      <c r="B9" s="1" t="s">
        <v>90</v>
      </c>
      <c r="C9" s="1" t="s">
        <v>91</v>
      </c>
      <c r="D9" s="1" t="str">
        <f>"8024969250"</f>
        <v>8024969250</v>
      </c>
      <c r="E9" s="1">
        <v>3433</v>
      </c>
      <c r="F9" s="1" t="s">
        <v>28</v>
      </c>
      <c r="G9" s="1" t="s">
        <v>92</v>
      </c>
      <c r="H9" s="1">
        <v>4512</v>
      </c>
      <c r="I9" s="1">
        <v>4</v>
      </c>
      <c r="J9" s="1" t="s">
        <v>93</v>
      </c>
      <c r="K9" s="1" t="s">
        <v>31</v>
      </c>
      <c r="L9" s="1" t="s">
        <v>94</v>
      </c>
      <c r="M9" s="1" t="s">
        <v>90</v>
      </c>
      <c r="N9" s="2">
        <v>36892</v>
      </c>
      <c r="O9" s="1"/>
      <c r="P9" s="2">
        <v>40584</v>
      </c>
      <c r="Q9" s="1" t="s">
        <v>34</v>
      </c>
      <c r="R9" s="1"/>
      <c r="S9" s="1" t="s">
        <v>35</v>
      </c>
      <c r="T9" s="1">
        <v>44.167912000000001</v>
      </c>
      <c r="U9" s="1">
        <v>-72.802115999999998</v>
      </c>
      <c r="V9" s="1" t="s">
        <v>95</v>
      </c>
      <c r="W9" s="1"/>
      <c r="X9" s="1" t="s">
        <v>37</v>
      </c>
      <c r="Y9" s="1" t="s">
        <v>96</v>
      </c>
      <c r="Z9" s="1">
        <v>5673</v>
      </c>
    </row>
    <row r="10" spans="1:26" ht="42">
      <c r="A10" s="1" t="str">
        <f>"00070H"</f>
        <v>00070H</v>
      </c>
      <c r="B10" s="1" t="s">
        <v>90</v>
      </c>
      <c r="C10" s="1" t="s">
        <v>91</v>
      </c>
      <c r="D10" s="1" t="str">
        <f>"8024969250"</f>
        <v>8024969250</v>
      </c>
      <c r="E10" s="1">
        <v>3433</v>
      </c>
      <c r="F10" s="1" t="s">
        <v>28</v>
      </c>
      <c r="G10" s="1" t="s">
        <v>97</v>
      </c>
      <c r="H10" s="1">
        <v>5076</v>
      </c>
      <c r="I10" s="1">
        <v>1</v>
      </c>
      <c r="J10" s="1" t="s">
        <v>98</v>
      </c>
      <c r="K10" s="1" t="s">
        <v>31</v>
      </c>
      <c r="L10" s="1" t="s">
        <v>94</v>
      </c>
      <c r="M10" s="1" t="s">
        <v>99</v>
      </c>
      <c r="N10" s="2">
        <v>36892</v>
      </c>
      <c r="O10" s="1"/>
      <c r="P10" s="2">
        <v>41485</v>
      </c>
      <c r="Q10" s="1" t="s">
        <v>34</v>
      </c>
      <c r="R10" s="1"/>
      <c r="S10" s="1" t="s">
        <v>35</v>
      </c>
      <c r="T10" s="1">
        <v>44.2146480610472</v>
      </c>
      <c r="U10" s="1">
        <v>-72.795538902282701</v>
      </c>
      <c r="V10" s="1" t="s">
        <v>100</v>
      </c>
      <c r="W10" s="1"/>
      <c r="X10" s="1" t="s">
        <v>37</v>
      </c>
      <c r="Y10" s="1" t="s">
        <v>96</v>
      </c>
      <c r="Z10" s="1">
        <v>5673</v>
      </c>
    </row>
    <row r="11" spans="1:26" ht="42">
      <c r="A11" s="1" t="str">
        <f>"00070H"</f>
        <v>00070H</v>
      </c>
      <c r="B11" s="1" t="s">
        <v>90</v>
      </c>
      <c r="C11" s="1" t="s">
        <v>91</v>
      </c>
      <c r="D11" s="1" t="str">
        <f>"8024969250"</f>
        <v>8024969250</v>
      </c>
      <c r="E11" s="1">
        <v>3433</v>
      </c>
      <c r="F11" s="1" t="s">
        <v>28</v>
      </c>
      <c r="G11" s="1" t="s">
        <v>101</v>
      </c>
      <c r="H11" s="1"/>
      <c r="I11" s="1">
        <v>1</v>
      </c>
      <c r="J11" s="1" t="s">
        <v>102</v>
      </c>
      <c r="K11" s="1" t="s">
        <v>77</v>
      </c>
      <c r="L11" s="1" t="s">
        <v>103</v>
      </c>
      <c r="M11" s="1" t="s">
        <v>104</v>
      </c>
      <c r="N11" s="2">
        <v>40670</v>
      </c>
      <c r="O11" s="1"/>
      <c r="P11" s="1"/>
      <c r="Q11" s="1" t="s">
        <v>105</v>
      </c>
      <c r="R11" s="1"/>
      <c r="S11" s="1" t="s">
        <v>35</v>
      </c>
      <c r="T11" s="1"/>
      <c r="U11" s="1"/>
      <c r="V11" s="1" t="s">
        <v>106</v>
      </c>
      <c r="W11" s="1"/>
      <c r="X11" s="1" t="s">
        <v>37</v>
      </c>
      <c r="Y11" s="1" t="s">
        <v>107</v>
      </c>
      <c r="Z11" s="1">
        <v>0</v>
      </c>
    </row>
    <row r="12" spans="1:26" ht="42">
      <c r="A12" s="1" t="str">
        <f>"00070W"</f>
        <v>00070W</v>
      </c>
      <c r="B12" s="1" t="s">
        <v>108</v>
      </c>
      <c r="C12" s="1" t="s">
        <v>109</v>
      </c>
      <c r="D12" s="1" t="str">
        <f>"8028644688"</f>
        <v>8028644688</v>
      </c>
      <c r="E12" s="1">
        <v>3106</v>
      </c>
      <c r="F12" s="1" t="s">
        <v>28</v>
      </c>
      <c r="G12" s="1" t="s">
        <v>110</v>
      </c>
      <c r="H12" s="1">
        <v>4196</v>
      </c>
      <c r="I12" s="1">
        <v>2</v>
      </c>
      <c r="J12" s="1" t="s">
        <v>111</v>
      </c>
      <c r="K12" s="1" t="s">
        <v>43</v>
      </c>
      <c r="L12" s="1" t="s">
        <v>112</v>
      </c>
      <c r="M12" s="1" t="s">
        <v>113</v>
      </c>
      <c r="N12" s="2">
        <v>36892</v>
      </c>
      <c r="O12" s="1"/>
      <c r="P12" s="2">
        <v>38616</v>
      </c>
      <c r="Q12" s="1" t="s">
        <v>34</v>
      </c>
      <c r="R12" s="1"/>
      <c r="S12" s="1" t="s">
        <v>35</v>
      </c>
      <c r="T12" s="1">
        <v>44.506149000000001</v>
      </c>
      <c r="U12" s="1">
        <v>-72.907676999999893</v>
      </c>
      <c r="V12" s="1" t="s">
        <v>114</v>
      </c>
      <c r="W12" s="1"/>
      <c r="X12" s="1" t="s">
        <v>37</v>
      </c>
      <c r="Y12" s="1" t="s">
        <v>115</v>
      </c>
      <c r="Z12" s="1">
        <v>5489</v>
      </c>
    </row>
    <row r="13" spans="1:26" ht="42">
      <c r="A13" s="1" t="str">
        <f>"000713"</f>
        <v>000713</v>
      </c>
      <c r="B13" s="1" t="s">
        <v>116</v>
      </c>
      <c r="C13" s="1" t="s">
        <v>117</v>
      </c>
      <c r="D13" s="1" t="str">
        <f>"8022448792"</f>
        <v>8022448792</v>
      </c>
      <c r="E13" s="1">
        <v>3094</v>
      </c>
      <c r="F13" s="1" t="s">
        <v>28</v>
      </c>
      <c r="G13" s="1" t="s">
        <v>118</v>
      </c>
      <c r="H13" s="1"/>
      <c r="I13" s="1">
        <v>2</v>
      </c>
      <c r="J13" s="1" t="s">
        <v>119</v>
      </c>
      <c r="K13" s="1" t="s">
        <v>31</v>
      </c>
      <c r="L13" s="1" t="s">
        <v>120</v>
      </c>
      <c r="M13" s="1" t="s">
        <v>121</v>
      </c>
      <c r="N13" s="2">
        <v>36161</v>
      </c>
      <c r="O13" s="1"/>
      <c r="P13" s="1"/>
      <c r="Q13" s="1" t="s">
        <v>34</v>
      </c>
      <c r="R13" s="1"/>
      <c r="S13" s="1" t="s">
        <v>35</v>
      </c>
      <c r="T13" s="1">
        <v>44.369370000000004</v>
      </c>
      <c r="U13" s="1">
        <v>-72.685317999999995</v>
      </c>
      <c r="V13" s="1" t="s">
        <v>122</v>
      </c>
      <c r="W13" s="1"/>
      <c r="X13" s="1" t="s">
        <v>37</v>
      </c>
      <c r="Y13" s="1" t="s">
        <v>123</v>
      </c>
      <c r="Z13" s="1">
        <v>5677</v>
      </c>
    </row>
    <row r="14" spans="1:26" ht="42">
      <c r="A14" s="1" t="str">
        <f>"000715"</f>
        <v>000715</v>
      </c>
      <c r="B14" s="1" t="s">
        <v>124</v>
      </c>
      <c r="C14" s="1" t="s">
        <v>125</v>
      </c>
      <c r="D14" s="1" t="str">
        <f>"8022956350"</f>
        <v>8022956350</v>
      </c>
      <c r="E14" s="1">
        <v>3732</v>
      </c>
      <c r="F14" s="1" t="s">
        <v>28</v>
      </c>
      <c r="G14" s="1" t="s">
        <v>126</v>
      </c>
      <c r="H14" s="1">
        <v>4951</v>
      </c>
      <c r="I14" s="1">
        <v>2</v>
      </c>
      <c r="J14" s="1" t="s">
        <v>127</v>
      </c>
      <c r="K14" s="1" t="s">
        <v>77</v>
      </c>
      <c r="L14" s="1" t="s">
        <v>128</v>
      </c>
      <c r="M14" s="1" t="s">
        <v>129</v>
      </c>
      <c r="N14" s="2">
        <v>36892</v>
      </c>
      <c r="O14" s="1"/>
      <c r="P14" s="2">
        <v>43168</v>
      </c>
      <c r="Q14" s="1" t="s">
        <v>34</v>
      </c>
      <c r="R14" s="1"/>
      <c r="S14" s="1" t="s">
        <v>35</v>
      </c>
      <c r="T14" s="1">
        <v>43.676414000000001</v>
      </c>
      <c r="U14" s="1">
        <v>-72.345909000000006</v>
      </c>
      <c r="V14" s="1" t="s">
        <v>130</v>
      </c>
      <c r="W14" s="1"/>
      <c r="X14" s="1" t="s">
        <v>37</v>
      </c>
      <c r="Y14" s="1" t="s">
        <v>131</v>
      </c>
      <c r="Z14" s="1">
        <v>5001</v>
      </c>
    </row>
    <row r="15" spans="1:26" ht="42">
      <c r="A15" s="1" t="str">
        <f>"00071F"</f>
        <v>00071F</v>
      </c>
      <c r="B15" s="1" t="s">
        <v>132</v>
      </c>
      <c r="C15" s="1" t="s">
        <v>133</v>
      </c>
      <c r="D15" s="1" t="str">
        <f>"8022879801"</f>
        <v>8022879801</v>
      </c>
      <c r="E15" s="1">
        <v>3225</v>
      </c>
      <c r="F15" s="1" t="s">
        <v>28</v>
      </c>
      <c r="G15" s="1" t="s">
        <v>134</v>
      </c>
      <c r="H15" s="1">
        <v>4484</v>
      </c>
      <c r="I15" s="1">
        <v>1</v>
      </c>
      <c r="J15" s="1">
        <v>1</v>
      </c>
      <c r="K15" s="1" t="s">
        <v>135</v>
      </c>
      <c r="L15" s="1" t="s">
        <v>136</v>
      </c>
      <c r="M15" s="1" t="s">
        <v>137</v>
      </c>
      <c r="N15" s="2">
        <v>36892</v>
      </c>
      <c r="O15" s="1"/>
      <c r="P15" s="2">
        <v>39276</v>
      </c>
      <c r="Q15" s="1" t="s">
        <v>34</v>
      </c>
      <c r="R15" s="1"/>
      <c r="S15" s="1" t="s">
        <v>35</v>
      </c>
      <c r="T15" s="1">
        <v>43.512829000000004</v>
      </c>
      <c r="U15" s="1">
        <v>-73.240536000000006</v>
      </c>
      <c r="V15" s="1" t="s">
        <v>138</v>
      </c>
      <c r="W15" s="1"/>
      <c r="X15" s="1" t="s">
        <v>37</v>
      </c>
      <c r="Y15" s="1" t="s">
        <v>139</v>
      </c>
      <c r="Z15" s="1">
        <v>0</v>
      </c>
    </row>
    <row r="16" spans="1:26" ht="42">
      <c r="A16" s="1" t="str">
        <f>"000722"</f>
        <v>000722</v>
      </c>
      <c r="B16" s="1" t="s">
        <v>140</v>
      </c>
      <c r="C16" s="1" t="s">
        <v>141</v>
      </c>
      <c r="D16" s="1" t="str">
        <f>"8028747028"</f>
        <v>8028747028</v>
      </c>
      <c r="E16" s="1">
        <v>3729</v>
      </c>
      <c r="F16" s="1" t="s">
        <v>28</v>
      </c>
      <c r="G16" s="1" t="s">
        <v>142</v>
      </c>
      <c r="H16" s="1">
        <v>4947</v>
      </c>
      <c r="I16" s="1">
        <v>2</v>
      </c>
      <c r="J16" s="1" t="s">
        <v>143</v>
      </c>
      <c r="K16" s="1" t="s">
        <v>144</v>
      </c>
      <c r="L16" s="1" t="s">
        <v>145</v>
      </c>
      <c r="M16" s="1" t="s">
        <v>146</v>
      </c>
      <c r="N16" s="2">
        <v>36892</v>
      </c>
      <c r="O16" s="1"/>
      <c r="P16" s="2">
        <v>38882</v>
      </c>
      <c r="Q16" s="1" t="s">
        <v>34</v>
      </c>
      <c r="R16" s="1"/>
      <c r="S16" s="1" t="s">
        <v>35</v>
      </c>
      <c r="T16" s="1">
        <v>43.167614</v>
      </c>
      <c r="U16" s="1">
        <v>-72.715012000000002</v>
      </c>
      <c r="V16" s="1" t="s">
        <v>147</v>
      </c>
      <c r="W16" s="1"/>
      <c r="X16" s="1" t="s">
        <v>37</v>
      </c>
      <c r="Y16" s="1" t="s">
        <v>144</v>
      </c>
      <c r="Z16" s="1">
        <v>5359</v>
      </c>
    </row>
    <row r="17" spans="1:26" ht="42">
      <c r="A17" s="1" t="str">
        <f>"000737"</f>
        <v>000737</v>
      </c>
      <c r="B17" s="1" t="s">
        <v>148</v>
      </c>
      <c r="C17" s="1" t="s">
        <v>149</v>
      </c>
      <c r="D17" s="1" t="str">
        <f>"8023264164"</f>
        <v>8023264164</v>
      </c>
      <c r="E17" s="1">
        <v>3626</v>
      </c>
      <c r="F17" s="1" t="s">
        <v>28</v>
      </c>
      <c r="G17" s="1" t="s">
        <v>150</v>
      </c>
      <c r="H17" s="1">
        <v>4795</v>
      </c>
      <c r="I17" s="1">
        <v>3</v>
      </c>
      <c r="J17" s="1" t="s">
        <v>151</v>
      </c>
      <c r="K17" s="1" t="s">
        <v>152</v>
      </c>
      <c r="L17" s="1" t="s">
        <v>153</v>
      </c>
      <c r="M17" s="1" t="s">
        <v>154</v>
      </c>
      <c r="N17" s="2">
        <v>36892</v>
      </c>
      <c r="O17" s="1"/>
      <c r="P17" s="1"/>
      <c r="Q17" s="1" t="s">
        <v>34</v>
      </c>
      <c r="R17" s="1"/>
      <c r="S17" s="1" t="s">
        <v>35</v>
      </c>
      <c r="T17" s="1">
        <v>44.8268901</v>
      </c>
      <c r="U17" s="1">
        <v>-72.585230999999993</v>
      </c>
      <c r="V17" s="1" t="s">
        <v>155</v>
      </c>
      <c r="W17" s="1"/>
      <c r="X17" s="1" t="s">
        <v>37</v>
      </c>
      <c r="Y17" s="1" t="s">
        <v>156</v>
      </c>
      <c r="Z17" s="1">
        <v>5471</v>
      </c>
    </row>
    <row r="18" spans="1:26" ht="42">
      <c r="A18" s="1" t="str">
        <f>"000737"</f>
        <v>000737</v>
      </c>
      <c r="B18" s="1" t="s">
        <v>148</v>
      </c>
      <c r="C18" s="1" t="s">
        <v>149</v>
      </c>
      <c r="D18" s="1" t="str">
        <f>"8023264164"</f>
        <v>8023264164</v>
      </c>
      <c r="E18" s="1">
        <v>3626</v>
      </c>
      <c r="F18" s="1" t="s">
        <v>28</v>
      </c>
      <c r="G18" s="1" t="s">
        <v>157</v>
      </c>
      <c r="H18" s="1">
        <v>4796</v>
      </c>
      <c r="I18" s="1">
        <v>5</v>
      </c>
      <c r="J18" s="1">
        <v>2</v>
      </c>
      <c r="K18" s="1" t="s">
        <v>152</v>
      </c>
      <c r="L18" s="1" t="s">
        <v>153</v>
      </c>
      <c r="M18" s="1" t="s">
        <v>158</v>
      </c>
      <c r="N18" s="2">
        <v>36892</v>
      </c>
      <c r="O18" s="1"/>
      <c r="P18" s="1"/>
      <c r="Q18" s="1" t="s">
        <v>34</v>
      </c>
      <c r="R18" s="1"/>
      <c r="S18" s="1" t="s">
        <v>35</v>
      </c>
      <c r="T18" s="1">
        <v>44.558802800000002</v>
      </c>
      <c r="U18" s="1">
        <v>-72.577841499999906</v>
      </c>
      <c r="V18" s="1" t="s">
        <v>159</v>
      </c>
      <c r="W18" s="1"/>
      <c r="X18" s="1" t="s">
        <v>37</v>
      </c>
      <c r="Y18" s="1" t="s">
        <v>156</v>
      </c>
      <c r="Z18" s="1">
        <v>5661</v>
      </c>
    </row>
    <row r="19" spans="1:26" ht="42">
      <c r="A19" s="1" t="str">
        <f>"00073A"</f>
        <v>00073A</v>
      </c>
      <c r="B19" s="1" t="s">
        <v>160</v>
      </c>
      <c r="C19" s="1" t="s">
        <v>161</v>
      </c>
      <c r="D19" s="1" t="str">
        <f>"8026357611"</f>
        <v>8026357611</v>
      </c>
      <c r="E19" s="1">
        <v>4012</v>
      </c>
      <c r="F19" s="1" t="s">
        <v>28</v>
      </c>
      <c r="G19" s="1" t="s">
        <v>162</v>
      </c>
      <c r="H19" s="1">
        <v>5328</v>
      </c>
      <c r="I19" s="1">
        <v>0</v>
      </c>
      <c r="J19" s="1" t="s">
        <v>163</v>
      </c>
      <c r="K19" s="1" t="s">
        <v>31</v>
      </c>
      <c r="L19" s="1" t="s">
        <v>164</v>
      </c>
      <c r="M19" s="1" t="s">
        <v>165</v>
      </c>
      <c r="N19" s="2">
        <v>36892</v>
      </c>
      <c r="O19" s="2">
        <v>43221</v>
      </c>
      <c r="P19" s="2">
        <v>42144</v>
      </c>
      <c r="Q19" s="1" t="s">
        <v>34</v>
      </c>
      <c r="R19" s="1"/>
      <c r="S19" s="1" t="s">
        <v>35</v>
      </c>
      <c r="T19" s="1">
        <v>44.275950999999999</v>
      </c>
      <c r="U19" s="1">
        <v>-72.401084999999895</v>
      </c>
      <c r="V19" s="1" t="s">
        <v>166</v>
      </c>
      <c r="W19" s="1"/>
      <c r="X19" s="1" t="s">
        <v>37</v>
      </c>
      <c r="Y19" s="1" t="s">
        <v>167</v>
      </c>
      <c r="Z19" s="1">
        <v>0</v>
      </c>
    </row>
    <row r="20" spans="1:26" ht="42">
      <c r="A20" s="1" t="str">
        <f>"00073A"</f>
        <v>00073A</v>
      </c>
      <c r="B20" s="1" t="s">
        <v>160</v>
      </c>
      <c r="C20" s="1" t="s">
        <v>161</v>
      </c>
      <c r="D20" s="1" t="str">
        <f>"8026357611"</f>
        <v>8026357611</v>
      </c>
      <c r="E20" s="1">
        <v>4012</v>
      </c>
      <c r="F20" s="1" t="s">
        <v>28</v>
      </c>
      <c r="G20" s="1" t="s">
        <v>168</v>
      </c>
      <c r="H20" s="1">
        <v>5327</v>
      </c>
      <c r="I20" s="1">
        <v>3</v>
      </c>
      <c r="J20" s="1" t="s">
        <v>169</v>
      </c>
      <c r="K20" s="1" t="s">
        <v>170</v>
      </c>
      <c r="L20" s="1" t="s">
        <v>171</v>
      </c>
      <c r="M20" s="1" t="s">
        <v>165</v>
      </c>
      <c r="N20" s="2">
        <v>36892</v>
      </c>
      <c r="O20" s="1"/>
      <c r="P20" s="1"/>
      <c r="Q20" s="1" t="s">
        <v>34</v>
      </c>
      <c r="R20" s="1"/>
      <c r="S20" s="1" t="s">
        <v>35</v>
      </c>
      <c r="T20" s="1">
        <v>44.683559000000002</v>
      </c>
      <c r="U20" s="1">
        <v>-72.688659999999999</v>
      </c>
      <c r="V20" s="1" t="s">
        <v>172</v>
      </c>
      <c r="W20" s="1"/>
      <c r="X20" s="1" t="s">
        <v>37</v>
      </c>
      <c r="Y20" s="1" t="s">
        <v>173</v>
      </c>
      <c r="Z20" s="1">
        <v>5656</v>
      </c>
    </row>
    <row r="21" spans="1:26" ht="42">
      <c r="A21" s="1" t="str">
        <f>"00073B"</f>
        <v>00073B</v>
      </c>
      <c r="B21" s="1" t="s">
        <v>174</v>
      </c>
      <c r="C21" s="1" t="s">
        <v>175</v>
      </c>
      <c r="D21" s="1" t="str">
        <f>"8029995825"</f>
        <v>8029995825</v>
      </c>
      <c r="E21" s="1">
        <v>2582</v>
      </c>
      <c r="F21" s="1" t="s">
        <v>28</v>
      </c>
      <c r="G21" s="1" t="s">
        <v>176</v>
      </c>
      <c r="H21" s="1">
        <v>3292</v>
      </c>
      <c r="I21" s="1">
        <v>4</v>
      </c>
      <c r="J21" s="1" t="s">
        <v>177</v>
      </c>
      <c r="K21" s="1" t="s">
        <v>43</v>
      </c>
      <c r="L21" s="1" t="s">
        <v>178</v>
      </c>
      <c r="M21" s="1" t="s">
        <v>179</v>
      </c>
      <c r="N21" s="2">
        <v>36892</v>
      </c>
      <c r="O21" s="1"/>
      <c r="P21" s="1"/>
      <c r="Q21" s="1" t="s">
        <v>34</v>
      </c>
      <c r="R21" s="1"/>
      <c r="S21" s="1" t="s">
        <v>35</v>
      </c>
      <c r="T21" s="1">
        <v>44.496091</v>
      </c>
      <c r="U21" s="1">
        <v>-73.117507999999901</v>
      </c>
      <c r="V21" s="1" t="s">
        <v>180</v>
      </c>
      <c r="W21" s="1"/>
      <c r="X21" s="1" t="s">
        <v>37</v>
      </c>
      <c r="Y21" s="1" t="s">
        <v>181</v>
      </c>
      <c r="Z21" s="1" t="s">
        <v>182</v>
      </c>
    </row>
    <row r="22" spans="1:26" ht="42">
      <c r="A22" s="1" t="str">
        <f>"00073P"</f>
        <v>00073P</v>
      </c>
      <c r="B22" s="1" t="s">
        <v>183</v>
      </c>
      <c r="C22" s="1" t="s">
        <v>184</v>
      </c>
      <c r="D22" s="1" t="str">
        <f>"8024470198"</f>
        <v>8024470198</v>
      </c>
      <c r="E22" s="1">
        <v>221</v>
      </c>
      <c r="F22" s="1" t="s">
        <v>28</v>
      </c>
      <c r="G22" s="1" t="s">
        <v>185</v>
      </c>
      <c r="H22" s="1">
        <v>3072</v>
      </c>
      <c r="I22" s="1">
        <v>12</v>
      </c>
      <c r="J22" s="1" t="s">
        <v>186</v>
      </c>
      <c r="K22" s="1" t="s">
        <v>187</v>
      </c>
      <c r="L22" s="1" t="s">
        <v>188</v>
      </c>
      <c r="M22" s="1" t="s">
        <v>189</v>
      </c>
      <c r="N22" s="2">
        <v>36892</v>
      </c>
      <c r="O22" s="1"/>
      <c r="P22" s="2">
        <v>42947</v>
      </c>
      <c r="Q22" s="1" t="s">
        <v>34</v>
      </c>
      <c r="R22" s="1"/>
      <c r="S22" s="1" t="s">
        <v>35</v>
      </c>
      <c r="T22" s="1">
        <v>42.927091719404402</v>
      </c>
      <c r="U22" s="1">
        <v>-73.209961652755695</v>
      </c>
      <c r="V22" s="1" t="s">
        <v>190</v>
      </c>
      <c r="W22" s="1"/>
      <c r="X22" s="1" t="s">
        <v>37</v>
      </c>
      <c r="Y22" s="1" t="s">
        <v>187</v>
      </c>
      <c r="Z22" s="1">
        <v>5201</v>
      </c>
    </row>
    <row r="23" spans="1:26" ht="42">
      <c r="A23" s="1" t="str">
        <f>"00073W"</f>
        <v>00073W</v>
      </c>
      <c r="B23" s="1" t="s">
        <v>191</v>
      </c>
      <c r="C23" s="1" t="s">
        <v>192</v>
      </c>
      <c r="D23" s="1" t="str">
        <f>"8027477244"</f>
        <v>8027477244</v>
      </c>
      <c r="E23" s="1">
        <v>3990</v>
      </c>
      <c r="F23" s="1" t="s">
        <v>28</v>
      </c>
      <c r="G23" s="1" t="s">
        <v>193</v>
      </c>
      <c r="H23" s="1">
        <v>5293</v>
      </c>
      <c r="I23" s="1">
        <v>2</v>
      </c>
      <c r="J23" s="1" t="s">
        <v>194</v>
      </c>
      <c r="K23" s="1" t="s">
        <v>135</v>
      </c>
      <c r="L23" s="1" t="s">
        <v>195</v>
      </c>
      <c r="M23" s="1" t="s">
        <v>196</v>
      </c>
      <c r="N23" s="2">
        <v>36892</v>
      </c>
      <c r="O23" s="1"/>
      <c r="P23" s="1"/>
      <c r="Q23" s="1" t="s">
        <v>34</v>
      </c>
      <c r="R23" s="1"/>
      <c r="S23" s="1" t="s">
        <v>35</v>
      </c>
      <c r="T23" s="1">
        <v>43.620136000000002</v>
      </c>
      <c r="U23" s="1">
        <v>-72.979102999999995</v>
      </c>
      <c r="V23" s="1" t="s">
        <v>197</v>
      </c>
      <c r="W23" s="1"/>
      <c r="X23" s="1" t="s">
        <v>37</v>
      </c>
      <c r="Y23" s="1" t="s">
        <v>135</v>
      </c>
      <c r="Z23" s="1">
        <v>5701</v>
      </c>
    </row>
    <row r="24" spans="1:26" ht="42">
      <c r="A24" s="1" t="str">
        <f>"00073W"</f>
        <v>00073W</v>
      </c>
      <c r="B24" s="1" t="s">
        <v>191</v>
      </c>
      <c r="C24" s="1" t="s">
        <v>192</v>
      </c>
      <c r="D24" s="1" t="str">
        <f>"8027477244"</f>
        <v>8027477244</v>
      </c>
      <c r="E24" s="1">
        <v>3990</v>
      </c>
      <c r="F24" s="1" t="s">
        <v>28</v>
      </c>
      <c r="G24" s="1" t="s">
        <v>198</v>
      </c>
      <c r="H24" s="1"/>
      <c r="I24" s="1">
        <v>2</v>
      </c>
      <c r="J24" s="1">
        <v>5</v>
      </c>
      <c r="K24" s="1" t="s">
        <v>135</v>
      </c>
      <c r="L24" s="1" t="s">
        <v>195</v>
      </c>
      <c r="M24" s="1" t="s">
        <v>199</v>
      </c>
      <c r="N24" s="2">
        <v>42912</v>
      </c>
      <c r="O24" s="1"/>
      <c r="P24" s="1"/>
      <c r="Q24" s="1" t="s">
        <v>34</v>
      </c>
      <c r="R24" s="1"/>
      <c r="S24" s="1" t="s">
        <v>35</v>
      </c>
      <c r="T24" s="1"/>
      <c r="U24" s="1"/>
      <c r="V24" s="1" t="s">
        <v>158</v>
      </c>
      <c r="W24" s="1"/>
      <c r="X24" s="1" t="s">
        <v>37</v>
      </c>
      <c r="Y24" s="1" t="s">
        <v>135</v>
      </c>
      <c r="Z24" s="1">
        <v>0</v>
      </c>
    </row>
    <row r="25" spans="1:26" ht="42">
      <c r="A25" s="1" t="str">
        <f>"000746"</f>
        <v>000746</v>
      </c>
      <c r="B25" s="1" t="s">
        <v>200</v>
      </c>
      <c r="C25" s="1" t="s">
        <v>201</v>
      </c>
      <c r="D25" s="1" t="str">
        <f>"8028670341"</f>
        <v>8028670341</v>
      </c>
      <c r="E25" s="1">
        <v>3684</v>
      </c>
      <c r="F25" s="1" t="s">
        <v>28</v>
      </c>
      <c r="G25" s="1" t="s">
        <v>202</v>
      </c>
      <c r="H25" s="1">
        <v>4884</v>
      </c>
      <c r="I25" s="1">
        <v>2</v>
      </c>
      <c r="J25" s="1" t="s">
        <v>203</v>
      </c>
      <c r="K25" s="1" t="s">
        <v>187</v>
      </c>
      <c r="L25" s="1" t="s">
        <v>204</v>
      </c>
      <c r="M25" s="1" t="s">
        <v>203</v>
      </c>
      <c r="N25" s="2">
        <v>36892</v>
      </c>
      <c r="O25" s="1"/>
      <c r="P25" s="1"/>
      <c r="Q25" s="1" t="s">
        <v>34</v>
      </c>
      <c r="R25" s="1"/>
      <c r="S25" s="1" t="s">
        <v>35</v>
      </c>
      <c r="T25" s="1">
        <v>43.254807399999997</v>
      </c>
      <c r="U25" s="1">
        <v>-73.098780099999999</v>
      </c>
      <c r="V25" s="1" t="s">
        <v>159</v>
      </c>
      <c r="W25" s="1"/>
      <c r="X25" s="1" t="s">
        <v>37</v>
      </c>
      <c r="Y25" s="1" t="s">
        <v>205</v>
      </c>
      <c r="Z25" s="1">
        <v>5251</v>
      </c>
    </row>
    <row r="26" spans="1:26" ht="42">
      <c r="A26" s="1" t="str">
        <f>"00074A"</f>
        <v>00074A</v>
      </c>
      <c r="B26" s="1" t="s">
        <v>206</v>
      </c>
      <c r="C26" s="1" t="s">
        <v>207</v>
      </c>
      <c r="D26" s="1" t="str">
        <f>"8024923653"</f>
        <v>8024923653</v>
      </c>
      <c r="E26" s="1">
        <v>3038</v>
      </c>
      <c r="F26" s="1" t="s">
        <v>28</v>
      </c>
      <c r="G26" s="1" t="s">
        <v>208</v>
      </c>
      <c r="H26" s="1">
        <v>4119</v>
      </c>
      <c r="I26" s="1">
        <v>1</v>
      </c>
      <c r="J26" s="1" t="s">
        <v>209</v>
      </c>
      <c r="K26" s="1" t="s">
        <v>135</v>
      </c>
      <c r="L26" s="1" t="s">
        <v>210</v>
      </c>
      <c r="M26" s="1" t="s">
        <v>211</v>
      </c>
      <c r="N26" s="2">
        <v>36892</v>
      </c>
      <c r="O26" s="1"/>
      <c r="P26" s="2">
        <v>39689</v>
      </c>
      <c r="Q26" s="1" t="s">
        <v>34</v>
      </c>
      <c r="R26" s="1"/>
      <c r="S26" s="1" t="s">
        <v>35</v>
      </c>
      <c r="T26" s="1">
        <v>43.482387245847299</v>
      </c>
      <c r="U26" s="1">
        <v>-72.9031893610954</v>
      </c>
      <c r="V26" s="1" t="s">
        <v>212</v>
      </c>
      <c r="W26" s="1"/>
      <c r="X26" s="1" t="s">
        <v>37</v>
      </c>
      <c r="Y26" s="1" t="s">
        <v>213</v>
      </c>
      <c r="Z26" s="1">
        <v>5738</v>
      </c>
    </row>
    <row r="27" spans="1:26" ht="42">
      <c r="A27" s="1" t="str">
        <f>"000753"</f>
        <v>000753</v>
      </c>
      <c r="B27" s="1" t="s">
        <v>214</v>
      </c>
      <c r="C27" s="1" t="s">
        <v>215</v>
      </c>
      <c r="D27" s="1" t="str">
        <f>"8023622672"</f>
        <v>8023622672</v>
      </c>
      <c r="E27" s="1">
        <v>269</v>
      </c>
      <c r="F27" s="1" t="s">
        <v>28</v>
      </c>
      <c r="G27" s="1" t="s">
        <v>216</v>
      </c>
      <c r="H27" s="1">
        <v>339</v>
      </c>
      <c r="I27" s="1">
        <v>1</v>
      </c>
      <c r="J27" s="1" t="s">
        <v>217</v>
      </c>
      <c r="K27" s="1" t="s">
        <v>187</v>
      </c>
      <c r="L27" s="1" t="s">
        <v>204</v>
      </c>
      <c r="M27" s="1" t="s">
        <v>218</v>
      </c>
      <c r="N27" s="2">
        <v>36892</v>
      </c>
      <c r="O27" s="1"/>
      <c r="P27" s="2">
        <v>33781</v>
      </c>
      <c r="Q27" s="1" t="s">
        <v>34</v>
      </c>
      <c r="R27" s="1"/>
      <c r="S27" s="1" t="s">
        <v>35</v>
      </c>
      <c r="T27" s="1">
        <v>43.245277000000002</v>
      </c>
      <c r="U27" s="1">
        <v>-72.992928000000006</v>
      </c>
      <c r="V27" s="1" t="s">
        <v>219</v>
      </c>
      <c r="W27" s="1"/>
      <c r="X27" s="1" t="s">
        <v>37</v>
      </c>
      <c r="Y27" s="1" t="s">
        <v>205</v>
      </c>
      <c r="Z27" s="1">
        <v>5253</v>
      </c>
    </row>
    <row r="28" spans="1:26" ht="42">
      <c r="A28" s="1" t="str">
        <f>"00075N"</f>
        <v>00075N</v>
      </c>
      <c r="B28" s="1" t="s">
        <v>220</v>
      </c>
      <c r="C28" s="1" t="s">
        <v>221</v>
      </c>
      <c r="D28" s="1" t="str">
        <f>"8024331603"</f>
        <v>8024331603</v>
      </c>
      <c r="E28" s="1">
        <v>3091</v>
      </c>
      <c r="F28" s="1" t="s">
        <v>28</v>
      </c>
      <c r="G28" s="1" t="s">
        <v>222</v>
      </c>
      <c r="H28" s="1">
        <v>4182</v>
      </c>
      <c r="I28" s="1">
        <v>2</v>
      </c>
      <c r="J28" s="1" t="s">
        <v>223</v>
      </c>
      <c r="K28" s="1" t="s">
        <v>68</v>
      </c>
      <c r="L28" s="1" t="s">
        <v>224</v>
      </c>
      <c r="M28" s="1" t="s">
        <v>225</v>
      </c>
      <c r="N28" s="2">
        <v>36892</v>
      </c>
      <c r="O28" s="1"/>
      <c r="P28" s="2">
        <v>42993</v>
      </c>
      <c r="Q28" s="1" t="s">
        <v>34</v>
      </c>
      <c r="R28" s="1"/>
      <c r="S28" s="1" t="s">
        <v>35</v>
      </c>
      <c r="T28" s="1">
        <v>44.0584512</v>
      </c>
      <c r="U28" s="1">
        <v>-72.503469800000005</v>
      </c>
      <c r="V28" s="1" t="s">
        <v>226</v>
      </c>
      <c r="W28" s="1"/>
      <c r="X28" s="1" t="s">
        <v>37</v>
      </c>
      <c r="Y28" s="1" t="s">
        <v>227</v>
      </c>
      <c r="Z28" s="1">
        <v>5679</v>
      </c>
    </row>
    <row r="29" spans="1:26" ht="42">
      <c r="A29" s="1" t="str">
        <f>"00075N"</f>
        <v>00075N</v>
      </c>
      <c r="B29" s="1" t="s">
        <v>220</v>
      </c>
      <c r="C29" s="1" t="s">
        <v>221</v>
      </c>
      <c r="D29" s="1" t="str">
        <f>"8024331603"</f>
        <v>8024331603</v>
      </c>
      <c r="E29" s="1">
        <v>3091</v>
      </c>
      <c r="F29" s="1" t="s">
        <v>28</v>
      </c>
      <c r="G29" s="1" t="s">
        <v>228</v>
      </c>
      <c r="H29" s="1"/>
      <c r="I29" s="1">
        <v>1</v>
      </c>
      <c r="J29" s="1">
        <v>2</v>
      </c>
      <c r="K29" s="1" t="s">
        <v>31</v>
      </c>
      <c r="L29" s="1" t="s">
        <v>229</v>
      </c>
      <c r="M29" s="1" t="s">
        <v>230</v>
      </c>
      <c r="N29" s="2">
        <v>42304</v>
      </c>
      <c r="O29" s="1"/>
      <c r="P29" s="2">
        <v>42993</v>
      </c>
      <c r="Q29" s="1" t="s">
        <v>34</v>
      </c>
      <c r="R29" s="1"/>
      <c r="S29" s="1" t="s">
        <v>35</v>
      </c>
      <c r="T29" s="1">
        <v>44.155549299999997</v>
      </c>
      <c r="U29" s="1">
        <v>-72.453337099999999</v>
      </c>
      <c r="V29" s="1" t="s">
        <v>231</v>
      </c>
      <c r="W29" s="1"/>
      <c r="X29" s="1" t="s">
        <v>37</v>
      </c>
      <c r="Y29" s="1" t="s">
        <v>232</v>
      </c>
      <c r="Z29" s="1">
        <v>5641</v>
      </c>
    </row>
    <row r="30" spans="1:26" ht="42">
      <c r="A30" s="1" t="str">
        <f>"00075N"</f>
        <v>00075N</v>
      </c>
      <c r="B30" s="1" t="s">
        <v>220</v>
      </c>
      <c r="C30" s="1" t="s">
        <v>221</v>
      </c>
      <c r="D30" s="1" t="str">
        <f>"8024331603"</f>
        <v>8024331603</v>
      </c>
      <c r="E30" s="1">
        <v>3091</v>
      </c>
      <c r="F30" s="1" t="s">
        <v>28</v>
      </c>
      <c r="G30" s="1" t="s">
        <v>233</v>
      </c>
      <c r="H30" s="1"/>
      <c r="I30" s="1">
        <v>2</v>
      </c>
      <c r="J30" s="1" t="s">
        <v>234</v>
      </c>
      <c r="K30" s="1" t="s">
        <v>31</v>
      </c>
      <c r="L30" s="1" t="s">
        <v>229</v>
      </c>
      <c r="M30" s="1" t="s">
        <v>235</v>
      </c>
      <c r="N30" s="2">
        <v>42941</v>
      </c>
      <c r="O30" s="1"/>
      <c r="P30" s="2">
        <v>42993</v>
      </c>
      <c r="Q30" s="1" t="s">
        <v>34</v>
      </c>
      <c r="R30" s="1"/>
      <c r="S30" s="1" t="s">
        <v>35</v>
      </c>
      <c r="T30" s="1"/>
      <c r="U30" s="1"/>
      <c r="V30" s="1" t="s">
        <v>236</v>
      </c>
      <c r="W30" s="1"/>
      <c r="X30" s="1" t="s">
        <v>37</v>
      </c>
      <c r="Y30" s="1" t="s">
        <v>237</v>
      </c>
      <c r="Z30" s="1">
        <v>5641</v>
      </c>
    </row>
    <row r="31" spans="1:26" ht="42">
      <c r="A31" s="1" t="str">
        <f>"00075Q"</f>
        <v>00075Q</v>
      </c>
      <c r="B31" s="1" t="s">
        <v>238</v>
      </c>
      <c r="C31" s="1" t="s">
        <v>239</v>
      </c>
      <c r="D31" s="1" t="str">
        <f>"8028235693"</f>
        <v>8028235693</v>
      </c>
      <c r="E31" s="1">
        <v>299</v>
      </c>
      <c r="F31" s="1" t="s">
        <v>28</v>
      </c>
      <c r="G31" s="1" t="s">
        <v>240</v>
      </c>
      <c r="H31" s="1">
        <v>4566</v>
      </c>
      <c r="I31" s="1">
        <v>4</v>
      </c>
      <c r="J31" s="1" t="s">
        <v>241</v>
      </c>
      <c r="K31" s="1" t="s">
        <v>187</v>
      </c>
      <c r="L31" s="1" t="s">
        <v>242</v>
      </c>
      <c r="M31" s="1" t="s">
        <v>243</v>
      </c>
      <c r="N31" s="2">
        <v>36892</v>
      </c>
      <c r="O31" s="1"/>
      <c r="P31" s="1"/>
      <c r="Q31" s="1" t="s">
        <v>34</v>
      </c>
      <c r="R31" s="1"/>
      <c r="S31" s="1" t="s">
        <v>35</v>
      </c>
      <c r="T31" s="1">
        <v>42.822766999999999</v>
      </c>
      <c r="U31" s="1">
        <v>-73.261905999999996</v>
      </c>
      <c r="V31" s="1" t="s">
        <v>244</v>
      </c>
      <c r="W31" s="1"/>
      <c r="X31" s="1" t="s">
        <v>37</v>
      </c>
      <c r="Y31" s="1" t="s">
        <v>245</v>
      </c>
      <c r="Z31" s="1">
        <v>5260</v>
      </c>
    </row>
    <row r="32" spans="1:26" ht="42">
      <c r="A32" s="1" t="str">
        <f>"000763"</f>
        <v>000763</v>
      </c>
      <c r="B32" s="1" t="s">
        <v>246</v>
      </c>
      <c r="C32" s="1" t="s">
        <v>247</v>
      </c>
      <c r="D32" s="1" t="str">
        <f>"8027289899"</f>
        <v>8027289899</v>
      </c>
      <c r="E32" s="1">
        <v>3771</v>
      </c>
      <c r="F32" s="1" t="s">
        <v>28</v>
      </c>
      <c r="G32" s="1" t="s">
        <v>248</v>
      </c>
      <c r="H32" s="1">
        <v>5005</v>
      </c>
      <c r="I32" s="1">
        <v>2</v>
      </c>
      <c r="J32" s="1" t="s">
        <v>249</v>
      </c>
      <c r="K32" s="1" t="s">
        <v>68</v>
      </c>
      <c r="L32" s="1" t="s">
        <v>250</v>
      </c>
      <c r="M32" s="1" t="s">
        <v>251</v>
      </c>
      <c r="N32" s="2">
        <v>36892</v>
      </c>
      <c r="O32" s="1"/>
      <c r="P32" s="2">
        <v>42943</v>
      </c>
      <c r="Q32" s="1" t="s">
        <v>34</v>
      </c>
      <c r="R32" s="1"/>
      <c r="S32" s="1" t="s">
        <v>35</v>
      </c>
      <c r="T32" s="1">
        <v>43.977345</v>
      </c>
      <c r="U32" s="1">
        <v>-72.670707999999905</v>
      </c>
      <c r="V32" s="1" t="s">
        <v>252</v>
      </c>
      <c r="W32" s="1"/>
      <c r="X32" s="1" t="s">
        <v>37</v>
      </c>
      <c r="Y32" s="1" t="s">
        <v>253</v>
      </c>
      <c r="Z32" s="1">
        <v>5060</v>
      </c>
    </row>
    <row r="33" spans="1:26" ht="42">
      <c r="A33" s="1" t="str">
        <f>"000764"</f>
        <v>000764</v>
      </c>
      <c r="B33" s="1" t="s">
        <v>254</v>
      </c>
      <c r="C33" s="1" t="s">
        <v>255</v>
      </c>
      <c r="D33" s="1" t="str">
        <f>"8028237955"</f>
        <v>8028237955</v>
      </c>
      <c r="E33" s="1">
        <v>2520</v>
      </c>
      <c r="F33" s="1" t="s">
        <v>28</v>
      </c>
      <c r="G33" s="1" t="s">
        <v>256</v>
      </c>
      <c r="H33" s="1">
        <v>3517</v>
      </c>
      <c r="I33" s="1">
        <v>3</v>
      </c>
      <c r="J33" s="1" t="s">
        <v>257</v>
      </c>
      <c r="K33" s="1" t="s">
        <v>187</v>
      </c>
      <c r="L33" s="1" t="s">
        <v>242</v>
      </c>
      <c r="M33" s="1" t="s">
        <v>258</v>
      </c>
      <c r="N33" s="2">
        <v>40421</v>
      </c>
      <c r="O33" s="1"/>
      <c r="P33" s="1"/>
      <c r="Q33" s="1" t="s">
        <v>34</v>
      </c>
      <c r="R33" s="1"/>
      <c r="S33" s="1" t="s">
        <v>35</v>
      </c>
      <c r="T33" s="1"/>
      <c r="U33" s="1"/>
      <c r="V33" s="1" t="s">
        <v>259</v>
      </c>
      <c r="W33" s="1"/>
      <c r="X33" s="1" t="s">
        <v>37</v>
      </c>
      <c r="Y33" s="1" t="s">
        <v>245</v>
      </c>
      <c r="Z33" s="1">
        <v>5261</v>
      </c>
    </row>
    <row r="34" spans="1:26" ht="42">
      <c r="A34" s="1" t="str">
        <f>"000764"</f>
        <v>000764</v>
      </c>
      <c r="B34" s="1" t="s">
        <v>254</v>
      </c>
      <c r="C34" s="1" t="s">
        <v>255</v>
      </c>
      <c r="D34" s="1" t="str">
        <f>"8028237955"</f>
        <v>8028237955</v>
      </c>
      <c r="E34" s="1">
        <v>2520</v>
      </c>
      <c r="F34" s="1" t="s">
        <v>28</v>
      </c>
      <c r="G34" s="1" t="s">
        <v>260</v>
      </c>
      <c r="H34" s="1">
        <v>3516</v>
      </c>
      <c r="I34" s="1">
        <v>3</v>
      </c>
      <c r="J34" s="1" t="s">
        <v>261</v>
      </c>
      <c r="K34" s="1" t="s">
        <v>187</v>
      </c>
      <c r="L34" s="1" t="s">
        <v>242</v>
      </c>
      <c r="M34" s="1" t="s">
        <v>262</v>
      </c>
      <c r="N34" s="2">
        <v>36892</v>
      </c>
      <c r="O34" s="1"/>
      <c r="P34" s="2">
        <v>37943</v>
      </c>
      <c r="Q34" s="1" t="s">
        <v>34</v>
      </c>
      <c r="R34" s="1"/>
      <c r="S34" s="1" t="s">
        <v>35</v>
      </c>
      <c r="T34" s="1">
        <v>42.770966000000001</v>
      </c>
      <c r="U34" s="1">
        <v>-73.224761999999998</v>
      </c>
      <c r="V34" s="1" t="s">
        <v>263</v>
      </c>
      <c r="W34" s="1"/>
      <c r="X34" s="1" t="s">
        <v>37</v>
      </c>
      <c r="Y34" s="1" t="s">
        <v>245</v>
      </c>
      <c r="Z34" s="1">
        <v>5261</v>
      </c>
    </row>
    <row r="35" spans="1:26" ht="42">
      <c r="A35" s="1" t="str">
        <f>"000764"</f>
        <v>000764</v>
      </c>
      <c r="B35" s="1" t="s">
        <v>254</v>
      </c>
      <c r="C35" s="1" t="s">
        <v>255</v>
      </c>
      <c r="D35" s="1" t="str">
        <f>"8028237955"</f>
        <v>8028237955</v>
      </c>
      <c r="E35" s="1">
        <v>2520</v>
      </c>
      <c r="F35" s="1" t="s">
        <v>28</v>
      </c>
      <c r="G35" s="1" t="s">
        <v>264</v>
      </c>
      <c r="H35" s="1"/>
      <c r="I35" s="1">
        <v>0</v>
      </c>
      <c r="J35" s="1" t="s">
        <v>265</v>
      </c>
      <c r="K35" s="1" t="s">
        <v>187</v>
      </c>
      <c r="L35" s="1" t="s">
        <v>242</v>
      </c>
      <c r="M35" s="1" t="s">
        <v>266</v>
      </c>
      <c r="N35" s="2">
        <v>42163</v>
      </c>
      <c r="O35" s="2">
        <v>43243</v>
      </c>
      <c r="P35" s="1"/>
      <c r="Q35" s="1" t="s">
        <v>34</v>
      </c>
      <c r="R35" s="1"/>
      <c r="S35" s="1" t="s">
        <v>35</v>
      </c>
      <c r="T35" s="1">
        <v>42.761628599999902</v>
      </c>
      <c r="U35" s="1">
        <v>-73.206316099999896</v>
      </c>
      <c r="V35" s="1" t="s">
        <v>267</v>
      </c>
      <c r="W35" s="1"/>
      <c r="X35" s="1" t="s">
        <v>37</v>
      </c>
      <c r="Y35" s="1" t="s">
        <v>245</v>
      </c>
      <c r="Z35" s="1">
        <v>5261</v>
      </c>
    </row>
    <row r="36" spans="1:26" ht="42">
      <c r="A36" s="1" t="str">
        <f>"00076A"</f>
        <v>00076A</v>
      </c>
      <c r="B36" s="1" t="s">
        <v>268</v>
      </c>
      <c r="C36" s="1" t="s">
        <v>269</v>
      </c>
      <c r="D36" s="1" t="str">
        <f>"8024471826"</f>
        <v>8024471826</v>
      </c>
      <c r="E36" s="1">
        <v>2380</v>
      </c>
      <c r="F36" s="1" t="s">
        <v>28</v>
      </c>
      <c r="G36" s="1" t="s">
        <v>270</v>
      </c>
      <c r="H36" s="1">
        <v>2979</v>
      </c>
      <c r="I36" s="1">
        <v>4</v>
      </c>
      <c r="J36" s="1">
        <v>1</v>
      </c>
      <c r="K36" s="1" t="s">
        <v>187</v>
      </c>
      <c r="L36" s="1" t="s">
        <v>242</v>
      </c>
      <c r="M36" s="1" t="s">
        <v>271</v>
      </c>
      <c r="N36" s="2">
        <v>36892</v>
      </c>
      <c r="O36" s="1"/>
      <c r="P36" s="2">
        <v>32332</v>
      </c>
      <c r="Q36" s="1" t="s">
        <v>34</v>
      </c>
      <c r="R36" s="1"/>
      <c r="S36" s="1" t="s">
        <v>35</v>
      </c>
      <c r="T36" s="1">
        <v>42.8185401</v>
      </c>
      <c r="U36" s="1">
        <v>-73.180240400000002</v>
      </c>
      <c r="V36" s="1" t="s">
        <v>272</v>
      </c>
      <c r="W36" s="1"/>
      <c r="X36" s="1" t="s">
        <v>37</v>
      </c>
      <c r="Y36" s="1" t="s">
        <v>245</v>
      </c>
      <c r="Z36" s="1">
        <v>5201</v>
      </c>
    </row>
    <row r="37" spans="1:26" ht="42">
      <c r="A37" s="1" t="str">
        <f>"00076P"</f>
        <v>00076P</v>
      </c>
      <c r="B37" s="1" t="s">
        <v>273</v>
      </c>
      <c r="C37" s="1" t="s">
        <v>274</v>
      </c>
      <c r="D37" s="1" t="str">
        <f>"8026941427"</f>
        <v>8026941427</v>
      </c>
      <c r="E37" s="1">
        <v>336</v>
      </c>
      <c r="F37" s="1" t="s">
        <v>28</v>
      </c>
      <c r="G37" s="1" t="s">
        <v>275</v>
      </c>
      <c r="H37" s="1">
        <v>410</v>
      </c>
      <c r="I37" s="1">
        <v>4</v>
      </c>
      <c r="J37" s="1" t="s">
        <v>276</v>
      </c>
      <c r="K37" s="1" t="s">
        <v>187</v>
      </c>
      <c r="L37" s="1" t="s">
        <v>277</v>
      </c>
      <c r="M37" s="1" t="s">
        <v>278</v>
      </c>
      <c r="N37" s="2">
        <v>36892</v>
      </c>
      <c r="O37" s="1"/>
      <c r="P37" s="2">
        <v>32374</v>
      </c>
      <c r="Q37" s="1" t="s">
        <v>34</v>
      </c>
      <c r="R37" s="1"/>
      <c r="S37" s="1" t="s">
        <v>35</v>
      </c>
      <c r="T37" s="1">
        <v>42.756988999999997</v>
      </c>
      <c r="U37" s="1">
        <v>-73.076453999999998</v>
      </c>
      <c r="V37" s="1" t="s">
        <v>279</v>
      </c>
      <c r="W37" s="1"/>
      <c r="X37" s="1" t="s">
        <v>37</v>
      </c>
      <c r="Y37" s="1" t="s">
        <v>280</v>
      </c>
      <c r="Z37" s="1">
        <v>5352</v>
      </c>
    </row>
    <row r="38" spans="1:26" ht="42">
      <c r="A38" s="1" t="str">
        <f>"00076V"</f>
        <v>00076V</v>
      </c>
      <c r="B38" s="1" t="s">
        <v>281</v>
      </c>
      <c r="C38" s="1" t="s">
        <v>282</v>
      </c>
      <c r="D38" s="1" t="str">
        <f>"9734772831"</f>
        <v>9734772831</v>
      </c>
      <c r="E38" s="1">
        <v>3652</v>
      </c>
      <c r="F38" s="1" t="s">
        <v>28</v>
      </c>
      <c r="G38" s="1" t="s">
        <v>283</v>
      </c>
      <c r="H38" s="1">
        <v>4836</v>
      </c>
      <c r="I38" s="1">
        <v>5</v>
      </c>
      <c r="J38" s="1" t="s">
        <v>284</v>
      </c>
      <c r="K38" s="1" t="s">
        <v>187</v>
      </c>
      <c r="L38" s="1" t="s">
        <v>285</v>
      </c>
      <c r="M38" s="1" t="s">
        <v>286</v>
      </c>
      <c r="N38" s="2">
        <v>36892</v>
      </c>
      <c r="O38" s="1"/>
      <c r="P38" s="2">
        <v>39981</v>
      </c>
      <c r="Q38" s="1" t="s">
        <v>34</v>
      </c>
      <c r="R38" s="1"/>
      <c r="S38" s="1" t="s">
        <v>35</v>
      </c>
      <c r="T38" s="1">
        <v>43.096478352772301</v>
      </c>
      <c r="U38" s="1">
        <v>-73.204189538955603</v>
      </c>
      <c r="V38" s="1" t="s">
        <v>287</v>
      </c>
      <c r="W38" s="1"/>
      <c r="X38" s="1" t="s">
        <v>37</v>
      </c>
      <c r="Y38" s="1" t="s">
        <v>288</v>
      </c>
      <c r="Z38" s="1">
        <v>5000</v>
      </c>
    </row>
    <row r="39" spans="1:26" ht="42">
      <c r="A39" s="1" t="str">
        <f>"00076W"</f>
        <v>00076W</v>
      </c>
      <c r="B39" s="1" t="s">
        <v>289</v>
      </c>
      <c r="C39" s="1" t="s">
        <v>290</v>
      </c>
      <c r="D39" s="1" t="str">
        <f>"8024470425"</f>
        <v>8024470425</v>
      </c>
      <c r="E39" s="1">
        <v>339</v>
      </c>
      <c r="F39" s="1" t="s">
        <v>28</v>
      </c>
      <c r="G39" s="1" t="s">
        <v>291</v>
      </c>
      <c r="H39" s="1">
        <v>414</v>
      </c>
      <c r="I39" s="1">
        <v>6</v>
      </c>
      <c r="J39" s="1" t="s">
        <v>292</v>
      </c>
      <c r="K39" s="1" t="s">
        <v>187</v>
      </c>
      <c r="L39" s="1" t="s">
        <v>293</v>
      </c>
      <c r="M39" s="1" t="s">
        <v>294</v>
      </c>
      <c r="N39" s="2">
        <v>36892</v>
      </c>
      <c r="O39" s="1"/>
      <c r="P39" s="2">
        <v>42947</v>
      </c>
      <c r="Q39" s="1" t="s">
        <v>34</v>
      </c>
      <c r="R39" s="1"/>
      <c r="S39" s="1" t="s">
        <v>35</v>
      </c>
      <c r="T39" s="1">
        <v>42.982988405073797</v>
      </c>
      <c r="U39" s="1">
        <v>-73.265696614980698</v>
      </c>
      <c r="V39" s="1" t="s">
        <v>295</v>
      </c>
      <c r="W39" s="1"/>
      <c r="X39" s="1" t="s">
        <v>37</v>
      </c>
      <c r="Y39" s="1" t="s">
        <v>296</v>
      </c>
      <c r="Z39" s="1">
        <v>5257</v>
      </c>
    </row>
    <row r="40" spans="1:26" ht="42">
      <c r="A40" s="1" t="str">
        <f>"00076X"</f>
        <v>00076X</v>
      </c>
      <c r="B40" s="1" t="s">
        <v>297</v>
      </c>
      <c r="C40" s="1" t="s">
        <v>298</v>
      </c>
      <c r="D40" s="1" t="str">
        <f>"8026842025"</f>
        <v>8026842025</v>
      </c>
      <c r="E40" s="1">
        <v>2892</v>
      </c>
      <c r="F40" s="1" t="s">
        <v>28</v>
      </c>
      <c r="G40" s="1" t="s">
        <v>299</v>
      </c>
      <c r="H40" s="1">
        <v>4461</v>
      </c>
      <c r="I40" s="1">
        <v>1</v>
      </c>
      <c r="J40" s="1" t="s">
        <v>300</v>
      </c>
      <c r="K40" s="1" t="s">
        <v>59</v>
      </c>
      <c r="L40" s="1" t="s">
        <v>301</v>
      </c>
      <c r="M40" s="1" t="s">
        <v>302</v>
      </c>
      <c r="N40" s="2">
        <v>36892</v>
      </c>
      <c r="O40" s="1"/>
      <c r="P40" s="2">
        <v>40023</v>
      </c>
      <c r="Q40" s="1" t="s">
        <v>34</v>
      </c>
      <c r="R40" s="1"/>
      <c r="S40" s="1" t="s">
        <v>35</v>
      </c>
      <c r="T40" s="1">
        <v>44.417692000000002</v>
      </c>
      <c r="U40" s="1">
        <v>-72.139376999999897</v>
      </c>
      <c r="V40" s="1" t="s">
        <v>303</v>
      </c>
      <c r="W40" s="1"/>
      <c r="X40" s="1" t="s">
        <v>37</v>
      </c>
      <c r="Y40" s="1" t="s">
        <v>304</v>
      </c>
      <c r="Z40" s="1">
        <v>5828</v>
      </c>
    </row>
    <row r="41" spans="1:26" ht="42">
      <c r="A41" s="1" t="str">
        <f>"000771"</f>
        <v>000771</v>
      </c>
      <c r="B41" s="1" t="s">
        <v>305</v>
      </c>
      <c r="C41" s="1" t="s">
        <v>306</v>
      </c>
      <c r="D41" s="1" t="str">
        <f>"8028753617"</f>
        <v>8028753617</v>
      </c>
      <c r="E41" s="1">
        <v>346</v>
      </c>
      <c r="F41" s="1" t="s">
        <v>28</v>
      </c>
      <c r="G41" s="1" t="s">
        <v>307</v>
      </c>
      <c r="H41" s="1">
        <v>422</v>
      </c>
      <c r="I41" s="1">
        <v>1</v>
      </c>
      <c r="J41" s="1" t="s">
        <v>308</v>
      </c>
      <c r="K41" s="1" t="s">
        <v>77</v>
      </c>
      <c r="L41" s="1" t="s">
        <v>309</v>
      </c>
      <c r="M41" s="1" t="s">
        <v>310</v>
      </c>
      <c r="N41" s="2">
        <v>36892</v>
      </c>
      <c r="O41" s="1"/>
      <c r="P41" s="1"/>
      <c r="Q41" s="1" t="s">
        <v>34</v>
      </c>
      <c r="R41" s="1"/>
      <c r="S41" s="1" t="s">
        <v>35</v>
      </c>
      <c r="T41" s="1">
        <v>43.268428999999998</v>
      </c>
      <c r="U41" s="1">
        <v>-72.731125000000006</v>
      </c>
      <c r="V41" s="1" t="s">
        <v>311</v>
      </c>
      <c r="W41" s="1"/>
      <c r="X41" s="1" t="s">
        <v>37</v>
      </c>
      <c r="Y41" s="1" t="s">
        <v>312</v>
      </c>
      <c r="Z41" s="1">
        <v>5143</v>
      </c>
    </row>
    <row r="42" spans="1:26" ht="42">
      <c r="A42" s="1" t="str">
        <f>"000772"</f>
        <v>000772</v>
      </c>
      <c r="B42" s="1" t="s">
        <v>313</v>
      </c>
      <c r="C42" s="1" t="s">
        <v>314</v>
      </c>
      <c r="D42" s="1" t="str">
        <f>"8028783096"</f>
        <v>8028783096</v>
      </c>
      <c r="E42" s="1">
        <v>3229</v>
      </c>
      <c r="F42" s="1" t="s">
        <v>28</v>
      </c>
      <c r="G42" s="1" t="s">
        <v>315</v>
      </c>
      <c r="H42" s="1">
        <v>4306</v>
      </c>
      <c r="I42" s="1">
        <v>1</v>
      </c>
      <c r="J42" s="1" t="s">
        <v>316</v>
      </c>
      <c r="K42" s="1" t="s">
        <v>43</v>
      </c>
      <c r="L42" s="1" t="s">
        <v>317</v>
      </c>
      <c r="M42" s="1" t="s">
        <v>318</v>
      </c>
      <c r="N42" s="2">
        <v>36892</v>
      </c>
      <c r="O42" s="1"/>
      <c r="P42" s="1"/>
      <c r="Q42" s="1" t="s">
        <v>34</v>
      </c>
      <c r="R42" s="1"/>
      <c r="S42" s="1" t="s">
        <v>35</v>
      </c>
      <c r="T42" s="1">
        <v>44.564779000000001</v>
      </c>
      <c r="U42" s="1">
        <v>-72.999733999999904</v>
      </c>
      <c r="V42" s="1" t="s">
        <v>319</v>
      </c>
      <c r="W42" s="1"/>
      <c r="X42" s="1" t="s">
        <v>37</v>
      </c>
      <c r="Y42" s="1" t="s">
        <v>320</v>
      </c>
      <c r="Z42" s="1">
        <v>5494</v>
      </c>
    </row>
    <row r="43" spans="1:26" ht="42">
      <c r="A43" s="1" t="str">
        <f>"000776"</f>
        <v>000776</v>
      </c>
      <c r="B43" s="1" t="s">
        <v>321</v>
      </c>
      <c r="C43" s="1" t="s">
        <v>322</v>
      </c>
      <c r="D43" s="1" t="str">
        <f>"8022635505"</f>
        <v>8022635505</v>
      </c>
      <c r="E43" s="1">
        <v>3412</v>
      </c>
      <c r="F43" s="1" t="s">
        <v>28</v>
      </c>
      <c r="G43" s="1" t="s">
        <v>323</v>
      </c>
      <c r="H43" s="1">
        <v>4615</v>
      </c>
      <c r="I43" s="1">
        <v>1</v>
      </c>
      <c r="J43" s="1" t="s">
        <v>324</v>
      </c>
      <c r="K43" s="1" t="s">
        <v>77</v>
      </c>
      <c r="L43" s="1" t="s">
        <v>325</v>
      </c>
      <c r="M43" s="1" t="s">
        <v>326</v>
      </c>
      <c r="N43" s="2">
        <v>36892</v>
      </c>
      <c r="O43" s="1"/>
      <c r="P43" s="1"/>
      <c r="Q43" s="1" t="s">
        <v>34</v>
      </c>
      <c r="R43" s="1"/>
      <c r="S43" s="1" t="s">
        <v>35</v>
      </c>
      <c r="T43" s="1">
        <v>43.378098000000001</v>
      </c>
      <c r="U43" s="1">
        <v>-72.484166500000001</v>
      </c>
      <c r="V43" s="1" t="s">
        <v>327</v>
      </c>
      <c r="W43" s="1"/>
      <c r="X43" s="1" t="s">
        <v>37</v>
      </c>
      <c r="Y43" s="1" t="s">
        <v>328</v>
      </c>
      <c r="Z43" s="1">
        <v>5151</v>
      </c>
    </row>
    <row r="44" spans="1:26" ht="42">
      <c r="A44" s="1" t="str">
        <f>"000779"</f>
        <v>000779</v>
      </c>
      <c r="B44" s="1" t="s">
        <v>329</v>
      </c>
      <c r="C44" s="1" t="s">
        <v>330</v>
      </c>
      <c r="D44" s="1" t="str">
        <f>"8024623517"</f>
        <v>8024623517</v>
      </c>
      <c r="E44" s="1">
        <v>3682</v>
      </c>
      <c r="F44" s="1" t="s">
        <v>28</v>
      </c>
      <c r="G44" s="1" t="s">
        <v>331</v>
      </c>
      <c r="H44" s="1">
        <v>4882</v>
      </c>
      <c r="I44" s="1">
        <v>0</v>
      </c>
      <c r="J44" s="1" t="s">
        <v>332</v>
      </c>
      <c r="K44" s="1" t="s">
        <v>333</v>
      </c>
      <c r="L44" s="1" t="s">
        <v>334</v>
      </c>
      <c r="M44" s="1" t="s">
        <v>335</v>
      </c>
      <c r="N44" s="2">
        <v>36892</v>
      </c>
      <c r="O44" s="1"/>
      <c r="P44" s="1"/>
      <c r="Q44" s="1" t="s">
        <v>34</v>
      </c>
      <c r="R44" s="1"/>
      <c r="S44" s="1" t="s">
        <v>35</v>
      </c>
      <c r="T44" s="1">
        <v>43.953734999999902</v>
      </c>
      <c r="U44" s="1">
        <v>-73.2505259</v>
      </c>
      <c r="V44" s="1" t="s">
        <v>336</v>
      </c>
      <c r="W44" s="1"/>
      <c r="X44" s="1" t="s">
        <v>37</v>
      </c>
      <c r="Y44" s="1" t="s">
        <v>337</v>
      </c>
      <c r="Z44" s="1">
        <v>5753</v>
      </c>
    </row>
    <row r="45" spans="1:26" ht="42">
      <c r="A45" s="1" t="str">
        <f>"00077G"</f>
        <v>00077G</v>
      </c>
      <c r="B45" s="1" t="s">
        <v>338</v>
      </c>
      <c r="C45" s="1" t="s">
        <v>339</v>
      </c>
      <c r="D45" s="1" t="str">
        <f>"8028791783"</f>
        <v>8028791783</v>
      </c>
      <c r="E45" s="1">
        <v>3666</v>
      </c>
      <c r="F45" s="1" t="s">
        <v>28</v>
      </c>
      <c r="G45" s="1" t="s">
        <v>340</v>
      </c>
      <c r="H45" s="1">
        <v>4857</v>
      </c>
      <c r="I45" s="1">
        <v>1</v>
      </c>
      <c r="J45" s="1" t="s">
        <v>341</v>
      </c>
      <c r="K45" s="1" t="s">
        <v>43</v>
      </c>
      <c r="L45" s="1" t="s">
        <v>178</v>
      </c>
      <c r="M45" s="1" t="s">
        <v>342</v>
      </c>
      <c r="N45" s="2">
        <v>36892</v>
      </c>
      <c r="O45" s="1"/>
      <c r="P45" s="2">
        <v>39330</v>
      </c>
      <c r="Q45" s="1" t="s">
        <v>34</v>
      </c>
      <c r="R45" s="1"/>
      <c r="S45" s="1" t="s">
        <v>35</v>
      </c>
      <c r="T45" s="1">
        <v>44.510426000000002</v>
      </c>
      <c r="U45" s="1">
        <v>-73.127110999999999</v>
      </c>
      <c r="V45" s="1" t="s">
        <v>343</v>
      </c>
      <c r="W45" s="1"/>
      <c r="X45" s="1" t="s">
        <v>37</v>
      </c>
      <c r="Y45" s="1" t="s">
        <v>181</v>
      </c>
      <c r="Z45" s="1">
        <v>5452</v>
      </c>
    </row>
    <row r="46" spans="1:26" ht="42">
      <c r="A46" s="1" t="str">
        <f>"00077J"</f>
        <v>00077J</v>
      </c>
      <c r="B46" s="1" t="s">
        <v>344</v>
      </c>
      <c r="C46" s="1" t="s">
        <v>345</v>
      </c>
      <c r="D46" s="1" t="str">
        <f>"8024823185"</f>
        <v>8024823185</v>
      </c>
      <c r="E46" s="1">
        <v>2877</v>
      </c>
      <c r="F46" s="1" t="s">
        <v>28</v>
      </c>
      <c r="G46" s="1" t="s">
        <v>346</v>
      </c>
      <c r="H46" s="1">
        <v>3792</v>
      </c>
      <c r="I46" s="1">
        <v>1</v>
      </c>
      <c r="J46" s="1" t="s">
        <v>347</v>
      </c>
      <c r="K46" s="1" t="s">
        <v>43</v>
      </c>
      <c r="L46" s="1" t="s">
        <v>348</v>
      </c>
      <c r="M46" s="1" t="s">
        <v>349</v>
      </c>
      <c r="N46" s="2">
        <v>36892</v>
      </c>
      <c r="O46" s="1"/>
      <c r="P46" s="2">
        <v>39275</v>
      </c>
      <c r="Q46" s="1" t="s">
        <v>34</v>
      </c>
      <c r="R46" s="1"/>
      <c r="S46" s="1" t="s">
        <v>35</v>
      </c>
      <c r="T46" s="1">
        <v>44.361045999999902</v>
      </c>
      <c r="U46" s="1">
        <v>-73.093245899999999</v>
      </c>
      <c r="V46" s="1" t="s">
        <v>350</v>
      </c>
      <c r="W46" s="1"/>
      <c r="X46" s="1" t="s">
        <v>37</v>
      </c>
      <c r="Y46" s="1" t="s">
        <v>351</v>
      </c>
      <c r="Z46" s="1">
        <v>5461</v>
      </c>
    </row>
    <row r="47" spans="1:26" ht="42">
      <c r="A47" s="1" t="str">
        <f>"000786"</f>
        <v>000786</v>
      </c>
      <c r="B47" s="1" t="s">
        <v>352</v>
      </c>
      <c r="C47" s="1" t="s">
        <v>353</v>
      </c>
      <c r="D47" s="1" t="str">
        <f>"8023487759"</f>
        <v>8023487759</v>
      </c>
      <c r="E47" s="1">
        <v>4009</v>
      </c>
      <c r="F47" s="1" t="s">
        <v>28</v>
      </c>
      <c r="G47" s="1" t="s">
        <v>354</v>
      </c>
      <c r="H47" s="1">
        <v>5323</v>
      </c>
      <c r="I47" s="1">
        <v>1</v>
      </c>
      <c r="J47" s="1" t="s">
        <v>355</v>
      </c>
      <c r="K47" s="1" t="s">
        <v>144</v>
      </c>
      <c r="L47" s="1" t="s">
        <v>356</v>
      </c>
      <c r="M47" s="1" t="s">
        <v>357</v>
      </c>
      <c r="N47" s="2">
        <v>36892</v>
      </c>
      <c r="O47" s="1"/>
      <c r="P47" s="1"/>
      <c r="Q47" s="1" t="s">
        <v>34</v>
      </c>
      <c r="R47" s="1"/>
      <c r="S47" s="1" t="s">
        <v>35</v>
      </c>
      <c r="T47" s="1">
        <v>42.959194699999998</v>
      </c>
      <c r="U47" s="1">
        <v>-72.751365099999902</v>
      </c>
      <c r="V47" s="1" t="s">
        <v>358</v>
      </c>
      <c r="W47" s="1"/>
      <c r="X47" s="1" t="s">
        <v>37</v>
      </c>
      <c r="Y47" s="1" t="s">
        <v>359</v>
      </c>
      <c r="Z47" s="1">
        <v>5351</v>
      </c>
    </row>
    <row r="48" spans="1:26" ht="42">
      <c r="A48" s="1" t="str">
        <f>"00078F"</f>
        <v>00078F</v>
      </c>
      <c r="B48" s="1" t="s">
        <v>360</v>
      </c>
      <c r="C48" s="1" t="s">
        <v>361</v>
      </c>
      <c r="D48" s="1" t="str">
        <f>"8028993941"</f>
        <v>8028993941</v>
      </c>
      <c r="E48" s="1">
        <v>3098</v>
      </c>
      <c r="F48" s="1" t="s">
        <v>28</v>
      </c>
      <c r="G48" s="1" t="s">
        <v>362</v>
      </c>
      <c r="H48" s="1">
        <v>4197</v>
      </c>
      <c r="I48" s="1">
        <v>5</v>
      </c>
      <c r="J48" s="1" t="s">
        <v>363</v>
      </c>
      <c r="K48" s="1" t="s">
        <v>43</v>
      </c>
      <c r="L48" s="1" t="s">
        <v>364</v>
      </c>
      <c r="M48" s="1" t="s">
        <v>365</v>
      </c>
      <c r="N48" s="2">
        <v>36892</v>
      </c>
      <c r="O48" s="1"/>
      <c r="P48" s="2">
        <v>38616</v>
      </c>
      <c r="Q48" s="1" t="s">
        <v>34</v>
      </c>
      <c r="R48" s="1"/>
      <c r="S48" s="1" t="s">
        <v>35</v>
      </c>
      <c r="T48" s="1">
        <v>44.484458570652997</v>
      </c>
      <c r="U48" s="1">
        <v>-72.958665490150395</v>
      </c>
      <c r="V48" s="1" t="s">
        <v>366</v>
      </c>
      <c r="W48" s="1"/>
      <c r="X48" s="1" t="s">
        <v>37</v>
      </c>
      <c r="Y48" s="1" t="s">
        <v>367</v>
      </c>
      <c r="Z48" s="1">
        <v>5465</v>
      </c>
    </row>
    <row r="49" spans="1:26" ht="42">
      <c r="A49" s="1" t="str">
        <f>"00078G"</f>
        <v>00078G</v>
      </c>
      <c r="B49" s="1" t="s">
        <v>368</v>
      </c>
      <c r="C49" s="1" t="s">
        <v>369</v>
      </c>
      <c r="D49" s="1" t="str">
        <f>"8028753741"</f>
        <v>8028753741</v>
      </c>
      <c r="E49" s="1">
        <v>429</v>
      </c>
      <c r="F49" s="1" t="s">
        <v>28</v>
      </c>
      <c r="G49" s="1" t="s">
        <v>370</v>
      </c>
      <c r="H49" s="1">
        <v>2470</v>
      </c>
      <c r="I49" s="1">
        <v>6</v>
      </c>
      <c r="J49" s="1" t="s">
        <v>371</v>
      </c>
      <c r="K49" s="1" t="s">
        <v>77</v>
      </c>
      <c r="L49" s="1" t="s">
        <v>372</v>
      </c>
      <c r="M49" s="1" t="s">
        <v>373</v>
      </c>
      <c r="N49" s="2">
        <v>36892</v>
      </c>
      <c r="O49" s="1"/>
      <c r="P49" s="1"/>
      <c r="Q49" s="1" t="s">
        <v>34</v>
      </c>
      <c r="R49" s="1"/>
      <c r="S49" s="1" t="s">
        <v>35</v>
      </c>
      <c r="T49" s="1">
        <v>43.238750942554297</v>
      </c>
      <c r="U49" s="1">
        <v>-72.540385723113999</v>
      </c>
      <c r="V49" s="1" t="s">
        <v>374</v>
      </c>
      <c r="W49" s="1"/>
      <c r="X49" s="1" t="s">
        <v>37</v>
      </c>
      <c r="Y49" s="1" t="s">
        <v>375</v>
      </c>
      <c r="Z49" s="1">
        <v>5156</v>
      </c>
    </row>
    <row r="50" spans="1:26" ht="42">
      <c r="A50" s="1" t="str">
        <f>"0007A1"</f>
        <v>0007A1</v>
      </c>
      <c r="B50" s="1" t="s">
        <v>376</v>
      </c>
      <c r="C50" s="1" t="s">
        <v>377</v>
      </c>
      <c r="D50" s="1" t="str">
        <f>"8028883242"</f>
        <v>8028883242</v>
      </c>
      <c r="E50" s="1">
        <v>3591</v>
      </c>
      <c r="F50" s="1" t="s">
        <v>28</v>
      </c>
      <c r="G50" s="1" t="s">
        <v>378</v>
      </c>
      <c r="H50" s="1">
        <v>4933</v>
      </c>
      <c r="I50" s="1">
        <v>2</v>
      </c>
      <c r="J50" s="1" t="s">
        <v>379</v>
      </c>
      <c r="K50" s="1" t="s">
        <v>170</v>
      </c>
      <c r="L50" s="1" t="s">
        <v>380</v>
      </c>
      <c r="M50" s="1" t="s">
        <v>381</v>
      </c>
      <c r="N50" s="2">
        <v>36892</v>
      </c>
      <c r="O50" s="1"/>
      <c r="P50" s="1"/>
      <c r="Q50" s="1" t="s">
        <v>34</v>
      </c>
      <c r="R50" s="1"/>
      <c r="S50" s="1" t="s">
        <v>35</v>
      </c>
      <c r="T50" s="1">
        <v>44.550823000000001</v>
      </c>
      <c r="U50" s="1">
        <v>-72.6793748999999</v>
      </c>
      <c r="V50" s="1" t="s">
        <v>382</v>
      </c>
      <c r="W50" s="1"/>
      <c r="X50" s="1" t="s">
        <v>37</v>
      </c>
      <c r="Y50" s="1" t="s">
        <v>383</v>
      </c>
      <c r="Z50" s="1">
        <v>5661</v>
      </c>
    </row>
    <row r="51" spans="1:26" ht="42">
      <c r="A51" s="1" t="str">
        <f>"0007A1"</f>
        <v>0007A1</v>
      </c>
      <c r="B51" s="1" t="s">
        <v>376</v>
      </c>
      <c r="C51" s="1" t="s">
        <v>377</v>
      </c>
      <c r="D51" s="1" t="str">
        <f>"8028883242"</f>
        <v>8028883242</v>
      </c>
      <c r="E51" s="1">
        <v>3591</v>
      </c>
      <c r="F51" s="1" t="s">
        <v>28</v>
      </c>
      <c r="G51" s="1" t="s">
        <v>384</v>
      </c>
      <c r="H51" s="1">
        <v>4932</v>
      </c>
      <c r="I51" s="1">
        <v>8</v>
      </c>
      <c r="J51" s="1" t="s">
        <v>385</v>
      </c>
      <c r="K51" s="1" t="s">
        <v>170</v>
      </c>
      <c r="L51" s="1" t="s">
        <v>380</v>
      </c>
      <c r="M51" s="1" t="s">
        <v>386</v>
      </c>
      <c r="N51" s="2">
        <v>36892</v>
      </c>
      <c r="O51" s="1"/>
      <c r="P51" s="1"/>
      <c r="Q51" s="1" t="s">
        <v>34</v>
      </c>
      <c r="R51" s="1"/>
      <c r="S51" s="1" t="s">
        <v>35</v>
      </c>
      <c r="T51" s="1">
        <v>44.548217999999999</v>
      </c>
      <c r="U51" s="1">
        <v>-72.605063999999899</v>
      </c>
      <c r="V51" s="1" t="s">
        <v>387</v>
      </c>
      <c r="W51" s="1"/>
      <c r="X51" s="1" t="s">
        <v>37</v>
      </c>
      <c r="Y51" s="1" t="s">
        <v>383</v>
      </c>
      <c r="Z51" s="1">
        <v>5661</v>
      </c>
    </row>
    <row r="52" spans="1:26" ht="42">
      <c r="A52" s="1" t="str">
        <f>"0007B0"</f>
        <v>0007B0</v>
      </c>
      <c r="B52" s="1" t="s">
        <v>388</v>
      </c>
      <c r="C52" s="1" t="s">
        <v>389</v>
      </c>
      <c r="D52" s="1" t="str">
        <f>"8028755415"</f>
        <v>8028755415</v>
      </c>
      <c r="E52" s="1">
        <v>4007</v>
      </c>
      <c r="F52" s="1" t="s">
        <v>28</v>
      </c>
      <c r="G52" s="1" t="s">
        <v>390</v>
      </c>
      <c r="H52" s="1"/>
      <c r="I52" s="1">
        <v>5</v>
      </c>
      <c r="J52" s="1" t="s">
        <v>391</v>
      </c>
      <c r="K52" s="1" t="s">
        <v>187</v>
      </c>
      <c r="L52" s="1" t="s">
        <v>392</v>
      </c>
      <c r="M52" s="1" t="s">
        <v>393</v>
      </c>
      <c r="N52" s="2">
        <v>42116</v>
      </c>
      <c r="O52" s="1"/>
      <c r="P52" s="2">
        <v>42993</v>
      </c>
      <c r="Q52" s="1" t="s">
        <v>34</v>
      </c>
      <c r="R52" s="1"/>
      <c r="S52" s="1" t="s">
        <v>35</v>
      </c>
      <c r="T52" s="1">
        <v>43.149072962772202</v>
      </c>
      <c r="U52" s="1">
        <v>-73.0743598937988</v>
      </c>
      <c r="V52" s="1" t="s">
        <v>394</v>
      </c>
      <c r="W52" s="1"/>
      <c r="X52" s="1" t="s">
        <v>37</v>
      </c>
      <c r="Y52" s="1" t="s">
        <v>395</v>
      </c>
      <c r="Z52" s="1">
        <v>5254</v>
      </c>
    </row>
    <row r="53" spans="1:26" ht="42">
      <c r="A53" s="1" t="str">
        <f>"0007B0"</f>
        <v>0007B0</v>
      </c>
      <c r="B53" s="1" t="s">
        <v>388</v>
      </c>
      <c r="C53" s="1" t="s">
        <v>389</v>
      </c>
      <c r="D53" s="1" t="str">
        <f>"8028755415"</f>
        <v>8028755415</v>
      </c>
      <c r="E53" s="1">
        <v>4007</v>
      </c>
      <c r="F53" s="1" t="s">
        <v>28</v>
      </c>
      <c r="G53" s="1" t="s">
        <v>396</v>
      </c>
      <c r="H53" s="1"/>
      <c r="I53" s="1">
        <v>2</v>
      </c>
      <c r="J53" s="1" t="s">
        <v>397</v>
      </c>
      <c r="K53" s="1" t="s">
        <v>187</v>
      </c>
      <c r="L53" s="1" t="s">
        <v>392</v>
      </c>
      <c r="M53" s="1" t="s">
        <v>398</v>
      </c>
      <c r="N53" s="2">
        <v>42523</v>
      </c>
      <c r="O53" s="1"/>
      <c r="P53" s="2">
        <v>42993</v>
      </c>
      <c r="Q53" s="1" t="s">
        <v>34</v>
      </c>
      <c r="R53" s="1"/>
      <c r="S53" s="1" t="s">
        <v>35</v>
      </c>
      <c r="T53" s="1">
        <v>43.140954299999997</v>
      </c>
      <c r="U53" s="1">
        <v>-73.081002299999994</v>
      </c>
      <c r="V53" s="1" t="s">
        <v>394</v>
      </c>
      <c r="W53" s="1"/>
      <c r="X53" s="1" t="s">
        <v>37</v>
      </c>
      <c r="Y53" s="1" t="s">
        <v>395</v>
      </c>
      <c r="Z53" s="1">
        <v>5255</v>
      </c>
    </row>
    <row r="54" spans="1:26" ht="42">
      <c r="A54" s="1" t="str">
        <f>"0007B6"</f>
        <v>0007B6</v>
      </c>
      <c r="B54" s="1" t="s">
        <v>399</v>
      </c>
      <c r="C54" s="1" t="s">
        <v>400</v>
      </c>
      <c r="D54" s="1" t="str">
        <f>"8024572828"</f>
        <v>8024572828</v>
      </c>
      <c r="E54" s="1">
        <v>2875</v>
      </c>
      <c r="F54" s="1" t="s">
        <v>28</v>
      </c>
      <c r="G54" s="1" t="s">
        <v>401</v>
      </c>
      <c r="H54" s="1"/>
      <c r="I54" s="1">
        <v>2</v>
      </c>
      <c r="J54" s="1" t="s">
        <v>402</v>
      </c>
      <c r="K54" s="1" t="s">
        <v>77</v>
      </c>
      <c r="L54" s="1" t="s">
        <v>403</v>
      </c>
      <c r="M54" s="1" t="s">
        <v>404</v>
      </c>
      <c r="N54" s="2">
        <v>41695</v>
      </c>
      <c r="O54" s="1"/>
      <c r="P54" s="1"/>
      <c r="Q54" s="1" t="s">
        <v>34</v>
      </c>
      <c r="R54" s="1"/>
      <c r="S54" s="1" t="s">
        <v>35</v>
      </c>
      <c r="T54" s="1">
        <v>43.602167600000001</v>
      </c>
      <c r="U54" s="1">
        <v>-72.541997499999894</v>
      </c>
      <c r="V54" s="1" t="s">
        <v>405</v>
      </c>
      <c r="W54" s="1"/>
      <c r="X54" s="1" t="s">
        <v>37</v>
      </c>
      <c r="Y54" s="1" t="s">
        <v>406</v>
      </c>
      <c r="Z54" s="1">
        <v>5091</v>
      </c>
    </row>
    <row r="55" spans="1:26" ht="42">
      <c r="A55" s="1" t="str">
        <f>"0007BD"</f>
        <v>0007BD</v>
      </c>
      <c r="B55" s="1" t="s">
        <v>407</v>
      </c>
      <c r="C55" s="1" t="s">
        <v>408</v>
      </c>
      <c r="D55" s="1" t="str">
        <f>"8023875150"</f>
        <v>8023875150</v>
      </c>
      <c r="E55" s="1">
        <v>2441</v>
      </c>
      <c r="F55" s="1" t="s">
        <v>28</v>
      </c>
      <c r="G55" s="1" t="s">
        <v>409</v>
      </c>
      <c r="H55" s="1">
        <v>3065</v>
      </c>
      <c r="I55" s="1">
        <v>8</v>
      </c>
      <c r="J55" s="1" t="s">
        <v>410</v>
      </c>
      <c r="K55" s="1" t="s">
        <v>144</v>
      </c>
      <c r="L55" s="1" t="s">
        <v>411</v>
      </c>
      <c r="M55" s="1" t="s">
        <v>412</v>
      </c>
      <c r="N55" s="2">
        <v>36892</v>
      </c>
      <c r="O55" s="1"/>
      <c r="P55" s="2">
        <v>37931</v>
      </c>
      <c r="Q55" s="1" t="s">
        <v>34</v>
      </c>
      <c r="R55" s="1"/>
      <c r="S55" s="1" t="s">
        <v>35</v>
      </c>
      <c r="T55" s="1">
        <v>43.052677000000003</v>
      </c>
      <c r="U55" s="1">
        <v>-72.526053999999903</v>
      </c>
      <c r="V55" s="1" t="s">
        <v>413</v>
      </c>
      <c r="W55" s="1"/>
      <c r="X55" s="1" t="s">
        <v>37</v>
      </c>
      <c r="Y55" s="1" t="s">
        <v>414</v>
      </c>
      <c r="Z55" s="1">
        <v>5346</v>
      </c>
    </row>
    <row r="56" spans="1:26" ht="42">
      <c r="A56" s="1" t="str">
        <f>"0007BD"</f>
        <v>0007BD</v>
      </c>
      <c r="B56" s="1" t="s">
        <v>407</v>
      </c>
      <c r="C56" s="1" t="s">
        <v>408</v>
      </c>
      <c r="D56" s="1" t="str">
        <f>"8023875150"</f>
        <v>8023875150</v>
      </c>
      <c r="E56" s="1">
        <v>2441</v>
      </c>
      <c r="F56" s="1" t="s">
        <v>28</v>
      </c>
      <c r="G56" s="1" t="s">
        <v>415</v>
      </c>
      <c r="H56" s="1">
        <v>3879</v>
      </c>
      <c r="I56" s="1">
        <v>14</v>
      </c>
      <c r="J56" s="1" t="s">
        <v>416</v>
      </c>
      <c r="K56" s="1" t="s">
        <v>144</v>
      </c>
      <c r="L56" s="1" t="s">
        <v>411</v>
      </c>
      <c r="M56" s="1" t="s">
        <v>417</v>
      </c>
      <c r="N56" s="2">
        <v>36892</v>
      </c>
      <c r="O56" s="1"/>
      <c r="P56" s="2">
        <v>36307</v>
      </c>
      <c r="Q56" s="1" t="s">
        <v>34</v>
      </c>
      <c r="R56" s="1"/>
      <c r="S56" s="1" t="s">
        <v>35</v>
      </c>
      <c r="T56" s="1">
        <v>43.069246</v>
      </c>
      <c r="U56" s="1">
        <v>-72.557867799999997</v>
      </c>
      <c r="V56" s="1" t="s">
        <v>158</v>
      </c>
      <c r="W56" s="1"/>
      <c r="X56" s="1" t="s">
        <v>37</v>
      </c>
      <c r="Y56" s="1"/>
      <c r="Z56" s="1">
        <v>0</v>
      </c>
    </row>
    <row r="57" spans="1:26" ht="42">
      <c r="A57" s="1" t="str">
        <f>"0007BP"</f>
        <v>0007BP</v>
      </c>
      <c r="B57" s="1" t="s">
        <v>418</v>
      </c>
      <c r="C57" s="1" t="s">
        <v>419</v>
      </c>
      <c r="D57" s="1" t="str">
        <f>"8023803929"</f>
        <v>8023803929</v>
      </c>
      <c r="E57" s="1">
        <v>3146</v>
      </c>
      <c r="F57" s="1" t="s">
        <v>28</v>
      </c>
      <c r="G57" s="1" t="s">
        <v>420</v>
      </c>
      <c r="H57" s="1">
        <v>4227</v>
      </c>
      <c r="I57" s="1">
        <v>4</v>
      </c>
      <c r="J57" s="1" t="s">
        <v>421</v>
      </c>
      <c r="K57" s="1" t="s">
        <v>144</v>
      </c>
      <c r="L57" s="1" t="s">
        <v>411</v>
      </c>
      <c r="M57" s="1" t="s">
        <v>422</v>
      </c>
      <c r="N57" s="2">
        <v>36892</v>
      </c>
      <c r="O57" s="1"/>
      <c r="P57" s="2">
        <v>37782</v>
      </c>
      <c r="Q57" s="1" t="s">
        <v>34</v>
      </c>
      <c r="R57" s="1"/>
      <c r="S57" s="1" t="s">
        <v>35</v>
      </c>
      <c r="T57" s="1">
        <v>43.054543000000002</v>
      </c>
      <c r="U57" s="1">
        <v>-72.545333999999997</v>
      </c>
      <c r="V57" s="1" t="s">
        <v>423</v>
      </c>
      <c r="W57" s="1"/>
      <c r="X57" s="1" t="s">
        <v>37</v>
      </c>
      <c r="Y57" s="1" t="s">
        <v>414</v>
      </c>
      <c r="Z57" s="1">
        <v>5346</v>
      </c>
    </row>
    <row r="58" spans="1:26" ht="42">
      <c r="A58" s="1" t="str">
        <f>"0007D0"</f>
        <v>0007D0</v>
      </c>
      <c r="B58" s="1" t="s">
        <v>424</v>
      </c>
      <c r="C58" s="1" t="s">
        <v>425</v>
      </c>
      <c r="D58" s="1" t="str">
        <f>"8027963105"</f>
        <v>8027963105</v>
      </c>
      <c r="E58" s="1">
        <v>3852</v>
      </c>
      <c r="F58" s="1" t="s">
        <v>28</v>
      </c>
      <c r="G58" s="1" t="s">
        <v>426</v>
      </c>
      <c r="H58" s="1">
        <v>4963</v>
      </c>
      <c r="I58" s="1">
        <v>8</v>
      </c>
      <c r="J58" s="1" t="s">
        <v>427</v>
      </c>
      <c r="K58" s="1" t="s">
        <v>428</v>
      </c>
      <c r="L58" s="1" t="s">
        <v>429</v>
      </c>
      <c r="M58" s="1" t="s">
        <v>430</v>
      </c>
      <c r="N58" s="2">
        <v>36892</v>
      </c>
      <c r="O58" s="1"/>
      <c r="P58" s="2">
        <v>39293</v>
      </c>
      <c r="Q58" s="1" t="s">
        <v>34</v>
      </c>
      <c r="R58" s="1"/>
      <c r="S58" s="1" t="s">
        <v>35</v>
      </c>
      <c r="T58" s="1">
        <v>44.984576906060902</v>
      </c>
      <c r="U58" s="1">
        <v>-73.295451700687394</v>
      </c>
      <c r="V58" s="1" t="s">
        <v>431</v>
      </c>
      <c r="W58" s="1"/>
      <c r="X58" s="1" t="s">
        <v>37</v>
      </c>
      <c r="Y58" s="1" t="s">
        <v>432</v>
      </c>
      <c r="Z58" s="1">
        <v>5440</v>
      </c>
    </row>
    <row r="59" spans="1:26" ht="42">
      <c r="A59" s="1" t="str">
        <f>"0007D0"</f>
        <v>0007D0</v>
      </c>
      <c r="B59" s="1" t="s">
        <v>424</v>
      </c>
      <c r="C59" s="1" t="s">
        <v>425</v>
      </c>
      <c r="D59" s="1" t="str">
        <f>"8027963105"</f>
        <v>8027963105</v>
      </c>
      <c r="E59" s="1">
        <v>3852</v>
      </c>
      <c r="F59" s="1" t="s">
        <v>28</v>
      </c>
      <c r="G59" s="1" t="s">
        <v>433</v>
      </c>
      <c r="H59" s="1"/>
      <c r="I59" s="1">
        <v>2</v>
      </c>
      <c r="J59" s="1" t="s">
        <v>434</v>
      </c>
      <c r="K59" s="1" t="s">
        <v>428</v>
      </c>
      <c r="L59" s="1" t="s">
        <v>429</v>
      </c>
      <c r="M59" s="1" t="s">
        <v>435</v>
      </c>
      <c r="N59" s="2">
        <v>42913</v>
      </c>
      <c r="O59" s="1"/>
      <c r="P59" s="1"/>
      <c r="Q59" s="1" t="s">
        <v>34</v>
      </c>
      <c r="R59" s="1"/>
      <c r="S59" s="1" t="s">
        <v>35</v>
      </c>
      <c r="T59" s="1"/>
      <c r="U59" s="1"/>
      <c r="V59" s="1" t="s">
        <v>436</v>
      </c>
      <c r="W59" s="1"/>
      <c r="X59" s="1" t="s">
        <v>37</v>
      </c>
      <c r="Y59" s="1" t="s">
        <v>432</v>
      </c>
      <c r="Z59" s="1">
        <v>5440</v>
      </c>
    </row>
    <row r="60" spans="1:26" ht="42">
      <c r="A60" s="1" t="str">
        <f>"0007DJ"</f>
        <v>0007DJ</v>
      </c>
      <c r="B60" s="1" t="s">
        <v>437</v>
      </c>
      <c r="C60" s="1" t="s">
        <v>438</v>
      </c>
      <c r="D60" s="1" t="str">
        <f>"8023494279"</f>
        <v>8023494279</v>
      </c>
      <c r="E60" s="1">
        <v>2870</v>
      </c>
      <c r="F60" s="1" t="s">
        <v>28</v>
      </c>
      <c r="G60" s="1" t="s">
        <v>439</v>
      </c>
      <c r="H60" s="1">
        <v>4004</v>
      </c>
      <c r="I60" s="1">
        <v>24</v>
      </c>
      <c r="J60" s="1" t="s">
        <v>440</v>
      </c>
      <c r="K60" s="1" t="s">
        <v>333</v>
      </c>
      <c r="L60" s="1" t="s">
        <v>334</v>
      </c>
      <c r="M60" s="1" t="s">
        <v>441</v>
      </c>
      <c r="N60" s="2">
        <v>41158</v>
      </c>
      <c r="O60" s="1"/>
      <c r="P60" s="2">
        <v>41929</v>
      </c>
      <c r="Q60" s="1" t="s">
        <v>34</v>
      </c>
      <c r="R60" s="1"/>
      <c r="S60" s="1" t="s">
        <v>35</v>
      </c>
      <c r="T60" s="1">
        <v>43.96105</v>
      </c>
      <c r="U60" s="1">
        <v>-73.216629999999995</v>
      </c>
      <c r="V60" s="1" t="s">
        <v>442</v>
      </c>
      <c r="W60" s="1"/>
      <c r="X60" s="1" t="s">
        <v>37</v>
      </c>
      <c r="Y60" s="1" t="s">
        <v>337</v>
      </c>
      <c r="Z60" s="1">
        <v>0</v>
      </c>
    </row>
    <row r="61" spans="1:26" ht="42">
      <c r="A61" s="1" t="str">
        <f>"0007DJ"</f>
        <v>0007DJ</v>
      </c>
      <c r="B61" s="1" t="s">
        <v>437</v>
      </c>
      <c r="C61" s="1" t="s">
        <v>438</v>
      </c>
      <c r="D61" s="1" t="str">
        <f>"8023494279"</f>
        <v>8023494279</v>
      </c>
      <c r="E61" s="1">
        <v>2870</v>
      </c>
      <c r="F61" s="1" t="s">
        <v>28</v>
      </c>
      <c r="G61" s="1" t="s">
        <v>443</v>
      </c>
      <c r="H61" s="1">
        <v>4542</v>
      </c>
      <c r="I61" s="1">
        <v>9</v>
      </c>
      <c r="J61" s="1" t="s">
        <v>444</v>
      </c>
      <c r="K61" s="1" t="s">
        <v>333</v>
      </c>
      <c r="L61" s="1" t="s">
        <v>334</v>
      </c>
      <c r="M61" s="1" t="s">
        <v>445</v>
      </c>
      <c r="N61" s="2">
        <v>36892</v>
      </c>
      <c r="O61" s="1"/>
      <c r="P61" s="2">
        <v>42191</v>
      </c>
      <c r="Q61" s="1" t="s">
        <v>34</v>
      </c>
      <c r="R61" s="1"/>
      <c r="S61" s="1" t="s">
        <v>35</v>
      </c>
      <c r="T61" s="1">
        <v>44.003071651140402</v>
      </c>
      <c r="U61" s="1">
        <v>-73.218287229537907</v>
      </c>
      <c r="V61" s="1" t="s">
        <v>444</v>
      </c>
      <c r="W61" s="1"/>
      <c r="X61" s="1" t="s">
        <v>37</v>
      </c>
      <c r="Y61" s="1" t="s">
        <v>337</v>
      </c>
      <c r="Z61" s="1">
        <v>5753</v>
      </c>
    </row>
    <row r="62" spans="1:26" ht="42">
      <c r="A62" s="1" t="str">
        <f>"0007DJ"</f>
        <v>0007DJ</v>
      </c>
      <c r="B62" s="1" t="s">
        <v>437</v>
      </c>
      <c r="C62" s="1" t="s">
        <v>438</v>
      </c>
      <c r="D62" s="1" t="str">
        <f>"8023494279"</f>
        <v>8023494279</v>
      </c>
      <c r="E62" s="1">
        <v>2870</v>
      </c>
      <c r="F62" s="1" t="s">
        <v>28</v>
      </c>
      <c r="G62" s="1" t="s">
        <v>446</v>
      </c>
      <c r="H62" s="1">
        <v>5163</v>
      </c>
      <c r="I62" s="1">
        <v>1</v>
      </c>
      <c r="J62" s="1" t="s">
        <v>447</v>
      </c>
      <c r="K62" s="1" t="s">
        <v>333</v>
      </c>
      <c r="L62" s="1" t="s">
        <v>448</v>
      </c>
      <c r="M62" s="1" t="s">
        <v>449</v>
      </c>
      <c r="N62" s="2">
        <v>36892</v>
      </c>
      <c r="O62" s="1"/>
      <c r="P62" s="1"/>
      <c r="Q62" s="1" t="s">
        <v>34</v>
      </c>
      <c r="R62" s="1"/>
      <c r="S62" s="1" t="s">
        <v>35</v>
      </c>
      <c r="T62" s="1">
        <v>44.074852888709401</v>
      </c>
      <c r="U62" s="1">
        <v>-72.966277599334703</v>
      </c>
      <c r="V62" s="1" t="s">
        <v>450</v>
      </c>
      <c r="W62" s="1"/>
      <c r="X62" s="1" t="s">
        <v>37</v>
      </c>
      <c r="Y62" s="1" t="s">
        <v>451</v>
      </c>
      <c r="Z62" s="1">
        <v>5443</v>
      </c>
    </row>
    <row r="63" spans="1:26" ht="42">
      <c r="A63" s="1" t="str">
        <f>"0007DJ"</f>
        <v>0007DJ</v>
      </c>
      <c r="B63" s="1" t="s">
        <v>437</v>
      </c>
      <c r="C63" s="1" t="s">
        <v>438</v>
      </c>
      <c r="D63" s="1" t="str">
        <f>"8023494279"</f>
        <v>8023494279</v>
      </c>
      <c r="E63" s="1">
        <v>2870</v>
      </c>
      <c r="F63" s="1" t="s">
        <v>28</v>
      </c>
      <c r="G63" s="1" t="s">
        <v>452</v>
      </c>
      <c r="H63" s="1">
        <v>5264</v>
      </c>
      <c r="I63" s="1">
        <v>2</v>
      </c>
      <c r="J63" s="1" t="s">
        <v>453</v>
      </c>
      <c r="K63" s="1" t="s">
        <v>333</v>
      </c>
      <c r="L63" s="1" t="s">
        <v>334</v>
      </c>
      <c r="M63" s="1" t="s">
        <v>454</v>
      </c>
      <c r="N63" s="2">
        <v>36892</v>
      </c>
      <c r="O63" s="1"/>
      <c r="P63" s="2">
        <v>41429</v>
      </c>
      <c r="Q63" s="1" t="s">
        <v>34</v>
      </c>
      <c r="R63" s="1"/>
      <c r="S63" s="1" t="s">
        <v>35</v>
      </c>
      <c r="T63" s="1">
        <v>44.012648021614801</v>
      </c>
      <c r="U63" s="1">
        <v>-73.191776275634695</v>
      </c>
      <c r="V63" s="1" t="s">
        <v>159</v>
      </c>
      <c r="W63" s="1"/>
      <c r="X63" s="1" t="s">
        <v>37</v>
      </c>
      <c r="Y63" s="1" t="s">
        <v>337</v>
      </c>
      <c r="Z63" s="1">
        <v>5753</v>
      </c>
    </row>
    <row r="64" spans="1:26" ht="42">
      <c r="A64" s="1" t="str">
        <f>"0007DJ"</f>
        <v>0007DJ</v>
      </c>
      <c r="B64" s="1" t="s">
        <v>437</v>
      </c>
      <c r="C64" s="1" t="s">
        <v>438</v>
      </c>
      <c r="D64" s="1" t="str">
        <f>"8023494279"</f>
        <v>8023494279</v>
      </c>
      <c r="E64" s="1">
        <v>2870</v>
      </c>
      <c r="F64" s="1" t="s">
        <v>28</v>
      </c>
      <c r="G64" s="1" t="s">
        <v>455</v>
      </c>
      <c r="H64" s="1"/>
      <c r="I64" s="1">
        <v>23</v>
      </c>
      <c r="J64" s="1" t="s">
        <v>456</v>
      </c>
      <c r="K64" s="1" t="s">
        <v>333</v>
      </c>
      <c r="L64" s="1" t="s">
        <v>457</v>
      </c>
      <c r="M64" s="1" t="s">
        <v>458</v>
      </c>
      <c r="N64" s="2">
        <v>41158</v>
      </c>
      <c r="O64" s="1"/>
      <c r="P64" s="2">
        <v>41810</v>
      </c>
      <c r="Q64" s="1" t="s">
        <v>34</v>
      </c>
      <c r="R64" s="1"/>
      <c r="S64" s="1" t="s">
        <v>35</v>
      </c>
      <c r="T64" s="1">
        <v>43.983829354416898</v>
      </c>
      <c r="U64" s="1">
        <v>-73.106889724731403</v>
      </c>
      <c r="V64" s="1" t="s">
        <v>459</v>
      </c>
      <c r="W64" s="1"/>
      <c r="X64" s="1" t="s">
        <v>37</v>
      </c>
      <c r="Y64" s="1" t="s">
        <v>460</v>
      </c>
      <c r="Z64" s="1">
        <v>5753</v>
      </c>
    </row>
    <row r="65" spans="1:26" ht="42">
      <c r="A65" s="1" t="str">
        <f>"0007DJ"</f>
        <v>0007DJ</v>
      </c>
      <c r="B65" s="1" t="s">
        <v>437</v>
      </c>
      <c r="C65" s="1" t="s">
        <v>438</v>
      </c>
      <c r="D65" s="1" t="str">
        <f>"8023494279"</f>
        <v>8023494279</v>
      </c>
      <c r="E65" s="1">
        <v>2870</v>
      </c>
      <c r="F65" s="1" t="s">
        <v>28</v>
      </c>
      <c r="G65" s="1" t="s">
        <v>461</v>
      </c>
      <c r="H65" s="1"/>
      <c r="I65" s="1">
        <v>18</v>
      </c>
      <c r="J65" s="1" t="s">
        <v>462</v>
      </c>
      <c r="K65" s="1" t="s">
        <v>159</v>
      </c>
      <c r="L65" s="1"/>
      <c r="M65" s="1" t="s">
        <v>463</v>
      </c>
      <c r="N65" s="2">
        <v>42929</v>
      </c>
      <c r="O65" s="1"/>
      <c r="P65" s="1"/>
      <c r="Q65" s="1" t="s">
        <v>34</v>
      </c>
      <c r="R65" s="1"/>
      <c r="S65" s="1" t="s">
        <v>35</v>
      </c>
      <c r="T65" s="1"/>
      <c r="U65" s="1"/>
      <c r="V65" s="1" t="s">
        <v>158</v>
      </c>
      <c r="W65" s="1"/>
      <c r="X65" s="1" t="s">
        <v>37</v>
      </c>
      <c r="Y65" s="1" t="s">
        <v>464</v>
      </c>
      <c r="Z65" s="1">
        <v>5472</v>
      </c>
    </row>
    <row r="66" spans="1:26" ht="42">
      <c r="A66" s="1" t="str">
        <f>"0007DJ"</f>
        <v>0007DJ</v>
      </c>
      <c r="B66" s="1" t="s">
        <v>437</v>
      </c>
      <c r="C66" s="1" t="s">
        <v>438</v>
      </c>
      <c r="D66" s="1" t="str">
        <f>"8023494279"</f>
        <v>8023494279</v>
      </c>
      <c r="E66" s="1">
        <v>2870</v>
      </c>
      <c r="F66" s="1" t="s">
        <v>28</v>
      </c>
      <c r="G66" s="1" t="s">
        <v>465</v>
      </c>
      <c r="H66" s="1"/>
      <c r="I66" s="1">
        <v>11</v>
      </c>
      <c r="J66" s="1" t="s">
        <v>466</v>
      </c>
      <c r="K66" s="1" t="s">
        <v>333</v>
      </c>
      <c r="L66" s="1" t="s">
        <v>457</v>
      </c>
      <c r="M66" s="1" t="s">
        <v>467</v>
      </c>
      <c r="N66" s="2">
        <v>42173</v>
      </c>
      <c r="O66" s="1"/>
      <c r="P66" s="2">
        <v>42171</v>
      </c>
      <c r="Q66" s="1" t="s">
        <v>34</v>
      </c>
      <c r="R66" s="1"/>
      <c r="S66" s="1" t="s">
        <v>35</v>
      </c>
      <c r="T66" s="1">
        <v>44.041846016762598</v>
      </c>
      <c r="U66" s="1">
        <v>-73.106449842453003</v>
      </c>
      <c r="V66" s="1" t="s">
        <v>468</v>
      </c>
      <c r="W66" s="1"/>
      <c r="X66" s="1" t="s">
        <v>37</v>
      </c>
      <c r="Y66" s="1" t="s">
        <v>460</v>
      </c>
      <c r="Z66" s="1">
        <v>5753</v>
      </c>
    </row>
    <row r="67" spans="1:26" ht="42">
      <c r="A67" s="1" t="str">
        <f>"0007DJ"</f>
        <v>0007DJ</v>
      </c>
      <c r="B67" s="1" t="s">
        <v>437</v>
      </c>
      <c r="C67" s="1" t="s">
        <v>438</v>
      </c>
      <c r="D67" s="1" t="str">
        <f>"8023494279"</f>
        <v>8023494279</v>
      </c>
      <c r="E67" s="1">
        <v>2870</v>
      </c>
      <c r="F67" s="1" t="s">
        <v>28</v>
      </c>
      <c r="G67" s="1" t="s">
        <v>469</v>
      </c>
      <c r="H67" s="1"/>
      <c r="I67" s="1">
        <v>1</v>
      </c>
      <c r="J67" s="1" t="s">
        <v>470</v>
      </c>
      <c r="K67" s="1" t="s">
        <v>333</v>
      </c>
      <c r="L67" s="1" t="s">
        <v>457</v>
      </c>
      <c r="M67" s="1" t="s">
        <v>471</v>
      </c>
      <c r="N67" s="2">
        <v>42509</v>
      </c>
      <c r="O67" s="1"/>
      <c r="P67" s="1"/>
      <c r="Q67" s="1" t="s">
        <v>34</v>
      </c>
      <c r="R67" s="1"/>
      <c r="S67" s="1" t="s">
        <v>35</v>
      </c>
      <c r="T67" s="1">
        <v>44.558802800000002</v>
      </c>
      <c r="U67" s="1">
        <v>-72.577841499999906</v>
      </c>
      <c r="V67" s="1" t="s">
        <v>158</v>
      </c>
      <c r="W67" s="1"/>
      <c r="X67" s="1" t="s">
        <v>37</v>
      </c>
      <c r="Y67" s="1" t="s">
        <v>460</v>
      </c>
      <c r="Z67" s="1">
        <v>5753</v>
      </c>
    </row>
    <row r="68" spans="1:26" ht="42">
      <c r="A68" s="1" t="str">
        <f>"0007DJ"</f>
        <v>0007DJ</v>
      </c>
      <c r="B68" s="1" t="s">
        <v>437</v>
      </c>
      <c r="C68" s="1" t="s">
        <v>438</v>
      </c>
      <c r="D68" s="1" t="str">
        <f>"8023494279"</f>
        <v>8023494279</v>
      </c>
      <c r="E68" s="1">
        <v>2870</v>
      </c>
      <c r="F68" s="1" t="s">
        <v>28</v>
      </c>
      <c r="G68" s="1" t="s">
        <v>472</v>
      </c>
      <c r="H68" s="1"/>
      <c r="I68" s="1">
        <v>30</v>
      </c>
      <c r="J68" s="1" t="s">
        <v>473</v>
      </c>
      <c r="K68" s="1" t="s">
        <v>333</v>
      </c>
      <c r="L68" s="1"/>
      <c r="M68" s="1" t="s">
        <v>463</v>
      </c>
      <c r="N68" s="2">
        <v>42509</v>
      </c>
      <c r="O68" s="1"/>
      <c r="P68" s="2">
        <v>42551</v>
      </c>
      <c r="Q68" s="1" t="s">
        <v>34</v>
      </c>
      <c r="R68" s="1">
        <v>180</v>
      </c>
      <c r="S68" s="1" t="s">
        <v>35</v>
      </c>
      <c r="T68" s="1">
        <v>44.148417242577104</v>
      </c>
      <c r="U68" s="1">
        <v>-73.170281052589402</v>
      </c>
      <c r="V68" s="1" t="s">
        <v>474</v>
      </c>
      <c r="W68" s="1"/>
      <c r="X68" s="1" t="s">
        <v>37</v>
      </c>
      <c r="Y68" s="1" t="s">
        <v>464</v>
      </c>
      <c r="Z68" s="1">
        <v>5472</v>
      </c>
    </row>
    <row r="69" spans="1:26" ht="42">
      <c r="A69" s="1" t="str">
        <f>"0007DJ"</f>
        <v>0007DJ</v>
      </c>
      <c r="B69" s="1" t="s">
        <v>437</v>
      </c>
      <c r="C69" s="1" t="s">
        <v>438</v>
      </c>
      <c r="D69" s="1" t="str">
        <f>"8023494279"</f>
        <v>8023494279</v>
      </c>
      <c r="E69" s="1">
        <v>2870</v>
      </c>
      <c r="F69" s="1" t="s">
        <v>28</v>
      </c>
      <c r="G69" s="1" t="s">
        <v>475</v>
      </c>
      <c r="H69" s="1"/>
      <c r="I69" s="1">
        <v>6</v>
      </c>
      <c r="J69" s="1" t="s">
        <v>476</v>
      </c>
      <c r="K69" s="1" t="s">
        <v>333</v>
      </c>
      <c r="L69" s="1" t="s">
        <v>457</v>
      </c>
      <c r="M69" s="1" t="s">
        <v>477</v>
      </c>
      <c r="N69" s="2">
        <v>42509</v>
      </c>
      <c r="O69" s="1"/>
      <c r="P69" s="1"/>
      <c r="Q69" s="1" t="s">
        <v>34</v>
      </c>
      <c r="R69" s="1"/>
      <c r="S69" s="1" t="s">
        <v>35</v>
      </c>
      <c r="T69" s="1">
        <v>44.015337100000004</v>
      </c>
      <c r="U69" s="1">
        <v>-73.167339999999896</v>
      </c>
      <c r="V69" s="1" t="s">
        <v>158</v>
      </c>
      <c r="W69" s="1"/>
      <c r="X69" s="1" t="s">
        <v>37</v>
      </c>
      <c r="Y69" s="1" t="s">
        <v>460</v>
      </c>
      <c r="Z69" s="1">
        <v>5753</v>
      </c>
    </row>
    <row r="70" spans="1:26" ht="42">
      <c r="A70" s="1" t="str">
        <f>"0007DJ"</f>
        <v>0007DJ</v>
      </c>
      <c r="B70" s="1" t="s">
        <v>437</v>
      </c>
      <c r="C70" s="1" t="s">
        <v>438</v>
      </c>
      <c r="D70" s="1" t="str">
        <f>"8023494279"</f>
        <v>8023494279</v>
      </c>
      <c r="E70" s="1">
        <v>2870</v>
      </c>
      <c r="F70" s="1" t="s">
        <v>28</v>
      </c>
      <c r="G70" s="1" t="s">
        <v>478</v>
      </c>
      <c r="H70" s="1"/>
      <c r="I70" s="1">
        <v>5</v>
      </c>
      <c r="J70" s="1" t="s">
        <v>462</v>
      </c>
      <c r="K70" s="1" t="s">
        <v>159</v>
      </c>
      <c r="L70" s="1"/>
      <c r="M70" s="1" t="s">
        <v>463</v>
      </c>
      <c r="N70" s="2">
        <v>42929</v>
      </c>
      <c r="O70" s="1"/>
      <c r="P70" s="1"/>
      <c r="Q70" s="1" t="s">
        <v>34</v>
      </c>
      <c r="R70" s="1"/>
      <c r="S70" s="1" t="s">
        <v>35</v>
      </c>
      <c r="T70" s="1"/>
      <c r="U70" s="1"/>
      <c r="V70" s="1" t="s">
        <v>158</v>
      </c>
      <c r="W70" s="1"/>
      <c r="X70" s="1" t="s">
        <v>37</v>
      </c>
      <c r="Y70" s="1" t="s">
        <v>479</v>
      </c>
      <c r="Z70" s="1">
        <v>5456</v>
      </c>
    </row>
    <row r="71" spans="1:26" ht="42">
      <c r="A71" s="1" t="str">
        <f>"0007DY"</f>
        <v>0007DY</v>
      </c>
      <c r="B71" s="1" t="s">
        <v>480</v>
      </c>
      <c r="C71" s="1" t="s">
        <v>481</v>
      </c>
      <c r="D71" s="1" t="str">
        <f>"8022430185"</f>
        <v>8022430185</v>
      </c>
      <c r="E71" s="1">
        <v>3132</v>
      </c>
      <c r="F71" s="1" t="s">
        <v>28</v>
      </c>
      <c r="G71" s="1" t="s">
        <v>482</v>
      </c>
      <c r="H71" s="1">
        <v>5290</v>
      </c>
      <c r="I71" s="1">
        <v>9</v>
      </c>
      <c r="J71" s="1" t="s">
        <v>483</v>
      </c>
      <c r="K71" s="1" t="s">
        <v>333</v>
      </c>
      <c r="L71" s="1" t="s">
        <v>484</v>
      </c>
      <c r="M71" s="1" t="s">
        <v>485</v>
      </c>
      <c r="N71" s="2">
        <v>36892</v>
      </c>
      <c r="O71" s="1"/>
      <c r="P71" s="2">
        <v>39987</v>
      </c>
      <c r="Q71" s="1" t="s">
        <v>34</v>
      </c>
      <c r="R71" s="1"/>
      <c r="S71" s="1" t="s">
        <v>35</v>
      </c>
      <c r="T71" s="1">
        <v>43.876733999999999</v>
      </c>
      <c r="U71" s="1">
        <v>-73.366962999999998</v>
      </c>
      <c r="V71" s="1" t="s">
        <v>486</v>
      </c>
      <c r="W71" s="1"/>
      <c r="X71" s="1" t="s">
        <v>37</v>
      </c>
      <c r="Y71" s="1" t="s">
        <v>487</v>
      </c>
      <c r="Z71" s="1">
        <v>5770</v>
      </c>
    </row>
    <row r="72" spans="1:26" ht="42">
      <c r="A72" s="1" t="str">
        <f>"0007F2"</f>
        <v>0007F2</v>
      </c>
      <c r="B72" s="1" t="s">
        <v>488</v>
      </c>
      <c r="C72" s="1" t="s">
        <v>489</v>
      </c>
      <c r="D72" s="1" t="str">
        <f>"8022570982"</f>
        <v>8022570982</v>
      </c>
      <c r="E72" s="1">
        <v>685</v>
      </c>
      <c r="F72" s="1" t="s">
        <v>28</v>
      </c>
      <c r="G72" s="1" t="s">
        <v>490</v>
      </c>
      <c r="H72" s="1">
        <v>813</v>
      </c>
      <c r="I72" s="1">
        <v>1</v>
      </c>
      <c r="J72" s="1" t="s">
        <v>491</v>
      </c>
      <c r="K72" s="1" t="s">
        <v>144</v>
      </c>
      <c r="L72" s="1" t="s">
        <v>492</v>
      </c>
      <c r="M72" s="1" t="s">
        <v>493</v>
      </c>
      <c r="N72" s="2">
        <v>36892</v>
      </c>
      <c r="O72" s="1"/>
      <c r="P72" s="1"/>
      <c r="Q72" s="1" t="s">
        <v>34</v>
      </c>
      <c r="R72" s="1"/>
      <c r="S72" s="1" t="s">
        <v>35</v>
      </c>
      <c r="T72" s="1">
        <v>42.919692900000001</v>
      </c>
      <c r="U72" s="1">
        <v>-72.642955999999998</v>
      </c>
      <c r="V72" s="1" t="s">
        <v>494</v>
      </c>
      <c r="W72" s="1"/>
      <c r="X72" s="1" t="s">
        <v>37</v>
      </c>
      <c r="Y72" s="1" t="s">
        <v>495</v>
      </c>
      <c r="Z72" s="1">
        <v>5301</v>
      </c>
    </row>
    <row r="73" spans="1:26" ht="42">
      <c r="A73" s="1" t="str">
        <f>"0007F6"</f>
        <v>0007F6</v>
      </c>
      <c r="B73" s="1" t="s">
        <v>496</v>
      </c>
      <c r="C73" s="1" t="s">
        <v>497</v>
      </c>
      <c r="D73" s="1" t="str">
        <f>"8027854511"</f>
        <v>8027854511</v>
      </c>
      <c r="E73" s="1">
        <v>3690</v>
      </c>
      <c r="F73" s="1" t="s">
        <v>28</v>
      </c>
      <c r="G73" s="1" t="s">
        <v>498</v>
      </c>
      <c r="H73" s="1">
        <v>4890</v>
      </c>
      <c r="I73" s="1">
        <v>2</v>
      </c>
      <c r="J73" s="1" t="s">
        <v>499</v>
      </c>
      <c r="K73" s="1" t="s">
        <v>68</v>
      </c>
      <c r="L73" s="1" t="s">
        <v>69</v>
      </c>
      <c r="M73" s="1" t="s">
        <v>500</v>
      </c>
      <c r="N73" s="2">
        <v>36892</v>
      </c>
      <c r="O73" s="1"/>
      <c r="P73" s="2">
        <v>39343</v>
      </c>
      <c r="Q73" s="1" t="s">
        <v>34</v>
      </c>
      <c r="R73" s="1"/>
      <c r="S73" s="1" t="s">
        <v>35</v>
      </c>
      <c r="T73" s="1">
        <v>43.826141</v>
      </c>
      <c r="U73" s="1">
        <v>-72.302985999999905</v>
      </c>
      <c r="V73" s="1" t="s">
        <v>501</v>
      </c>
      <c r="W73" s="1"/>
      <c r="X73" s="1" t="s">
        <v>37</v>
      </c>
      <c r="Y73" s="1" t="s">
        <v>502</v>
      </c>
      <c r="Z73" s="1">
        <v>5075</v>
      </c>
    </row>
    <row r="74" spans="1:26" ht="42">
      <c r="A74" s="1" t="str">
        <f>"0007FH"</f>
        <v>0007FH</v>
      </c>
      <c r="B74" s="1" t="s">
        <v>503</v>
      </c>
      <c r="C74" s="1" t="s">
        <v>504</v>
      </c>
      <c r="D74" s="1" t="str">
        <f>"8024361326"</f>
        <v>8024361326</v>
      </c>
      <c r="E74" s="1">
        <v>708</v>
      </c>
      <c r="F74" s="1" t="s">
        <v>28</v>
      </c>
      <c r="G74" s="1" t="s">
        <v>505</v>
      </c>
      <c r="H74" s="1">
        <v>838</v>
      </c>
      <c r="I74" s="1">
        <v>6</v>
      </c>
      <c r="J74" s="1" t="s">
        <v>506</v>
      </c>
      <c r="K74" s="1" t="s">
        <v>77</v>
      </c>
      <c r="L74" s="1" t="s">
        <v>507</v>
      </c>
      <c r="M74" s="1" t="s">
        <v>508</v>
      </c>
      <c r="N74" s="2">
        <v>36892</v>
      </c>
      <c r="O74" s="1"/>
      <c r="P74" s="2">
        <v>41071</v>
      </c>
      <c r="Q74" s="1" t="s">
        <v>34</v>
      </c>
      <c r="R74" s="1"/>
      <c r="S74" s="1" t="s">
        <v>35</v>
      </c>
      <c r="T74" s="1">
        <v>43.534930512948002</v>
      </c>
      <c r="U74" s="1">
        <v>-72.434953451156602</v>
      </c>
      <c r="V74" s="1" t="s">
        <v>509</v>
      </c>
      <c r="W74" s="1"/>
      <c r="X74" s="1" t="s">
        <v>37</v>
      </c>
      <c r="Y74" s="1" t="s">
        <v>510</v>
      </c>
      <c r="Z74" s="1">
        <v>5048</v>
      </c>
    </row>
    <row r="75" spans="1:26" ht="42">
      <c r="A75" s="1" t="str">
        <f>"0007FV"</f>
        <v>0007FV</v>
      </c>
      <c r="B75" s="1" t="s">
        <v>511</v>
      </c>
      <c r="C75" s="1" t="s">
        <v>512</v>
      </c>
      <c r="D75" s="1" t="str">
        <f>"8022267353"</f>
        <v>8022267353</v>
      </c>
      <c r="E75" s="1">
        <v>4104</v>
      </c>
      <c r="F75" s="1" t="s">
        <v>28</v>
      </c>
      <c r="G75" s="1" t="s">
        <v>513</v>
      </c>
      <c r="H75" s="1">
        <v>5432</v>
      </c>
      <c r="I75" s="1">
        <v>8</v>
      </c>
      <c r="J75" s="1" t="s">
        <v>514</v>
      </c>
      <c r="K75" s="1" t="s">
        <v>77</v>
      </c>
      <c r="L75" s="1" t="s">
        <v>515</v>
      </c>
      <c r="M75" s="1" t="s">
        <v>516</v>
      </c>
      <c r="N75" s="2">
        <v>36892</v>
      </c>
      <c r="O75" s="1"/>
      <c r="P75" s="1"/>
      <c r="Q75" s="1" t="s">
        <v>34</v>
      </c>
      <c r="R75" s="1"/>
      <c r="S75" s="1" t="s">
        <v>35</v>
      </c>
      <c r="T75" s="1">
        <v>43.394694999999999</v>
      </c>
      <c r="U75" s="1">
        <v>-72.569037999999907</v>
      </c>
      <c r="V75" s="1" t="s">
        <v>517</v>
      </c>
      <c r="W75" s="1"/>
      <c r="X75" s="1" t="s">
        <v>37</v>
      </c>
      <c r="Y75" s="1" t="s">
        <v>518</v>
      </c>
      <c r="Z75" s="1">
        <v>5142</v>
      </c>
    </row>
    <row r="76" spans="1:26" ht="42">
      <c r="A76" s="1" t="str">
        <f>"0007FV"</f>
        <v>0007FV</v>
      </c>
      <c r="B76" s="1" t="s">
        <v>511</v>
      </c>
      <c r="C76" s="1" t="s">
        <v>512</v>
      </c>
      <c r="D76" s="1" t="str">
        <f>"8022267353"</f>
        <v>8022267353</v>
      </c>
      <c r="E76" s="1">
        <v>4104</v>
      </c>
      <c r="F76" s="1" t="s">
        <v>28</v>
      </c>
      <c r="G76" s="1" t="s">
        <v>519</v>
      </c>
      <c r="H76" s="1"/>
      <c r="I76" s="1">
        <v>2</v>
      </c>
      <c r="J76" s="1" t="s">
        <v>520</v>
      </c>
      <c r="K76" s="1" t="s">
        <v>77</v>
      </c>
      <c r="L76" s="1" t="s">
        <v>325</v>
      </c>
      <c r="M76" s="1" t="s">
        <v>521</v>
      </c>
      <c r="N76" s="2">
        <v>40729</v>
      </c>
      <c r="O76" s="1"/>
      <c r="P76" s="1"/>
      <c r="Q76" s="1" t="s">
        <v>105</v>
      </c>
      <c r="R76" s="1"/>
      <c r="S76" s="1" t="s">
        <v>35</v>
      </c>
      <c r="T76" s="1"/>
      <c r="U76" s="1"/>
      <c r="V76" s="1" t="s">
        <v>522</v>
      </c>
      <c r="W76" s="1"/>
      <c r="X76" s="1" t="s">
        <v>37</v>
      </c>
      <c r="Y76" s="1" t="s">
        <v>328</v>
      </c>
      <c r="Z76" s="1">
        <v>5151</v>
      </c>
    </row>
    <row r="77" spans="1:26" ht="42">
      <c r="A77" s="1" t="str">
        <f>"0007G0"</f>
        <v>0007G0</v>
      </c>
      <c r="B77" s="1" t="s">
        <v>523</v>
      </c>
      <c r="C77" s="1" t="s">
        <v>524</v>
      </c>
      <c r="D77" s="1" t="str">
        <f>"8026737760"</f>
        <v>8026737760</v>
      </c>
      <c r="E77" s="1">
        <v>3570</v>
      </c>
      <c r="F77" s="1" t="s">
        <v>28</v>
      </c>
      <c r="G77" s="1" t="s">
        <v>525</v>
      </c>
      <c r="H77" s="1">
        <v>4765</v>
      </c>
      <c r="I77" s="1">
        <v>0</v>
      </c>
      <c r="J77" s="1" t="s">
        <v>526</v>
      </c>
      <c r="K77" s="1" t="s">
        <v>527</v>
      </c>
      <c r="L77" s="1"/>
      <c r="M77" s="1"/>
      <c r="N77" s="2">
        <v>36892</v>
      </c>
      <c r="O77" s="1"/>
      <c r="P77" s="1"/>
      <c r="Q77" s="1" t="s">
        <v>34</v>
      </c>
      <c r="R77" s="1"/>
      <c r="S77" s="1" t="s">
        <v>35</v>
      </c>
      <c r="T77" s="1">
        <v>44.909174399999998</v>
      </c>
      <c r="U77" s="1">
        <v>-72.0244844999999</v>
      </c>
      <c r="V77" s="1" t="s">
        <v>528</v>
      </c>
      <c r="W77" s="1"/>
      <c r="X77" s="1" t="s">
        <v>37</v>
      </c>
      <c r="Y77" s="1" t="s">
        <v>529</v>
      </c>
      <c r="Z77" s="1">
        <v>5853</v>
      </c>
    </row>
    <row r="78" spans="1:26" ht="42">
      <c r="A78" s="1" t="str">
        <f>"0007G0"</f>
        <v>0007G0</v>
      </c>
      <c r="B78" s="1" t="s">
        <v>523</v>
      </c>
      <c r="C78" s="1" t="s">
        <v>524</v>
      </c>
      <c r="D78" s="1" t="str">
        <f>"8026737760"</f>
        <v>8026737760</v>
      </c>
      <c r="E78" s="1">
        <v>3570</v>
      </c>
      <c r="F78" s="1" t="s">
        <v>28</v>
      </c>
      <c r="G78" s="1" t="s">
        <v>530</v>
      </c>
      <c r="H78" s="1">
        <v>4697</v>
      </c>
      <c r="I78" s="1">
        <v>0</v>
      </c>
      <c r="J78" s="1" t="s">
        <v>531</v>
      </c>
      <c r="K78" s="1" t="s">
        <v>527</v>
      </c>
      <c r="L78" s="1" t="s">
        <v>532</v>
      </c>
      <c r="M78" s="1" t="s">
        <v>533</v>
      </c>
      <c r="N78" s="2">
        <v>36892</v>
      </c>
      <c r="O78" s="1"/>
      <c r="P78" s="1"/>
      <c r="Q78" s="1" t="s">
        <v>34</v>
      </c>
      <c r="R78" s="1"/>
      <c r="S78" s="1" t="s">
        <v>35</v>
      </c>
      <c r="T78" s="1">
        <v>44.891704699999998</v>
      </c>
      <c r="U78" s="1">
        <v>-72.149627699999996</v>
      </c>
      <c r="V78" s="1" t="s">
        <v>534</v>
      </c>
      <c r="W78" s="1"/>
      <c r="X78" s="1" t="s">
        <v>37</v>
      </c>
      <c r="Y78" s="1" t="s">
        <v>535</v>
      </c>
      <c r="Z78" s="1">
        <v>5855</v>
      </c>
    </row>
    <row r="79" spans="1:26" ht="42">
      <c r="A79" s="1" t="str">
        <f>"0007GH"</f>
        <v>0007GH</v>
      </c>
      <c r="B79" s="1" t="s">
        <v>536</v>
      </c>
      <c r="C79" s="1" t="s">
        <v>537</v>
      </c>
      <c r="D79" s="1" t="str">
        <f>"8024343993"</f>
        <v>8024343993</v>
      </c>
      <c r="E79" s="1">
        <v>2512</v>
      </c>
      <c r="F79" s="1" t="s">
        <v>28</v>
      </c>
      <c r="G79" s="1" t="s">
        <v>538</v>
      </c>
      <c r="H79" s="1">
        <v>4863</v>
      </c>
      <c r="I79" s="1">
        <v>1</v>
      </c>
      <c r="J79" s="1" t="s">
        <v>539</v>
      </c>
      <c r="K79" s="1" t="s">
        <v>43</v>
      </c>
      <c r="L79" s="1" t="s">
        <v>51</v>
      </c>
      <c r="M79" s="1" t="s">
        <v>540</v>
      </c>
      <c r="N79" s="2">
        <v>36892</v>
      </c>
      <c r="O79" s="1"/>
      <c r="P79" s="1"/>
      <c r="Q79" s="1" t="s">
        <v>34</v>
      </c>
      <c r="R79" s="1"/>
      <c r="S79" s="1" t="s">
        <v>35</v>
      </c>
      <c r="T79" s="1">
        <v>44.363323000000001</v>
      </c>
      <c r="U79" s="1">
        <v>-72.992667999999895</v>
      </c>
      <c r="V79" s="1" t="s">
        <v>541</v>
      </c>
      <c r="W79" s="1"/>
      <c r="X79" s="1" t="s">
        <v>37</v>
      </c>
      <c r="Y79" s="1" t="s">
        <v>54</v>
      </c>
      <c r="Z79" s="1">
        <v>5477</v>
      </c>
    </row>
    <row r="80" spans="1:26" ht="28">
      <c r="A80" s="1" t="str">
        <f>"0007H6"</f>
        <v>0007H6</v>
      </c>
      <c r="B80" s="1" t="s">
        <v>542</v>
      </c>
      <c r="C80" s="1" t="s">
        <v>543</v>
      </c>
      <c r="D80" s="1"/>
      <c r="E80" s="1">
        <v>2429</v>
      </c>
      <c r="F80" s="1" t="s">
        <v>28</v>
      </c>
      <c r="G80" s="1" t="s">
        <v>544</v>
      </c>
      <c r="H80" s="1">
        <v>3047</v>
      </c>
      <c r="I80" s="1">
        <v>2</v>
      </c>
      <c r="J80" s="1" t="s">
        <v>545</v>
      </c>
      <c r="K80" s="1" t="s">
        <v>144</v>
      </c>
      <c r="L80" s="1" t="s">
        <v>145</v>
      </c>
      <c r="M80" s="1" t="s">
        <v>546</v>
      </c>
      <c r="N80" s="2">
        <v>36892</v>
      </c>
      <c r="O80" s="1"/>
      <c r="P80" s="2">
        <v>32687</v>
      </c>
      <c r="Q80" s="1" t="s">
        <v>34</v>
      </c>
      <c r="R80" s="1"/>
      <c r="S80" s="1" t="s">
        <v>35</v>
      </c>
      <c r="T80" s="1">
        <v>43.165458999999998</v>
      </c>
      <c r="U80" s="1">
        <v>-72.716613999999893</v>
      </c>
      <c r="V80" s="1" t="s">
        <v>547</v>
      </c>
      <c r="W80" s="1"/>
      <c r="X80" s="1" t="s">
        <v>37</v>
      </c>
      <c r="Y80" s="1" t="s">
        <v>144</v>
      </c>
      <c r="Z80" s="1">
        <v>5359</v>
      </c>
    </row>
    <row r="81" spans="1:26" ht="42">
      <c r="A81" s="1" t="str">
        <f>"0007H7"</f>
        <v>0007H7</v>
      </c>
      <c r="B81" s="1" t="s">
        <v>548</v>
      </c>
      <c r="C81" s="1" t="s">
        <v>549</v>
      </c>
      <c r="D81" s="1" t="str">
        <f>"8027335173"</f>
        <v>8027335173</v>
      </c>
      <c r="E81" s="1">
        <v>3989</v>
      </c>
      <c r="F81" s="1" t="s">
        <v>28</v>
      </c>
      <c r="G81" s="1" t="s">
        <v>550</v>
      </c>
      <c r="H81" s="1"/>
      <c r="I81" s="1">
        <v>14</v>
      </c>
      <c r="J81" s="1" t="s">
        <v>159</v>
      </c>
      <c r="K81" s="1" t="s">
        <v>187</v>
      </c>
      <c r="L81" s="1" t="s">
        <v>242</v>
      </c>
      <c r="M81" s="1" t="s">
        <v>551</v>
      </c>
      <c r="N81" s="2">
        <v>42345</v>
      </c>
      <c r="O81" s="1"/>
      <c r="P81" s="1"/>
      <c r="Q81" s="1" t="s">
        <v>34</v>
      </c>
      <c r="R81" s="1"/>
      <c r="S81" s="1" t="s">
        <v>35</v>
      </c>
      <c r="T81" s="1">
        <v>42.792313</v>
      </c>
      <c r="U81" s="1">
        <v>-73.226946099999907</v>
      </c>
      <c r="V81" s="1" t="s">
        <v>158</v>
      </c>
      <c r="W81" s="1"/>
      <c r="X81" s="1" t="s">
        <v>37</v>
      </c>
      <c r="Y81" s="1" t="s">
        <v>245</v>
      </c>
      <c r="Z81" s="1">
        <v>5261</v>
      </c>
    </row>
    <row r="82" spans="1:26" ht="42">
      <c r="A82" s="1" t="str">
        <f>"0007H7"</f>
        <v>0007H7</v>
      </c>
      <c r="B82" s="1" t="s">
        <v>548</v>
      </c>
      <c r="C82" s="1" t="s">
        <v>549</v>
      </c>
      <c r="D82" s="1" t="str">
        <f>"8027335173"</f>
        <v>8027335173</v>
      </c>
      <c r="E82" s="1">
        <v>3989</v>
      </c>
      <c r="F82" s="1" t="s">
        <v>28</v>
      </c>
      <c r="G82" s="1" t="s">
        <v>552</v>
      </c>
      <c r="H82" s="1"/>
      <c r="I82" s="1">
        <v>26</v>
      </c>
      <c r="J82" s="1" t="s">
        <v>159</v>
      </c>
      <c r="K82" s="1" t="s">
        <v>187</v>
      </c>
      <c r="L82" s="1" t="s">
        <v>242</v>
      </c>
      <c r="M82" s="1" t="s">
        <v>553</v>
      </c>
      <c r="N82" s="2">
        <v>42345</v>
      </c>
      <c r="O82" s="1"/>
      <c r="P82" s="1"/>
      <c r="Q82" s="1" t="s">
        <v>34</v>
      </c>
      <c r="R82" s="1"/>
      <c r="S82" s="1" t="s">
        <v>35</v>
      </c>
      <c r="T82" s="1">
        <v>42.792313</v>
      </c>
      <c r="U82" s="1">
        <v>-73.226946099999907</v>
      </c>
      <c r="V82" s="1" t="s">
        <v>158</v>
      </c>
      <c r="W82" s="1"/>
      <c r="X82" s="1" t="s">
        <v>37</v>
      </c>
      <c r="Y82" s="1" t="s">
        <v>245</v>
      </c>
      <c r="Z82" s="1">
        <v>5261</v>
      </c>
    </row>
    <row r="83" spans="1:26" ht="42">
      <c r="A83" s="1" t="str">
        <f>"0007HC"</f>
        <v>0007HC</v>
      </c>
      <c r="B83" s="1" t="s">
        <v>554</v>
      </c>
      <c r="C83" s="1" t="s">
        <v>555</v>
      </c>
      <c r="D83" s="1" t="str">
        <f>"8028744182"</f>
        <v>8028744182</v>
      </c>
      <c r="E83" s="1">
        <v>2428</v>
      </c>
      <c r="F83" s="1" t="s">
        <v>28</v>
      </c>
      <c r="G83" s="1" t="s">
        <v>556</v>
      </c>
      <c r="H83" s="1">
        <v>3046</v>
      </c>
      <c r="I83" s="1">
        <v>2</v>
      </c>
      <c r="J83" s="1" t="s">
        <v>557</v>
      </c>
      <c r="K83" s="1" t="s">
        <v>144</v>
      </c>
      <c r="L83" s="1" t="s">
        <v>145</v>
      </c>
      <c r="M83" s="1" t="s">
        <v>558</v>
      </c>
      <c r="N83" s="2">
        <v>36892</v>
      </c>
      <c r="O83" s="1"/>
      <c r="P83" s="2">
        <v>42933</v>
      </c>
      <c r="Q83" s="1" t="s">
        <v>34</v>
      </c>
      <c r="R83" s="1"/>
      <c r="S83" s="1" t="s">
        <v>35</v>
      </c>
      <c r="T83" s="1">
        <v>43.141067999999997</v>
      </c>
      <c r="U83" s="1">
        <v>-72.726799</v>
      </c>
      <c r="V83" s="1" t="s">
        <v>559</v>
      </c>
      <c r="W83" s="1"/>
      <c r="X83" s="1" t="s">
        <v>37</v>
      </c>
      <c r="Y83" s="1" t="s">
        <v>144</v>
      </c>
      <c r="Z83" s="1">
        <v>5359</v>
      </c>
    </row>
    <row r="84" spans="1:26" ht="42">
      <c r="A84" s="1" t="str">
        <f>"0007HM"</f>
        <v>0007HM</v>
      </c>
      <c r="B84" s="1" t="s">
        <v>560</v>
      </c>
      <c r="C84" s="1" t="s">
        <v>561</v>
      </c>
      <c r="D84" s="1" t="str">
        <f>"8028992894"</f>
        <v>8028992894</v>
      </c>
      <c r="E84" s="1">
        <v>4101</v>
      </c>
      <c r="F84" s="1" t="s">
        <v>28</v>
      </c>
      <c r="G84" s="1" t="s">
        <v>562</v>
      </c>
      <c r="H84" s="1">
        <v>5428</v>
      </c>
      <c r="I84" s="1">
        <v>1</v>
      </c>
      <c r="J84" s="1" t="s">
        <v>563</v>
      </c>
      <c r="K84" s="1" t="s">
        <v>43</v>
      </c>
      <c r="L84" s="1" t="s">
        <v>364</v>
      </c>
      <c r="M84" s="1" t="s">
        <v>564</v>
      </c>
      <c r="N84" s="2">
        <v>36892</v>
      </c>
      <c r="O84" s="1"/>
      <c r="P84" s="1"/>
      <c r="Q84" s="1" t="s">
        <v>34</v>
      </c>
      <c r="R84" s="1"/>
      <c r="S84" s="1" t="s">
        <v>35</v>
      </c>
      <c r="T84" s="1">
        <v>44.452039900000003</v>
      </c>
      <c r="U84" s="1">
        <v>-72.950406999999899</v>
      </c>
      <c r="V84" s="1" t="s">
        <v>565</v>
      </c>
      <c r="W84" s="1"/>
      <c r="X84" s="1" t="s">
        <v>37</v>
      </c>
      <c r="Y84" s="1" t="s">
        <v>367</v>
      </c>
      <c r="Z84" s="1">
        <v>5465</v>
      </c>
    </row>
    <row r="85" spans="1:26" ht="42">
      <c r="A85" s="1" t="str">
        <f>"0007HP"</f>
        <v>0007HP</v>
      </c>
      <c r="B85" s="1" t="s">
        <v>566</v>
      </c>
      <c r="C85" s="1" t="s">
        <v>567</v>
      </c>
      <c r="D85" s="1" t="str">
        <f>"8028243518"</f>
        <v>8028243518</v>
      </c>
      <c r="E85" s="1">
        <v>2606</v>
      </c>
      <c r="F85" s="1" t="s">
        <v>28</v>
      </c>
      <c r="G85" s="1" t="s">
        <v>568</v>
      </c>
      <c r="H85" s="1">
        <v>3331</v>
      </c>
      <c r="I85" s="1">
        <v>3</v>
      </c>
      <c r="J85" s="1" t="s">
        <v>569</v>
      </c>
      <c r="K85" s="1" t="s">
        <v>187</v>
      </c>
      <c r="L85" s="1" t="s">
        <v>570</v>
      </c>
      <c r="M85" s="1" t="s">
        <v>571</v>
      </c>
      <c r="N85" s="2">
        <v>36892</v>
      </c>
      <c r="O85" s="1"/>
      <c r="P85" s="2">
        <v>32701</v>
      </c>
      <c r="Q85" s="1" t="s">
        <v>34</v>
      </c>
      <c r="R85" s="1"/>
      <c r="S85" s="1" t="s">
        <v>35</v>
      </c>
      <c r="T85" s="1">
        <v>43.18694</v>
      </c>
      <c r="U85" s="1">
        <v>-72.871210000000005</v>
      </c>
      <c r="V85" s="1" t="s">
        <v>572</v>
      </c>
      <c r="W85" s="1"/>
      <c r="X85" s="1" t="s">
        <v>37</v>
      </c>
      <c r="Y85" s="1" t="s">
        <v>573</v>
      </c>
      <c r="Z85" s="1">
        <v>5340</v>
      </c>
    </row>
    <row r="86" spans="1:26" ht="42">
      <c r="A86" s="1" t="str">
        <f>"0007HY"</f>
        <v>0007HY</v>
      </c>
      <c r="B86" s="1" t="s">
        <v>574</v>
      </c>
      <c r="C86" s="1" t="s">
        <v>575</v>
      </c>
      <c r="D86" s="1" t="str">
        <f>"8028966060"</f>
        <v>8028966060</v>
      </c>
      <c r="E86" s="1">
        <v>797</v>
      </c>
      <c r="F86" s="1" t="s">
        <v>28</v>
      </c>
      <c r="G86" s="1" t="s">
        <v>576</v>
      </c>
      <c r="H86" s="1">
        <v>3130</v>
      </c>
      <c r="I86" s="1">
        <v>0</v>
      </c>
      <c r="J86" s="1" t="s">
        <v>577</v>
      </c>
      <c r="K86" s="1" t="s">
        <v>144</v>
      </c>
      <c r="L86" s="1" t="s">
        <v>578</v>
      </c>
      <c r="M86" s="1"/>
      <c r="N86" s="2">
        <v>36892</v>
      </c>
      <c r="O86" s="1"/>
      <c r="P86" s="2">
        <v>32696</v>
      </c>
      <c r="Q86" s="1" t="s">
        <v>34</v>
      </c>
      <c r="R86" s="1"/>
      <c r="S86" s="1" t="s">
        <v>35</v>
      </c>
      <c r="T86" s="1"/>
      <c r="U86" s="1"/>
      <c r="V86" s="1" t="s">
        <v>159</v>
      </c>
      <c r="W86" s="1"/>
      <c r="X86" s="1" t="s">
        <v>37</v>
      </c>
      <c r="Y86" s="1" t="s">
        <v>579</v>
      </c>
      <c r="Z86" s="1">
        <v>5148</v>
      </c>
    </row>
    <row r="87" spans="1:26" ht="42">
      <c r="A87" s="1" t="str">
        <f>"0007HY"</f>
        <v>0007HY</v>
      </c>
      <c r="B87" s="1" t="s">
        <v>574</v>
      </c>
      <c r="C87" s="1" t="s">
        <v>575</v>
      </c>
      <c r="D87" s="1" t="str">
        <f>"8028966060"</f>
        <v>8028966060</v>
      </c>
      <c r="E87" s="1">
        <v>797</v>
      </c>
      <c r="F87" s="1" t="s">
        <v>28</v>
      </c>
      <c r="G87" s="1" t="s">
        <v>580</v>
      </c>
      <c r="H87" s="1">
        <v>3880</v>
      </c>
      <c r="I87" s="1">
        <v>0</v>
      </c>
      <c r="J87" s="1" t="s">
        <v>581</v>
      </c>
      <c r="K87" s="1" t="s">
        <v>135</v>
      </c>
      <c r="L87" s="1" t="s">
        <v>582</v>
      </c>
      <c r="M87" s="1"/>
      <c r="N87" s="2">
        <v>36892</v>
      </c>
      <c r="O87" s="1"/>
      <c r="P87" s="2">
        <v>36062</v>
      </c>
      <c r="Q87" s="1" t="s">
        <v>34</v>
      </c>
      <c r="R87" s="1"/>
      <c r="S87" s="1" t="s">
        <v>35</v>
      </c>
      <c r="T87" s="1"/>
      <c r="U87" s="1"/>
      <c r="V87" s="1" t="s">
        <v>159</v>
      </c>
      <c r="W87" s="1"/>
      <c r="X87" s="1" t="s">
        <v>37</v>
      </c>
      <c r="Y87" s="1" t="s">
        <v>583</v>
      </c>
      <c r="Z87" s="1">
        <v>5761</v>
      </c>
    </row>
    <row r="88" spans="1:26" ht="42">
      <c r="A88" s="1" t="str">
        <f>"0007HY"</f>
        <v>0007HY</v>
      </c>
      <c r="B88" s="1" t="s">
        <v>574</v>
      </c>
      <c r="C88" s="1" t="s">
        <v>575</v>
      </c>
      <c r="D88" s="1" t="str">
        <f>"8028966060"</f>
        <v>8028966060</v>
      </c>
      <c r="E88" s="1">
        <v>797</v>
      </c>
      <c r="F88" s="1" t="s">
        <v>28</v>
      </c>
      <c r="G88" s="1" t="s">
        <v>584</v>
      </c>
      <c r="H88" s="1">
        <v>3128</v>
      </c>
      <c r="I88" s="1"/>
      <c r="J88" s="1" t="s">
        <v>585</v>
      </c>
      <c r="K88" s="1" t="s">
        <v>144</v>
      </c>
      <c r="L88" s="1" t="s">
        <v>586</v>
      </c>
      <c r="M88" s="1"/>
      <c r="N88" s="2">
        <v>36892</v>
      </c>
      <c r="O88" s="1"/>
      <c r="P88" s="1"/>
      <c r="Q88" s="1" t="s">
        <v>34</v>
      </c>
      <c r="R88" s="1"/>
      <c r="S88" s="1" t="s">
        <v>35</v>
      </c>
      <c r="T88" s="1"/>
      <c r="U88" s="1"/>
      <c r="V88" s="1" t="s">
        <v>159</v>
      </c>
      <c r="W88" s="1"/>
      <c r="X88" s="1" t="s">
        <v>37</v>
      </c>
      <c r="Y88" s="1" t="s">
        <v>587</v>
      </c>
      <c r="Z88" s="1"/>
    </row>
    <row r="89" spans="1:26" ht="42">
      <c r="A89" s="1" t="str">
        <f>"0007HY"</f>
        <v>0007HY</v>
      </c>
      <c r="B89" s="1" t="s">
        <v>574</v>
      </c>
      <c r="C89" s="1" t="s">
        <v>575</v>
      </c>
      <c r="D89" s="1" t="str">
        <f>"8028966060"</f>
        <v>8028966060</v>
      </c>
      <c r="E89" s="1">
        <v>797</v>
      </c>
      <c r="F89" s="1" t="s">
        <v>28</v>
      </c>
      <c r="G89" s="1" t="s">
        <v>588</v>
      </c>
      <c r="H89" s="1">
        <v>3127</v>
      </c>
      <c r="I89" s="1">
        <v>0</v>
      </c>
      <c r="J89" s="1" t="s">
        <v>589</v>
      </c>
      <c r="K89" s="1" t="s">
        <v>144</v>
      </c>
      <c r="L89" s="1" t="s">
        <v>590</v>
      </c>
      <c r="M89" s="1"/>
      <c r="N89" s="2">
        <v>36892</v>
      </c>
      <c r="O89" s="1"/>
      <c r="P89" s="2">
        <v>32707</v>
      </c>
      <c r="Q89" s="1" t="s">
        <v>34</v>
      </c>
      <c r="R89" s="1"/>
      <c r="S89" s="1" t="s">
        <v>35</v>
      </c>
      <c r="T89" s="1"/>
      <c r="U89" s="1"/>
      <c r="V89" s="1" t="s">
        <v>159</v>
      </c>
      <c r="W89" s="1"/>
      <c r="X89" s="1" t="s">
        <v>37</v>
      </c>
      <c r="Y89" s="1" t="s">
        <v>591</v>
      </c>
      <c r="Z89" s="1">
        <v>5355</v>
      </c>
    </row>
    <row r="90" spans="1:26" ht="42">
      <c r="A90" s="1" t="str">
        <f>"0007HY"</f>
        <v>0007HY</v>
      </c>
      <c r="B90" s="1" t="s">
        <v>574</v>
      </c>
      <c r="C90" s="1" t="s">
        <v>575</v>
      </c>
      <c r="D90" s="1" t="str">
        <f>"8028966060"</f>
        <v>8028966060</v>
      </c>
      <c r="E90" s="1">
        <v>797</v>
      </c>
      <c r="F90" s="1" t="s">
        <v>28</v>
      </c>
      <c r="G90" s="1" t="s">
        <v>592</v>
      </c>
      <c r="H90" s="1">
        <v>3126</v>
      </c>
      <c r="I90" s="1">
        <v>0</v>
      </c>
      <c r="J90" s="1" t="s">
        <v>593</v>
      </c>
      <c r="K90" s="1" t="s">
        <v>144</v>
      </c>
      <c r="L90" s="1" t="s">
        <v>594</v>
      </c>
      <c r="M90" s="1"/>
      <c r="N90" s="2">
        <v>36892</v>
      </c>
      <c r="O90" s="1"/>
      <c r="P90" s="2">
        <v>32687</v>
      </c>
      <c r="Q90" s="1" t="s">
        <v>34</v>
      </c>
      <c r="R90" s="1"/>
      <c r="S90" s="1" t="s">
        <v>35</v>
      </c>
      <c r="T90" s="1"/>
      <c r="U90" s="1"/>
      <c r="V90" s="1" t="s">
        <v>159</v>
      </c>
      <c r="W90" s="1"/>
      <c r="X90" s="1" t="s">
        <v>37</v>
      </c>
      <c r="Y90" s="1" t="s">
        <v>595</v>
      </c>
      <c r="Z90" s="1">
        <v>5353</v>
      </c>
    </row>
    <row r="91" spans="1:26" ht="42">
      <c r="A91" s="1" t="str">
        <f>"0007HY"</f>
        <v>0007HY</v>
      </c>
      <c r="B91" s="1" t="s">
        <v>574</v>
      </c>
      <c r="C91" s="1" t="s">
        <v>575</v>
      </c>
      <c r="D91" s="1" t="str">
        <f>"8028966060"</f>
        <v>8028966060</v>
      </c>
      <c r="E91" s="1">
        <v>797</v>
      </c>
      <c r="F91" s="1" t="s">
        <v>28</v>
      </c>
      <c r="G91" s="1" t="s">
        <v>596</v>
      </c>
      <c r="H91" s="1">
        <v>3125</v>
      </c>
      <c r="I91" s="1">
        <v>0</v>
      </c>
      <c r="J91" s="1" t="s">
        <v>597</v>
      </c>
      <c r="K91" s="1" t="s">
        <v>144</v>
      </c>
      <c r="L91" s="1" t="s">
        <v>590</v>
      </c>
      <c r="M91" s="1"/>
      <c r="N91" s="2">
        <v>36892</v>
      </c>
      <c r="O91" s="1"/>
      <c r="P91" s="2">
        <v>32707</v>
      </c>
      <c r="Q91" s="1" t="s">
        <v>34</v>
      </c>
      <c r="R91" s="1"/>
      <c r="S91" s="1" t="s">
        <v>35</v>
      </c>
      <c r="T91" s="1"/>
      <c r="U91" s="1"/>
      <c r="V91" s="1" t="s">
        <v>159</v>
      </c>
      <c r="W91" s="1"/>
      <c r="X91" s="1" t="s">
        <v>37</v>
      </c>
      <c r="Y91" s="1" t="s">
        <v>591</v>
      </c>
      <c r="Z91" s="1">
        <v>5355</v>
      </c>
    </row>
    <row r="92" spans="1:26" ht="42">
      <c r="A92" s="1" t="str">
        <f>"0007HY"</f>
        <v>0007HY</v>
      </c>
      <c r="B92" s="1" t="s">
        <v>574</v>
      </c>
      <c r="C92" s="1" t="s">
        <v>575</v>
      </c>
      <c r="D92" s="1" t="str">
        <f>"8028966060"</f>
        <v>8028966060</v>
      </c>
      <c r="E92" s="1">
        <v>797</v>
      </c>
      <c r="F92" s="1" t="s">
        <v>28</v>
      </c>
      <c r="G92" s="1" t="s">
        <v>598</v>
      </c>
      <c r="H92" s="1">
        <v>3346</v>
      </c>
      <c r="I92" s="1">
        <v>0</v>
      </c>
      <c r="J92" s="1" t="s">
        <v>599</v>
      </c>
      <c r="K92" s="1" t="s">
        <v>187</v>
      </c>
      <c r="L92" s="1" t="s">
        <v>392</v>
      </c>
      <c r="M92" s="1"/>
      <c r="N92" s="2">
        <v>36892</v>
      </c>
      <c r="O92" s="1"/>
      <c r="P92" s="2">
        <v>34922</v>
      </c>
      <c r="Q92" s="1" t="s">
        <v>34</v>
      </c>
      <c r="R92" s="1"/>
      <c r="S92" s="1" t="s">
        <v>35</v>
      </c>
      <c r="T92" s="1"/>
      <c r="U92" s="1"/>
      <c r="V92" s="1" t="s">
        <v>159</v>
      </c>
      <c r="W92" s="1"/>
      <c r="X92" s="1" t="s">
        <v>37</v>
      </c>
      <c r="Y92" s="1" t="s">
        <v>395</v>
      </c>
      <c r="Z92" s="1">
        <v>5254</v>
      </c>
    </row>
    <row r="93" spans="1:26" ht="42">
      <c r="A93" s="1" t="str">
        <f>"0007HY"</f>
        <v>0007HY</v>
      </c>
      <c r="B93" s="1" t="s">
        <v>574</v>
      </c>
      <c r="C93" s="1" t="s">
        <v>575</v>
      </c>
      <c r="D93" s="1" t="str">
        <f>"8028966060"</f>
        <v>8028966060</v>
      </c>
      <c r="E93" s="1">
        <v>797</v>
      </c>
      <c r="F93" s="1" t="s">
        <v>28</v>
      </c>
      <c r="G93" s="1" t="s">
        <v>600</v>
      </c>
      <c r="H93" s="1">
        <v>3348</v>
      </c>
      <c r="I93" s="1">
        <v>0</v>
      </c>
      <c r="J93" s="1" t="s">
        <v>601</v>
      </c>
      <c r="K93" s="1" t="s">
        <v>135</v>
      </c>
      <c r="L93" s="1" t="s">
        <v>582</v>
      </c>
      <c r="M93" s="1"/>
      <c r="N93" s="2">
        <v>36892</v>
      </c>
      <c r="O93" s="1"/>
      <c r="P93" s="2">
        <v>32707</v>
      </c>
      <c r="Q93" s="1" t="s">
        <v>34</v>
      </c>
      <c r="R93" s="1"/>
      <c r="S93" s="1" t="s">
        <v>35</v>
      </c>
      <c r="T93" s="1"/>
      <c r="U93" s="1"/>
      <c r="V93" s="1" t="s">
        <v>159</v>
      </c>
      <c r="W93" s="1"/>
      <c r="X93" s="1" t="s">
        <v>37</v>
      </c>
      <c r="Y93" s="1" t="s">
        <v>583</v>
      </c>
      <c r="Z93" s="1">
        <v>5751</v>
      </c>
    </row>
    <row r="94" spans="1:26" ht="42">
      <c r="A94" s="1" t="str">
        <f>"0007HY"</f>
        <v>0007HY</v>
      </c>
      <c r="B94" s="1" t="s">
        <v>574</v>
      </c>
      <c r="C94" s="1" t="s">
        <v>575</v>
      </c>
      <c r="D94" s="1" t="str">
        <f>"8028966060"</f>
        <v>8028966060</v>
      </c>
      <c r="E94" s="1">
        <v>797</v>
      </c>
      <c r="F94" s="1" t="s">
        <v>28</v>
      </c>
      <c r="G94" s="1" t="s">
        <v>602</v>
      </c>
      <c r="H94" s="1"/>
      <c r="I94" s="1">
        <v>10</v>
      </c>
      <c r="J94" s="1" t="s">
        <v>603</v>
      </c>
      <c r="K94" s="1" t="s">
        <v>187</v>
      </c>
      <c r="L94" s="1" t="s">
        <v>188</v>
      </c>
      <c r="M94" s="1" t="s">
        <v>604</v>
      </c>
      <c r="N94" s="2">
        <v>42340</v>
      </c>
      <c r="O94" s="1"/>
      <c r="P94" s="1"/>
      <c r="Q94" s="1" t="s">
        <v>34</v>
      </c>
      <c r="R94" s="1"/>
      <c r="S94" s="1" t="s">
        <v>35</v>
      </c>
      <c r="T94" s="1">
        <v>42.876137200000002</v>
      </c>
      <c r="U94" s="1">
        <v>-72.862110499999901</v>
      </c>
      <c r="V94" s="1" t="s">
        <v>605</v>
      </c>
      <c r="W94" s="1"/>
      <c r="X94" s="1" t="s">
        <v>37</v>
      </c>
      <c r="Y94" s="1" t="s">
        <v>606</v>
      </c>
      <c r="Z94" s="1">
        <v>5363</v>
      </c>
    </row>
    <row r="95" spans="1:26" ht="42">
      <c r="A95" s="1" t="str">
        <f>"0007HY"</f>
        <v>0007HY</v>
      </c>
      <c r="B95" s="1" t="s">
        <v>574</v>
      </c>
      <c r="C95" s="1" t="s">
        <v>575</v>
      </c>
      <c r="D95" s="1" t="str">
        <f>"8028966060"</f>
        <v>8028966060</v>
      </c>
      <c r="E95" s="1">
        <v>797</v>
      </c>
      <c r="F95" s="1" t="s">
        <v>28</v>
      </c>
      <c r="G95" s="1" t="s">
        <v>607</v>
      </c>
      <c r="H95" s="1"/>
      <c r="I95" s="1">
        <v>10</v>
      </c>
      <c r="J95" s="1" t="s">
        <v>608</v>
      </c>
      <c r="K95" s="1" t="s">
        <v>144</v>
      </c>
      <c r="L95" s="1" t="s">
        <v>609</v>
      </c>
      <c r="M95" s="1" t="s">
        <v>608</v>
      </c>
      <c r="N95" s="2">
        <v>42340</v>
      </c>
      <c r="O95" s="1"/>
      <c r="P95" s="1"/>
      <c r="Q95" s="1" t="s">
        <v>34</v>
      </c>
      <c r="R95" s="1"/>
      <c r="S95" s="1" t="s">
        <v>35</v>
      </c>
      <c r="T95" s="1">
        <v>42.963808499999999</v>
      </c>
      <c r="U95" s="1">
        <v>-72.529069199999896</v>
      </c>
      <c r="V95" s="1" t="s">
        <v>610</v>
      </c>
      <c r="W95" s="1"/>
      <c r="X95" s="1" t="s">
        <v>37</v>
      </c>
      <c r="Y95" s="1" t="s">
        <v>611</v>
      </c>
      <c r="Z95" s="1">
        <v>5301</v>
      </c>
    </row>
    <row r="96" spans="1:26" ht="42">
      <c r="A96" s="1" t="str">
        <f>"0007HY"</f>
        <v>0007HY</v>
      </c>
      <c r="B96" s="1" t="s">
        <v>574</v>
      </c>
      <c r="C96" s="1" t="s">
        <v>575</v>
      </c>
      <c r="D96" s="1" t="str">
        <f>"8028966060"</f>
        <v>8028966060</v>
      </c>
      <c r="E96" s="1">
        <v>797</v>
      </c>
      <c r="F96" s="1" t="s">
        <v>28</v>
      </c>
      <c r="G96" s="1" t="s">
        <v>612</v>
      </c>
      <c r="H96" s="1"/>
      <c r="I96" s="1">
        <v>15</v>
      </c>
      <c r="J96" s="1" t="s">
        <v>613</v>
      </c>
      <c r="K96" s="1" t="s">
        <v>144</v>
      </c>
      <c r="L96" s="1" t="s">
        <v>590</v>
      </c>
      <c r="M96" s="1" t="s">
        <v>614</v>
      </c>
      <c r="N96" s="2">
        <v>42340</v>
      </c>
      <c r="O96" s="1"/>
      <c r="P96" s="1"/>
      <c r="Q96" s="1" t="s">
        <v>34</v>
      </c>
      <c r="R96" s="1"/>
      <c r="S96" s="1" t="s">
        <v>35</v>
      </c>
      <c r="T96" s="1">
        <v>43.011626999999997</v>
      </c>
      <c r="U96" s="1">
        <v>-72.765060000000005</v>
      </c>
      <c r="V96" s="1" t="s">
        <v>615</v>
      </c>
      <c r="W96" s="1"/>
      <c r="X96" s="1" t="s">
        <v>37</v>
      </c>
      <c r="Y96" s="1" t="s">
        <v>591</v>
      </c>
      <c r="Z96" s="1">
        <v>5355</v>
      </c>
    </row>
    <row r="97" spans="1:26" ht="42">
      <c r="A97" s="1" t="str">
        <f>"0007HY"</f>
        <v>0007HY</v>
      </c>
      <c r="B97" s="1" t="s">
        <v>574</v>
      </c>
      <c r="C97" s="1" t="s">
        <v>575</v>
      </c>
      <c r="D97" s="1" t="str">
        <f>"8028966060"</f>
        <v>8028966060</v>
      </c>
      <c r="E97" s="1">
        <v>797</v>
      </c>
      <c r="F97" s="1" t="s">
        <v>28</v>
      </c>
      <c r="G97" s="1" t="s">
        <v>616</v>
      </c>
      <c r="H97" s="1"/>
      <c r="I97" s="1">
        <v>10</v>
      </c>
      <c r="J97" s="1" t="s">
        <v>617</v>
      </c>
      <c r="K97" s="1" t="s">
        <v>144</v>
      </c>
      <c r="L97" s="1" t="s">
        <v>492</v>
      </c>
      <c r="M97" s="1" t="s">
        <v>617</v>
      </c>
      <c r="N97" s="2">
        <v>42340</v>
      </c>
      <c r="O97" s="1"/>
      <c r="P97" s="1"/>
      <c r="Q97" s="1" t="s">
        <v>34</v>
      </c>
      <c r="R97" s="1"/>
      <c r="S97" s="1" t="s">
        <v>35</v>
      </c>
      <c r="T97" s="1">
        <v>42.894021500000001</v>
      </c>
      <c r="U97" s="1">
        <v>-72.544235299999897</v>
      </c>
      <c r="V97" s="1" t="s">
        <v>618</v>
      </c>
      <c r="W97" s="1"/>
      <c r="X97" s="1" t="s">
        <v>37</v>
      </c>
      <c r="Y97" s="1" t="s">
        <v>619</v>
      </c>
      <c r="Z97" s="1">
        <v>5301</v>
      </c>
    </row>
    <row r="98" spans="1:26" ht="42">
      <c r="A98" s="1" t="str">
        <f>"0007J2"</f>
        <v>0007J2</v>
      </c>
      <c r="B98" s="1" t="s">
        <v>620</v>
      </c>
      <c r="C98" s="1" t="s">
        <v>621</v>
      </c>
      <c r="D98" s="1" t="str">
        <f>"8028858408"</f>
        <v>8028858408</v>
      </c>
      <c r="E98" s="1">
        <v>3886</v>
      </c>
      <c r="F98" s="1" t="s">
        <v>28</v>
      </c>
      <c r="G98" s="1" t="s">
        <v>622</v>
      </c>
      <c r="H98" s="1">
        <v>5164</v>
      </c>
      <c r="I98" s="1">
        <v>7</v>
      </c>
      <c r="J98" s="1" t="s">
        <v>623</v>
      </c>
      <c r="K98" s="1" t="s">
        <v>77</v>
      </c>
      <c r="L98" s="1" t="s">
        <v>372</v>
      </c>
      <c r="M98" s="1" t="s">
        <v>624</v>
      </c>
      <c r="N98" s="2">
        <v>36892</v>
      </c>
      <c r="O98" s="1"/>
      <c r="P98" s="2">
        <v>39686</v>
      </c>
      <c r="Q98" s="1" t="s">
        <v>34</v>
      </c>
      <c r="R98" s="1"/>
      <c r="S98" s="1" t="s">
        <v>35</v>
      </c>
      <c r="T98" s="1">
        <v>43.2984078</v>
      </c>
      <c r="U98" s="1">
        <v>-72.482311699999897</v>
      </c>
      <c r="V98" s="1" t="s">
        <v>625</v>
      </c>
      <c r="W98" s="1"/>
      <c r="X98" s="1" t="s">
        <v>37</v>
      </c>
      <c r="Y98" s="1" t="s">
        <v>375</v>
      </c>
      <c r="Z98" s="1">
        <v>5156</v>
      </c>
    </row>
    <row r="99" spans="1:26" ht="42">
      <c r="A99" s="1" t="str">
        <f>"0007J2"</f>
        <v>0007J2</v>
      </c>
      <c r="B99" s="1" t="s">
        <v>620</v>
      </c>
      <c r="C99" s="1" t="s">
        <v>621</v>
      </c>
      <c r="D99" s="1" t="str">
        <f>"8028858408"</f>
        <v>8028858408</v>
      </c>
      <c r="E99" s="1">
        <v>3886</v>
      </c>
      <c r="F99" s="1" t="s">
        <v>28</v>
      </c>
      <c r="G99" s="1" t="s">
        <v>626</v>
      </c>
      <c r="H99" s="1"/>
      <c r="I99" s="1">
        <v>4</v>
      </c>
      <c r="J99" s="1" t="s">
        <v>627</v>
      </c>
      <c r="K99" s="1" t="s">
        <v>77</v>
      </c>
      <c r="L99" s="1" t="s">
        <v>372</v>
      </c>
      <c r="M99" s="1" t="s">
        <v>628</v>
      </c>
      <c r="N99" s="2">
        <v>42198</v>
      </c>
      <c r="O99" s="1"/>
      <c r="P99" s="1"/>
      <c r="Q99" s="1" t="s">
        <v>34</v>
      </c>
      <c r="R99" s="1"/>
      <c r="S99" s="1" t="s">
        <v>35</v>
      </c>
      <c r="T99" s="1">
        <v>43.313823900000003</v>
      </c>
      <c r="U99" s="1">
        <v>-72.467277899999999</v>
      </c>
      <c r="V99" s="1" t="s">
        <v>629</v>
      </c>
      <c r="W99" s="1"/>
      <c r="X99" s="1" t="s">
        <v>37</v>
      </c>
      <c r="Y99" s="1" t="s">
        <v>375</v>
      </c>
      <c r="Z99" s="1">
        <v>5156</v>
      </c>
    </row>
    <row r="100" spans="1:26" ht="42">
      <c r="A100" s="1" t="str">
        <f>"0007JF"</f>
        <v>0007JF</v>
      </c>
      <c r="B100" s="1" t="s">
        <v>630</v>
      </c>
      <c r="C100" s="1" t="s">
        <v>631</v>
      </c>
      <c r="D100" s="1" t="str">
        <f>"8027654637"</f>
        <v>8027654637</v>
      </c>
      <c r="E100" s="1">
        <v>3122</v>
      </c>
      <c r="F100" s="1" t="s">
        <v>28</v>
      </c>
      <c r="G100" s="1" t="s">
        <v>632</v>
      </c>
      <c r="H100" s="1">
        <v>4202</v>
      </c>
      <c r="I100" s="1">
        <v>4</v>
      </c>
      <c r="J100" s="1" t="s">
        <v>633</v>
      </c>
      <c r="K100" s="1" t="s">
        <v>68</v>
      </c>
      <c r="L100" s="1" t="s">
        <v>634</v>
      </c>
      <c r="M100" s="1" t="s">
        <v>635</v>
      </c>
      <c r="N100" s="2">
        <v>36892</v>
      </c>
      <c r="O100" s="1"/>
      <c r="P100" s="2">
        <v>43261</v>
      </c>
      <c r="Q100" s="1" t="s">
        <v>34</v>
      </c>
      <c r="R100" s="1"/>
      <c r="S100" s="1" t="s">
        <v>35</v>
      </c>
      <c r="T100" s="1"/>
      <c r="U100" s="1"/>
      <c r="V100" s="1" t="s">
        <v>159</v>
      </c>
      <c r="W100" s="1"/>
      <c r="X100" s="1" t="s">
        <v>37</v>
      </c>
      <c r="Y100" s="1" t="s">
        <v>636</v>
      </c>
      <c r="Z100" s="1">
        <v>0</v>
      </c>
    </row>
    <row r="101" spans="1:26" ht="42">
      <c r="A101" s="1" t="str">
        <f>"0007JF"</f>
        <v>0007JF</v>
      </c>
      <c r="B101" s="1" t="s">
        <v>630</v>
      </c>
      <c r="C101" s="1" t="s">
        <v>631</v>
      </c>
      <c r="D101" s="1" t="str">
        <f>"8027654637"</f>
        <v>8027654637</v>
      </c>
      <c r="E101" s="1">
        <v>3122</v>
      </c>
      <c r="F101" s="1" t="s">
        <v>28</v>
      </c>
      <c r="G101" s="1" t="s">
        <v>637</v>
      </c>
      <c r="H101" s="1"/>
      <c r="I101" s="1">
        <v>2</v>
      </c>
      <c r="J101" s="1">
        <v>2</v>
      </c>
      <c r="K101" s="1" t="s">
        <v>77</v>
      </c>
      <c r="L101" s="1" t="s">
        <v>638</v>
      </c>
      <c r="M101" s="1" t="s">
        <v>639</v>
      </c>
      <c r="N101" s="2">
        <v>42195</v>
      </c>
      <c r="O101" s="1"/>
      <c r="P101" s="2">
        <v>43261</v>
      </c>
      <c r="Q101" s="1" t="s">
        <v>34</v>
      </c>
      <c r="R101" s="1"/>
      <c r="S101" s="1" t="s">
        <v>35</v>
      </c>
      <c r="T101" s="1"/>
      <c r="U101" s="1"/>
      <c r="V101" s="1" t="s">
        <v>158</v>
      </c>
      <c r="W101" s="1"/>
      <c r="X101" s="1" t="s">
        <v>37</v>
      </c>
      <c r="Y101" s="1" t="s">
        <v>640</v>
      </c>
      <c r="Z101" s="1">
        <v>0</v>
      </c>
    </row>
    <row r="102" spans="1:26" ht="42">
      <c r="A102" s="1" t="str">
        <f>"0007JW"</f>
        <v>0007JW</v>
      </c>
      <c r="B102" s="1" t="s">
        <v>641</v>
      </c>
      <c r="C102" s="1" t="s">
        <v>642</v>
      </c>
      <c r="D102" s="1" t="str">
        <f>"8027592572"</f>
        <v>8027592572</v>
      </c>
      <c r="E102" s="1">
        <v>3097</v>
      </c>
      <c r="F102" s="1" t="s">
        <v>28</v>
      </c>
      <c r="G102" s="1" t="s">
        <v>643</v>
      </c>
      <c r="H102" s="1">
        <v>4191</v>
      </c>
      <c r="I102" s="1">
        <v>12</v>
      </c>
      <c r="J102" s="1" t="s">
        <v>644</v>
      </c>
      <c r="K102" s="1" t="s">
        <v>333</v>
      </c>
      <c r="L102" s="1" t="s">
        <v>645</v>
      </c>
      <c r="M102" s="1" t="s">
        <v>646</v>
      </c>
      <c r="N102" s="2">
        <v>36892</v>
      </c>
      <c r="O102" s="1"/>
      <c r="P102" s="2">
        <v>39183</v>
      </c>
      <c r="Q102" s="1" t="s">
        <v>34</v>
      </c>
      <c r="R102" s="1"/>
      <c r="S102" s="1" t="s">
        <v>35</v>
      </c>
      <c r="T102" s="1">
        <v>44.12</v>
      </c>
      <c r="U102" s="1">
        <v>-73.292500000000004</v>
      </c>
      <c r="V102" s="1" t="s">
        <v>647</v>
      </c>
      <c r="W102" s="1"/>
      <c r="X102" s="1" t="s">
        <v>37</v>
      </c>
      <c r="Y102" s="1" t="s">
        <v>648</v>
      </c>
      <c r="Z102" s="1">
        <v>5491</v>
      </c>
    </row>
    <row r="103" spans="1:26" ht="42">
      <c r="A103" s="1" t="str">
        <f>"0007JW"</f>
        <v>0007JW</v>
      </c>
      <c r="B103" s="1" t="s">
        <v>641</v>
      </c>
      <c r="C103" s="1" t="s">
        <v>642</v>
      </c>
      <c r="D103" s="1" t="str">
        <f>"8027592572"</f>
        <v>8027592572</v>
      </c>
      <c r="E103" s="1">
        <v>3097</v>
      </c>
      <c r="F103" s="1" t="s">
        <v>28</v>
      </c>
      <c r="G103" s="1" t="s">
        <v>649</v>
      </c>
      <c r="H103" s="1"/>
      <c r="I103" s="1">
        <v>0</v>
      </c>
      <c r="J103" s="1" t="s">
        <v>650</v>
      </c>
      <c r="K103" s="1" t="s">
        <v>43</v>
      </c>
      <c r="L103" s="1" t="s">
        <v>112</v>
      </c>
      <c r="M103" s="1" t="s">
        <v>646</v>
      </c>
      <c r="N103" s="2">
        <v>42242</v>
      </c>
      <c r="O103" s="2">
        <v>43252</v>
      </c>
      <c r="P103" s="1"/>
      <c r="Q103" s="1" t="s">
        <v>34</v>
      </c>
      <c r="R103" s="1"/>
      <c r="S103" s="1" t="s">
        <v>35</v>
      </c>
      <c r="T103" s="1">
        <v>44.120287099999999</v>
      </c>
      <c r="U103" s="1">
        <v>-73.293566499999997</v>
      </c>
      <c r="V103" s="1" t="s">
        <v>651</v>
      </c>
      <c r="W103" s="1"/>
      <c r="X103" s="1" t="s">
        <v>37</v>
      </c>
      <c r="Y103" s="1" t="s">
        <v>652</v>
      </c>
      <c r="Z103" s="1" t="s">
        <v>653</v>
      </c>
    </row>
    <row r="104" spans="1:26" ht="42">
      <c r="A104" s="1" t="str">
        <f>"0007K8"</f>
        <v>0007K8</v>
      </c>
      <c r="B104" s="1" t="s">
        <v>654</v>
      </c>
      <c r="C104" s="1" t="s">
        <v>655</v>
      </c>
      <c r="D104" s="1" t="str">
        <f>"8026264029"</f>
        <v>8026264029</v>
      </c>
      <c r="E104" s="1">
        <v>2969</v>
      </c>
      <c r="F104" s="1" t="s">
        <v>28</v>
      </c>
      <c r="G104" s="1" t="s">
        <v>656</v>
      </c>
      <c r="H104" s="1">
        <v>3999</v>
      </c>
      <c r="I104" s="1">
        <v>1</v>
      </c>
      <c r="J104" s="1" t="s">
        <v>657</v>
      </c>
      <c r="K104" s="1" t="s">
        <v>59</v>
      </c>
      <c r="L104" s="1" t="s">
        <v>658</v>
      </c>
      <c r="M104" s="1" t="s">
        <v>659</v>
      </c>
      <c r="N104" s="2">
        <v>36892</v>
      </c>
      <c r="O104" s="1"/>
      <c r="P104" s="1"/>
      <c r="Q104" s="1" t="s">
        <v>34</v>
      </c>
      <c r="R104" s="1"/>
      <c r="S104" s="1" t="s">
        <v>35</v>
      </c>
      <c r="T104" s="1">
        <v>44.595979</v>
      </c>
      <c r="U104" s="1">
        <v>-72.113548899999998</v>
      </c>
      <c r="V104" s="1" t="s">
        <v>660</v>
      </c>
      <c r="W104" s="1"/>
      <c r="X104" s="1" t="s">
        <v>37</v>
      </c>
      <c r="Y104" s="1" t="s">
        <v>661</v>
      </c>
      <c r="Z104" s="1">
        <v>5866</v>
      </c>
    </row>
    <row r="105" spans="1:26" ht="42">
      <c r="A105" s="1" t="str">
        <f>"0007KZ"</f>
        <v>0007KZ</v>
      </c>
      <c r="B105" s="1" t="s">
        <v>662</v>
      </c>
      <c r="C105" s="1" t="s">
        <v>663</v>
      </c>
      <c r="D105" s="1" t="str">
        <f>"8023884276"</f>
        <v>8023884276</v>
      </c>
      <c r="E105" s="1">
        <v>913</v>
      </c>
      <c r="F105" s="1" t="s">
        <v>28</v>
      </c>
      <c r="G105" s="1" t="s">
        <v>664</v>
      </c>
      <c r="H105" s="1">
        <v>1110</v>
      </c>
      <c r="I105" s="1">
        <v>1</v>
      </c>
      <c r="J105" s="1" t="s">
        <v>665</v>
      </c>
      <c r="K105" s="1" t="s">
        <v>333</v>
      </c>
      <c r="L105" s="1" t="s">
        <v>457</v>
      </c>
      <c r="M105" s="1" t="s">
        <v>666</v>
      </c>
      <c r="N105" s="2">
        <v>36892</v>
      </c>
      <c r="O105" s="1"/>
      <c r="P105" s="2">
        <v>32734</v>
      </c>
      <c r="Q105" s="1" t="s">
        <v>34</v>
      </c>
      <c r="R105" s="1"/>
      <c r="S105" s="1" t="s">
        <v>35</v>
      </c>
      <c r="T105" s="1">
        <v>44.009355900000003</v>
      </c>
      <c r="U105" s="1">
        <v>-73.170721</v>
      </c>
      <c r="V105" s="1" t="s">
        <v>667</v>
      </c>
      <c r="W105" s="1"/>
      <c r="X105" s="1" t="s">
        <v>37</v>
      </c>
      <c r="Y105" s="1" t="s">
        <v>460</v>
      </c>
      <c r="Z105" s="1">
        <v>5753</v>
      </c>
    </row>
    <row r="106" spans="1:26" ht="42">
      <c r="A106" s="1" t="str">
        <f>"0007M7"</f>
        <v>0007M7</v>
      </c>
      <c r="B106" s="1" t="s">
        <v>668</v>
      </c>
      <c r="C106" s="1" t="s">
        <v>669</v>
      </c>
      <c r="D106" s="1" t="str">
        <f>"8024967128"</f>
        <v>8024967128</v>
      </c>
      <c r="E106" s="1">
        <v>3992</v>
      </c>
      <c r="F106" s="1" t="s">
        <v>28</v>
      </c>
      <c r="G106" s="1" t="s">
        <v>670</v>
      </c>
      <c r="H106" s="1">
        <v>5295</v>
      </c>
      <c r="I106" s="1">
        <v>0</v>
      </c>
      <c r="J106" s="1" t="s">
        <v>671</v>
      </c>
      <c r="K106" s="1" t="s">
        <v>31</v>
      </c>
      <c r="L106" s="1" t="s">
        <v>672</v>
      </c>
      <c r="M106" s="1" t="s">
        <v>673</v>
      </c>
      <c r="N106" s="2">
        <v>36892</v>
      </c>
      <c r="O106" s="1"/>
      <c r="P106" s="2">
        <v>39980</v>
      </c>
      <c r="Q106" s="1" t="s">
        <v>34</v>
      </c>
      <c r="R106" s="1"/>
      <c r="S106" s="1" t="s">
        <v>35</v>
      </c>
      <c r="T106" s="1">
        <v>44.250163776556803</v>
      </c>
      <c r="U106" s="1">
        <v>-72.770648002624498</v>
      </c>
      <c r="V106" s="1" t="s">
        <v>674</v>
      </c>
      <c r="W106" s="1"/>
      <c r="X106" s="1" t="s">
        <v>37</v>
      </c>
      <c r="Y106" s="1" t="s">
        <v>675</v>
      </c>
      <c r="Z106" s="1">
        <v>5660</v>
      </c>
    </row>
    <row r="107" spans="1:26" ht="42">
      <c r="A107" s="1" t="str">
        <f>"0007MA"</f>
        <v>0007MA</v>
      </c>
      <c r="B107" s="1" t="s">
        <v>676</v>
      </c>
      <c r="C107" s="1" t="s">
        <v>677</v>
      </c>
      <c r="D107" s="1" t="str">
        <f>"8028772690"</f>
        <v>8028772690</v>
      </c>
      <c r="E107" s="1">
        <v>941</v>
      </c>
      <c r="F107" s="1" t="s">
        <v>28</v>
      </c>
      <c r="G107" s="1" t="s">
        <v>678</v>
      </c>
      <c r="H107" s="1">
        <v>3803</v>
      </c>
      <c r="I107" s="1">
        <v>16</v>
      </c>
      <c r="J107" s="1">
        <v>5</v>
      </c>
      <c r="K107" s="1" t="s">
        <v>333</v>
      </c>
      <c r="L107" s="1" t="s">
        <v>679</v>
      </c>
      <c r="M107" s="1" t="s">
        <v>680</v>
      </c>
      <c r="N107" s="2">
        <v>36892</v>
      </c>
      <c r="O107" s="1"/>
      <c r="P107" s="2">
        <v>35279</v>
      </c>
      <c r="Q107" s="1" t="s">
        <v>34</v>
      </c>
      <c r="R107" s="1"/>
      <c r="S107" s="1" t="s">
        <v>35</v>
      </c>
      <c r="T107" s="1">
        <v>44.207599999999999</v>
      </c>
      <c r="U107" s="1">
        <v>-73.311049999999994</v>
      </c>
      <c r="V107" s="1" t="s">
        <v>159</v>
      </c>
      <c r="W107" s="1"/>
      <c r="X107" s="1" t="s">
        <v>37</v>
      </c>
      <c r="Y107" s="1" t="s">
        <v>681</v>
      </c>
      <c r="Z107" s="1">
        <v>5661</v>
      </c>
    </row>
    <row r="108" spans="1:26" ht="42">
      <c r="A108" s="1" t="str">
        <f>"0007MA"</f>
        <v>0007MA</v>
      </c>
      <c r="B108" s="1" t="s">
        <v>676</v>
      </c>
      <c r="C108" s="1" t="s">
        <v>677</v>
      </c>
      <c r="D108" s="1" t="str">
        <f>"8028772690"</f>
        <v>8028772690</v>
      </c>
      <c r="E108" s="1">
        <v>941</v>
      </c>
      <c r="F108" s="1" t="s">
        <v>28</v>
      </c>
      <c r="G108" s="1" t="s">
        <v>682</v>
      </c>
      <c r="H108" s="1">
        <v>1147</v>
      </c>
      <c r="I108" s="1">
        <v>0</v>
      </c>
      <c r="J108" s="1" t="s">
        <v>683</v>
      </c>
      <c r="K108" s="1" t="s">
        <v>333</v>
      </c>
      <c r="L108" s="1" t="s">
        <v>684</v>
      </c>
      <c r="M108" s="1"/>
      <c r="N108" s="2">
        <v>36892</v>
      </c>
      <c r="O108" s="2">
        <v>42155</v>
      </c>
      <c r="P108" s="2">
        <v>37903</v>
      </c>
      <c r="Q108" s="1" t="s">
        <v>34</v>
      </c>
      <c r="R108" s="1"/>
      <c r="S108" s="1" t="s">
        <v>35</v>
      </c>
      <c r="T108" s="1"/>
      <c r="U108" s="1"/>
      <c r="V108" s="1" t="s">
        <v>159</v>
      </c>
      <c r="W108" s="1"/>
      <c r="X108" s="1" t="s">
        <v>37</v>
      </c>
      <c r="Y108" s="1" t="s">
        <v>464</v>
      </c>
      <c r="Z108" s="1">
        <v>0</v>
      </c>
    </row>
    <row r="109" spans="1:26" ht="42">
      <c r="A109" s="1" t="str">
        <f>"0007MA"</f>
        <v>0007MA</v>
      </c>
      <c r="B109" s="1" t="s">
        <v>676</v>
      </c>
      <c r="C109" s="1" t="s">
        <v>677</v>
      </c>
      <c r="D109" s="1" t="str">
        <f>"8028772690"</f>
        <v>8028772690</v>
      </c>
      <c r="E109" s="1">
        <v>941</v>
      </c>
      <c r="F109" s="1" t="s">
        <v>28</v>
      </c>
      <c r="G109" s="1" t="s">
        <v>685</v>
      </c>
      <c r="H109" s="1">
        <v>1146</v>
      </c>
      <c r="I109" s="1">
        <v>8</v>
      </c>
      <c r="J109" s="1" t="s">
        <v>686</v>
      </c>
      <c r="K109" s="1" t="s">
        <v>333</v>
      </c>
      <c r="L109" s="1" t="s">
        <v>687</v>
      </c>
      <c r="M109" s="1" t="s">
        <v>688</v>
      </c>
      <c r="N109" s="2">
        <v>36892</v>
      </c>
      <c r="O109" s="1"/>
      <c r="P109" s="2">
        <v>35279</v>
      </c>
      <c r="Q109" s="1" t="s">
        <v>34</v>
      </c>
      <c r="R109" s="1"/>
      <c r="S109" s="1" t="s">
        <v>35</v>
      </c>
      <c r="T109" s="1">
        <v>44.139754688345199</v>
      </c>
      <c r="U109" s="1">
        <v>-73.242405652999807</v>
      </c>
      <c r="V109" s="1" t="s">
        <v>689</v>
      </c>
      <c r="W109" s="1"/>
      <c r="X109" s="1" t="s">
        <v>37</v>
      </c>
      <c r="Y109" s="1" t="s">
        <v>652</v>
      </c>
      <c r="Z109" s="1">
        <v>5491</v>
      </c>
    </row>
    <row r="110" spans="1:26" ht="42">
      <c r="A110" s="1" t="str">
        <f>"0007MA"</f>
        <v>0007MA</v>
      </c>
      <c r="B110" s="1" t="s">
        <v>676</v>
      </c>
      <c r="C110" s="1" t="s">
        <v>677</v>
      </c>
      <c r="D110" s="1" t="str">
        <f>"8028772690"</f>
        <v>8028772690</v>
      </c>
      <c r="E110" s="1">
        <v>941</v>
      </c>
      <c r="F110" s="1" t="s">
        <v>28</v>
      </c>
      <c r="G110" s="1" t="s">
        <v>690</v>
      </c>
      <c r="H110" s="1">
        <v>3964</v>
      </c>
      <c r="I110" s="1">
        <v>8</v>
      </c>
      <c r="J110" s="1">
        <v>8</v>
      </c>
      <c r="K110" s="1" t="s">
        <v>333</v>
      </c>
      <c r="L110" s="1" t="s">
        <v>691</v>
      </c>
      <c r="M110" s="1" t="s">
        <v>692</v>
      </c>
      <c r="N110" s="2">
        <v>36892</v>
      </c>
      <c r="O110" s="1"/>
      <c r="P110" s="1"/>
      <c r="Q110" s="1" t="s">
        <v>34</v>
      </c>
      <c r="R110" s="1"/>
      <c r="S110" s="1" t="s">
        <v>35</v>
      </c>
      <c r="T110" s="1">
        <v>43.756210000000003</v>
      </c>
      <c r="U110" s="1">
        <v>-73.309790000000007</v>
      </c>
      <c r="V110" s="1" t="s">
        <v>159</v>
      </c>
      <c r="W110" s="1"/>
      <c r="X110" s="1" t="s">
        <v>37</v>
      </c>
      <c r="Y110" s="1" t="s">
        <v>693</v>
      </c>
      <c r="Z110" s="1">
        <v>5760</v>
      </c>
    </row>
    <row r="111" spans="1:26" ht="42">
      <c r="A111" s="1" t="str">
        <f>"0007MA"</f>
        <v>0007MA</v>
      </c>
      <c r="B111" s="1" t="s">
        <v>676</v>
      </c>
      <c r="C111" s="1" t="s">
        <v>677</v>
      </c>
      <c r="D111" s="1" t="str">
        <f>"8028772690"</f>
        <v>8028772690</v>
      </c>
      <c r="E111" s="1">
        <v>941</v>
      </c>
      <c r="F111" s="1" t="s">
        <v>28</v>
      </c>
      <c r="G111" s="1" t="s">
        <v>694</v>
      </c>
      <c r="H111" s="1"/>
      <c r="I111" s="1">
        <v>8</v>
      </c>
      <c r="J111" s="1">
        <v>9</v>
      </c>
      <c r="K111" s="1" t="s">
        <v>333</v>
      </c>
      <c r="L111" s="1" t="s">
        <v>484</v>
      </c>
      <c r="M111" s="1" t="s">
        <v>695</v>
      </c>
      <c r="N111" s="2">
        <v>42178</v>
      </c>
      <c r="O111" s="1"/>
      <c r="P111" s="1"/>
      <c r="Q111" s="1" t="s">
        <v>34</v>
      </c>
      <c r="R111" s="1"/>
      <c r="S111" s="1" t="s">
        <v>35</v>
      </c>
      <c r="T111" s="1">
        <v>43.983469999999997</v>
      </c>
      <c r="U111" s="1">
        <v>-73.288939999999997</v>
      </c>
      <c r="V111" s="1" t="s">
        <v>696</v>
      </c>
      <c r="W111" s="1"/>
      <c r="X111" s="1" t="s">
        <v>37</v>
      </c>
      <c r="Y111" s="1" t="s">
        <v>697</v>
      </c>
      <c r="Z111" s="1">
        <v>5734</v>
      </c>
    </row>
    <row r="112" spans="1:26" ht="42">
      <c r="A112" s="1" t="str">
        <f>"0007N1"</f>
        <v>0007N1</v>
      </c>
      <c r="B112" s="1" t="s">
        <v>698</v>
      </c>
      <c r="C112" s="1" t="s">
        <v>699</v>
      </c>
      <c r="D112" s="1" t="str">
        <f>"8024856888"</f>
        <v>8024856888</v>
      </c>
      <c r="E112" s="1">
        <v>3723</v>
      </c>
      <c r="F112" s="1" t="s">
        <v>28</v>
      </c>
      <c r="G112" s="1" t="s">
        <v>700</v>
      </c>
      <c r="H112" s="1">
        <v>4938</v>
      </c>
      <c r="I112" s="1">
        <v>4</v>
      </c>
      <c r="J112" s="1" t="s">
        <v>701</v>
      </c>
      <c r="K112" s="1" t="s">
        <v>31</v>
      </c>
      <c r="L112" s="1" t="s">
        <v>702</v>
      </c>
      <c r="M112" s="1" t="s">
        <v>703</v>
      </c>
      <c r="N112" s="2">
        <v>36892</v>
      </c>
      <c r="O112" s="1"/>
      <c r="P112" s="2">
        <v>39729</v>
      </c>
      <c r="Q112" s="1" t="s">
        <v>34</v>
      </c>
      <c r="R112" s="1"/>
      <c r="S112" s="1" t="s">
        <v>35</v>
      </c>
      <c r="T112" s="1">
        <v>44.193283299999997</v>
      </c>
      <c r="U112" s="1">
        <v>-72.6468019</v>
      </c>
      <c r="V112" s="1" t="s">
        <v>704</v>
      </c>
      <c r="W112" s="1"/>
      <c r="X112" s="1" t="s">
        <v>37</v>
      </c>
      <c r="Y112" s="1" t="s">
        <v>705</v>
      </c>
      <c r="Z112" s="1">
        <v>5663</v>
      </c>
    </row>
    <row r="113" spans="1:26" ht="42">
      <c r="A113" s="1" t="str">
        <f>"0007NZ"</f>
        <v>0007NZ</v>
      </c>
      <c r="B113" s="1" t="s">
        <v>706</v>
      </c>
      <c r="C113" s="1" t="s">
        <v>707</v>
      </c>
      <c r="D113" s="1" t="str">
        <f>"8028622069"</f>
        <v>8028622069</v>
      </c>
      <c r="E113" s="1">
        <v>2959</v>
      </c>
      <c r="F113" s="1" t="s">
        <v>28</v>
      </c>
      <c r="G113" s="1" t="s">
        <v>708</v>
      </c>
      <c r="H113" s="1">
        <v>3974</v>
      </c>
      <c r="I113" s="1">
        <v>2</v>
      </c>
      <c r="J113" s="1" t="s">
        <v>709</v>
      </c>
      <c r="K113" s="1" t="s">
        <v>43</v>
      </c>
      <c r="L113" s="1" t="s">
        <v>44</v>
      </c>
      <c r="M113" s="1" t="s">
        <v>710</v>
      </c>
      <c r="N113" s="2">
        <v>36892</v>
      </c>
      <c r="O113" s="1"/>
      <c r="P113" s="2">
        <v>42556</v>
      </c>
      <c r="Q113" s="1" t="s">
        <v>34</v>
      </c>
      <c r="R113" s="1"/>
      <c r="S113" s="1" t="s">
        <v>35</v>
      </c>
      <c r="T113" s="1">
        <v>44.502867133983003</v>
      </c>
      <c r="U113" s="1">
        <v>-73.208471685647893</v>
      </c>
      <c r="V113" s="1" t="s">
        <v>711</v>
      </c>
      <c r="W113" s="1"/>
      <c r="X113" s="1" t="s">
        <v>37</v>
      </c>
      <c r="Y113" s="1" t="s">
        <v>46</v>
      </c>
      <c r="Z113" s="1">
        <v>5401</v>
      </c>
    </row>
    <row r="114" spans="1:26" ht="42">
      <c r="A114" s="1" t="str">
        <f>"0007P1"</f>
        <v>0007P1</v>
      </c>
      <c r="B114" s="1" t="s">
        <v>712</v>
      </c>
      <c r="C114" s="1" t="s">
        <v>713</v>
      </c>
      <c r="D114" s="1" t="str">
        <f>"8024768369"</f>
        <v>8024768369</v>
      </c>
      <c r="E114" s="1">
        <v>1015</v>
      </c>
      <c r="F114" s="1" t="s">
        <v>28</v>
      </c>
      <c r="G114" s="1" t="s">
        <v>714</v>
      </c>
      <c r="H114" s="1">
        <v>1287</v>
      </c>
      <c r="I114" s="1">
        <v>3</v>
      </c>
      <c r="J114" s="1" t="s">
        <v>715</v>
      </c>
      <c r="K114" s="1" t="s">
        <v>31</v>
      </c>
      <c r="L114" s="1" t="s">
        <v>716</v>
      </c>
      <c r="M114" s="1" t="s">
        <v>717</v>
      </c>
      <c r="N114" s="2">
        <v>36892</v>
      </c>
      <c r="O114" s="1"/>
      <c r="P114" s="1"/>
      <c r="Q114" s="1" t="s">
        <v>34</v>
      </c>
      <c r="R114" s="1"/>
      <c r="S114" s="1" t="s">
        <v>35</v>
      </c>
      <c r="T114" s="1">
        <v>44.166845500000001</v>
      </c>
      <c r="U114" s="1">
        <v>-72.475781400000002</v>
      </c>
      <c r="V114" s="1" t="s">
        <v>718</v>
      </c>
      <c r="W114" s="1"/>
      <c r="X114" s="1" t="s">
        <v>37</v>
      </c>
      <c r="Y114" s="1" t="s">
        <v>237</v>
      </c>
      <c r="Z114" s="1">
        <v>5641</v>
      </c>
    </row>
    <row r="115" spans="1:26" ht="42">
      <c r="A115" s="1" t="str">
        <f>"0007P4"</f>
        <v>0007P4</v>
      </c>
      <c r="B115" s="1" t="s">
        <v>719</v>
      </c>
      <c r="C115" s="1" t="s">
        <v>720</v>
      </c>
      <c r="D115" s="1" t="str">
        <f>"8022237316"</f>
        <v>8022237316</v>
      </c>
      <c r="E115" s="1">
        <v>1021</v>
      </c>
      <c r="F115" s="1" t="s">
        <v>28</v>
      </c>
      <c r="G115" s="1" t="s">
        <v>721</v>
      </c>
      <c r="H115" s="1">
        <v>2791</v>
      </c>
      <c r="I115" s="1">
        <v>14</v>
      </c>
      <c r="J115" s="1" t="s">
        <v>722</v>
      </c>
      <c r="K115" s="1" t="s">
        <v>43</v>
      </c>
      <c r="L115" s="1" t="s">
        <v>723</v>
      </c>
      <c r="M115" s="1" t="s">
        <v>724</v>
      </c>
      <c r="N115" s="2">
        <v>36892</v>
      </c>
      <c r="O115" s="1"/>
      <c r="P115" s="2">
        <v>39744</v>
      </c>
      <c r="Q115" s="1" t="s">
        <v>34</v>
      </c>
      <c r="R115" s="1"/>
      <c r="S115" s="1" t="s">
        <v>35</v>
      </c>
      <c r="T115" s="1">
        <v>44.241090999999997</v>
      </c>
      <c r="U115" s="1">
        <v>-73.154411999999894</v>
      </c>
      <c r="V115" s="1" t="s">
        <v>159</v>
      </c>
      <c r="W115" s="1"/>
      <c r="X115" s="1" t="s">
        <v>37</v>
      </c>
      <c r="Y115" s="1" t="s">
        <v>725</v>
      </c>
      <c r="Z115" s="1">
        <v>0</v>
      </c>
    </row>
    <row r="116" spans="1:26" ht="42">
      <c r="A116" s="1" t="str">
        <f>"0007P4"</f>
        <v>0007P4</v>
      </c>
      <c r="B116" s="1" t="s">
        <v>719</v>
      </c>
      <c r="C116" s="1" t="s">
        <v>720</v>
      </c>
      <c r="D116" s="1" t="str">
        <f>"8022237316"</f>
        <v>8022237316</v>
      </c>
      <c r="E116" s="1">
        <v>1021</v>
      </c>
      <c r="F116" s="1" t="s">
        <v>28</v>
      </c>
      <c r="G116" s="1" t="s">
        <v>726</v>
      </c>
      <c r="H116" s="1">
        <v>3447</v>
      </c>
      <c r="I116" s="1">
        <v>17</v>
      </c>
      <c r="J116" s="1" t="s">
        <v>727</v>
      </c>
      <c r="K116" s="1" t="s">
        <v>43</v>
      </c>
      <c r="L116" s="1" t="s">
        <v>728</v>
      </c>
      <c r="M116" s="1" t="s">
        <v>729</v>
      </c>
      <c r="N116" s="2">
        <v>36892</v>
      </c>
      <c r="O116" s="1"/>
      <c r="P116" s="2">
        <v>41912</v>
      </c>
      <c r="Q116" s="1" t="s">
        <v>34</v>
      </c>
      <c r="R116" s="1"/>
      <c r="S116" s="1" t="s">
        <v>35</v>
      </c>
      <c r="T116" s="1">
        <v>44.312950467741601</v>
      </c>
      <c r="U116" s="1">
        <v>-73.195163905620504</v>
      </c>
      <c r="V116" s="1" t="s">
        <v>730</v>
      </c>
      <c r="W116" s="1"/>
      <c r="X116" s="1" t="s">
        <v>37</v>
      </c>
      <c r="Y116" s="1" t="s">
        <v>731</v>
      </c>
      <c r="Z116" s="1">
        <v>5445</v>
      </c>
    </row>
    <row r="117" spans="1:26" ht="42">
      <c r="A117" s="1" t="str">
        <f>"0007P4"</f>
        <v>0007P4</v>
      </c>
      <c r="B117" s="1" t="s">
        <v>719</v>
      </c>
      <c r="C117" s="1" t="s">
        <v>720</v>
      </c>
      <c r="D117" s="1" t="str">
        <f>"8022237316"</f>
        <v>8022237316</v>
      </c>
      <c r="E117" s="1">
        <v>1021</v>
      </c>
      <c r="F117" s="1" t="s">
        <v>28</v>
      </c>
      <c r="G117" s="1" t="s">
        <v>732</v>
      </c>
      <c r="H117" s="1">
        <v>3448</v>
      </c>
      <c r="I117" s="1">
        <v>14</v>
      </c>
      <c r="J117" s="1" t="s">
        <v>733</v>
      </c>
      <c r="K117" s="1" t="s">
        <v>43</v>
      </c>
      <c r="L117" s="1" t="s">
        <v>728</v>
      </c>
      <c r="M117" s="1" t="s">
        <v>734</v>
      </c>
      <c r="N117" s="2">
        <v>36892</v>
      </c>
      <c r="O117" s="1"/>
      <c r="P117" s="2">
        <v>41912</v>
      </c>
      <c r="Q117" s="1" t="s">
        <v>34</v>
      </c>
      <c r="R117" s="1"/>
      <c r="S117" s="1" t="s">
        <v>35</v>
      </c>
      <c r="T117" s="1">
        <v>44.320915984794702</v>
      </c>
      <c r="U117" s="1">
        <v>-73.174223899841294</v>
      </c>
      <c r="V117" s="1" t="s">
        <v>735</v>
      </c>
      <c r="W117" s="1"/>
      <c r="X117" s="1" t="s">
        <v>37</v>
      </c>
      <c r="Y117" s="1" t="s">
        <v>736</v>
      </c>
      <c r="Z117" s="1">
        <v>5000</v>
      </c>
    </row>
    <row r="118" spans="1:26" ht="42">
      <c r="A118" s="1" t="str">
        <f>"0007P4"</f>
        <v>0007P4</v>
      </c>
      <c r="B118" s="1" t="s">
        <v>719</v>
      </c>
      <c r="C118" s="1" t="s">
        <v>720</v>
      </c>
      <c r="D118" s="1" t="str">
        <f>"8022237316"</f>
        <v>8022237316</v>
      </c>
      <c r="E118" s="1">
        <v>1021</v>
      </c>
      <c r="F118" s="1" t="s">
        <v>28</v>
      </c>
      <c r="G118" s="1" t="s">
        <v>737</v>
      </c>
      <c r="H118" s="1">
        <v>3237</v>
      </c>
      <c r="I118" s="1">
        <v>16</v>
      </c>
      <c r="J118" s="1" t="s">
        <v>738</v>
      </c>
      <c r="K118" s="1" t="s">
        <v>43</v>
      </c>
      <c r="L118" s="1" t="s">
        <v>723</v>
      </c>
      <c r="M118" s="1" t="s">
        <v>739</v>
      </c>
      <c r="N118" s="2">
        <v>40544</v>
      </c>
      <c r="O118" s="1"/>
      <c r="P118" s="2">
        <v>41547</v>
      </c>
      <c r="Q118" s="1" t="s">
        <v>34</v>
      </c>
      <c r="R118" s="1"/>
      <c r="S118" s="1" t="s">
        <v>35</v>
      </c>
      <c r="T118" s="1">
        <v>44.3606032</v>
      </c>
      <c r="U118" s="1">
        <v>-73.179013499999996</v>
      </c>
      <c r="V118" s="1" t="s">
        <v>740</v>
      </c>
      <c r="W118" s="1"/>
      <c r="X118" s="1" t="s">
        <v>37</v>
      </c>
      <c r="Y118" s="1" t="s">
        <v>725</v>
      </c>
      <c r="Z118" s="1">
        <v>0</v>
      </c>
    </row>
    <row r="119" spans="1:26" ht="42">
      <c r="A119" s="1" t="str">
        <f>"0007P4"</f>
        <v>0007P4</v>
      </c>
      <c r="B119" s="1" t="s">
        <v>719</v>
      </c>
      <c r="C119" s="1" t="s">
        <v>720</v>
      </c>
      <c r="D119" s="1" t="str">
        <f>"8022237316"</f>
        <v>8022237316</v>
      </c>
      <c r="E119" s="1">
        <v>1021</v>
      </c>
      <c r="F119" s="1" t="s">
        <v>28</v>
      </c>
      <c r="G119" s="1" t="s">
        <v>741</v>
      </c>
      <c r="H119" s="1">
        <v>4037</v>
      </c>
      <c r="I119" s="1">
        <v>14</v>
      </c>
      <c r="J119" s="1" t="s">
        <v>742</v>
      </c>
      <c r="K119" s="1" t="s">
        <v>43</v>
      </c>
      <c r="L119" s="1" t="s">
        <v>348</v>
      </c>
      <c r="M119" s="1" t="s">
        <v>743</v>
      </c>
      <c r="N119" s="2">
        <v>40544</v>
      </c>
      <c r="O119" s="1"/>
      <c r="P119" s="1"/>
      <c r="Q119" s="1" t="s">
        <v>34</v>
      </c>
      <c r="R119" s="1"/>
      <c r="S119" s="1" t="s">
        <v>35</v>
      </c>
      <c r="T119" s="1">
        <v>44.3432926757621</v>
      </c>
      <c r="U119" s="1">
        <v>-73.1181307090514</v>
      </c>
      <c r="V119" s="1" t="s">
        <v>744</v>
      </c>
      <c r="W119" s="1"/>
      <c r="X119" s="1" t="s">
        <v>37</v>
      </c>
      <c r="Y119" s="1" t="s">
        <v>351</v>
      </c>
      <c r="Z119" s="1">
        <v>0</v>
      </c>
    </row>
    <row r="120" spans="1:26" ht="42">
      <c r="A120" s="1" t="str">
        <f>"0007P4"</f>
        <v>0007P4</v>
      </c>
      <c r="B120" s="1" t="s">
        <v>719</v>
      </c>
      <c r="C120" s="1" t="s">
        <v>720</v>
      </c>
      <c r="D120" s="1" t="str">
        <f>"8022237316"</f>
        <v>8022237316</v>
      </c>
      <c r="E120" s="1">
        <v>1021</v>
      </c>
      <c r="F120" s="1" t="s">
        <v>28</v>
      </c>
      <c r="G120" s="1" t="s">
        <v>745</v>
      </c>
      <c r="H120" s="1">
        <v>1308</v>
      </c>
      <c r="I120" s="1">
        <v>11</v>
      </c>
      <c r="J120" s="1" t="s">
        <v>746</v>
      </c>
      <c r="K120" s="1" t="s">
        <v>31</v>
      </c>
      <c r="L120" s="1" t="s">
        <v>747</v>
      </c>
      <c r="M120" s="1" t="s">
        <v>748</v>
      </c>
      <c r="N120" s="2">
        <v>36892</v>
      </c>
      <c r="O120" s="1"/>
      <c r="P120" s="2">
        <v>42514</v>
      </c>
      <c r="Q120" s="1" t="s">
        <v>34</v>
      </c>
      <c r="R120" s="1"/>
      <c r="S120" s="1" t="s">
        <v>35</v>
      </c>
      <c r="T120" s="1">
        <v>44.342480000000002</v>
      </c>
      <c r="U120" s="1">
        <v>-72.5642</v>
      </c>
      <c r="V120" s="1" t="s">
        <v>749</v>
      </c>
      <c r="W120" s="1"/>
      <c r="X120" s="1" t="s">
        <v>37</v>
      </c>
      <c r="Y120" s="1" t="s">
        <v>750</v>
      </c>
      <c r="Z120" s="1">
        <v>5682</v>
      </c>
    </row>
    <row r="121" spans="1:26" ht="42">
      <c r="A121" s="1" t="str">
        <f>"0007P4"</f>
        <v>0007P4</v>
      </c>
      <c r="B121" s="1" t="s">
        <v>719</v>
      </c>
      <c r="C121" s="1" t="s">
        <v>720</v>
      </c>
      <c r="D121" s="1" t="str">
        <f>"8022237316"</f>
        <v>8022237316</v>
      </c>
      <c r="E121" s="1">
        <v>1021</v>
      </c>
      <c r="F121" s="1" t="s">
        <v>28</v>
      </c>
      <c r="G121" s="1" t="s">
        <v>751</v>
      </c>
      <c r="H121" s="1"/>
      <c r="I121" s="1">
        <v>19</v>
      </c>
      <c r="J121" s="1" t="s">
        <v>752</v>
      </c>
      <c r="K121" s="1" t="s">
        <v>43</v>
      </c>
      <c r="L121" s="1" t="s">
        <v>348</v>
      </c>
      <c r="M121" s="1" t="s">
        <v>753</v>
      </c>
      <c r="N121" s="2">
        <v>41424</v>
      </c>
      <c r="O121" s="1"/>
      <c r="P121" s="2">
        <v>42187</v>
      </c>
      <c r="Q121" s="1" t="s">
        <v>34</v>
      </c>
      <c r="R121" s="1"/>
      <c r="S121" s="1" t="s">
        <v>35</v>
      </c>
      <c r="T121" s="1">
        <v>44.337022601365703</v>
      </c>
      <c r="U121" s="1">
        <v>-73.150103464722605</v>
      </c>
      <c r="V121" s="1" t="s">
        <v>754</v>
      </c>
      <c r="W121" s="1"/>
      <c r="X121" s="1" t="s">
        <v>37</v>
      </c>
      <c r="Y121" s="1" t="s">
        <v>351</v>
      </c>
      <c r="Z121" s="1">
        <v>0</v>
      </c>
    </row>
    <row r="122" spans="1:26" ht="42">
      <c r="A122" s="1" t="str">
        <f>"0007P4"</f>
        <v>0007P4</v>
      </c>
      <c r="B122" s="1" t="s">
        <v>719</v>
      </c>
      <c r="C122" s="1" t="s">
        <v>720</v>
      </c>
      <c r="D122" s="1" t="str">
        <f>"8022237316"</f>
        <v>8022237316</v>
      </c>
      <c r="E122" s="1">
        <v>1021</v>
      </c>
      <c r="F122" s="1" t="s">
        <v>28</v>
      </c>
      <c r="G122" s="1" t="s">
        <v>755</v>
      </c>
      <c r="H122" s="1"/>
      <c r="I122" s="1">
        <v>14</v>
      </c>
      <c r="J122" s="1" t="s">
        <v>756</v>
      </c>
      <c r="K122" s="1" t="s">
        <v>43</v>
      </c>
      <c r="L122" s="1" t="s">
        <v>728</v>
      </c>
      <c r="M122" s="1" t="s">
        <v>757</v>
      </c>
      <c r="N122" s="2">
        <v>41424</v>
      </c>
      <c r="O122" s="1"/>
      <c r="P122" s="2">
        <v>41547</v>
      </c>
      <c r="Q122" s="1" t="s">
        <v>34</v>
      </c>
      <c r="R122" s="1"/>
      <c r="S122" s="1" t="s">
        <v>35</v>
      </c>
      <c r="T122" s="1">
        <v>44.342149999999997</v>
      </c>
      <c r="U122" s="1">
        <v>-73.187089999999998</v>
      </c>
      <c r="V122" s="1" t="s">
        <v>758</v>
      </c>
      <c r="W122" s="1"/>
      <c r="X122" s="1" t="s">
        <v>37</v>
      </c>
      <c r="Y122" s="1" t="s">
        <v>736</v>
      </c>
      <c r="Z122" s="1">
        <v>0</v>
      </c>
    </row>
    <row r="123" spans="1:26" ht="42">
      <c r="A123" s="1" t="str">
        <f>"0007P4"</f>
        <v>0007P4</v>
      </c>
      <c r="B123" s="1" t="s">
        <v>719</v>
      </c>
      <c r="C123" s="1" t="s">
        <v>720</v>
      </c>
      <c r="D123" s="1" t="str">
        <f>"8022237316"</f>
        <v>8022237316</v>
      </c>
      <c r="E123" s="1">
        <v>1021</v>
      </c>
      <c r="F123" s="1" t="s">
        <v>28</v>
      </c>
      <c r="G123" s="1" t="s">
        <v>759</v>
      </c>
      <c r="H123" s="1"/>
      <c r="I123" s="1">
        <v>20</v>
      </c>
      <c r="J123" s="1" t="s">
        <v>760</v>
      </c>
      <c r="K123" s="1" t="s">
        <v>43</v>
      </c>
      <c r="L123" s="1" t="s">
        <v>723</v>
      </c>
      <c r="M123" s="1" t="s">
        <v>761</v>
      </c>
      <c r="N123" s="2">
        <v>41424</v>
      </c>
      <c r="O123" s="1"/>
      <c r="P123" s="1"/>
      <c r="Q123" s="1" t="s">
        <v>34</v>
      </c>
      <c r="R123" s="1"/>
      <c r="S123" s="1" t="s">
        <v>35</v>
      </c>
      <c r="T123" s="1">
        <v>44.391227800000003</v>
      </c>
      <c r="U123" s="1">
        <v>-73.142201399999905</v>
      </c>
      <c r="V123" s="1" t="s">
        <v>762</v>
      </c>
      <c r="W123" s="1"/>
      <c r="X123" s="1" t="s">
        <v>37</v>
      </c>
      <c r="Y123" s="1" t="s">
        <v>725</v>
      </c>
      <c r="Z123" s="1">
        <v>0</v>
      </c>
    </row>
    <row r="124" spans="1:26" ht="42">
      <c r="A124" s="1" t="str">
        <f>"0007P5"</f>
        <v>0007P5</v>
      </c>
      <c r="B124" s="1" t="s">
        <v>763</v>
      </c>
      <c r="C124" s="1" t="s">
        <v>764</v>
      </c>
      <c r="D124" s="1" t="str">
        <f>"8023874645"</f>
        <v>8023874645</v>
      </c>
      <c r="E124" s="1">
        <v>2998</v>
      </c>
      <c r="F124" s="1" t="s">
        <v>28</v>
      </c>
      <c r="G124" s="1" t="s">
        <v>765</v>
      </c>
      <c r="H124" s="1">
        <v>4048</v>
      </c>
      <c r="I124" s="1">
        <v>2</v>
      </c>
      <c r="J124" s="1" t="s">
        <v>766</v>
      </c>
      <c r="K124" s="1" t="s">
        <v>144</v>
      </c>
      <c r="L124" s="1" t="s">
        <v>767</v>
      </c>
      <c r="M124" s="1" t="s">
        <v>768</v>
      </c>
      <c r="N124" s="2">
        <v>36892</v>
      </c>
      <c r="O124" s="1"/>
      <c r="P124" s="2">
        <v>37782</v>
      </c>
      <c r="Q124" s="1" t="s">
        <v>34</v>
      </c>
      <c r="R124" s="1"/>
      <c r="S124" s="1" t="s">
        <v>35</v>
      </c>
      <c r="T124" s="1">
        <v>43.036162999999902</v>
      </c>
      <c r="U124" s="1">
        <v>-72.545974999999999</v>
      </c>
      <c r="V124" s="1" t="s">
        <v>769</v>
      </c>
      <c r="W124" s="1"/>
      <c r="X124" s="1" t="s">
        <v>37</v>
      </c>
      <c r="Y124" s="1" t="s">
        <v>414</v>
      </c>
      <c r="Z124" s="1">
        <v>5346</v>
      </c>
    </row>
    <row r="125" spans="1:26" ht="42">
      <c r="A125" s="1" t="str">
        <f>"0007PK"</f>
        <v>0007PK</v>
      </c>
      <c r="B125" s="1" t="s">
        <v>770</v>
      </c>
      <c r="C125" s="1" t="s">
        <v>771</v>
      </c>
      <c r="D125" s="1" t="str">
        <f>"8022447534"</f>
        <v>8022447534</v>
      </c>
      <c r="E125" s="1">
        <v>1045</v>
      </c>
      <c r="F125" s="1" t="s">
        <v>28</v>
      </c>
      <c r="G125" s="1" t="s">
        <v>772</v>
      </c>
      <c r="H125" s="1">
        <v>3650</v>
      </c>
      <c r="I125" s="1">
        <v>2</v>
      </c>
      <c r="J125" s="1" t="s">
        <v>773</v>
      </c>
      <c r="K125" s="1" t="s">
        <v>31</v>
      </c>
      <c r="L125" s="1" t="s">
        <v>120</v>
      </c>
      <c r="M125" s="1" t="s">
        <v>774</v>
      </c>
      <c r="N125" s="2">
        <v>36892</v>
      </c>
      <c r="O125" s="1"/>
      <c r="P125" s="2">
        <v>41472</v>
      </c>
      <c r="Q125" s="1" t="s">
        <v>34</v>
      </c>
      <c r="R125" s="1"/>
      <c r="S125" s="1" t="s">
        <v>35</v>
      </c>
      <c r="T125" s="1">
        <v>44.390419000000001</v>
      </c>
      <c r="U125" s="1">
        <v>-72.711357000000007</v>
      </c>
      <c r="V125" s="1" t="s">
        <v>775</v>
      </c>
      <c r="W125" s="1"/>
      <c r="X125" s="1" t="s">
        <v>37</v>
      </c>
      <c r="Y125" s="1" t="s">
        <v>123</v>
      </c>
      <c r="Z125" s="1">
        <v>5677</v>
      </c>
    </row>
    <row r="126" spans="1:26" ht="42">
      <c r="A126" s="1" t="str">
        <f>"0007PK"</f>
        <v>0007PK</v>
      </c>
      <c r="B126" s="1" t="s">
        <v>770</v>
      </c>
      <c r="C126" s="1" t="s">
        <v>771</v>
      </c>
      <c r="D126" s="1" t="str">
        <f>"8022447534"</f>
        <v>8022447534</v>
      </c>
      <c r="E126" s="1">
        <v>1045</v>
      </c>
      <c r="F126" s="1" t="s">
        <v>28</v>
      </c>
      <c r="G126" s="1" t="s">
        <v>776</v>
      </c>
      <c r="H126" s="1"/>
      <c r="I126" s="1">
        <v>18</v>
      </c>
      <c r="J126" s="1" t="s">
        <v>777</v>
      </c>
      <c r="K126" s="1" t="s">
        <v>43</v>
      </c>
      <c r="L126" s="1" t="s">
        <v>778</v>
      </c>
      <c r="M126" s="1" t="s">
        <v>779</v>
      </c>
      <c r="N126" s="2">
        <v>41762</v>
      </c>
      <c r="O126" s="1"/>
      <c r="P126" s="1"/>
      <c r="Q126" s="1" t="s">
        <v>34</v>
      </c>
      <c r="R126" s="1"/>
      <c r="S126" s="1" t="s">
        <v>35</v>
      </c>
      <c r="T126" s="1">
        <v>44.527871656928802</v>
      </c>
      <c r="U126" s="1">
        <v>-73.2003861665725</v>
      </c>
      <c r="V126" s="1" t="s">
        <v>780</v>
      </c>
      <c r="W126" s="1"/>
      <c r="X126" s="1" t="s">
        <v>37</v>
      </c>
      <c r="Y126" s="1" t="s">
        <v>781</v>
      </c>
      <c r="Z126" s="1">
        <v>5444</v>
      </c>
    </row>
    <row r="127" spans="1:26" ht="42">
      <c r="A127" s="1" t="str">
        <f>"0007PM"</f>
        <v>0007PM</v>
      </c>
      <c r="B127" s="1" t="s">
        <v>782</v>
      </c>
      <c r="C127" s="1" t="s">
        <v>783</v>
      </c>
      <c r="D127" s="1" t="str">
        <f>"8022232295"</f>
        <v>8022232295</v>
      </c>
      <c r="E127" s="1">
        <v>1046</v>
      </c>
      <c r="F127" s="1" t="s">
        <v>28</v>
      </c>
      <c r="G127" s="1" t="s">
        <v>784</v>
      </c>
      <c r="H127" s="1">
        <v>1320</v>
      </c>
      <c r="I127" s="1">
        <v>2</v>
      </c>
      <c r="J127" s="1" t="s">
        <v>785</v>
      </c>
      <c r="K127" s="1" t="s">
        <v>31</v>
      </c>
      <c r="L127" s="1" t="s">
        <v>786</v>
      </c>
      <c r="M127" s="1" t="s">
        <v>787</v>
      </c>
      <c r="N127" s="2">
        <v>36892</v>
      </c>
      <c r="O127" s="1"/>
      <c r="P127" s="2">
        <v>39559</v>
      </c>
      <c r="Q127" s="1" t="s">
        <v>34</v>
      </c>
      <c r="R127" s="1"/>
      <c r="S127" s="1" t="s">
        <v>35</v>
      </c>
      <c r="T127" s="1">
        <v>44.189663000000003</v>
      </c>
      <c r="U127" s="1">
        <v>-72.644164999999902</v>
      </c>
      <c r="V127" s="1" t="s">
        <v>788</v>
      </c>
      <c r="W127" s="1"/>
      <c r="X127" s="1" t="s">
        <v>37</v>
      </c>
      <c r="Y127" s="1" t="s">
        <v>705</v>
      </c>
      <c r="Z127" s="1">
        <v>5663</v>
      </c>
    </row>
    <row r="128" spans="1:26" ht="42">
      <c r="A128" s="1" t="str">
        <f>"0007PZ"</f>
        <v>0007PZ</v>
      </c>
      <c r="B128" s="1" t="s">
        <v>789</v>
      </c>
      <c r="C128" s="1" t="s">
        <v>790</v>
      </c>
      <c r="D128" s="1" t="str">
        <f>"8028871576"</f>
        <v>8028871576</v>
      </c>
      <c r="E128" s="1">
        <v>4002</v>
      </c>
      <c r="F128" s="1" t="s">
        <v>28</v>
      </c>
      <c r="G128" s="1" t="s">
        <v>791</v>
      </c>
      <c r="H128" s="1">
        <v>5313</v>
      </c>
      <c r="I128" s="1">
        <v>3</v>
      </c>
      <c r="J128" s="1" t="s">
        <v>792</v>
      </c>
      <c r="K128" s="1" t="s">
        <v>333</v>
      </c>
      <c r="L128" s="1" t="s">
        <v>687</v>
      </c>
      <c r="M128" s="1" t="s">
        <v>793</v>
      </c>
      <c r="N128" s="2">
        <v>36892</v>
      </c>
      <c r="O128" s="1"/>
      <c r="P128" s="1"/>
      <c r="Q128" s="1" t="s">
        <v>34</v>
      </c>
      <c r="R128" s="1"/>
      <c r="S128" s="1" t="s">
        <v>35</v>
      </c>
      <c r="T128" s="1">
        <v>44.151224900000003</v>
      </c>
      <c r="U128" s="1">
        <v>-73.245104999999896</v>
      </c>
      <c r="V128" s="1" t="s">
        <v>794</v>
      </c>
      <c r="W128" s="1"/>
      <c r="X128" s="1" t="s">
        <v>37</v>
      </c>
      <c r="Y128" s="1" t="s">
        <v>795</v>
      </c>
      <c r="Z128" s="1">
        <v>5491</v>
      </c>
    </row>
    <row r="129" spans="1:26" ht="42">
      <c r="A129" s="1" t="str">
        <f>"0007Q1"</f>
        <v>0007Q1</v>
      </c>
      <c r="B129" s="1" t="s">
        <v>796</v>
      </c>
      <c r="C129" s="1" t="s">
        <v>797</v>
      </c>
      <c r="D129" s="1" t="str">
        <f>"8022294380"</f>
        <v>8022294380</v>
      </c>
      <c r="E129" s="1">
        <v>3677</v>
      </c>
      <c r="F129" s="1" t="s">
        <v>28</v>
      </c>
      <c r="G129" s="1" t="s">
        <v>798</v>
      </c>
      <c r="H129" s="1">
        <v>4872</v>
      </c>
      <c r="I129" s="1">
        <v>3</v>
      </c>
      <c r="J129" s="1" t="s">
        <v>799</v>
      </c>
      <c r="K129" s="1" t="s">
        <v>31</v>
      </c>
      <c r="L129" s="1" t="s">
        <v>672</v>
      </c>
      <c r="M129" s="1" t="s">
        <v>800</v>
      </c>
      <c r="N129" s="2">
        <v>36892</v>
      </c>
      <c r="O129" s="1"/>
      <c r="P129" s="2">
        <v>39238</v>
      </c>
      <c r="Q129" s="1" t="s">
        <v>34</v>
      </c>
      <c r="R129" s="1"/>
      <c r="S129" s="1" t="s">
        <v>35</v>
      </c>
      <c r="T129" s="1">
        <v>44.285150428516701</v>
      </c>
      <c r="U129" s="1">
        <v>-72.669341968721696</v>
      </c>
      <c r="V129" s="1" t="s">
        <v>801</v>
      </c>
      <c r="W129" s="1"/>
      <c r="X129" s="1" t="s">
        <v>37</v>
      </c>
      <c r="Y129" s="1" t="s">
        <v>802</v>
      </c>
      <c r="Z129" s="1">
        <v>5602</v>
      </c>
    </row>
    <row r="130" spans="1:26" ht="42">
      <c r="A130" s="1" t="str">
        <f>"0007QH"</f>
        <v>0007QH</v>
      </c>
      <c r="B130" s="1" t="s">
        <v>803</v>
      </c>
      <c r="C130" s="1" t="s">
        <v>804</v>
      </c>
      <c r="D130" s="1" t="str">
        <f>"8023772578"</f>
        <v>8023772578</v>
      </c>
      <c r="E130" s="1">
        <v>3736</v>
      </c>
      <c r="F130" s="1" t="s">
        <v>28</v>
      </c>
      <c r="G130" s="1" t="s">
        <v>805</v>
      </c>
      <c r="H130" s="1">
        <v>4955</v>
      </c>
      <c r="I130" s="1">
        <v>51</v>
      </c>
      <c r="J130" s="1" t="s">
        <v>806</v>
      </c>
      <c r="K130" s="1" t="s">
        <v>333</v>
      </c>
      <c r="L130" s="1" t="s">
        <v>807</v>
      </c>
      <c r="M130" s="1" t="s">
        <v>808</v>
      </c>
      <c r="N130" s="2">
        <v>36892</v>
      </c>
      <c r="O130" s="1"/>
      <c r="P130" s="1"/>
      <c r="Q130" s="1" t="s">
        <v>34</v>
      </c>
      <c r="R130" s="1"/>
      <c r="S130" s="1" t="s">
        <v>35</v>
      </c>
      <c r="T130" s="1">
        <v>44.237197999999999</v>
      </c>
      <c r="U130" s="1">
        <v>-73.1451189</v>
      </c>
      <c r="V130" s="1" t="s">
        <v>809</v>
      </c>
      <c r="W130" s="1"/>
      <c r="X130" s="1" t="s">
        <v>37</v>
      </c>
      <c r="Y130" s="1" t="s">
        <v>810</v>
      </c>
      <c r="Z130" s="1">
        <v>5473</v>
      </c>
    </row>
    <row r="131" spans="1:26" ht="42">
      <c r="A131" s="1" t="str">
        <f>"0007QK"</f>
        <v>0007QK</v>
      </c>
      <c r="B131" s="1" t="s">
        <v>811</v>
      </c>
      <c r="C131" s="1" t="s">
        <v>812</v>
      </c>
      <c r="D131" s="1" t="str">
        <f>"8022288105"</f>
        <v>8022288105</v>
      </c>
      <c r="E131" s="1">
        <v>2869</v>
      </c>
      <c r="F131" s="1" t="s">
        <v>28</v>
      </c>
      <c r="G131" s="1" t="s">
        <v>813</v>
      </c>
      <c r="H131" s="1">
        <v>3779</v>
      </c>
      <c r="I131" s="1">
        <v>0</v>
      </c>
      <c r="J131" s="1" t="s">
        <v>814</v>
      </c>
      <c r="K131" s="1" t="s">
        <v>77</v>
      </c>
      <c r="L131" s="1" t="s">
        <v>78</v>
      </c>
      <c r="M131" s="1"/>
      <c r="N131" s="2">
        <v>36892</v>
      </c>
      <c r="O131" s="2">
        <v>42156</v>
      </c>
      <c r="P131" s="2">
        <v>34947</v>
      </c>
      <c r="Q131" s="1" t="s">
        <v>34</v>
      </c>
      <c r="R131" s="1"/>
      <c r="S131" s="1" t="s">
        <v>35</v>
      </c>
      <c r="T131" s="1"/>
      <c r="U131" s="1"/>
      <c r="V131" s="1" t="s">
        <v>159</v>
      </c>
      <c r="W131" s="1"/>
      <c r="X131" s="1" t="s">
        <v>37</v>
      </c>
      <c r="Y131" s="1" t="s">
        <v>81</v>
      </c>
      <c r="Z131" s="1">
        <v>5149</v>
      </c>
    </row>
    <row r="132" spans="1:26" ht="42">
      <c r="A132" s="1" t="str">
        <f>"0007QK"</f>
        <v>0007QK</v>
      </c>
      <c r="B132" s="1" t="s">
        <v>811</v>
      </c>
      <c r="C132" s="1" t="s">
        <v>812</v>
      </c>
      <c r="D132" s="1" t="str">
        <f>"8022288105"</f>
        <v>8022288105</v>
      </c>
      <c r="E132" s="1">
        <v>2869</v>
      </c>
      <c r="F132" s="1" t="s">
        <v>28</v>
      </c>
      <c r="G132" s="1" t="s">
        <v>815</v>
      </c>
      <c r="H132" s="1">
        <v>3776</v>
      </c>
      <c r="I132" s="1">
        <v>0</v>
      </c>
      <c r="J132" s="1" t="s">
        <v>816</v>
      </c>
      <c r="K132" s="1" t="s">
        <v>77</v>
      </c>
      <c r="L132" s="1" t="s">
        <v>78</v>
      </c>
      <c r="M132" s="1"/>
      <c r="N132" s="2">
        <v>36892</v>
      </c>
      <c r="O132" s="2">
        <v>42156</v>
      </c>
      <c r="P132" s="2">
        <v>34947</v>
      </c>
      <c r="Q132" s="1" t="s">
        <v>34</v>
      </c>
      <c r="R132" s="1"/>
      <c r="S132" s="1" t="s">
        <v>35</v>
      </c>
      <c r="T132" s="1"/>
      <c r="U132" s="1"/>
      <c r="V132" s="1" t="s">
        <v>159</v>
      </c>
      <c r="W132" s="1"/>
      <c r="X132" s="1" t="s">
        <v>37</v>
      </c>
      <c r="Y132" s="1" t="s">
        <v>81</v>
      </c>
      <c r="Z132" s="1">
        <v>5149</v>
      </c>
    </row>
    <row r="133" spans="1:26" ht="42">
      <c r="A133" s="1" t="str">
        <f>"0007QK"</f>
        <v>0007QK</v>
      </c>
      <c r="B133" s="1" t="s">
        <v>811</v>
      </c>
      <c r="C133" s="1" t="s">
        <v>812</v>
      </c>
      <c r="D133" s="1" t="str">
        <f>"8022288105"</f>
        <v>8022288105</v>
      </c>
      <c r="E133" s="1">
        <v>2869</v>
      </c>
      <c r="F133" s="1" t="s">
        <v>28</v>
      </c>
      <c r="G133" s="1" t="s">
        <v>817</v>
      </c>
      <c r="H133" s="1">
        <v>3777</v>
      </c>
      <c r="I133" s="1">
        <v>7</v>
      </c>
      <c r="J133" s="1" t="s">
        <v>818</v>
      </c>
      <c r="K133" s="1" t="s">
        <v>77</v>
      </c>
      <c r="L133" s="1" t="s">
        <v>78</v>
      </c>
      <c r="M133" s="1" t="s">
        <v>819</v>
      </c>
      <c r="N133" s="2">
        <v>36892</v>
      </c>
      <c r="O133" s="1"/>
      <c r="P133" s="2">
        <v>34947</v>
      </c>
      <c r="Q133" s="1" t="s">
        <v>34</v>
      </c>
      <c r="R133" s="1"/>
      <c r="S133" s="1" t="s">
        <v>35</v>
      </c>
      <c r="T133" s="1">
        <v>43.393892000000001</v>
      </c>
      <c r="U133" s="1">
        <v>-72.707510999999997</v>
      </c>
      <c r="V133" s="1" t="s">
        <v>820</v>
      </c>
      <c r="W133" s="1"/>
      <c r="X133" s="1" t="s">
        <v>37</v>
      </c>
      <c r="Y133" s="1" t="s">
        <v>81</v>
      </c>
      <c r="Z133" s="1">
        <v>5149</v>
      </c>
    </row>
    <row r="134" spans="1:26" ht="42">
      <c r="A134" s="1" t="str">
        <f>"0007QK"</f>
        <v>0007QK</v>
      </c>
      <c r="B134" s="1" t="s">
        <v>811</v>
      </c>
      <c r="C134" s="1" t="s">
        <v>812</v>
      </c>
      <c r="D134" s="1" t="str">
        <f>"8022288105"</f>
        <v>8022288105</v>
      </c>
      <c r="E134" s="1">
        <v>2869</v>
      </c>
      <c r="F134" s="1" t="s">
        <v>28</v>
      </c>
      <c r="G134" s="1" t="s">
        <v>821</v>
      </c>
      <c r="H134" s="1">
        <v>3778</v>
      </c>
      <c r="I134" s="1">
        <v>0</v>
      </c>
      <c r="J134" s="1" t="s">
        <v>822</v>
      </c>
      <c r="K134" s="1" t="s">
        <v>77</v>
      </c>
      <c r="L134" s="1" t="s">
        <v>78</v>
      </c>
      <c r="M134" s="1"/>
      <c r="N134" s="2">
        <v>36892</v>
      </c>
      <c r="O134" s="2">
        <v>42156</v>
      </c>
      <c r="P134" s="2">
        <v>34947</v>
      </c>
      <c r="Q134" s="1" t="s">
        <v>34</v>
      </c>
      <c r="R134" s="1"/>
      <c r="S134" s="1" t="s">
        <v>35</v>
      </c>
      <c r="T134" s="1"/>
      <c r="U134" s="1"/>
      <c r="V134" s="1" t="s">
        <v>159</v>
      </c>
      <c r="W134" s="1"/>
      <c r="X134" s="1" t="s">
        <v>37</v>
      </c>
      <c r="Y134" s="1" t="s">
        <v>81</v>
      </c>
      <c r="Z134" s="1">
        <v>5149</v>
      </c>
    </row>
    <row r="135" spans="1:26" ht="42">
      <c r="A135" s="1" t="str">
        <f>"0007V0"</f>
        <v>0007V0</v>
      </c>
      <c r="B135" s="1" t="s">
        <v>823</v>
      </c>
      <c r="C135" s="1" t="s">
        <v>824</v>
      </c>
      <c r="D135" s="1" t="str">
        <f>"8024623722"</f>
        <v>8024623722</v>
      </c>
      <c r="E135" s="1">
        <v>4027</v>
      </c>
      <c r="F135" s="1" t="s">
        <v>28</v>
      </c>
      <c r="G135" s="1" t="s">
        <v>825</v>
      </c>
      <c r="H135" s="1"/>
      <c r="I135" s="1">
        <v>16</v>
      </c>
      <c r="J135" s="1" t="s">
        <v>826</v>
      </c>
      <c r="K135" s="1" t="s">
        <v>333</v>
      </c>
      <c r="L135" s="1" t="s">
        <v>827</v>
      </c>
      <c r="M135" s="1" t="s">
        <v>828</v>
      </c>
      <c r="N135" s="2">
        <v>40337</v>
      </c>
      <c r="O135" s="1"/>
      <c r="P135" s="2">
        <v>41943</v>
      </c>
      <c r="Q135" s="1" t="s">
        <v>34</v>
      </c>
      <c r="R135" s="1"/>
      <c r="S135" s="1" t="s">
        <v>35</v>
      </c>
      <c r="T135" s="1">
        <v>43.908459999999998</v>
      </c>
      <c r="U135" s="1">
        <v>-73.164079999999998</v>
      </c>
      <c r="V135" s="1" t="s">
        <v>829</v>
      </c>
      <c r="W135" s="1"/>
      <c r="X135" s="1" t="s">
        <v>37</v>
      </c>
      <c r="Y135" s="1" t="s">
        <v>830</v>
      </c>
      <c r="Z135" s="1">
        <v>0</v>
      </c>
    </row>
    <row r="136" spans="1:26" ht="42">
      <c r="A136" s="1" t="str">
        <f>"0007V0"</f>
        <v>0007V0</v>
      </c>
      <c r="B136" s="1" t="s">
        <v>823</v>
      </c>
      <c r="C136" s="1" t="s">
        <v>824</v>
      </c>
      <c r="D136" s="1" t="str">
        <f>"8024623722"</f>
        <v>8024623722</v>
      </c>
      <c r="E136" s="1">
        <v>4027</v>
      </c>
      <c r="F136" s="1" t="s">
        <v>28</v>
      </c>
      <c r="G136" s="1" t="s">
        <v>831</v>
      </c>
      <c r="H136" s="1"/>
      <c r="I136" s="1">
        <v>16</v>
      </c>
      <c r="J136" s="1" t="s">
        <v>832</v>
      </c>
      <c r="K136" s="1" t="s">
        <v>333</v>
      </c>
      <c r="L136" s="1" t="s">
        <v>827</v>
      </c>
      <c r="M136" s="1" t="s">
        <v>833</v>
      </c>
      <c r="N136" s="2">
        <v>40677</v>
      </c>
      <c r="O136" s="1"/>
      <c r="P136" s="2">
        <v>41943</v>
      </c>
      <c r="Q136" s="1" t="s">
        <v>34</v>
      </c>
      <c r="R136" s="1"/>
      <c r="S136" s="1" t="s">
        <v>35</v>
      </c>
      <c r="T136" s="1">
        <v>43.934220000000003</v>
      </c>
      <c r="U136" s="1">
        <v>-73.133409999999998</v>
      </c>
      <c r="V136" s="1" t="s">
        <v>834</v>
      </c>
      <c r="W136" s="1"/>
      <c r="X136" s="1" t="s">
        <v>37</v>
      </c>
      <c r="Y136" s="1" t="s">
        <v>835</v>
      </c>
      <c r="Z136" s="1">
        <v>0</v>
      </c>
    </row>
    <row r="137" spans="1:26" ht="42">
      <c r="A137" s="1" t="str">
        <f>"0007V0"</f>
        <v>0007V0</v>
      </c>
      <c r="B137" s="1" t="s">
        <v>823</v>
      </c>
      <c r="C137" s="1" t="s">
        <v>824</v>
      </c>
      <c r="D137" s="1" t="str">
        <f>"8024623722"</f>
        <v>8024623722</v>
      </c>
      <c r="E137" s="1">
        <v>4027</v>
      </c>
      <c r="F137" s="1" t="s">
        <v>28</v>
      </c>
      <c r="G137" s="1" t="s">
        <v>836</v>
      </c>
      <c r="H137" s="1"/>
      <c r="I137" s="1">
        <v>20</v>
      </c>
      <c r="J137" s="1" t="s">
        <v>837</v>
      </c>
      <c r="K137" s="1" t="s">
        <v>333</v>
      </c>
      <c r="L137" s="1" t="s">
        <v>827</v>
      </c>
      <c r="M137" s="1" t="s">
        <v>838</v>
      </c>
      <c r="N137" s="2">
        <v>40677</v>
      </c>
      <c r="O137" s="1"/>
      <c r="P137" s="1"/>
      <c r="Q137" s="1" t="s">
        <v>34</v>
      </c>
      <c r="R137" s="1"/>
      <c r="S137" s="1" t="s">
        <v>35</v>
      </c>
      <c r="T137" s="1">
        <v>43.888963400000002</v>
      </c>
      <c r="U137" s="1">
        <v>-73.146972699999907</v>
      </c>
      <c r="V137" s="1" t="s">
        <v>839</v>
      </c>
      <c r="W137" s="1"/>
      <c r="X137" s="1" t="s">
        <v>37</v>
      </c>
      <c r="Y137" s="1" t="s">
        <v>835</v>
      </c>
      <c r="Z137" s="1">
        <v>0</v>
      </c>
    </row>
    <row r="138" spans="1:26" ht="42">
      <c r="A138" s="1" t="str">
        <f>"0007V0"</f>
        <v>0007V0</v>
      </c>
      <c r="B138" s="1" t="s">
        <v>823</v>
      </c>
      <c r="C138" s="1" t="s">
        <v>824</v>
      </c>
      <c r="D138" s="1" t="str">
        <f>"8024623722"</f>
        <v>8024623722</v>
      </c>
      <c r="E138" s="1">
        <v>4027</v>
      </c>
      <c r="F138" s="1" t="s">
        <v>28</v>
      </c>
      <c r="G138" s="1" t="s">
        <v>840</v>
      </c>
      <c r="H138" s="1"/>
      <c r="I138" s="1">
        <v>20</v>
      </c>
      <c r="J138" s="1" t="s">
        <v>841</v>
      </c>
      <c r="K138" s="1" t="s">
        <v>333</v>
      </c>
      <c r="L138" s="1" t="s">
        <v>842</v>
      </c>
      <c r="M138" s="1" t="s">
        <v>843</v>
      </c>
      <c r="N138" s="2">
        <v>40692</v>
      </c>
      <c r="O138" s="1"/>
      <c r="P138" s="2">
        <v>41576</v>
      </c>
      <c r="Q138" s="1" t="s">
        <v>34</v>
      </c>
      <c r="R138" s="1"/>
      <c r="S138" s="1" t="s">
        <v>35</v>
      </c>
      <c r="T138" s="1">
        <v>43.84807</v>
      </c>
      <c r="U138" s="1">
        <v>-73.089510000000004</v>
      </c>
      <c r="V138" s="1" t="s">
        <v>844</v>
      </c>
      <c r="W138" s="1"/>
      <c r="X138" s="1" t="s">
        <v>37</v>
      </c>
      <c r="Y138" s="1" t="s">
        <v>845</v>
      </c>
      <c r="Z138" s="1">
        <v>0</v>
      </c>
    </row>
    <row r="139" spans="1:26" ht="42">
      <c r="A139" s="1" t="str">
        <f>"0007V0"</f>
        <v>0007V0</v>
      </c>
      <c r="B139" s="1" t="s">
        <v>823</v>
      </c>
      <c r="C139" s="1" t="s">
        <v>824</v>
      </c>
      <c r="D139" s="1" t="str">
        <f>"8024623722"</f>
        <v>8024623722</v>
      </c>
      <c r="E139" s="1">
        <v>4027</v>
      </c>
      <c r="F139" s="1" t="s">
        <v>28</v>
      </c>
      <c r="G139" s="1" t="s">
        <v>846</v>
      </c>
      <c r="H139" s="1"/>
      <c r="I139" s="1">
        <v>16</v>
      </c>
      <c r="J139" s="1" t="s">
        <v>847</v>
      </c>
      <c r="K139" s="1" t="s">
        <v>333</v>
      </c>
      <c r="L139" s="1" t="s">
        <v>827</v>
      </c>
      <c r="M139" s="1" t="s">
        <v>848</v>
      </c>
      <c r="N139" s="2">
        <v>40677</v>
      </c>
      <c r="O139" s="1"/>
      <c r="P139" s="2">
        <v>41943</v>
      </c>
      <c r="Q139" s="1" t="s">
        <v>34</v>
      </c>
      <c r="R139" s="1"/>
      <c r="S139" s="1" t="s">
        <v>35</v>
      </c>
      <c r="T139" s="1">
        <v>43.917143205257801</v>
      </c>
      <c r="U139" s="1">
        <v>-73.102834224700899</v>
      </c>
      <c r="V139" s="1" t="s">
        <v>849</v>
      </c>
      <c r="W139" s="1"/>
      <c r="X139" s="1" t="s">
        <v>37</v>
      </c>
      <c r="Y139" s="1" t="s">
        <v>835</v>
      </c>
      <c r="Z139" s="1">
        <v>0</v>
      </c>
    </row>
    <row r="140" spans="1:26" ht="42">
      <c r="A140" s="1" t="str">
        <f>"0007V0"</f>
        <v>0007V0</v>
      </c>
      <c r="B140" s="1" t="s">
        <v>823</v>
      </c>
      <c r="C140" s="1" t="s">
        <v>824</v>
      </c>
      <c r="D140" s="1" t="str">
        <f>"8024623722"</f>
        <v>8024623722</v>
      </c>
      <c r="E140" s="1">
        <v>4027</v>
      </c>
      <c r="F140" s="1" t="s">
        <v>28</v>
      </c>
      <c r="G140" s="1" t="s">
        <v>850</v>
      </c>
      <c r="H140" s="1"/>
      <c r="I140" s="1">
        <v>18</v>
      </c>
      <c r="J140" s="1" t="s">
        <v>851</v>
      </c>
      <c r="K140" s="1" t="s">
        <v>333</v>
      </c>
      <c r="L140" s="1" t="s">
        <v>842</v>
      </c>
      <c r="M140" s="1" t="s">
        <v>852</v>
      </c>
      <c r="N140" s="2">
        <v>41032</v>
      </c>
      <c r="O140" s="1"/>
      <c r="P140" s="1"/>
      <c r="Q140" s="1" t="s">
        <v>34</v>
      </c>
      <c r="R140" s="1"/>
      <c r="S140" s="1" t="s">
        <v>35</v>
      </c>
      <c r="T140" s="1">
        <v>43.875161899999902</v>
      </c>
      <c r="U140" s="1">
        <v>-73.1058618</v>
      </c>
      <c r="V140" s="1" t="s">
        <v>853</v>
      </c>
      <c r="W140" s="1"/>
      <c r="X140" s="1" t="s">
        <v>37</v>
      </c>
      <c r="Y140" s="1" t="s">
        <v>845</v>
      </c>
      <c r="Z140" s="1">
        <v>5000</v>
      </c>
    </row>
    <row r="141" spans="1:26" ht="42">
      <c r="A141" s="1" t="str">
        <f>"0007V0"</f>
        <v>0007V0</v>
      </c>
      <c r="B141" s="1" t="s">
        <v>823</v>
      </c>
      <c r="C141" s="1" t="s">
        <v>824</v>
      </c>
      <c r="D141" s="1" t="str">
        <f>"8024623722"</f>
        <v>8024623722</v>
      </c>
      <c r="E141" s="1">
        <v>4027</v>
      </c>
      <c r="F141" s="1" t="s">
        <v>28</v>
      </c>
      <c r="G141" s="1" t="s">
        <v>854</v>
      </c>
      <c r="H141" s="1">
        <v>5348</v>
      </c>
      <c r="I141" s="1">
        <v>16</v>
      </c>
      <c r="J141" s="1" t="s">
        <v>855</v>
      </c>
      <c r="K141" s="1" t="s">
        <v>333</v>
      </c>
      <c r="L141" s="1" t="s">
        <v>334</v>
      </c>
      <c r="M141" s="1" t="s">
        <v>856</v>
      </c>
      <c r="N141" s="2">
        <v>36892</v>
      </c>
      <c r="O141" s="1"/>
      <c r="P141" s="2">
        <v>42872</v>
      </c>
      <c r="Q141" s="1" t="s">
        <v>34</v>
      </c>
      <c r="R141" s="1"/>
      <c r="S141" s="1" t="s">
        <v>35</v>
      </c>
      <c r="T141" s="1">
        <v>43.980839000000003</v>
      </c>
      <c r="U141" s="1">
        <v>-73.252097999999904</v>
      </c>
      <c r="V141" s="1" t="s">
        <v>857</v>
      </c>
      <c r="W141" s="1"/>
      <c r="X141" s="1" t="s">
        <v>37</v>
      </c>
      <c r="Y141" s="1" t="s">
        <v>337</v>
      </c>
      <c r="Z141" s="1">
        <v>5753</v>
      </c>
    </row>
    <row r="142" spans="1:26" ht="42">
      <c r="A142" s="1" t="str">
        <f>"0007V0"</f>
        <v>0007V0</v>
      </c>
      <c r="B142" s="1" t="s">
        <v>823</v>
      </c>
      <c r="C142" s="1" t="s">
        <v>824</v>
      </c>
      <c r="D142" s="1" t="str">
        <f>"8024623722"</f>
        <v>8024623722</v>
      </c>
      <c r="E142" s="1">
        <v>4027</v>
      </c>
      <c r="F142" s="1" t="s">
        <v>28</v>
      </c>
      <c r="G142" s="1" t="s">
        <v>858</v>
      </c>
      <c r="H142" s="1"/>
      <c r="I142" s="1">
        <v>120</v>
      </c>
      <c r="J142" s="1" t="s">
        <v>859</v>
      </c>
      <c r="K142" s="1" t="s">
        <v>333</v>
      </c>
      <c r="L142" s="1" t="s">
        <v>827</v>
      </c>
      <c r="M142" s="1" t="s">
        <v>860</v>
      </c>
      <c r="N142" s="2">
        <v>41578</v>
      </c>
      <c r="O142" s="1"/>
      <c r="P142" s="2">
        <v>41943</v>
      </c>
      <c r="Q142" s="1" t="s">
        <v>34</v>
      </c>
      <c r="R142" s="1"/>
      <c r="S142" s="1" t="s">
        <v>35</v>
      </c>
      <c r="T142" s="1">
        <v>43.911409999999997</v>
      </c>
      <c r="U142" s="1">
        <v>-73.122479999999996</v>
      </c>
      <c r="V142" s="1" t="s">
        <v>861</v>
      </c>
      <c r="W142" s="1"/>
      <c r="X142" s="1" t="s">
        <v>37</v>
      </c>
      <c r="Y142" s="1" t="s">
        <v>830</v>
      </c>
      <c r="Z142" s="1">
        <v>0</v>
      </c>
    </row>
    <row r="143" spans="1:26" ht="42">
      <c r="A143" s="1" t="str">
        <f>"0007V0"</f>
        <v>0007V0</v>
      </c>
      <c r="B143" s="1" t="s">
        <v>823</v>
      </c>
      <c r="C143" s="1" t="s">
        <v>824</v>
      </c>
      <c r="D143" s="1" t="str">
        <f>"8024623722"</f>
        <v>8024623722</v>
      </c>
      <c r="E143" s="1">
        <v>4027</v>
      </c>
      <c r="F143" s="1" t="s">
        <v>28</v>
      </c>
      <c r="G143" s="1" t="s">
        <v>862</v>
      </c>
      <c r="H143" s="1"/>
      <c r="I143" s="1">
        <v>16</v>
      </c>
      <c r="J143" s="1" t="s">
        <v>863</v>
      </c>
      <c r="K143" s="1" t="s">
        <v>135</v>
      </c>
      <c r="L143" s="1" t="s">
        <v>136</v>
      </c>
      <c r="M143" s="1" t="s">
        <v>864</v>
      </c>
      <c r="N143" s="2">
        <v>42179</v>
      </c>
      <c r="O143" s="1"/>
      <c r="P143" s="1"/>
      <c r="Q143" s="1" t="s">
        <v>34</v>
      </c>
      <c r="R143" s="1"/>
      <c r="S143" s="1" t="s">
        <v>35</v>
      </c>
      <c r="T143" s="1">
        <v>43.515312000000002</v>
      </c>
      <c r="U143" s="1">
        <v>-73.241744999999895</v>
      </c>
      <c r="V143" s="1" t="s">
        <v>865</v>
      </c>
      <c r="W143" s="1"/>
      <c r="X143" s="1" t="s">
        <v>37</v>
      </c>
      <c r="Y143" s="1" t="s">
        <v>139</v>
      </c>
      <c r="Z143" s="1">
        <v>5764</v>
      </c>
    </row>
    <row r="144" spans="1:26" ht="42">
      <c r="A144" s="1" t="str">
        <f>"0007V0"</f>
        <v>0007V0</v>
      </c>
      <c r="B144" s="1" t="s">
        <v>823</v>
      </c>
      <c r="C144" s="1" t="s">
        <v>824</v>
      </c>
      <c r="D144" s="1" t="str">
        <f>"8024623722"</f>
        <v>8024623722</v>
      </c>
      <c r="E144" s="1">
        <v>4027</v>
      </c>
      <c r="F144" s="1" t="s">
        <v>28</v>
      </c>
      <c r="G144" s="1" t="s">
        <v>866</v>
      </c>
      <c r="H144" s="1"/>
      <c r="I144" s="1">
        <v>20</v>
      </c>
      <c r="J144" s="1" t="s">
        <v>867</v>
      </c>
      <c r="K144" s="1" t="s">
        <v>333</v>
      </c>
      <c r="L144" s="1" t="s">
        <v>827</v>
      </c>
      <c r="M144" s="1" t="s">
        <v>868</v>
      </c>
      <c r="N144" s="2">
        <v>42523</v>
      </c>
      <c r="O144" s="1"/>
      <c r="P144" s="1"/>
      <c r="Q144" s="1" t="s">
        <v>34</v>
      </c>
      <c r="R144" s="1"/>
      <c r="S144" s="1" t="s">
        <v>35</v>
      </c>
      <c r="T144" s="1">
        <v>43.94115</v>
      </c>
      <c r="U144" s="1">
        <v>-73.108815999999905</v>
      </c>
      <c r="V144" s="1" t="s">
        <v>869</v>
      </c>
      <c r="W144" s="1"/>
      <c r="X144" s="1" t="s">
        <v>37</v>
      </c>
      <c r="Y144" s="1" t="s">
        <v>830</v>
      </c>
      <c r="Z144" s="1">
        <v>5769</v>
      </c>
    </row>
    <row r="145" spans="1:26" ht="42">
      <c r="A145" s="1" t="str">
        <f>"0007V0"</f>
        <v>0007V0</v>
      </c>
      <c r="B145" s="1" t="s">
        <v>823</v>
      </c>
      <c r="C145" s="1" t="s">
        <v>824</v>
      </c>
      <c r="D145" s="1" t="str">
        <f>"8024623722"</f>
        <v>8024623722</v>
      </c>
      <c r="E145" s="1">
        <v>4027</v>
      </c>
      <c r="F145" s="1" t="s">
        <v>28</v>
      </c>
      <c r="G145" s="1" t="s">
        <v>870</v>
      </c>
      <c r="H145" s="1"/>
      <c r="I145" s="1">
        <v>20</v>
      </c>
      <c r="J145" s="1">
        <v>11</v>
      </c>
      <c r="K145" s="1" t="s">
        <v>135</v>
      </c>
      <c r="L145" s="1" t="s">
        <v>871</v>
      </c>
      <c r="M145" s="1" t="s">
        <v>872</v>
      </c>
      <c r="N145" s="2">
        <v>42523</v>
      </c>
      <c r="O145" s="1"/>
      <c r="P145" s="1"/>
      <c r="Q145" s="1" t="s">
        <v>34</v>
      </c>
      <c r="R145" s="1"/>
      <c r="S145" s="1" t="s">
        <v>35</v>
      </c>
      <c r="T145" s="1">
        <v>43.94115</v>
      </c>
      <c r="U145" s="1">
        <v>-73.156959999999998</v>
      </c>
      <c r="V145" s="1" t="s">
        <v>873</v>
      </c>
      <c r="W145" s="1"/>
      <c r="X145" s="1" t="s">
        <v>37</v>
      </c>
      <c r="Y145" s="1" t="s">
        <v>874</v>
      </c>
      <c r="Z145" s="1">
        <v>5769</v>
      </c>
    </row>
    <row r="146" spans="1:26" ht="42">
      <c r="A146" s="1" t="str">
        <f>"0007V0"</f>
        <v>0007V0</v>
      </c>
      <c r="B146" s="1" t="s">
        <v>823</v>
      </c>
      <c r="C146" s="1" t="s">
        <v>824</v>
      </c>
      <c r="D146" s="1" t="str">
        <f>"8024623722"</f>
        <v>8024623722</v>
      </c>
      <c r="E146" s="1">
        <v>4027</v>
      </c>
      <c r="F146" s="1" t="s">
        <v>28</v>
      </c>
      <c r="G146" s="1" t="s">
        <v>875</v>
      </c>
      <c r="H146" s="1"/>
      <c r="I146" s="1">
        <v>160</v>
      </c>
      <c r="J146" s="1" t="s">
        <v>876</v>
      </c>
      <c r="K146" s="1" t="s">
        <v>333</v>
      </c>
      <c r="L146" s="1" t="s">
        <v>876</v>
      </c>
      <c r="M146" s="1" t="s">
        <v>877</v>
      </c>
      <c r="N146" s="2">
        <v>42887</v>
      </c>
      <c r="O146" s="1"/>
      <c r="P146" s="2">
        <v>42934</v>
      </c>
      <c r="Q146" s="1" t="s">
        <v>34</v>
      </c>
      <c r="R146" s="1"/>
      <c r="S146" s="1" t="s">
        <v>35</v>
      </c>
      <c r="T146" s="1">
        <v>44.122820945486801</v>
      </c>
      <c r="U146" s="1">
        <v>-73.089022859930907</v>
      </c>
      <c r="V146" s="1" t="s">
        <v>878</v>
      </c>
      <c r="W146" s="1"/>
      <c r="X146" s="1" t="s">
        <v>37</v>
      </c>
      <c r="Y146" s="1" t="s">
        <v>879</v>
      </c>
      <c r="Z146" s="1">
        <v>5443</v>
      </c>
    </row>
    <row r="147" spans="1:26" ht="42">
      <c r="A147" s="1" t="str">
        <f>"0007VA"</f>
        <v>0007VA</v>
      </c>
      <c r="B147" s="1" t="s">
        <v>880</v>
      </c>
      <c r="C147" s="1" t="s">
        <v>881</v>
      </c>
      <c r="D147" s="1" t="str">
        <f>"8024547798"</f>
        <v>8024547798</v>
      </c>
      <c r="E147" s="1">
        <v>1149</v>
      </c>
      <c r="F147" s="1" t="s">
        <v>28</v>
      </c>
      <c r="G147" s="1" t="s">
        <v>882</v>
      </c>
      <c r="H147" s="1">
        <v>1426</v>
      </c>
      <c r="I147" s="1">
        <v>2</v>
      </c>
      <c r="J147" s="1" t="s">
        <v>883</v>
      </c>
      <c r="K147" s="1" t="s">
        <v>31</v>
      </c>
      <c r="L147" s="1" t="s">
        <v>884</v>
      </c>
      <c r="M147" s="1" t="s">
        <v>885</v>
      </c>
      <c r="N147" s="2">
        <v>36892</v>
      </c>
      <c r="O147" s="1"/>
      <c r="P147" s="2">
        <v>32300</v>
      </c>
      <c r="Q147" s="1" t="s">
        <v>34</v>
      </c>
      <c r="R147" s="1"/>
      <c r="S147" s="1" t="s">
        <v>35</v>
      </c>
      <c r="T147" s="1">
        <v>44.275531999999998</v>
      </c>
      <c r="U147" s="1">
        <v>-72.386168999999995</v>
      </c>
      <c r="V147" s="1" t="s">
        <v>886</v>
      </c>
      <c r="W147" s="1"/>
      <c r="X147" s="1" t="s">
        <v>37</v>
      </c>
      <c r="Y147" s="1" t="s">
        <v>887</v>
      </c>
      <c r="Z147" s="1">
        <v>5667</v>
      </c>
    </row>
    <row r="148" spans="1:26" ht="42">
      <c r="A148" s="1" t="str">
        <f>"0007VF"</f>
        <v>0007VF</v>
      </c>
      <c r="B148" s="1" t="s">
        <v>888</v>
      </c>
      <c r="C148" s="1" t="s">
        <v>889</v>
      </c>
      <c r="D148" s="1" t="str">
        <f>"8025843509"</f>
        <v>8025843509</v>
      </c>
      <c r="E148" s="1">
        <v>2915</v>
      </c>
      <c r="F148" s="1" t="s">
        <v>28</v>
      </c>
      <c r="G148" s="1" t="s">
        <v>890</v>
      </c>
      <c r="H148" s="1">
        <v>3877</v>
      </c>
      <c r="I148" s="1">
        <v>1</v>
      </c>
      <c r="J148" s="1" t="s">
        <v>891</v>
      </c>
      <c r="K148" s="1" t="s">
        <v>59</v>
      </c>
      <c r="L148" s="1" t="s">
        <v>892</v>
      </c>
      <c r="M148" s="1" t="s">
        <v>893</v>
      </c>
      <c r="N148" s="2">
        <v>36892</v>
      </c>
      <c r="O148" s="1"/>
      <c r="P148" s="1"/>
      <c r="Q148" s="1" t="s">
        <v>34</v>
      </c>
      <c r="R148" s="1"/>
      <c r="S148" s="1" t="s">
        <v>35</v>
      </c>
      <c r="T148" s="1">
        <v>44.191174408282201</v>
      </c>
      <c r="U148" s="1">
        <v>-72.133934497833195</v>
      </c>
      <c r="V148" s="1" t="s">
        <v>894</v>
      </c>
      <c r="W148" s="1" t="s">
        <v>895</v>
      </c>
      <c r="X148" s="1" t="s">
        <v>37</v>
      </c>
      <c r="Y148" s="1" t="s">
        <v>896</v>
      </c>
      <c r="Z148" s="1">
        <v>5069</v>
      </c>
    </row>
    <row r="149" spans="1:26" ht="42">
      <c r="A149" s="1" t="str">
        <f>"0007VM"</f>
        <v>0007VM</v>
      </c>
      <c r="B149" s="1" t="s">
        <v>897</v>
      </c>
      <c r="C149" s="1" t="s">
        <v>898</v>
      </c>
      <c r="D149" s="1" t="str">
        <f>"8022447460"</f>
        <v>8022447460</v>
      </c>
      <c r="E149" s="1">
        <v>1169</v>
      </c>
      <c r="F149" s="1" t="s">
        <v>28</v>
      </c>
      <c r="G149" s="1" t="s">
        <v>899</v>
      </c>
      <c r="H149" s="1">
        <v>1446</v>
      </c>
      <c r="I149" s="1">
        <v>7</v>
      </c>
      <c r="J149" s="1" t="s">
        <v>900</v>
      </c>
      <c r="K149" s="1" t="s">
        <v>31</v>
      </c>
      <c r="L149" s="1" t="s">
        <v>120</v>
      </c>
      <c r="M149" s="1" t="s">
        <v>901</v>
      </c>
      <c r="N149" s="2">
        <v>36892</v>
      </c>
      <c r="O149" s="1"/>
      <c r="P149" s="2">
        <v>34898</v>
      </c>
      <c r="Q149" s="1" t="s">
        <v>34</v>
      </c>
      <c r="R149" s="1"/>
      <c r="S149" s="1" t="s">
        <v>35</v>
      </c>
      <c r="T149" s="1">
        <v>44.383586000000001</v>
      </c>
      <c r="U149" s="1">
        <v>-72.684288999999893</v>
      </c>
      <c r="V149" s="1" t="s">
        <v>902</v>
      </c>
      <c r="W149" s="1"/>
      <c r="X149" s="1" t="s">
        <v>37</v>
      </c>
      <c r="Y149" s="1" t="s">
        <v>123</v>
      </c>
      <c r="Z149" s="1">
        <v>5677</v>
      </c>
    </row>
    <row r="150" spans="1:26" ht="42">
      <c r="A150" s="1" t="str">
        <f>"0007VM"</f>
        <v>0007VM</v>
      </c>
      <c r="B150" s="1" t="s">
        <v>897</v>
      </c>
      <c r="C150" s="1" t="s">
        <v>898</v>
      </c>
      <c r="D150" s="1" t="str">
        <f>"8022447460"</f>
        <v>8022447460</v>
      </c>
      <c r="E150" s="1">
        <v>1169</v>
      </c>
      <c r="F150" s="1" t="s">
        <v>28</v>
      </c>
      <c r="G150" s="1" t="s">
        <v>903</v>
      </c>
      <c r="H150" s="1"/>
      <c r="I150" s="1">
        <v>4</v>
      </c>
      <c r="J150" s="1">
        <v>2</v>
      </c>
      <c r="K150" s="1" t="s">
        <v>31</v>
      </c>
      <c r="L150" s="1" t="s">
        <v>120</v>
      </c>
      <c r="M150" s="1" t="s">
        <v>904</v>
      </c>
      <c r="N150" s="2">
        <v>42556</v>
      </c>
      <c r="O150" s="1"/>
      <c r="P150" s="1"/>
      <c r="Q150" s="1" t="s">
        <v>34</v>
      </c>
      <c r="R150" s="1"/>
      <c r="S150" s="1" t="s">
        <v>35</v>
      </c>
      <c r="T150" s="1">
        <v>44.379198500000001</v>
      </c>
      <c r="U150" s="1">
        <v>-72.721886799999993</v>
      </c>
      <c r="V150" s="1" t="s">
        <v>905</v>
      </c>
      <c r="W150" s="1"/>
      <c r="X150" s="1" t="s">
        <v>37</v>
      </c>
      <c r="Y150" s="1" t="s">
        <v>123</v>
      </c>
      <c r="Z150" s="1">
        <v>5677</v>
      </c>
    </row>
    <row r="151" spans="1:26" ht="42">
      <c r="A151" s="1" t="str">
        <f>"0007VM"</f>
        <v>0007VM</v>
      </c>
      <c r="B151" s="1" t="s">
        <v>897</v>
      </c>
      <c r="C151" s="1" t="s">
        <v>898</v>
      </c>
      <c r="D151" s="1" t="str">
        <f>"8022447460"</f>
        <v>8022447460</v>
      </c>
      <c r="E151" s="1">
        <v>1169</v>
      </c>
      <c r="F151" s="1" t="s">
        <v>28</v>
      </c>
      <c r="G151" s="1" t="s">
        <v>906</v>
      </c>
      <c r="H151" s="1"/>
      <c r="I151" s="1">
        <v>3</v>
      </c>
      <c r="J151" s="1" t="s">
        <v>907</v>
      </c>
      <c r="K151" s="1" t="s">
        <v>31</v>
      </c>
      <c r="L151" s="1" t="s">
        <v>94</v>
      </c>
      <c r="M151" s="1" t="s">
        <v>908</v>
      </c>
      <c r="N151" s="2">
        <v>42919</v>
      </c>
      <c r="O151" s="1"/>
      <c r="P151" s="1"/>
      <c r="Q151" s="1" t="s">
        <v>34</v>
      </c>
      <c r="R151" s="1"/>
      <c r="S151" s="1" t="s">
        <v>35</v>
      </c>
      <c r="T151" s="1"/>
      <c r="U151" s="1"/>
      <c r="V151" s="1" t="s">
        <v>909</v>
      </c>
      <c r="W151" s="1"/>
      <c r="X151" s="1" t="s">
        <v>37</v>
      </c>
      <c r="Y151" s="1" t="s">
        <v>96</v>
      </c>
      <c r="Z151" s="1">
        <v>5673</v>
      </c>
    </row>
    <row r="152" spans="1:26" ht="42">
      <c r="A152" s="1" t="str">
        <f>"0007VP"</f>
        <v>0007VP</v>
      </c>
      <c r="B152" s="1" t="s">
        <v>910</v>
      </c>
      <c r="C152" s="1" t="s">
        <v>911</v>
      </c>
      <c r="D152" s="1" t="str">
        <f>"8022476155"</f>
        <v>8022476155</v>
      </c>
      <c r="E152" s="1">
        <v>3134</v>
      </c>
      <c r="F152" s="1" t="s">
        <v>28</v>
      </c>
      <c r="G152" s="1" t="s">
        <v>912</v>
      </c>
      <c r="H152" s="1">
        <v>4211</v>
      </c>
      <c r="I152" s="1">
        <v>3</v>
      </c>
      <c r="J152" s="1" t="s">
        <v>913</v>
      </c>
      <c r="K152" s="1" t="s">
        <v>333</v>
      </c>
      <c r="L152" s="1" t="s">
        <v>842</v>
      </c>
      <c r="M152" s="1" t="s">
        <v>914</v>
      </c>
      <c r="N152" s="2">
        <v>36892</v>
      </c>
      <c r="O152" s="1"/>
      <c r="P152" s="1"/>
      <c r="Q152" s="1" t="s">
        <v>34</v>
      </c>
      <c r="R152" s="1"/>
      <c r="S152" s="1" t="s">
        <v>35</v>
      </c>
      <c r="T152" s="1">
        <v>43.864967</v>
      </c>
      <c r="U152" s="1">
        <v>-73.085753999999994</v>
      </c>
      <c r="V152" s="1" t="s">
        <v>915</v>
      </c>
      <c r="W152" s="1"/>
      <c r="X152" s="1" t="s">
        <v>37</v>
      </c>
      <c r="Y152" s="1" t="s">
        <v>845</v>
      </c>
      <c r="Z152" s="1">
        <v>5733</v>
      </c>
    </row>
    <row r="153" spans="1:26" ht="42">
      <c r="A153" s="1" t="str">
        <f>"0007WB"</f>
        <v>0007WB</v>
      </c>
      <c r="B153" s="1" t="s">
        <v>916</v>
      </c>
      <c r="C153" s="1" t="s">
        <v>917</v>
      </c>
      <c r="D153" s="1" t="str">
        <f>"8029895895"</f>
        <v>8029895895</v>
      </c>
      <c r="E153" s="1">
        <v>2046</v>
      </c>
      <c r="F153" s="1" t="s">
        <v>28</v>
      </c>
      <c r="G153" s="1" t="s">
        <v>918</v>
      </c>
      <c r="H153" s="1">
        <v>4602</v>
      </c>
      <c r="I153" s="1">
        <v>15</v>
      </c>
      <c r="J153" s="1" t="s">
        <v>919</v>
      </c>
      <c r="K153" s="1" t="s">
        <v>333</v>
      </c>
      <c r="L153" s="1" t="s">
        <v>448</v>
      </c>
      <c r="M153" s="1" t="s">
        <v>920</v>
      </c>
      <c r="N153" s="2">
        <v>36892</v>
      </c>
      <c r="O153" s="1"/>
      <c r="P153" s="2">
        <v>38869</v>
      </c>
      <c r="Q153" s="1" t="s">
        <v>34</v>
      </c>
      <c r="R153" s="1"/>
      <c r="S153" s="1" t="s">
        <v>35</v>
      </c>
      <c r="T153" s="1">
        <v>44.124604024089003</v>
      </c>
      <c r="U153" s="1">
        <v>-73.028783127665506</v>
      </c>
      <c r="V153" s="1" t="s">
        <v>159</v>
      </c>
      <c r="W153" s="1"/>
      <c r="X153" s="1" t="s">
        <v>37</v>
      </c>
      <c r="Y153" s="1" t="s">
        <v>451</v>
      </c>
      <c r="Z153" s="1">
        <v>5443</v>
      </c>
    </row>
    <row r="154" spans="1:26" ht="42">
      <c r="A154" s="1" t="str">
        <f>"0007WB"</f>
        <v>0007WB</v>
      </c>
      <c r="B154" s="1" t="s">
        <v>916</v>
      </c>
      <c r="C154" s="1" t="s">
        <v>917</v>
      </c>
      <c r="D154" s="1" t="str">
        <f>"8029895895"</f>
        <v>8029895895</v>
      </c>
      <c r="E154" s="1">
        <v>2046</v>
      </c>
      <c r="F154" s="1" t="s">
        <v>28</v>
      </c>
      <c r="G154" s="1" t="s">
        <v>921</v>
      </c>
      <c r="H154" s="1">
        <v>3615</v>
      </c>
      <c r="I154" s="1">
        <v>26</v>
      </c>
      <c r="J154" s="1" t="s">
        <v>922</v>
      </c>
      <c r="K154" s="1" t="s">
        <v>333</v>
      </c>
      <c r="L154" s="1" t="s">
        <v>923</v>
      </c>
      <c r="M154" s="1" t="s">
        <v>924</v>
      </c>
      <c r="N154" s="2">
        <v>36892</v>
      </c>
      <c r="O154" s="1"/>
      <c r="P154" s="2">
        <v>40842</v>
      </c>
      <c r="Q154" s="1" t="s">
        <v>34</v>
      </c>
      <c r="R154" s="1"/>
      <c r="S154" s="1" t="s">
        <v>35</v>
      </c>
      <c r="T154" s="1">
        <v>44.086849074217199</v>
      </c>
      <c r="U154" s="1">
        <v>-73.275856822729097</v>
      </c>
      <c r="V154" s="1" t="s">
        <v>159</v>
      </c>
      <c r="W154" s="1"/>
      <c r="X154" s="1" t="s">
        <v>37</v>
      </c>
      <c r="Y154" s="1" t="s">
        <v>333</v>
      </c>
      <c r="Z154" s="1">
        <v>5491</v>
      </c>
    </row>
    <row r="155" spans="1:26" ht="42">
      <c r="A155" s="1" t="str">
        <f>"0007WB"</f>
        <v>0007WB</v>
      </c>
      <c r="B155" s="1" t="s">
        <v>916</v>
      </c>
      <c r="C155" s="1" t="s">
        <v>917</v>
      </c>
      <c r="D155" s="1" t="str">
        <f>"8029895895"</f>
        <v>8029895895</v>
      </c>
      <c r="E155" s="1">
        <v>2046</v>
      </c>
      <c r="F155" s="1" t="s">
        <v>28</v>
      </c>
      <c r="G155" s="1" t="s">
        <v>925</v>
      </c>
      <c r="H155" s="1">
        <v>3613</v>
      </c>
      <c r="I155" s="1">
        <v>132</v>
      </c>
      <c r="J155" s="1" t="s">
        <v>926</v>
      </c>
      <c r="K155" s="1" t="s">
        <v>333</v>
      </c>
      <c r="L155" s="1" t="s">
        <v>927</v>
      </c>
      <c r="M155" s="1" t="s">
        <v>928</v>
      </c>
      <c r="N155" s="2">
        <v>36892</v>
      </c>
      <c r="O155" s="1"/>
      <c r="P155" s="2">
        <v>41932</v>
      </c>
      <c r="Q155" s="1" t="s">
        <v>34</v>
      </c>
      <c r="R155" s="1"/>
      <c r="S155" s="1" t="s">
        <v>35</v>
      </c>
      <c r="T155" s="1">
        <v>43.976263486081997</v>
      </c>
      <c r="U155" s="1">
        <v>-73.391053676605196</v>
      </c>
      <c r="V155" s="1" t="s">
        <v>834</v>
      </c>
      <c r="W155" s="1"/>
      <c r="X155" s="1" t="s">
        <v>37</v>
      </c>
      <c r="Y155" s="1" t="s">
        <v>697</v>
      </c>
      <c r="Z155" s="1">
        <v>5000</v>
      </c>
    </row>
    <row r="156" spans="1:26" ht="42">
      <c r="A156" s="1" t="str">
        <f>"0007WB"</f>
        <v>0007WB</v>
      </c>
      <c r="B156" s="1" t="s">
        <v>916</v>
      </c>
      <c r="C156" s="1" t="s">
        <v>917</v>
      </c>
      <c r="D156" s="1" t="str">
        <f>"8029895895"</f>
        <v>8029895895</v>
      </c>
      <c r="E156" s="1">
        <v>2046</v>
      </c>
      <c r="F156" s="1" t="s">
        <v>28</v>
      </c>
      <c r="G156" s="1" t="s">
        <v>929</v>
      </c>
      <c r="H156" s="1">
        <v>2973</v>
      </c>
      <c r="I156" s="1">
        <v>44</v>
      </c>
      <c r="J156" s="1" t="s">
        <v>930</v>
      </c>
      <c r="K156" s="1" t="s">
        <v>333</v>
      </c>
      <c r="L156" s="1" t="s">
        <v>457</v>
      </c>
      <c r="M156" s="1" t="s">
        <v>931</v>
      </c>
      <c r="N156" s="2">
        <v>36892</v>
      </c>
      <c r="O156" s="1"/>
      <c r="P156" s="2">
        <v>41569</v>
      </c>
      <c r="Q156" s="1" t="s">
        <v>34</v>
      </c>
      <c r="R156" s="1"/>
      <c r="S156" s="1" t="s">
        <v>35</v>
      </c>
      <c r="T156" s="1">
        <v>43.969329999999999</v>
      </c>
      <c r="U156" s="1">
        <v>-73.162180000000006</v>
      </c>
      <c r="V156" s="1" t="s">
        <v>159</v>
      </c>
      <c r="W156" s="1"/>
      <c r="X156" s="1" t="s">
        <v>37</v>
      </c>
      <c r="Y156" s="1" t="s">
        <v>460</v>
      </c>
      <c r="Z156" s="1">
        <v>5753</v>
      </c>
    </row>
    <row r="157" spans="1:26" ht="42">
      <c r="A157" s="1" t="str">
        <f>"0007WB"</f>
        <v>0007WB</v>
      </c>
      <c r="B157" s="1" t="s">
        <v>916</v>
      </c>
      <c r="C157" s="1" t="s">
        <v>917</v>
      </c>
      <c r="D157" s="1" t="str">
        <f>"8029895895"</f>
        <v>8029895895</v>
      </c>
      <c r="E157" s="1">
        <v>2046</v>
      </c>
      <c r="F157" s="1" t="s">
        <v>28</v>
      </c>
      <c r="G157" s="1" t="s">
        <v>932</v>
      </c>
      <c r="H157" s="1">
        <v>2543</v>
      </c>
      <c r="I157" s="1">
        <v>52</v>
      </c>
      <c r="J157" s="1" t="s">
        <v>933</v>
      </c>
      <c r="K157" s="1" t="s">
        <v>333</v>
      </c>
      <c r="L157" s="1" t="s">
        <v>934</v>
      </c>
      <c r="M157" s="1" t="s">
        <v>173</v>
      </c>
      <c r="N157" s="2">
        <v>36892</v>
      </c>
      <c r="O157" s="1"/>
      <c r="P157" s="2">
        <v>41032</v>
      </c>
      <c r="Q157" s="1" t="s">
        <v>34</v>
      </c>
      <c r="R157" s="1"/>
      <c r="S157" s="1" t="s">
        <v>35</v>
      </c>
      <c r="T157" s="1">
        <v>44.059467776907397</v>
      </c>
      <c r="U157" s="1">
        <v>-73.193478807806898</v>
      </c>
      <c r="V157" s="1" t="s">
        <v>935</v>
      </c>
      <c r="W157" s="1"/>
      <c r="X157" s="1" t="s">
        <v>37</v>
      </c>
      <c r="Y157" s="1" t="s">
        <v>936</v>
      </c>
      <c r="Z157" s="1">
        <v>5753</v>
      </c>
    </row>
    <row r="158" spans="1:26" ht="42">
      <c r="A158" s="1" t="str">
        <f>"0007WB"</f>
        <v>0007WB</v>
      </c>
      <c r="B158" s="1" t="s">
        <v>916</v>
      </c>
      <c r="C158" s="1" t="s">
        <v>917</v>
      </c>
      <c r="D158" s="1" t="str">
        <f>"8029895895"</f>
        <v>8029895895</v>
      </c>
      <c r="E158" s="1">
        <v>2046</v>
      </c>
      <c r="F158" s="1" t="s">
        <v>28</v>
      </c>
      <c r="G158" s="1" t="s">
        <v>937</v>
      </c>
      <c r="H158" s="1">
        <v>4104</v>
      </c>
      <c r="I158" s="1">
        <v>23</v>
      </c>
      <c r="J158" s="1" t="s">
        <v>938</v>
      </c>
      <c r="K158" s="1" t="s">
        <v>333</v>
      </c>
      <c r="L158" s="1" t="s">
        <v>484</v>
      </c>
      <c r="M158" s="1" t="s">
        <v>939</v>
      </c>
      <c r="N158" s="2">
        <v>36892</v>
      </c>
      <c r="O158" s="1"/>
      <c r="P158" s="2">
        <v>37551</v>
      </c>
      <c r="Q158" s="1" t="s">
        <v>34</v>
      </c>
      <c r="R158" s="1"/>
      <c r="S158" s="1" t="s">
        <v>35</v>
      </c>
      <c r="T158" s="1">
        <v>43.9331717801305</v>
      </c>
      <c r="U158" s="1">
        <v>-73.373285382985998</v>
      </c>
      <c r="V158" s="1" t="s">
        <v>940</v>
      </c>
      <c r="W158" s="1"/>
      <c r="X158" s="1" t="s">
        <v>37</v>
      </c>
      <c r="Y158" s="1" t="s">
        <v>487</v>
      </c>
      <c r="Z158" s="1">
        <v>5770</v>
      </c>
    </row>
    <row r="159" spans="1:26" ht="42">
      <c r="A159" s="1" t="str">
        <f>"0007WB"</f>
        <v>0007WB</v>
      </c>
      <c r="B159" s="1" t="s">
        <v>916</v>
      </c>
      <c r="C159" s="1" t="s">
        <v>917</v>
      </c>
      <c r="D159" s="1" t="str">
        <f>"8029895895"</f>
        <v>8029895895</v>
      </c>
      <c r="E159" s="1">
        <v>2046</v>
      </c>
      <c r="F159" s="1" t="s">
        <v>28</v>
      </c>
      <c r="G159" s="1" t="s">
        <v>941</v>
      </c>
      <c r="H159" s="1"/>
      <c r="I159" s="1">
        <v>82</v>
      </c>
      <c r="J159" s="1" t="s">
        <v>942</v>
      </c>
      <c r="K159" s="1" t="s">
        <v>333</v>
      </c>
      <c r="L159" s="1" t="s">
        <v>927</v>
      </c>
      <c r="M159" s="1"/>
      <c r="N159" s="2">
        <v>41365</v>
      </c>
      <c r="O159" s="1"/>
      <c r="P159" s="2">
        <v>41771</v>
      </c>
      <c r="Q159" s="1" t="s">
        <v>34</v>
      </c>
      <c r="R159" s="1"/>
      <c r="S159" s="1" t="s">
        <v>35</v>
      </c>
      <c r="T159" s="1">
        <v>44.027977096872398</v>
      </c>
      <c r="U159" s="1">
        <v>-73.277272891941706</v>
      </c>
      <c r="V159" s="1" t="s">
        <v>943</v>
      </c>
      <c r="W159" s="1"/>
      <c r="X159" s="1" t="s">
        <v>37</v>
      </c>
      <c r="Y159" s="1" t="s">
        <v>697</v>
      </c>
      <c r="Z159" s="1">
        <v>5734</v>
      </c>
    </row>
    <row r="160" spans="1:26" ht="42">
      <c r="A160" s="1" t="str">
        <f>"0007WB"</f>
        <v>0007WB</v>
      </c>
      <c r="B160" s="1" t="s">
        <v>916</v>
      </c>
      <c r="C160" s="1" t="s">
        <v>917</v>
      </c>
      <c r="D160" s="1" t="str">
        <f>"8029895895"</f>
        <v>8029895895</v>
      </c>
      <c r="E160" s="1">
        <v>2046</v>
      </c>
      <c r="F160" s="1" t="s">
        <v>28</v>
      </c>
      <c r="G160" s="1" t="s">
        <v>944</v>
      </c>
      <c r="H160" s="1"/>
      <c r="I160" s="1">
        <v>15</v>
      </c>
      <c r="J160" s="1" t="s">
        <v>470</v>
      </c>
      <c r="K160" s="1" t="s">
        <v>333</v>
      </c>
      <c r="L160" s="1" t="s">
        <v>684</v>
      </c>
      <c r="M160" s="1" t="s">
        <v>945</v>
      </c>
      <c r="N160" s="2">
        <v>40909</v>
      </c>
      <c r="O160" s="1"/>
      <c r="P160" s="1"/>
      <c r="Q160" s="1" t="s">
        <v>34</v>
      </c>
      <c r="R160" s="1"/>
      <c r="S160" s="1" t="s">
        <v>35</v>
      </c>
      <c r="T160" s="1">
        <v>44.106120623101702</v>
      </c>
      <c r="U160" s="1">
        <v>-73.141591596213402</v>
      </c>
      <c r="V160" s="1" t="s">
        <v>946</v>
      </c>
      <c r="W160" s="1"/>
      <c r="X160" s="1" t="s">
        <v>37</v>
      </c>
      <c r="Y160" s="1" t="s">
        <v>464</v>
      </c>
      <c r="Z160" s="1">
        <v>5472</v>
      </c>
    </row>
    <row r="161" spans="1:26" ht="42">
      <c r="A161" s="1" t="str">
        <f>"0007WB"</f>
        <v>0007WB</v>
      </c>
      <c r="B161" s="1" t="s">
        <v>916</v>
      </c>
      <c r="C161" s="1" t="s">
        <v>917</v>
      </c>
      <c r="D161" s="1" t="str">
        <f>"8029895895"</f>
        <v>8029895895</v>
      </c>
      <c r="E161" s="1">
        <v>2046</v>
      </c>
      <c r="F161" s="1" t="s">
        <v>28</v>
      </c>
      <c r="G161" s="1" t="s">
        <v>947</v>
      </c>
      <c r="H161" s="1"/>
      <c r="I161" s="1">
        <v>15</v>
      </c>
      <c r="J161" s="1" t="s">
        <v>948</v>
      </c>
      <c r="K161" s="1" t="s">
        <v>333</v>
      </c>
      <c r="L161" s="1" t="s">
        <v>949</v>
      </c>
      <c r="M161" s="1"/>
      <c r="N161" s="2">
        <v>41507</v>
      </c>
      <c r="O161" s="1"/>
      <c r="P161" s="1"/>
      <c r="Q161" s="1" t="s">
        <v>34</v>
      </c>
      <c r="R161" s="1"/>
      <c r="S161" s="1" t="s">
        <v>35</v>
      </c>
      <c r="T161" s="1">
        <v>43.888461117259403</v>
      </c>
      <c r="U161" s="1">
        <v>-73.230114292673505</v>
      </c>
      <c r="V161" s="1" t="s">
        <v>950</v>
      </c>
      <c r="W161" s="1"/>
      <c r="X161" s="1" t="s">
        <v>37</v>
      </c>
      <c r="Y161" s="1" t="s">
        <v>951</v>
      </c>
      <c r="Z161" s="1">
        <v>0</v>
      </c>
    </row>
    <row r="162" spans="1:26" ht="42">
      <c r="A162" s="1" t="str">
        <f>"0007WB"</f>
        <v>0007WB</v>
      </c>
      <c r="B162" s="1" t="s">
        <v>916</v>
      </c>
      <c r="C162" s="1" t="s">
        <v>917</v>
      </c>
      <c r="D162" s="1" t="str">
        <f>"8029895895"</f>
        <v>8029895895</v>
      </c>
      <c r="E162" s="1">
        <v>2046</v>
      </c>
      <c r="F162" s="1" t="s">
        <v>28</v>
      </c>
      <c r="G162" s="1" t="s">
        <v>952</v>
      </c>
      <c r="H162" s="1"/>
      <c r="I162" s="1">
        <v>115</v>
      </c>
      <c r="J162" s="1" t="s">
        <v>953</v>
      </c>
      <c r="K162" s="1" t="s">
        <v>333</v>
      </c>
      <c r="L162" s="1" t="s">
        <v>684</v>
      </c>
      <c r="M162" s="1" t="s">
        <v>954</v>
      </c>
      <c r="N162" s="2">
        <v>42321</v>
      </c>
      <c r="O162" s="1"/>
      <c r="P162" s="1"/>
      <c r="Q162" s="1" t="s">
        <v>34</v>
      </c>
      <c r="R162" s="1"/>
      <c r="S162" s="1" t="s">
        <v>35</v>
      </c>
      <c r="T162" s="1">
        <v>44.166322752705902</v>
      </c>
      <c r="U162" s="1">
        <v>-73.148631465337502</v>
      </c>
      <c r="V162" s="1" t="s">
        <v>955</v>
      </c>
      <c r="W162" s="1"/>
      <c r="X162" s="1" t="s">
        <v>37</v>
      </c>
      <c r="Y162" s="1" t="s">
        <v>464</v>
      </c>
      <c r="Z162" s="1">
        <v>5472</v>
      </c>
    </row>
    <row r="163" spans="1:26" ht="42">
      <c r="A163" s="1" t="str">
        <f>"0007WB"</f>
        <v>0007WB</v>
      </c>
      <c r="B163" s="1" t="s">
        <v>916</v>
      </c>
      <c r="C163" s="1" t="s">
        <v>917</v>
      </c>
      <c r="D163" s="1" t="str">
        <f>"8029895895"</f>
        <v>8029895895</v>
      </c>
      <c r="E163" s="1">
        <v>2046</v>
      </c>
      <c r="F163" s="1" t="s">
        <v>28</v>
      </c>
      <c r="G163" s="1" t="s">
        <v>956</v>
      </c>
      <c r="H163" s="1">
        <v>4108</v>
      </c>
      <c r="I163" s="1">
        <v>75</v>
      </c>
      <c r="J163" s="1" t="s">
        <v>957</v>
      </c>
      <c r="K163" s="1" t="s">
        <v>333</v>
      </c>
      <c r="L163" s="1" t="s">
        <v>934</v>
      </c>
      <c r="M163" s="1" t="s">
        <v>958</v>
      </c>
      <c r="N163" s="2">
        <v>36892</v>
      </c>
      <c r="O163" s="1"/>
      <c r="P163" s="2">
        <v>42123</v>
      </c>
      <c r="Q163" s="1" t="s">
        <v>34</v>
      </c>
      <c r="R163" s="1"/>
      <c r="S163" s="1" t="s">
        <v>35</v>
      </c>
      <c r="T163" s="1">
        <v>44.053740942612301</v>
      </c>
      <c r="U163" s="1">
        <v>-73.222458735108304</v>
      </c>
      <c r="V163" s="1" t="s">
        <v>959</v>
      </c>
      <c r="W163" s="1"/>
      <c r="X163" s="1" t="s">
        <v>37</v>
      </c>
      <c r="Y163" s="1" t="s">
        <v>936</v>
      </c>
      <c r="Z163" s="1">
        <v>0</v>
      </c>
    </row>
    <row r="164" spans="1:26" ht="42">
      <c r="A164" s="1" t="str">
        <f>"0007WB"</f>
        <v>0007WB</v>
      </c>
      <c r="B164" s="1" t="s">
        <v>916</v>
      </c>
      <c r="C164" s="1" t="s">
        <v>917</v>
      </c>
      <c r="D164" s="1" t="str">
        <f>"8029895895"</f>
        <v>8029895895</v>
      </c>
      <c r="E164" s="1">
        <v>2046</v>
      </c>
      <c r="F164" s="1" t="s">
        <v>28</v>
      </c>
      <c r="G164" s="1" t="s">
        <v>960</v>
      </c>
      <c r="H164" s="1">
        <v>4911</v>
      </c>
      <c r="I164" s="1">
        <v>100</v>
      </c>
      <c r="J164" s="1" t="s">
        <v>961</v>
      </c>
      <c r="K164" s="1" t="s">
        <v>333</v>
      </c>
      <c r="L164" s="1" t="s">
        <v>448</v>
      </c>
      <c r="M164" s="1" t="s">
        <v>962</v>
      </c>
      <c r="N164" s="2">
        <v>36892</v>
      </c>
      <c r="O164" s="1"/>
      <c r="P164" s="2">
        <v>38869</v>
      </c>
      <c r="Q164" s="1" t="s">
        <v>34</v>
      </c>
      <c r="R164" s="1"/>
      <c r="S164" s="1" t="s">
        <v>35</v>
      </c>
      <c r="T164" s="1">
        <v>44.115064304975597</v>
      </c>
      <c r="U164" s="1">
        <v>-73.002005827493093</v>
      </c>
      <c r="V164" s="1" t="s">
        <v>963</v>
      </c>
      <c r="W164" s="1"/>
      <c r="X164" s="1" t="s">
        <v>37</v>
      </c>
      <c r="Y164" s="1" t="s">
        <v>451</v>
      </c>
      <c r="Z164" s="1">
        <v>0</v>
      </c>
    </row>
    <row r="165" spans="1:26" ht="42">
      <c r="A165" s="1" t="str">
        <f>"0007WB"</f>
        <v>0007WB</v>
      </c>
      <c r="B165" s="1" t="s">
        <v>916</v>
      </c>
      <c r="C165" s="1" t="s">
        <v>917</v>
      </c>
      <c r="D165" s="1" t="str">
        <f>"8029895895"</f>
        <v>8029895895</v>
      </c>
      <c r="E165" s="1">
        <v>2046</v>
      </c>
      <c r="F165" s="1" t="s">
        <v>28</v>
      </c>
      <c r="G165" s="1" t="s">
        <v>964</v>
      </c>
      <c r="H165" s="1">
        <v>4539</v>
      </c>
      <c r="I165" s="1">
        <v>0</v>
      </c>
      <c r="J165" s="1" t="s">
        <v>965</v>
      </c>
      <c r="K165" s="1" t="s">
        <v>333</v>
      </c>
      <c r="L165" s="1" t="s">
        <v>484</v>
      </c>
      <c r="M165" s="1"/>
      <c r="N165" s="2">
        <v>36892</v>
      </c>
      <c r="O165" s="2">
        <v>42308</v>
      </c>
      <c r="P165" s="2">
        <v>38985</v>
      </c>
      <c r="Q165" s="1" t="s">
        <v>34</v>
      </c>
      <c r="R165" s="1"/>
      <c r="S165" s="1" t="s">
        <v>35</v>
      </c>
      <c r="T165" s="1"/>
      <c r="U165" s="1"/>
      <c r="V165" s="1" t="s">
        <v>159</v>
      </c>
      <c r="W165" s="1"/>
      <c r="X165" s="1" t="s">
        <v>37</v>
      </c>
      <c r="Y165" s="1" t="s">
        <v>487</v>
      </c>
      <c r="Z165" s="1">
        <v>0</v>
      </c>
    </row>
    <row r="166" spans="1:26" ht="42">
      <c r="A166" s="1" t="str">
        <f>"0007WB"</f>
        <v>0007WB</v>
      </c>
      <c r="B166" s="1" t="s">
        <v>916</v>
      </c>
      <c r="C166" s="1" t="s">
        <v>917</v>
      </c>
      <c r="D166" s="1" t="str">
        <f>"8029895895"</f>
        <v>8029895895</v>
      </c>
      <c r="E166" s="1">
        <v>2046</v>
      </c>
      <c r="F166" s="1" t="s">
        <v>28</v>
      </c>
      <c r="G166" s="1" t="s">
        <v>966</v>
      </c>
      <c r="H166" s="1">
        <v>4995</v>
      </c>
      <c r="I166" s="1">
        <v>15</v>
      </c>
      <c r="J166" s="1" t="s">
        <v>967</v>
      </c>
      <c r="K166" s="1" t="s">
        <v>333</v>
      </c>
      <c r="L166" s="1" t="s">
        <v>934</v>
      </c>
      <c r="M166" s="1"/>
      <c r="N166" s="2">
        <v>36892</v>
      </c>
      <c r="O166" s="1"/>
      <c r="P166" s="2">
        <v>39009</v>
      </c>
      <c r="Q166" s="1" t="s">
        <v>34</v>
      </c>
      <c r="R166" s="1"/>
      <c r="S166" s="1" t="s">
        <v>35</v>
      </c>
      <c r="T166" s="1">
        <v>44.039506534637397</v>
      </c>
      <c r="U166" s="1">
        <v>-73.256673526666404</v>
      </c>
      <c r="V166" s="1" t="s">
        <v>968</v>
      </c>
      <c r="W166" s="1"/>
      <c r="X166" s="1" t="s">
        <v>37</v>
      </c>
      <c r="Y166" s="1" t="s">
        <v>936</v>
      </c>
      <c r="Z166" s="1">
        <v>5753</v>
      </c>
    </row>
    <row r="167" spans="1:26" ht="42">
      <c r="A167" s="1" t="str">
        <f>"0007WB"</f>
        <v>0007WB</v>
      </c>
      <c r="B167" s="1" t="s">
        <v>916</v>
      </c>
      <c r="C167" s="1" t="s">
        <v>917</v>
      </c>
      <c r="D167" s="1" t="str">
        <f>"8029895895"</f>
        <v>8029895895</v>
      </c>
      <c r="E167" s="1">
        <v>2046</v>
      </c>
      <c r="F167" s="1" t="s">
        <v>28</v>
      </c>
      <c r="G167" s="1" t="s">
        <v>969</v>
      </c>
      <c r="H167" s="1">
        <v>4710</v>
      </c>
      <c r="I167" s="1">
        <v>28</v>
      </c>
      <c r="J167" s="1" t="s">
        <v>970</v>
      </c>
      <c r="K167" s="1" t="s">
        <v>333</v>
      </c>
      <c r="L167" s="1" t="s">
        <v>645</v>
      </c>
      <c r="M167" s="1" t="s">
        <v>971</v>
      </c>
      <c r="N167" s="2">
        <v>36892</v>
      </c>
      <c r="O167" s="1"/>
      <c r="P167" s="2">
        <v>41929</v>
      </c>
      <c r="Q167" s="1" t="s">
        <v>34</v>
      </c>
      <c r="R167" s="1"/>
      <c r="S167" s="1" t="s">
        <v>35</v>
      </c>
      <c r="T167" s="1">
        <v>44.126767392448997</v>
      </c>
      <c r="U167" s="1">
        <v>-73.352680516165904</v>
      </c>
      <c r="V167" s="1" t="s">
        <v>972</v>
      </c>
      <c r="W167" s="1"/>
      <c r="X167" s="1" t="s">
        <v>37</v>
      </c>
      <c r="Y167" s="1" t="s">
        <v>648</v>
      </c>
      <c r="Z167" s="1">
        <v>0</v>
      </c>
    </row>
    <row r="168" spans="1:26" ht="42">
      <c r="A168" s="1" t="str">
        <f>"0007WB"</f>
        <v>0007WB</v>
      </c>
      <c r="B168" s="1" t="s">
        <v>916</v>
      </c>
      <c r="C168" s="1" t="s">
        <v>917</v>
      </c>
      <c r="D168" s="1" t="str">
        <f>"8029895895"</f>
        <v>8029895895</v>
      </c>
      <c r="E168" s="1">
        <v>2046</v>
      </c>
      <c r="F168" s="1" t="s">
        <v>28</v>
      </c>
      <c r="G168" s="1" t="s">
        <v>973</v>
      </c>
      <c r="H168" s="1">
        <v>4711</v>
      </c>
      <c r="I168" s="1">
        <v>27</v>
      </c>
      <c r="J168" s="1" t="s">
        <v>974</v>
      </c>
      <c r="K168" s="1" t="s">
        <v>333</v>
      </c>
      <c r="L168" s="1" t="s">
        <v>645</v>
      </c>
      <c r="M168" s="1"/>
      <c r="N168" s="2">
        <v>36892</v>
      </c>
      <c r="O168" s="1"/>
      <c r="P168" s="2">
        <v>39752</v>
      </c>
      <c r="Q168" s="1" t="s">
        <v>34</v>
      </c>
      <c r="R168" s="1"/>
      <c r="S168" s="1" t="s">
        <v>35</v>
      </c>
      <c r="T168" s="1">
        <v>44.138569481904298</v>
      </c>
      <c r="U168" s="1">
        <v>-73.346268558307202</v>
      </c>
      <c r="V168" s="1" t="s">
        <v>975</v>
      </c>
      <c r="W168" s="1"/>
      <c r="X168" s="1" t="s">
        <v>37</v>
      </c>
      <c r="Y168" s="1" t="s">
        <v>648</v>
      </c>
      <c r="Z168" s="1">
        <v>5491</v>
      </c>
    </row>
    <row r="169" spans="1:26" ht="42">
      <c r="A169" s="1" t="str">
        <f>"0007WB"</f>
        <v>0007WB</v>
      </c>
      <c r="B169" s="1" t="s">
        <v>916</v>
      </c>
      <c r="C169" s="1" t="s">
        <v>917</v>
      </c>
      <c r="D169" s="1" t="str">
        <f>"8029895895"</f>
        <v>8029895895</v>
      </c>
      <c r="E169" s="1">
        <v>2046</v>
      </c>
      <c r="F169" s="1" t="s">
        <v>28</v>
      </c>
      <c r="G169" s="1" t="s">
        <v>976</v>
      </c>
      <c r="H169" s="1">
        <v>5450</v>
      </c>
      <c r="I169" s="1">
        <v>26</v>
      </c>
      <c r="J169" s="1" t="s">
        <v>977</v>
      </c>
      <c r="K169" s="1" t="s">
        <v>333</v>
      </c>
      <c r="L169" s="1" t="s">
        <v>949</v>
      </c>
      <c r="M169" s="1" t="s">
        <v>978</v>
      </c>
      <c r="N169" s="2">
        <v>36892</v>
      </c>
      <c r="O169" s="1"/>
      <c r="P169" s="2">
        <v>41943</v>
      </c>
      <c r="Q169" s="1" t="s">
        <v>34</v>
      </c>
      <c r="R169" s="1"/>
      <c r="S169" s="1" t="s">
        <v>35</v>
      </c>
      <c r="T169" s="1">
        <v>43.908540000000002</v>
      </c>
      <c r="U169" s="1">
        <v>-73.217739999999907</v>
      </c>
      <c r="V169" s="1" t="s">
        <v>979</v>
      </c>
      <c r="W169" s="1"/>
      <c r="X169" s="1" t="s">
        <v>37</v>
      </c>
      <c r="Y169" s="1" t="s">
        <v>951</v>
      </c>
      <c r="Z169" s="1">
        <v>0</v>
      </c>
    </row>
    <row r="170" spans="1:26" ht="42">
      <c r="A170" s="1" t="str">
        <f>"0007WB"</f>
        <v>0007WB</v>
      </c>
      <c r="B170" s="1" t="s">
        <v>916</v>
      </c>
      <c r="C170" s="1" t="s">
        <v>917</v>
      </c>
      <c r="D170" s="1" t="str">
        <f>"8029895895"</f>
        <v>8029895895</v>
      </c>
      <c r="E170" s="1">
        <v>2046</v>
      </c>
      <c r="F170" s="1" t="s">
        <v>28</v>
      </c>
      <c r="G170" s="1" t="s">
        <v>980</v>
      </c>
      <c r="H170" s="1">
        <v>4601</v>
      </c>
      <c r="I170" s="1">
        <v>15</v>
      </c>
      <c r="J170" s="1" t="s">
        <v>981</v>
      </c>
      <c r="K170" s="1" t="s">
        <v>333</v>
      </c>
      <c r="L170" s="1" t="s">
        <v>448</v>
      </c>
      <c r="M170" s="1" t="s">
        <v>982</v>
      </c>
      <c r="N170" s="2">
        <v>36892</v>
      </c>
      <c r="O170" s="1"/>
      <c r="P170" s="2">
        <v>38869</v>
      </c>
      <c r="Q170" s="1" t="s">
        <v>34</v>
      </c>
      <c r="R170" s="1"/>
      <c r="S170" s="1" t="s">
        <v>35</v>
      </c>
      <c r="T170" s="1">
        <v>44.126815262224198</v>
      </c>
      <c r="U170" s="1">
        <v>-73.000277951359706</v>
      </c>
      <c r="V170" s="1" t="s">
        <v>983</v>
      </c>
      <c r="W170" s="1"/>
      <c r="X170" s="1" t="s">
        <v>37</v>
      </c>
      <c r="Y170" s="1" t="s">
        <v>451</v>
      </c>
      <c r="Z170" s="1">
        <v>5443</v>
      </c>
    </row>
    <row r="171" spans="1:26" ht="42">
      <c r="A171" s="1" t="str">
        <f>"0007WB"</f>
        <v>0007WB</v>
      </c>
      <c r="B171" s="1" t="s">
        <v>916</v>
      </c>
      <c r="C171" s="1" t="s">
        <v>917</v>
      </c>
      <c r="D171" s="1" t="str">
        <f>"8029895895"</f>
        <v>8029895895</v>
      </c>
      <c r="E171" s="1">
        <v>2046</v>
      </c>
      <c r="F171" s="1" t="s">
        <v>28</v>
      </c>
      <c r="G171" s="1" t="s">
        <v>984</v>
      </c>
      <c r="H171" s="1">
        <v>4600</v>
      </c>
      <c r="I171" s="1">
        <v>15</v>
      </c>
      <c r="J171" s="1" t="s">
        <v>985</v>
      </c>
      <c r="K171" s="1" t="s">
        <v>333</v>
      </c>
      <c r="L171" s="1" t="s">
        <v>448</v>
      </c>
      <c r="M171" s="1" t="s">
        <v>986</v>
      </c>
      <c r="N171" s="2">
        <v>36892</v>
      </c>
      <c r="O171" s="1"/>
      <c r="P171" s="2">
        <v>38869</v>
      </c>
      <c r="Q171" s="1" t="s">
        <v>34</v>
      </c>
      <c r="R171" s="1"/>
      <c r="S171" s="1" t="s">
        <v>35</v>
      </c>
      <c r="T171" s="1">
        <v>44.107641065800102</v>
      </c>
      <c r="U171" s="1">
        <v>-72.995965629815998</v>
      </c>
      <c r="V171" s="1" t="s">
        <v>987</v>
      </c>
      <c r="W171" s="1"/>
      <c r="X171" s="1" t="s">
        <v>37</v>
      </c>
      <c r="Y171" s="1" t="s">
        <v>451</v>
      </c>
      <c r="Z171" s="1">
        <v>5443</v>
      </c>
    </row>
    <row r="172" spans="1:26" ht="42">
      <c r="A172" s="1" t="str">
        <f>"0007WB"</f>
        <v>0007WB</v>
      </c>
      <c r="B172" s="1" t="s">
        <v>916</v>
      </c>
      <c r="C172" s="1" t="s">
        <v>917</v>
      </c>
      <c r="D172" s="1" t="str">
        <f>"8029895895"</f>
        <v>8029895895</v>
      </c>
      <c r="E172" s="1">
        <v>2046</v>
      </c>
      <c r="F172" s="1" t="s">
        <v>28</v>
      </c>
      <c r="G172" s="1" t="s">
        <v>988</v>
      </c>
      <c r="H172" s="1">
        <v>4103</v>
      </c>
      <c r="I172" s="1">
        <v>0</v>
      </c>
      <c r="J172" s="1" t="s">
        <v>989</v>
      </c>
      <c r="K172" s="1" t="s">
        <v>333</v>
      </c>
      <c r="L172" s="1" t="s">
        <v>484</v>
      </c>
      <c r="M172" s="1"/>
      <c r="N172" s="2">
        <v>36892</v>
      </c>
      <c r="O172" s="2">
        <v>42308</v>
      </c>
      <c r="P172" s="2">
        <v>38847</v>
      </c>
      <c r="Q172" s="1" t="s">
        <v>34</v>
      </c>
      <c r="R172" s="1"/>
      <c r="S172" s="1" t="s">
        <v>35</v>
      </c>
      <c r="T172" s="1"/>
      <c r="U172" s="1"/>
      <c r="V172" s="1" t="s">
        <v>159</v>
      </c>
      <c r="W172" s="1"/>
      <c r="X172" s="1" t="s">
        <v>37</v>
      </c>
      <c r="Y172" s="1" t="s">
        <v>487</v>
      </c>
      <c r="Z172" s="1">
        <v>0</v>
      </c>
    </row>
    <row r="173" spans="1:26" ht="42">
      <c r="A173" s="1" t="str">
        <f>"0007WB"</f>
        <v>0007WB</v>
      </c>
      <c r="B173" s="1" t="s">
        <v>916</v>
      </c>
      <c r="C173" s="1" t="s">
        <v>917</v>
      </c>
      <c r="D173" s="1" t="str">
        <f>"8029895895"</f>
        <v>8029895895</v>
      </c>
      <c r="E173" s="1">
        <v>2046</v>
      </c>
      <c r="F173" s="1" t="s">
        <v>28</v>
      </c>
      <c r="G173" s="1" t="s">
        <v>990</v>
      </c>
      <c r="H173" s="1">
        <v>4105</v>
      </c>
      <c r="I173" s="1">
        <v>20</v>
      </c>
      <c r="J173" s="1" t="s">
        <v>991</v>
      </c>
      <c r="K173" s="1" t="s">
        <v>333</v>
      </c>
      <c r="L173" s="1" t="s">
        <v>484</v>
      </c>
      <c r="M173" s="1" t="s">
        <v>992</v>
      </c>
      <c r="N173" s="2">
        <v>36892</v>
      </c>
      <c r="O173" s="1"/>
      <c r="P173" s="2">
        <v>37895</v>
      </c>
      <c r="Q173" s="1" t="s">
        <v>34</v>
      </c>
      <c r="R173" s="1"/>
      <c r="S173" s="1" t="s">
        <v>35</v>
      </c>
      <c r="T173" s="1">
        <v>43.919125519276399</v>
      </c>
      <c r="U173" s="1">
        <v>-73.274246156215597</v>
      </c>
      <c r="V173" s="1" t="s">
        <v>993</v>
      </c>
      <c r="W173" s="1"/>
      <c r="X173" s="1" t="s">
        <v>37</v>
      </c>
      <c r="Y173" s="1" t="s">
        <v>487</v>
      </c>
      <c r="Z173" s="1">
        <v>5770</v>
      </c>
    </row>
    <row r="174" spans="1:26" ht="42">
      <c r="A174" s="1" t="str">
        <f>"0007WB"</f>
        <v>0007WB</v>
      </c>
      <c r="B174" s="1" t="s">
        <v>916</v>
      </c>
      <c r="C174" s="1" t="s">
        <v>917</v>
      </c>
      <c r="D174" s="1" t="str">
        <f>"8029895895"</f>
        <v>8029895895</v>
      </c>
      <c r="E174" s="1">
        <v>2046</v>
      </c>
      <c r="F174" s="1" t="s">
        <v>28</v>
      </c>
      <c r="G174" s="1" t="s">
        <v>994</v>
      </c>
      <c r="H174" s="1">
        <v>4107</v>
      </c>
      <c r="I174" s="1">
        <v>21</v>
      </c>
      <c r="J174" s="1" t="s">
        <v>995</v>
      </c>
      <c r="K174" s="1" t="s">
        <v>333</v>
      </c>
      <c r="L174" s="1" t="s">
        <v>684</v>
      </c>
      <c r="M174" s="1" t="s">
        <v>996</v>
      </c>
      <c r="N174" s="2">
        <v>36892</v>
      </c>
      <c r="O174" s="1"/>
      <c r="P174" s="2">
        <v>39380</v>
      </c>
      <c r="Q174" s="1" t="s">
        <v>34</v>
      </c>
      <c r="R174" s="1"/>
      <c r="S174" s="1" t="s">
        <v>35</v>
      </c>
      <c r="T174" s="1">
        <v>44.096465845655899</v>
      </c>
      <c r="U174" s="1">
        <v>-73.246812522411304</v>
      </c>
      <c r="V174" s="1" t="s">
        <v>997</v>
      </c>
      <c r="W174" s="1"/>
      <c r="X174" s="1" t="s">
        <v>37</v>
      </c>
      <c r="Y174" s="1" t="s">
        <v>464</v>
      </c>
      <c r="Z174" s="1">
        <v>5491</v>
      </c>
    </row>
    <row r="175" spans="1:26" ht="42">
      <c r="A175" s="1" t="str">
        <f>"0007Y6"</f>
        <v>0007Y6</v>
      </c>
      <c r="B175" s="1" t="s">
        <v>998</v>
      </c>
      <c r="C175" s="1" t="s">
        <v>999</v>
      </c>
      <c r="D175" s="1" t="str">
        <f>"8024362207"</f>
        <v>8024362207</v>
      </c>
      <c r="E175" s="1">
        <v>2922</v>
      </c>
      <c r="F175" s="1" t="s">
        <v>28</v>
      </c>
      <c r="G175" s="1" t="s">
        <v>1000</v>
      </c>
      <c r="H175" s="1">
        <v>3890</v>
      </c>
      <c r="I175" s="1">
        <v>3</v>
      </c>
      <c r="J175" s="1" t="s">
        <v>1001</v>
      </c>
      <c r="K175" s="1" t="s">
        <v>77</v>
      </c>
      <c r="L175" s="1" t="s">
        <v>507</v>
      </c>
      <c r="M175" s="1" t="s">
        <v>1002</v>
      </c>
      <c r="N175" s="2">
        <v>36892</v>
      </c>
      <c r="O175" s="1"/>
      <c r="P175" s="2">
        <v>39604</v>
      </c>
      <c r="Q175" s="1" t="s">
        <v>34</v>
      </c>
      <c r="R175" s="1"/>
      <c r="S175" s="1" t="s">
        <v>35</v>
      </c>
      <c r="T175" s="1">
        <v>43.558104999999998</v>
      </c>
      <c r="U175" s="1">
        <v>-72.447865899999996</v>
      </c>
      <c r="V175" s="1" t="s">
        <v>1003</v>
      </c>
      <c r="W175" s="1"/>
      <c r="X175" s="1" t="s">
        <v>37</v>
      </c>
      <c r="Y175" s="1" t="s">
        <v>1004</v>
      </c>
      <c r="Z175" s="1">
        <v>5048</v>
      </c>
    </row>
    <row r="176" spans="1:26" ht="42">
      <c r="A176" s="1" t="str">
        <f>"0007YP"</f>
        <v>0007YP</v>
      </c>
      <c r="B176" s="1" t="s">
        <v>1005</v>
      </c>
      <c r="C176" s="1" t="s">
        <v>1006</v>
      </c>
      <c r="D176" s="1" t="str">
        <f>"8024822664"</f>
        <v>8024822664</v>
      </c>
      <c r="E176" s="1">
        <v>1343</v>
      </c>
      <c r="F176" s="1" t="s">
        <v>28</v>
      </c>
      <c r="G176" s="1" t="s">
        <v>1007</v>
      </c>
      <c r="H176" s="1">
        <v>4257</v>
      </c>
      <c r="I176" s="1">
        <v>15</v>
      </c>
      <c r="J176" s="1" t="s">
        <v>1008</v>
      </c>
      <c r="K176" s="1" t="s">
        <v>43</v>
      </c>
      <c r="L176" s="1" t="s">
        <v>348</v>
      </c>
      <c r="M176" s="1" t="s">
        <v>1009</v>
      </c>
      <c r="N176" s="2">
        <v>36892</v>
      </c>
      <c r="O176" s="1"/>
      <c r="P176" s="2">
        <v>42584</v>
      </c>
      <c r="Q176" s="1" t="s">
        <v>34</v>
      </c>
      <c r="R176" s="1"/>
      <c r="S176" s="1" t="s">
        <v>35</v>
      </c>
      <c r="T176" s="1"/>
      <c r="U176" s="1"/>
      <c r="V176" s="1" t="s">
        <v>1010</v>
      </c>
      <c r="W176" s="1"/>
      <c r="X176" s="1" t="s">
        <v>37</v>
      </c>
      <c r="Y176" s="1" t="s">
        <v>351</v>
      </c>
      <c r="Z176" s="1" t="s">
        <v>1011</v>
      </c>
    </row>
    <row r="177" spans="1:26" ht="42">
      <c r="A177" s="1" t="str">
        <f>"0007YP"</f>
        <v>0007YP</v>
      </c>
      <c r="B177" s="1" t="s">
        <v>1005</v>
      </c>
      <c r="C177" s="1" t="s">
        <v>1006</v>
      </c>
      <c r="D177" s="1" t="str">
        <f>"8024822664"</f>
        <v>8024822664</v>
      </c>
      <c r="E177" s="1">
        <v>1343</v>
      </c>
      <c r="F177" s="1" t="s">
        <v>28</v>
      </c>
      <c r="G177" s="1" t="s">
        <v>1012</v>
      </c>
      <c r="H177" s="1">
        <v>1684</v>
      </c>
      <c r="I177" s="1">
        <v>0</v>
      </c>
      <c r="J177" s="1" t="s">
        <v>1008</v>
      </c>
      <c r="K177" s="1" t="s">
        <v>43</v>
      </c>
      <c r="L177" s="1" t="s">
        <v>348</v>
      </c>
      <c r="M177" s="1"/>
      <c r="N177" s="2">
        <v>36892</v>
      </c>
      <c r="O177" s="2">
        <v>43221</v>
      </c>
      <c r="P177" s="2">
        <v>38106</v>
      </c>
      <c r="Q177" s="1" t="s">
        <v>34</v>
      </c>
      <c r="R177" s="1"/>
      <c r="S177" s="1" t="s">
        <v>35</v>
      </c>
      <c r="T177" s="1"/>
      <c r="U177" s="1"/>
      <c r="V177" s="1" t="s">
        <v>159</v>
      </c>
      <c r="W177" s="1"/>
      <c r="X177" s="1" t="s">
        <v>37</v>
      </c>
      <c r="Y177" s="1" t="s">
        <v>351</v>
      </c>
      <c r="Z177" s="1">
        <v>5461</v>
      </c>
    </row>
    <row r="178" spans="1:26" ht="42">
      <c r="A178" s="1" t="str">
        <f>"0007YP"</f>
        <v>0007YP</v>
      </c>
      <c r="B178" s="1" t="s">
        <v>1005</v>
      </c>
      <c r="C178" s="1" t="s">
        <v>1006</v>
      </c>
      <c r="D178" s="1" t="str">
        <f>"8024822664"</f>
        <v>8024822664</v>
      </c>
      <c r="E178" s="1">
        <v>1343</v>
      </c>
      <c r="F178" s="1" t="s">
        <v>28</v>
      </c>
      <c r="G178" s="1" t="s">
        <v>1013</v>
      </c>
      <c r="H178" s="1">
        <v>4454</v>
      </c>
      <c r="I178" s="1">
        <v>0</v>
      </c>
      <c r="J178" s="1" t="s">
        <v>1014</v>
      </c>
      <c r="K178" s="1" t="s">
        <v>43</v>
      </c>
      <c r="L178" s="1" t="s">
        <v>348</v>
      </c>
      <c r="M178" s="1"/>
      <c r="N178" s="2">
        <v>36892</v>
      </c>
      <c r="O178" s="2">
        <v>43244</v>
      </c>
      <c r="P178" s="2">
        <v>37160</v>
      </c>
      <c r="Q178" s="1" t="s">
        <v>34</v>
      </c>
      <c r="R178" s="1"/>
      <c r="S178" s="1" t="s">
        <v>35</v>
      </c>
      <c r="T178" s="1"/>
      <c r="U178" s="1"/>
      <c r="V178" s="1" t="s">
        <v>159</v>
      </c>
      <c r="W178" s="1"/>
      <c r="X178" s="1" t="s">
        <v>37</v>
      </c>
      <c r="Y178" s="1" t="s">
        <v>351</v>
      </c>
      <c r="Z178" s="1">
        <v>5461</v>
      </c>
    </row>
    <row r="179" spans="1:26" ht="42">
      <c r="A179" s="1" t="str">
        <f>"0007YY"</f>
        <v>0007YY</v>
      </c>
      <c r="B179" s="1" t="s">
        <v>1015</v>
      </c>
      <c r="C179" s="1" t="s">
        <v>1016</v>
      </c>
      <c r="D179" s="1" t="str">
        <f>"8024535583"</f>
        <v>8024535583</v>
      </c>
      <c r="E179" s="1">
        <v>3036</v>
      </c>
      <c r="F179" s="1" t="s">
        <v>28</v>
      </c>
      <c r="G179" s="1" t="s">
        <v>1017</v>
      </c>
      <c r="H179" s="1">
        <v>4117</v>
      </c>
      <c r="I179" s="1">
        <v>2</v>
      </c>
      <c r="J179" s="1">
        <v>1</v>
      </c>
      <c r="K179" s="1" t="s">
        <v>333</v>
      </c>
      <c r="L179" s="1" t="s">
        <v>876</v>
      </c>
      <c r="M179" s="1" t="s">
        <v>1018</v>
      </c>
      <c r="N179" s="2">
        <v>36892</v>
      </c>
      <c r="O179" s="1"/>
      <c r="P179" s="2">
        <v>38161</v>
      </c>
      <c r="Q179" s="1" t="s">
        <v>34</v>
      </c>
      <c r="R179" s="1"/>
      <c r="S179" s="1" t="s">
        <v>35</v>
      </c>
      <c r="T179" s="1">
        <v>44.062587999999998</v>
      </c>
      <c r="U179" s="1">
        <v>-73.093636000000004</v>
      </c>
      <c r="V179" s="1" t="s">
        <v>1019</v>
      </c>
      <c r="W179" s="1"/>
      <c r="X179" s="1" t="s">
        <v>37</v>
      </c>
      <c r="Y179" s="1" t="s">
        <v>879</v>
      </c>
      <c r="Z179" s="1">
        <v>5443</v>
      </c>
    </row>
    <row r="180" spans="1:26" ht="42">
      <c r="A180" s="1" t="str">
        <f>"0007Z5"</f>
        <v>0007Z5</v>
      </c>
      <c r="B180" s="1" t="s">
        <v>1020</v>
      </c>
      <c r="C180" s="1" t="s">
        <v>1021</v>
      </c>
      <c r="D180" s="1" t="str">
        <f>"8026745126"</f>
        <v>8026745126</v>
      </c>
      <c r="E180" s="1">
        <v>2834</v>
      </c>
      <c r="F180" s="1" t="s">
        <v>28</v>
      </c>
      <c r="G180" s="1" t="s">
        <v>1022</v>
      </c>
      <c r="H180" s="1">
        <v>4822</v>
      </c>
      <c r="I180" s="1">
        <v>3</v>
      </c>
      <c r="J180" s="1" t="s">
        <v>1023</v>
      </c>
      <c r="K180" s="1" t="s">
        <v>77</v>
      </c>
      <c r="L180" s="1" t="s">
        <v>1024</v>
      </c>
      <c r="M180" s="1" t="s">
        <v>1025</v>
      </c>
      <c r="N180" s="2">
        <v>36892</v>
      </c>
      <c r="O180" s="1"/>
      <c r="P180" s="2">
        <v>38530</v>
      </c>
      <c r="Q180" s="1" t="s">
        <v>34</v>
      </c>
      <c r="R180" s="1"/>
      <c r="S180" s="1" t="s">
        <v>35</v>
      </c>
      <c r="T180" s="1"/>
      <c r="U180" s="1"/>
      <c r="V180" s="1" t="s">
        <v>159</v>
      </c>
      <c r="W180" s="1"/>
      <c r="X180" s="1" t="s">
        <v>37</v>
      </c>
      <c r="Y180" s="1" t="s">
        <v>77</v>
      </c>
      <c r="Z180" s="1">
        <v>0</v>
      </c>
    </row>
    <row r="181" spans="1:26" ht="42">
      <c r="A181" s="1" t="str">
        <f>"0007Z5"</f>
        <v>0007Z5</v>
      </c>
      <c r="B181" s="1" t="s">
        <v>1020</v>
      </c>
      <c r="C181" s="1" t="s">
        <v>1021</v>
      </c>
      <c r="D181" s="1" t="str">
        <f>"8026745126"</f>
        <v>8026745126</v>
      </c>
      <c r="E181" s="1">
        <v>2834</v>
      </c>
      <c r="F181" s="1" t="s">
        <v>28</v>
      </c>
      <c r="G181" s="1" t="s">
        <v>1026</v>
      </c>
      <c r="H181" s="1">
        <v>4699</v>
      </c>
      <c r="I181" s="1">
        <v>0</v>
      </c>
      <c r="J181" s="1" t="s">
        <v>1027</v>
      </c>
      <c r="K181" s="1" t="s">
        <v>77</v>
      </c>
      <c r="L181" s="1" t="s">
        <v>1028</v>
      </c>
      <c r="M181" s="1" t="s">
        <v>1029</v>
      </c>
      <c r="N181" s="2">
        <v>36892</v>
      </c>
      <c r="O181" s="2">
        <v>43257</v>
      </c>
      <c r="P181" s="2">
        <v>38530</v>
      </c>
      <c r="Q181" s="1" t="s">
        <v>34</v>
      </c>
      <c r="R181" s="1"/>
      <c r="S181" s="1" t="s">
        <v>35</v>
      </c>
      <c r="T181" s="1"/>
      <c r="U181" s="1"/>
      <c r="V181" s="1" t="s">
        <v>159</v>
      </c>
      <c r="W181" s="1"/>
      <c r="X181" s="1" t="s">
        <v>37</v>
      </c>
      <c r="Y181" s="1" t="s">
        <v>1030</v>
      </c>
      <c r="Z181" s="1">
        <v>0</v>
      </c>
    </row>
    <row r="182" spans="1:26" ht="42">
      <c r="A182" s="1" t="str">
        <f>"0007Z5"</f>
        <v>0007Z5</v>
      </c>
      <c r="B182" s="1" t="s">
        <v>1020</v>
      </c>
      <c r="C182" s="1" t="s">
        <v>1021</v>
      </c>
      <c r="D182" s="1" t="str">
        <f>"8026745126"</f>
        <v>8026745126</v>
      </c>
      <c r="E182" s="1">
        <v>2834</v>
      </c>
      <c r="F182" s="1" t="s">
        <v>28</v>
      </c>
      <c r="G182" s="1" t="s">
        <v>1031</v>
      </c>
      <c r="H182" s="1">
        <v>3720</v>
      </c>
      <c r="I182" s="1">
        <v>1</v>
      </c>
      <c r="J182" s="1">
        <v>1</v>
      </c>
      <c r="K182" s="1" t="s">
        <v>159</v>
      </c>
      <c r="L182" s="1"/>
      <c r="M182" s="1" t="s">
        <v>1032</v>
      </c>
      <c r="N182" s="2">
        <v>36892</v>
      </c>
      <c r="O182" s="2">
        <v>42180</v>
      </c>
      <c r="P182" s="2">
        <v>40347</v>
      </c>
      <c r="Q182" s="1" t="s">
        <v>34</v>
      </c>
      <c r="R182" s="1"/>
      <c r="S182" s="1" t="s">
        <v>35</v>
      </c>
      <c r="T182" s="1">
        <v>43.475388000000002</v>
      </c>
      <c r="U182" s="1">
        <v>-72.403389000000004</v>
      </c>
      <c r="V182" s="1" t="s">
        <v>1033</v>
      </c>
      <c r="W182" s="1"/>
      <c r="X182" s="1" t="s">
        <v>37</v>
      </c>
      <c r="Y182" s="1" t="s">
        <v>77</v>
      </c>
      <c r="Z182" s="1">
        <v>5089</v>
      </c>
    </row>
    <row r="183" spans="1:26" ht="42">
      <c r="A183" s="1" t="str">
        <f>"0007Z5"</f>
        <v>0007Z5</v>
      </c>
      <c r="B183" s="1" t="s">
        <v>1020</v>
      </c>
      <c r="C183" s="1" t="s">
        <v>1021</v>
      </c>
      <c r="D183" s="1" t="str">
        <f>"8026745126"</f>
        <v>8026745126</v>
      </c>
      <c r="E183" s="1">
        <v>2834</v>
      </c>
      <c r="F183" s="1" t="s">
        <v>28</v>
      </c>
      <c r="G183" s="1" t="s">
        <v>1034</v>
      </c>
      <c r="H183" s="1"/>
      <c r="I183" s="1">
        <v>0</v>
      </c>
      <c r="J183" s="1">
        <v>4</v>
      </c>
      <c r="K183" s="1" t="s">
        <v>77</v>
      </c>
      <c r="L183" s="1" t="s">
        <v>1028</v>
      </c>
      <c r="M183" s="1" t="s">
        <v>1035</v>
      </c>
      <c r="N183" s="2">
        <v>42180</v>
      </c>
      <c r="O183" s="2">
        <v>43257</v>
      </c>
      <c r="P183" s="1"/>
      <c r="Q183" s="1" t="s">
        <v>34</v>
      </c>
      <c r="R183" s="1"/>
      <c r="S183" s="1" t="s">
        <v>35</v>
      </c>
      <c r="T183" s="1"/>
      <c r="U183" s="1"/>
      <c r="V183" s="1" t="s">
        <v>158</v>
      </c>
      <c r="W183" s="1"/>
      <c r="X183" s="1" t="s">
        <v>37</v>
      </c>
      <c r="Y183" s="1" t="s">
        <v>1030</v>
      </c>
      <c r="Z183" s="1">
        <v>0</v>
      </c>
    </row>
    <row r="184" spans="1:26" ht="42">
      <c r="A184" s="1" t="str">
        <f>"0007Z5"</f>
        <v>0007Z5</v>
      </c>
      <c r="B184" s="1" t="s">
        <v>1020</v>
      </c>
      <c r="C184" s="1" t="s">
        <v>1021</v>
      </c>
      <c r="D184" s="1" t="str">
        <f>"8026745126"</f>
        <v>8026745126</v>
      </c>
      <c r="E184" s="1">
        <v>2834</v>
      </c>
      <c r="F184" s="1" t="s">
        <v>28</v>
      </c>
      <c r="G184" s="1" t="s">
        <v>1036</v>
      </c>
      <c r="H184" s="1"/>
      <c r="I184" s="1">
        <v>3</v>
      </c>
      <c r="J184" s="1">
        <v>5</v>
      </c>
      <c r="K184" s="1" t="s">
        <v>77</v>
      </c>
      <c r="L184" s="1" t="s">
        <v>325</v>
      </c>
      <c r="M184" s="1" t="s">
        <v>1037</v>
      </c>
      <c r="N184" s="2">
        <v>42180</v>
      </c>
      <c r="O184" s="1"/>
      <c r="P184" s="1"/>
      <c r="Q184" s="1" t="s">
        <v>34</v>
      </c>
      <c r="R184" s="1"/>
      <c r="S184" s="1" t="s">
        <v>35</v>
      </c>
      <c r="T184" s="1">
        <v>43.4099948</v>
      </c>
      <c r="U184" s="1">
        <v>-72.405194199999897</v>
      </c>
      <c r="V184" s="1" t="s">
        <v>1038</v>
      </c>
      <c r="W184" s="1"/>
      <c r="X184" s="1" t="s">
        <v>37</v>
      </c>
      <c r="Y184" s="1" t="s">
        <v>1039</v>
      </c>
      <c r="Z184" s="1">
        <v>5089</v>
      </c>
    </row>
    <row r="185" spans="1:26" ht="42">
      <c r="A185" s="1" t="str">
        <f>"0007ZQ"</f>
        <v>0007ZQ</v>
      </c>
      <c r="B185" s="1" t="s">
        <v>1040</v>
      </c>
      <c r="C185" s="1" t="s">
        <v>1041</v>
      </c>
      <c r="D185" s="1" t="str">
        <f>"8022256051"</f>
        <v>8022256051</v>
      </c>
      <c r="E185" s="1">
        <v>1395</v>
      </c>
      <c r="F185" s="1" t="s">
        <v>28</v>
      </c>
      <c r="G185" s="1" t="s">
        <v>1042</v>
      </c>
      <c r="H185" s="1">
        <v>3975</v>
      </c>
      <c r="I185" s="1">
        <v>24</v>
      </c>
      <c r="J185" s="1" t="s">
        <v>1043</v>
      </c>
      <c r="K185" s="1" t="s">
        <v>43</v>
      </c>
      <c r="L185" s="1" t="s">
        <v>723</v>
      </c>
      <c r="M185" s="1" t="s">
        <v>1044</v>
      </c>
      <c r="N185" s="2">
        <v>36892</v>
      </c>
      <c r="O185" s="1"/>
      <c r="P185" s="2">
        <v>40107</v>
      </c>
      <c r="Q185" s="1" t="s">
        <v>34</v>
      </c>
      <c r="R185" s="1"/>
      <c r="S185" s="1" t="s">
        <v>35</v>
      </c>
      <c r="T185" s="1">
        <v>44.407945900000001</v>
      </c>
      <c r="U185" s="1">
        <v>-73.170687999999899</v>
      </c>
      <c r="V185" s="1" t="s">
        <v>1045</v>
      </c>
      <c r="W185" s="1"/>
      <c r="X185" s="1" t="s">
        <v>37</v>
      </c>
      <c r="Y185" s="1" t="s">
        <v>725</v>
      </c>
      <c r="Z185" s="1">
        <v>5482</v>
      </c>
    </row>
    <row r="186" spans="1:26" ht="42">
      <c r="A186" s="1" t="str">
        <f>"0007ZQ"</f>
        <v>0007ZQ</v>
      </c>
      <c r="B186" s="1" t="s">
        <v>1040</v>
      </c>
      <c r="C186" s="1" t="s">
        <v>1041</v>
      </c>
      <c r="D186" s="1" t="str">
        <f>"8022256051"</f>
        <v>8022256051</v>
      </c>
      <c r="E186" s="1">
        <v>1395</v>
      </c>
      <c r="F186" s="1" t="s">
        <v>28</v>
      </c>
      <c r="G186" s="1" t="s">
        <v>1046</v>
      </c>
      <c r="H186" s="1">
        <v>4365</v>
      </c>
      <c r="I186" s="1">
        <v>8</v>
      </c>
      <c r="J186" s="1" t="s">
        <v>1047</v>
      </c>
      <c r="K186" s="1" t="s">
        <v>152</v>
      </c>
      <c r="L186" s="1" t="s">
        <v>1048</v>
      </c>
      <c r="M186" s="1" t="s">
        <v>1049</v>
      </c>
      <c r="N186" s="2">
        <v>36892</v>
      </c>
      <c r="O186" s="1"/>
      <c r="P186" s="1"/>
      <c r="Q186" s="1" t="s">
        <v>34</v>
      </c>
      <c r="R186" s="1"/>
      <c r="S186" s="1" t="s">
        <v>35</v>
      </c>
      <c r="T186" s="1">
        <v>44.651208399999902</v>
      </c>
      <c r="U186" s="1">
        <v>-72.953616799999907</v>
      </c>
      <c r="V186" s="1" t="s">
        <v>1050</v>
      </c>
      <c r="W186" s="1"/>
      <c r="X186" s="1" t="s">
        <v>37</v>
      </c>
      <c r="Y186" s="1" t="s">
        <v>1051</v>
      </c>
      <c r="Z186" s="1">
        <v>5454</v>
      </c>
    </row>
    <row r="187" spans="1:26" ht="42">
      <c r="A187" s="1" t="str">
        <f>"0007ZQ"</f>
        <v>0007ZQ</v>
      </c>
      <c r="B187" s="1" t="s">
        <v>1040</v>
      </c>
      <c r="C187" s="1" t="s">
        <v>1041</v>
      </c>
      <c r="D187" s="1" t="str">
        <f>"8022256051"</f>
        <v>8022256051</v>
      </c>
      <c r="E187" s="1">
        <v>1395</v>
      </c>
      <c r="F187" s="1" t="s">
        <v>28</v>
      </c>
      <c r="G187" s="1" t="s">
        <v>1052</v>
      </c>
      <c r="H187" s="1">
        <v>3978</v>
      </c>
      <c r="I187" s="1">
        <v>0</v>
      </c>
      <c r="J187" s="1" t="s">
        <v>1053</v>
      </c>
      <c r="K187" s="1" t="s">
        <v>152</v>
      </c>
      <c r="L187" s="1" t="s">
        <v>1054</v>
      </c>
      <c r="M187" s="1"/>
      <c r="N187" s="2">
        <v>36892</v>
      </c>
      <c r="O187" s="2">
        <v>42736</v>
      </c>
      <c r="P187" s="2">
        <v>39736</v>
      </c>
      <c r="Q187" s="1" t="s">
        <v>34</v>
      </c>
      <c r="R187" s="1"/>
      <c r="S187" s="1" t="s">
        <v>35</v>
      </c>
      <c r="T187" s="1"/>
      <c r="U187" s="1"/>
      <c r="V187" s="1" t="s">
        <v>159</v>
      </c>
      <c r="W187" s="1"/>
      <c r="X187" s="1" t="s">
        <v>37</v>
      </c>
      <c r="Y187" s="1" t="s">
        <v>152</v>
      </c>
      <c r="Z187" s="1">
        <v>0</v>
      </c>
    </row>
    <row r="188" spans="1:26" ht="42">
      <c r="A188" s="1" t="str">
        <f>"0007ZQ"</f>
        <v>0007ZQ</v>
      </c>
      <c r="B188" s="1" t="s">
        <v>1040</v>
      </c>
      <c r="C188" s="1" t="s">
        <v>1041</v>
      </c>
      <c r="D188" s="1" t="str">
        <f>"8022256051"</f>
        <v>8022256051</v>
      </c>
      <c r="E188" s="1">
        <v>1395</v>
      </c>
      <c r="F188" s="1" t="s">
        <v>28</v>
      </c>
      <c r="G188" s="1" t="s">
        <v>1055</v>
      </c>
      <c r="H188" s="1">
        <v>1949</v>
      </c>
      <c r="I188" s="1">
        <v>12</v>
      </c>
      <c r="J188" s="1" t="s">
        <v>1056</v>
      </c>
      <c r="K188" s="1" t="s">
        <v>152</v>
      </c>
      <c r="L188" s="1" t="s">
        <v>1057</v>
      </c>
      <c r="M188" s="1" t="s">
        <v>1058</v>
      </c>
      <c r="N188" s="2">
        <v>36892</v>
      </c>
      <c r="O188" s="1"/>
      <c r="P188" s="2">
        <v>39736</v>
      </c>
      <c r="Q188" s="1" t="s">
        <v>34</v>
      </c>
      <c r="R188" s="1"/>
      <c r="S188" s="1" t="s">
        <v>35</v>
      </c>
      <c r="T188" s="1"/>
      <c r="U188" s="1"/>
      <c r="V188" s="1" t="s">
        <v>159</v>
      </c>
      <c r="W188" s="1"/>
      <c r="X188" s="1" t="s">
        <v>37</v>
      </c>
      <c r="Y188" s="1" t="s">
        <v>1059</v>
      </c>
      <c r="Z188" s="1">
        <v>0</v>
      </c>
    </row>
    <row r="189" spans="1:26" ht="42">
      <c r="A189" s="1" t="str">
        <f>"0007ZQ"</f>
        <v>0007ZQ</v>
      </c>
      <c r="B189" s="1" t="s">
        <v>1040</v>
      </c>
      <c r="C189" s="1" t="s">
        <v>1041</v>
      </c>
      <c r="D189" s="1" t="str">
        <f>"8022256051"</f>
        <v>8022256051</v>
      </c>
      <c r="E189" s="1">
        <v>1395</v>
      </c>
      <c r="F189" s="1" t="s">
        <v>28</v>
      </c>
      <c r="G189" s="1" t="s">
        <v>1060</v>
      </c>
      <c r="H189" s="1">
        <v>3983</v>
      </c>
      <c r="I189" s="1">
        <v>24</v>
      </c>
      <c r="J189" s="1" t="s">
        <v>1061</v>
      </c>
      <c r="K189" s="1" t="s">
        <v>152</v>
      </c>
      <c r="L189" s="1" t="s">
        <v>1062</v>
      </c>
      <c r="M189" s="1" t="s">
        <v>1063</v>
      </c>
      <c r="N189" s="2">
        <v>36892</v>
      </c>
      <c r="O189" s="1"/>
      <c r="P189" s="1"/>
      <c r="Q189" s="1" t="s">
        <v>34</v>
      </c>
      <c r="R189" s="1"/>
      <c r="S189" s="1" t="s">
        <v>35</v>
      </c>
      <c r="T189" s="1"/>
      <c r="U189" s="1"/>
      <c r="V189" s="1" t="s">
        <v>159</v>
      </c>
      <c r="W189" s="1"/>
      <c r="X189" s="1" t="s">
        <v>37</v>
      </c>
      <c r="Y189" s="1" t="s">
        <v>1064</v>
      </c>
      <c r="Z189" s="1">
        <v>0</v>
      </c>
    </row>
    <row r="190" spans="1:26" ht="42">
      <c r="A190" s="1" t="str">
        <f>"0007ZQ"</f>
        <v>0007ZQ</v>
      </c>
      <c r="B190" s="1" t="s">
        <v>1040</v>
      </c>
      <c r="C190" s="1" t="s">
        <v>1041</v>
      </c>
      <c r="D190" s="1" t="str">
        <f>"8022256051"</f>
        <v>8022256051</v>
      </c>
      <c r="E190" s="1">
        <v>1395</v>
      </c>
      <c r="F190" s="1" t="s">
        <v>28</v>
      </c>
      <c r="G190" s="1" t="s">
        <v>1065</v>
      </c>
      <c r="H190" s="1"/>
      <c r="I190" s="1">
        <v>8</v>
      </c>
      <c r="J190" s="1" t="s">
        <v>1066</v>
      </c>
      <c r="K190" s="1" t="s">
        <v>31</v>
      </c>
      <c r="L190" s="1" t="s">
        <v>716</v>
      </c>
      <c r="M190" s="1" t="s">
        <v>1067</v>
      </c>
      <c r="N190" s="2">
        <v>42955</v>
      </c>
      <c r="O190" s="1"/>
      <c r="P190" s="1"/>
      <c r="Q190" s="1" t="s">
        <v>34</v>
      </c>
      <c r="R190" s="1"/>
      <c r="S190" s="1" t="s">
        <v>35</v>
      </c>
      <c r="T190" s="1">
        <v>44.2343434</v>
      </c>
      <c r="U190" s="1">
        <v>-72.513019099999994</v>
      </c>
      <c r="V190" s="1" t="s">
        <v>1068</v>
      </c>
      <c r="W190" s="1"/>
      <c r="X190" s="1" t="s">
        <v>37</v>
      </c>
      <c r="Y190" s="1" t="s">
        <v>237</v>
      </c>
      <c r="Z190" s="1">
        <v>5641</v>
      </c>
    </row>
    <row r="191" spans="1:26" ht="42">
      <c r="A191" s="1" t="str">
        <f>"0007ZQ"</f>
        <v>0007ZQ</v>
      </c>
      <c r="B191" s="1" t="s">
        <v>1040</v>
      </c>
      <c r="C191" s="1" t="s">
        <v>1041</v>
      </c>
      <c r="D191" s="1" t="str">
        <f>"8022256051"</f>
        <v>8022256051</v>
      </c>
      <c r="E191" s="1">
        <v>1395</v>
      </c>
      <c r="F191" s="1" t="s">
        <v>28</v>
      </c>
      <c r="G191" s="1" t="s">
        <v>1069</v>
      </c>
      <c r="H191" s="1"/>
      <c r="I191" s="1">
        <v>8</v>
      </c>
      <c r="J191" s="1" t="s">
        <v>1070</v>
      </c>
      <c r="K191" s="1" t="s">
        <v>31</v>
      </c>
      <c r="L191" s="1" t="s">
        <v>1071</v>
      </c>
      <c r="M191" s="1" t="s">
        <v>1072</v>
      </c>
      <c r="N191" s="2">
        <v>42955</v>
      </c>
      <c r="O191" s="1"/>
      <c r="P191" s="1"/>
      <c r="Q191" s="1" t="s">
        <v>34</v>
      </c>
      <c r="R191" s="1"/>
      <c r="S191" s="1" t="s">
        <v>35</v>
      </c>
      <c r="T191" s="1">
        <v>44.385959999999997</v>
      </c>
      <c r="U191" s="1">
        <v>-72.488640000000004</v>
      </c>
      <c r="V191" s="1" t="s">
        <v>1073</v>
      </c>
      <c r="W191" s="1"/>
      <c r="X191" s="1" t="s">
        <v>37</v>
      </c>
      <c r="Y191" s="1" t="s">
        <v>1074</v>
      </c>
      <c r="Z191" s="1">
        <v>5648</v>
      </c>
    </row>
    <row r="192" spans="1:26" ht="42">
      <c r="A192" s="1" t="str">
        <f>"0007ZQ"</f>
        <v>0007ZQ</v>
      </c>
      <c r="B192" s="1" t="s">
        <v>1040</v>
      </c>
      <c r="C192" s="1" t="s">
        <v>1041</v>
      </c>
      <c r="D192" s="1" t="str">
        <f>"8022256051"</f>
        <v>8022256051</v>
      </c>
      <c r="E192" s="1">
        <v>1395</v>
      </c>
      <c r="F192" s="1" t="s">
        <v>28</v>
      </c>
      <c r="G192" s="1" t="s">
        <v>1075</v>
      </c>
      <c r="H192" s="1"/>
      <c r="I192" s="1">
        <v>18</v>
      </c>
      <c r="J192" s="1" t="s">
        <v>1076</v>
      </c>
      <c r="K192" s="1" t="s">
        <v>43</v>
      </c>
      <c r="L192" s="1" t="s">
        <v>1077</v>
      </c>
      <c r="M192" s="1" t="s">
        <v>1078</v>
      </c>
      <c r="N192" s="2">
        <v>42955</v>
      </c>
      <c r="O192" s="1"/>
      <c r="P192" s="1"/>
      <c r="Q192" s="1" t="s">
        <v>34</v>
      </c>
      <c r="R192" s="1"/>
      <c r="S192" s="1" t="s">
        <v>35</v>
      </c>
      <c r="T192" s="1">
        <v>44.432531599999997</v>
      </c>
      <c r="U192" s="1">
        <v>-73.125221399999901</v>
      </c>
      <c r="V192" s="1" t="s">
        <v>1079</v>
      </c>
      <c r="W192" s="1"/>
      <c r="X192" s="1" t="s">
        <v>37</v>
      </c>
      <c r="Y192" s="1" t="s">
        <v>1080</v>
      </c>
      <c r="Z192" s="1">
        <v>5495</v>
      </c>
    </row>
    <row r="193" spans="1:26" ht="42">
      <c r="A193" s="1" t="str">
        <f>"0007ZQ"</f>
        <v>0007ZQ</v>
      </c>
      <c r="B193" s="1" t="s">
        <v>1040</v>
      </c>
      <c r="C193" s="1" t="s">
        <v>1041</v>
      </c>
      <c r="D193" s="1" t="str">
        <f>"8022256051"</f>
        <v>8022256051</v>
      </c>
      <c r="E193" s="1">
        <v>1395</v>
      </c>
      <c r="F193" s="1" t="s">
        <v>28</v>
      </c>
      <c r="G193" s="1" t="s">
        <v>1081</v>
      </c>
      <c r="H193" s="1"/>
      <c r="I193" s="1">
        <v>10</v>
      </c>
      <c r="J193" s="1" t="s">
        <v>1082</v>
      </c>
      <c r="K193" s="1" t="s">
        <v>152</v>
      </c>
      <c r="L193" s="1" t="s">
        <v>1083</v>
      </c>
      <c r="M193" s="1" t="s">
        <v>1084</v>
      </c>
      <c r="N193" s="2">
        <v>42955</v>
      </c>
      <c r="O193" s="1"/>
      <c r="P193" s="1"/>
      <c r="Q193" s="1" t="s">
        <v>34</v>
      </c>
      <c r="R193" s="1"/>
      <c r="S193" s="1" t="s">
        <v>35</v>
      </c>
      <c r="T193" s="1">
        <v>44.831156</v>
      </c>
      <c r="U193" s="1">
        <v>-72.8971599999999</v>
      </c>
      <c r="V193" s="1" t="s">
        <v>1085</v>
      </c>
      <c r="W193" s="1"/>
      <c r="X193" s="1" t="s">
        <v>37</v>
      </c>
      <c r="Y193" s="1" t="s">
        <v>1086</v>
      </c>
      <c r="Z193" s="1">
        <v>5450</v>
      </c>
    </row>
    <row r="194" spans="1:26" ht="42">
      <c r="A194" s="1" t="str">
        <f>"0007ZQ"</f>
        <v>0007ZQ</v>
      </c>
      <c r="B194" s="1" t="s">
        <v>1040</v>
      </c>
      <c r="C194" s="1" t="s">
        <v>1041</v>
      </c>
      <c r="D194" s="1" t="str">
        <f>"8022256051"</f>
        <v>8022256051</v>
      </c>
      <c r="E194" s="1">
        <v>1395</v>
      </c>
      <c r="F194" s="1" t="s">
        <v>28</v>
      </c>
      <c r="G194" s="1" t="s">
        <v>1087</v>
      </c>
      <c r="H194" s="1">
        <v>3984</v>
      </c>
      <c r="I194" s="1">
        <v>18</v>
      </c>
      <c r="J194" s="1" t="s">
        <v>1088</v>
      </c>
      <c r="K194" s="1" t="s">
        <v>43</v>
      </c>
      <c r="L194" s="1" t="s">
        <v>86</v>
      </c>
      <c r="M194" s="1" t="s">
        <v>1089</v>
      </c>
      <c r="N194" s="2">
        <v>36892</v>
      </c>
      <c r="O194" s="1"/>
      <c r="P194" s="1"/>
      <c r="Q194" s="1" t="s">
        <v>34</v>
      </c>
      <c r="R194" s="1"/>
      <c r="S194" s="1" t="s">
        <v>35</v>
      </c>
      <c r="T194" s="1"/>
      <c r="U194" s="1"/>
      <c r="V194" s="1" t="s">
        <v>159</v>
      </c>
      <c r="W194" s="1"/>
      <c r="X194" s="1" t="s">
        <v>37</v>
      </c>
      <c r="Y194" s="1" t="s">
        <v>89</v>
      </c>
      <c r="Z194" s="1">
        <v>0</v>
      </c>
    </row>
    <row r="195" spans="1:26" ht="42">
      <c r="A195" s="1" t="str">
        <f>"0007ZQ"</f>
        <v>0007ZQ</v>
      </c>
      <c r="B195" s="1" t="s">
        <v>1040</v>
      </c>
      <c r="C195" s="1" t="s">
        <v>1041</v>
      </c>
      <c r="D195" s="1" t="str">
        <f>"8022256051"</f>
        <v>8022256051</v>
      </c>
      <c r="E195" s="1">
        <v>1395</v>
      </c>
      <c r="F195" s="1" t="s">
        <v>28</v>
      </c>
      <c r="G195" s="1" t="s">
        <v>1090</v>
      </c>
      <c r="H195" s="1">
        <v>1741</v>
      </c>
      <c r="I195" s="1">
        <v>22</v>
      </c>
      <c r="J195" s="1" t="s">
        <v>1091</v>
      </c>
      <c r="K195" s="1" t="s">
        <v>43</v>
      </c>
      <c r="L195" s="1" t="s">
        <v>86</v>
      </c>
      <c r="M195" s="1"/>
      <c r="N195" s="2">
        <v>36892</v>
      </c>
      <c r="O195" s="1"/>
      <c r="P195" s="1"/>
      <c r="Q195" s="1" t="s">
        <v>34</v>
      </c>
      <c r="R195" s="1"/>
      <c r="S195" s="1" t="s">
        <v>35</v>
      </c>
      <c r="T195" s="1"/>
      <c r="U195" s="1"/>
      <c r="V195" s="1" t="s">
        <v>1092</v>
      </c>
      <c r="W195" s="1"/>
      <c r="X195" s="1" t="s">
        <v>37</v>
      </c>
      <c r="Y195" s="1" t="s">
        <v>1093</v>
      </c>
      <c r="Z195" s="1">
        <v>0</v>
      </c>
    </row>
    <row r="196" spans="1:26" ht="42">
      <c r="A196" s="1" t="str">
        <f>"0007ZQ"</f>
        <v>0007ZQ</v>
      </c>
      <c r="B196" s="1" t="s">
        <v>1040</v>
      </c>
      <c r="C196" s="1" t="s">
        <v>1041</v>
      </c>
      <c r="D196" s="1" t="str">
        <f>"8022256051"</f>
        <v>8022256051</v>
      </c>
      <c r="E196" s="1">
        <v>1395</v>
      </c>
      <c r="F196" s="1" t="s">
        <v>28</v>
      </c>
      <c r="G196" s="1" t="s">
        <v>1094</v>
      </c>
      <c r="H196" s="1">
        <v>4350</v>
      </c>
      <c r="I196" s="1">
        <v>12</v>
      </c>
      <c r="J196" s="1" t="s">
        <v>1095</v>
      </c>
      <c r="K196" s="1" t="s">
        <v>43</v>
      </c>
      <c r="L196" s="1" t="s">
        <v>44</v>
      </c>
      <c r="M196" s="1" t="s">
        <v>1096</v>
      </c>
      <c r="N196" s="2">
        <v>36892</v>
      </c>
      <c r="O196" s="1"/>
      <c r="P196" s="2">
        <v>42889</v>
      </c>
      <c r="Q196" s="1" t="s">
        <v>34</v>
      </c>
      <c r="R196" s="1"/>
      <c r="S196" s="1" t="s">
        <v>35</v>
      </c>
      <c r="T196" s="1">
        <v>44.500723080726601</v>
      </c>
      <c r="U196" s="1">
        <v>-73.210122585296602</v>
      </c>
      <c r="V196" s="1" t="s">
        <v>711</v>
      </c>
      <c r="W196" s="1"/>
      <c r="X196" s="1" t="s">
        <v>37</v>
      </c>
      <c r="Y196" s="1" t="s">
        <v>46</v>
      </c>
      <c r="Z196" s="1">
        <v>5401</v>
      </c>
    </row>
    <row r="197" spans="1:26" ht="42">
      <c r="A197" s="1" t="str">
        <f>"0007ZQ"</f>
        <v>0007ZQ</v>
      </c>
      <c r="B197" s="1" t="s">
        <v>1040</v>
      </c>
      <c r="C197" s="1" t="s">
        <v>1041</v>
      </c>
      <c r="D197" s="1" t="str">
        <f>"8022256051"</f>
        <v>8022256051</v>
      </c>
      <c r="E197" s="1">
        <v>1395</v>
      </c>
      <c r="F197" s="1" t="s">
        <v>28</v>
      </c>
      <c r="G197" s="1" t="s">
        <v>1097</v>
      </c>
      <c r="H197" s="1">
        <v>4473</v>
      </c>
      <c r="I197" s="1">
        <v>18</v>
      </c>
      <c r="J197" s="1" t="s">
        <v>1098</v>
      </c>
      <c r="K197" s="1" t="s">
        <v>43</v>
      </c>
      <c r="L197" s="1" t="s">
        <v>1099</v>
      </c>
      <c r="M197" s="1"/>
      <c r="N197" s="2">
        <v>36892</v>
      </c>
      <c r="O197" s="2">
        <v>42949.568981481483</v>
      </c>
      <c r="P197" s="2">
        <v>42949</v>
      </c>
      <c r="Q197" s="1" t="s">
        <v>34</v>
      </c>
      <c r="R197" s="1"/>
      <c r="S197" s="1" t="s">
        <v>35</v>
      </c>
      <c r="T197" s="1">
        <v>44.4498558153782</v>
      </c>
      <c r="U197" s="1">
        <v>-73.155177193111697</v>
      </c>
      <c r="V197" s="1" t="s">
        <v>1100</v>
      </c>
      <c r="W197" s="1"/>
      <c r="X197" s="1" t="s">
        <v>37</v>
      </c>
      <c r="Y197" s="1" t="s">
        <v>1101</v>
      </c>
      <c r="Z197" s="1">
        <v>5403</v>
      </c>
    </row>
    <row r="198" spans="1:26" ht="42">
      <c r="A198" s="1" t="str">
        <f>"000810"</f>
        <v>000810</v>
      </c>
      <c r="B198" s="1" t="s">
        <v>1102</v>
      </c>
      <c r="C198" s="1" t="s">
        <v>1103</v>
      </c>
      <c r="D198" s="1" t="str">
        <f>"8028634938"</f>
        <v>8028634938</v>
      </c>
      <c r="E198" s="1">
        <v>1467</v>
      </c>
      <c r="F198" s="1" t="s">
        <v>28</v>
      </c>
      <c r="G198" s="1" t="s">
        <v>1104</v>
      </c>
      <c r="H198" s="1">
        <v>1829</v>
      </c>
      <c r="I198" s="1">
        <v>2</v>
      </c>
      <c r="J198" s="1" t="s">
        <v>1105</v>
      </c>
      <c r="K198" s="1" t="s">
        <v>43</v>
      </c>
      <c r="L198" s="1" t="s">
        <v>44</v>
      </c>
      <c r="M198" s="1" t="s">
        <v>412</v>
      </c>
      <c r="N198" s="2">
        <v>36892</v>
      </c>
      <c r="O198" s="1"/>
      <c r="P198" s="2">
        <v>38189</v>
      </c>
      <c r="Q198" s="1" t="s">
        <v>34</v>
      </c>
      <c r="R198" s="1"/>
      <c r="S198" s="1" t="s">
        <v>35</v>
      </c>
      <c r="T198" s="1">
        <v>44.468272647795303</v>
      </c>
      <c r="U198" s="1">
        <v>-73.206171691417694</v>
      </c>
      <c r="V198" s="1" t="s">
        <v>1106</v>
      </c>
      <c r="W198" s="1"/>
      <c r="X198" s="1" t="s">
        <v>37</v>
      </c>
      <c r="Y198" s="1" t="s">
        <v>46</v>
      </c>
      <c r="Z198" s="1">
        <v>5401</v>
      </c>
    </row>
    <row r="199" spans="1:26" ht="42">
      <c r="A199" s="1" t="str">
        <f>"000810"</f>
        <v>000810</v>
      </c>
      <c r="B199" s="1" t="s">
        <v>1102</v>
      </c>
      <c r="C199" s="1" t="s">
        <v>1103</v>
      </c>
      <c r="D199" s="1" t="str">
        <f>"8028634938"</f>
        <v>8028634938</v>
      </c>
      <c r="E199" s="1">
        <v>1467</v>
      </c>
      <c r="F199" s="1" t="s">
        <v>28</v>
      </c>
      <c r="G199" s="1" t="s">
        <v>1107</v>
      </c>
      <c r="H199" s="1">
        <v>4069</v>
      </c>
      <c r="I199" s="1">
        <v>7</v>
      </c>
      <c r="J199" s="1" t="s">
        <v>1108</v>
      </c>
      <c r="K199" s="1" t="s">
        <v>43</v>
      </c>
      <c r="L199" s="1" t="s">
        <v>1099</v>
      </c>
      <c r="M199" s="1" t="s">
        <v>1109</v>
      </c>
      <c r="N199" s="2">
        <v>36892</v>
      </c>
      <c r="O199" s="1"/>
      <c r="P199" s="2">
        <v>41933</v>
      </c>
      <c r="Q199" s="1" t="s">
        <v>34</v>
      </c>
      <c r="R199" s="1"/>
      <c r="S199" s="1" t="s">
        <v>35</v>
      </c>
      <c r="T199" s="1">
        <v>44.4559651</v>
      </c>
      <c r="U199" s="1">
        <v>-73.194079299999999</v>
      </c>
      <c r="V199" s="1" t="s">
        <v>1110</v>
      </c>
      <c r="W199" s="1"/>
      <c r="X199" s="1" t="s">
        <v>37</v>
      </c>
      <c r="Y199" s="1" t="s">
        <v>1111</v>
      </c>
      <c r="Z199" s="1">
        <v>5401</v>
      </c>
    </row>
    <row r="200" spans="1:26" ht="42">
      <c r="A200" s="1" t="str">
        <f>"000810"</f>
        <v>000810</v>
      </c>
      <c r="B200" s="1" t="s">
        <v>1102</v>
      </c>
      <c r="C200" s="1" t="s">
        <v>1103</v>
      </c>
      <c r="D200" s="1" t="str">
        <f>"8028634938"</f>
        <v>8028634938</v>
      </c>
      <c r="E200" s="1">
        <v>1467</v>
      </c>
      <c r="F200" s="1" t="s">
        <v>28</v>
      </c>
      <c r="G200" s="1" t="s">
        <v>1112</v>
      </c>
      <c r="H200" s="1"/>
      <c r="I200" s="1">
        <v>4</v>
      </c>
      <c r="J200" s="1">
        <v>1</v>
      </c>
      <c r="K200" s="1" t="s">
        <v>43</v>
      </c>
      <c r="L200" s="1" t="s">
        <v>44</v>
      </c>
      <c r="M200" s="1" t="s">
        <v>1096</v>
      </c>
      <c r="N200" s="2">
        <v>42166</v>
      </c>
      <c r="O200" s="1"/>
      <c r="P200" s="2">
        <v>42889</v>
      </c>
      <c r="Q200" s="1" t="s">
        <v>34</v>
      </c>
      <c r="R200" s="1"/>
      <c r="S200" s="1" t="s">
        <v>35</v>
      </c>
      <c r="T200" s="1">
        <v>44.496015499999999</v>
      </c>
      <c r="U200" s="1">
        <v>-73.207032699999999</v>
      </c>
      <c r="V200" s="1" t="s">
        <v>1113</v>
      </c>
      <c r="W200" s="1"/>
      <c r="X200" s="1" t="s">
        <v>37</v>
      </c>
      <c r="Y200" s="1" t="s">
        <v>46</v>
      </c>
      <c r="Z200" s="1">
        <v>5401</v>
      </c>
    </row>
    <row r="201" spans="1:26" ht="42">
      <c r="A201" s="1" t="str">
        <f>"00081B"</f>
        <v>00081B</v>
      </c>
      <c r="B201" s="1" t="s">
        <v>1114</v>
      </c>
      <c r="C201" s="1" t="s">
        <v>1115</v>
      </c>
      <c r="D201" s="1" t="str">
        <f>"8026334013"</f>
        <v>8026334013</v>
      </c>
      <c r="E201" s="1">
        <v>3482</v>
      </c>
      <c r="F201" s="1" t="s">
        <v>28</v>
      </c>
      <c r="G201" s="1" t="s">
        <v>1116</v>
      </c>
      <c r="H201" s="1">
        <v>4594</v>
      </c>
      <c r="I201" s="1">
        <v>5</v>
      </c>
      <c r="J201" s="1" t="s">
        <v>1117</v>
      </c>
      <c r="K201" s="1" t="s">
        <v>59</v>
      </c>
      <c r="L201" s="1" t="s">
        <v>301</v>
      </c>
      <c r="M201" s="1" t="s">
        <v>1118</v>
      </c>
      <c r="N201" s="2">
        <v>37712</v>
      </c>
      <c r="O201" s="1"/>
      <c r="P201" s="1"/>
      <c r="Q201" s="1" t="s">
        <v>34</v>
      </c>
      <c r="R201" s="1"/>
      <c r="S201" s="1" t="s">
        <v>35</v>
      </c>
      <c r="T201" s="1"/>
      <c r="U201" s="1"/>
      <c r="V201" s="1" t="s">
        <v>1119</v>
      </c>
      <c r="W201" s="1"/>
      <c r="X201" s="1" t="s">
        <v>37</v>
      </c>
      <c r="Y201" s="1" t="s">
        <v>304</v>
      </c>
      <c r="Z201" s="1">
        <v>5042</v>
      </c>
    </row>
    <row r="202" spans="1:26" ht="42">
      <c r="A202" s="1" t="str">
        <f>"00081M"</f>
        <v>00081M</v>
      </c>
      <c r="B202" s="1" t="s">
        <v>1120</v>
      </c>
      <c r="C202" s="1" t="s">
        <v>1121</v>
      </c>
      <c r="D202" s="1" t="str">
        <f>"8024967150"</f>
        <v>8024967150</v>
      </c>
      <c r="E202" s="1">
        <v>3481</v>
      </c>
      <c r="F202" s="1" t="s">
        <v>28</v>
      </c>
      <c r="G202" s="1" t="s">
        <v>1122</v>
      </c>
      <c r="H202" s="1">
        <v>4864</v>
      </c>
      <c r="I202" s="1">
        <v>1</v>
      </c>
      <c r="J202" s="1" t="s">
        <v>1123</v>
      </c>
      <c r="K202" s="1" t="s">
        <v>31</v>
      </c>
      <c r="L202" s="1" t="s">
        <v>672</v>
      </c>
      <c r="M202" s="1"/>
      <c r="N202" s="2">
        <v>36892</v>
      </c>
      <c r="O202" s="2">
        <v>38065</v>
      </c>
      <c r="P202" s="1"/>
      <c r="Q202" s="1" t="s">
        <v>34</v>
      </c>
      <c r="R202" s="1"/>
      <c r="S202" s="1" t="s">
        <v>35</v>
      </c>
      <c r="T202" s="1"/>
      <c r="U202" s="1"/>
      <c r="V202" s="1" t="s">
        <v>159</v>
      </c>
      <c r="W202" s="1"/>
      <c r="X202" s="1" t="s">
        <v>37</v>
      </c>
      <c r="Y202" s="1" t="s">
        <v>675</v>
      </c>
      <c r="Z202" s="1">
        <v>5660</v>
      </c>
    </row>
    <row r="203" spans="1:26" ht="42">
      <c r="A203" s="1" t="str">
        <f>"00081M"</f>
        <v>00081M</v>
      </c>
      <c r="B203" s="1" t="s">
        <v>1120</v>
      </c>
      <c r="C203" s="1" t="s">
        <v>1121</v>
      </c>
      <c r="D203" s="1" t="str">
        <f>"8024967150"</f>
        <v>8024967150</v>
      </c>
      <c r="E203" s="1">
        <v>3481</v>
      </c>
      <c r="F203" s="1" t="s">
        <v>28</v>
      </c>
      <c r="G203" s="1" t="s">
        <v>1124</v>
      </c>
      <c r="H203" s="1"/>
      <c r="I203" s="1">
        <v>5</v>
      </c>
      <c r="J203" s="1" t="s">
        <v>1125</v>
      </c>
      <c r="K203" s="1" t="s">
        <v>31</v>
      </c>
      <c r="L203" s="1"/>
      <c r="M203" s="1" t="s">
        <v>1126</v>
      </c>
      <c r="N203" s="2">
        <v>37035</v>
      </c>
      <c r="O203" s="1"/>
      <c r="P203" s="2">
        <v>42480</v>
      </c>
      <c r="Q203" s="1" t="s">
        <v>34</v>
      </c>
      <c r="R203" s="1"/>
      <c r="S203" s="1" t="s">
        <v>1127</v>
      </c>
      <c r="T203" s="1">
        <v>44.228132335038602</v>
      </c>
      <c r="U203" s="1">
        <v>-72.753845304250703</v>
      </c>
      <c r="V203" s="1" t="s">
        <v>1128</v>
      </c>
      <c r="W203" s="1"/>
      <c r="X203" s="1" t="s">
        <v>37</v>
      </c>
      <c r="Y203" s="1" t="s">
        <v>675</v>
      </c>
      <c r="Z203" s="1">
        <v>5660</v>
      </c>
    </row>
    <row r="204" spans="1:26" ht="42">
      <c r="A204" s="1" t="str">
        <f>"00081M"</f>
        <v>00081M</v>
      </c>
      <c r="B204" s="1" t="s">
        <v>1120</v>
      </c>
      <c r="C204" s="1" t="s">
        <v>1121</v>
      </c>
      <c r="D204" s="1" t="str">
        <f>"8024967150"</f>
        <v>8024967150</v>
      </c>
      <c r="E204" s="1">
        <v>3481</v>
      </c>
      <c r="F204" s="1" t="s">
        <v>28</v>
      </c>
      <c r="G204" s="1" t="s">
        <v>1129</v>
      </c>
      <c r="H204" s="1"/>
      <c r="I204" s="1">
        <v>8</v>
      </c>
      <c r="J204" s="1" t="s">
        <v>1130</v>
      </c>
      <c r="K204" s="1" t="s">
        <v>31</v>
      </c>
      <c r="L204" s="1" t="s">
        <v>672</v>
      </c>
      <c r="M204" s="1" t="s">
        <v>1131</v>
      </c>
      <c r="N204" s="2">
        <v>42930</v>
      </c>
      <c r="O204" s="1"/>
      <c r="P204" s="1"/>
      <c r="Q204" s="1" t="s">
        <v>34</v>
      </c>
      <c r="R204" s="1"/>
      <c r="S204" s="1" t="s">
        <v>35</v>
      </c>
      <c r="T204" s="1">
        <v>44.255402099999998</v>
      </c>
      <c r="U204" s="1">
        <v>-72.744476299999903</v>
      </c>
      <c r="V204" s="1" t="s">
        <v>1132</v>
      </c>
      <c r="W204" s="1"/>
      <c r="X204" s="1" t="s">
        <v>37</v>
      </c>
      <c r="Y204" s="1" t="s">
        <v>675</v>
      </c>
      <c r="Z204" s="1">
        <v>5660</v>
      </c>
    </row>
    <row r="205" spans="1:26" ht="42">
      <c r="A205" s="1" t="str">
        <f>"00081Y"</f>
        <v>00081Y</v>
      </c>
      <c r="B205" s="1" t="s">
        <v>1133</v>
      </c>
      <c r="C205" s="1" t="s">
        <v>1134</v>
      </c>
      <c r="D205" s="1" t="str">
        <f>"8025242433"</f>
        <v>8025242433</v>
      </c>
      <c r="E205" s="1">
        <v>1523</v>
      </c>
      <c r="F205" s="1" t="s">
        <v>28</v>
      </c>
      <c r="G205" s="1" t="s">
        <v>1135</v>
      </c>
      <c r="H205" s="1">
        <v>2862</v>
      </c>
      <c r="I205" s="1">
        <v>25</v>
      </c>
      <c r="J205" s="1" t="s">
        <v>1136</v>
      </c>
      <c r="K205" s="1" t="s">
        <v>152</v>
      </c>
      <c r="L205" s="1" t="s">
        <v>1137</v>
      </c>
      <c r="M205" s="1" t="s">
        <v>1138</v>
      </c>
      <c r="N205" s="2">
        <v>36892</v>
      </c>
      <c r="O205" s="1"/>
      <c r="P205" s="2">
        <v>41941</v>
      </c>
      <c r="Q205" s="1" t="s">
        <v>34</v>
      </c>
      <c r="R205" s="1"/>
      <c r="S205" s="1" t="s">
        <v>35</v>
      </c>
      <c r="T205" s="1">
        <v>44.893830000000001</v>
      </c>
      <c r="U205" s="1">
        <v>-73.082319999999896</v>
      </c>
      <c r="V205" s="1" t="s">
        <v>1139</v>
      </c>
      <c r="W205" s="1"/>
      <c r="X205" s="1" t="s">
        <v>37</v>
      </c>
      <c r="Y205" s="1" t="s">
        <v>1140</v>
      </c>
      <c r="Z205" s="1">
        <v>0</v>
      </c>
    </row>
    <row r="206" spans="1:26" ht="42">
      <c r="A206" s="1" t="str">
        <f>"00081Y"</f>
        <v>00081Y</v>
      </c>
      <c r="B206" s="1" t="s">
        <v>1133</v>
      </c>
      <c r="C206" s="1" t="s">
        <v>1134</v>
      </c>
      <c r="D206" s="1" t="str">
        <f>"8025242433"</f>
        <v>8025242433</v>
      </c>
      <c r="E206" s="1">
        <v>1523</v>
      </c>
      <c r="F206" s="1" t="s">
        <v>28</v>
      </c>
      <c r="G206" s="1" t="s">
        <v>1141</v>
      </c>
      <c r="H206" s="1">
        <v>3240</v>
      </c>
      <c r="I206" s="1">
        <v>25</v>
      </c>
      <c r="J206" s="1" t="s">
        <v>1142</v>
      </c>
      <c r="K206" s="1" t="s">
        <v>152</v>
      </c>
      <c r="L206" s="1" t="s">
        <v>1143</v>
      </c>
      <c r="M206" s="1" t="s">
        <v>1144</v>
      </c>
      <c r="N206" s="2">
        <v>36892</v>
      </c>
      <c r="O206" s="1"/>
      <c r="P206" s="2">
        <v>41941</v>
      </c>
      <c r="Q206" s="1" t="s">
        <v>34</v>
      </c>
      <c r="R206" s="1"/>
      <c r="S206" s="1" t="s">
        <v>35</v>
      </c>
      <c r="T206" s="1">
        <v>44.809739999999998</v>
      </c>
      <c r="U206" s="1">
        <v>-73.162609999999901</v>
      </c>
      <c r="V206" s="1" t="s">
        <v>1145</v>
      </c>
      <c r="W206" s="1"/>
      <c r="X206" s="1" t="s">
        <v>37</v>
      </c>
      <c r="Y206" s="1" t="s">
        <v>1146</v>
      </c>
      <c r="Z206" s="1">
        <v>5478</v>
      </c>
    </row>
    <row r="207" spans="1:26" ht="42">
      <c r="A207" s="1" t="str">
        <f>"00081Y"</f>
        <v>00081Y</v>
      </c>
      <c r="B207" s="1" t="s">
        <v>1133</v>
      </c>
      <c r="C207" s="1" t="s">
        <v>1134</v>
      </c>
      <c r="D207" s="1" t="str">
        <f>"8025242433"</f>
        <v>8025242433</v>
      </c>
      <c r="E207" s="1">
        <v>1523</v>
      </c>
      <c r="F207" s="1" t="s">
        <v>28</v>
      </c>
      <c r="G207" s="1" t="s">
        <v>1147</v>
      </c>
      <c r="H207" s="1">
        <v>1984</v>
      </c>
      <c r="I207" s="1">
        <v>25</v>
      </c>
      <c r="J207" s="1" t="s">
        <v>1148</v>
      </c>
      <c r="K207" s="1" t="s">
        <v>152</v>
      </c>
      <c r="L207" s="1" t="s">
        <v>1143</v>
      </c>
      <c r="M207" s="1" t="s">
        <v>1149</v>
      </c>
      <c r="N207" s="2">
        <v>36892</v>
      </c>
      <c r="O207" s="1"/>
      <c r="P207" s="2">
        <v>41941</v>
      </c>
      <c r="Q207" s="1" t="s">
        <v>34</v>
      </c>
      <c r="R207" s="1"/>
      <c r="S207" s="1" t="s">
        <v>35</v>
      </c>
      <c r="T207" s="1">
        <v>44.849739999999997</v>
      </c>
      <c r="U207" s="1">
        <v>-73.144999999999897</v>
      </c>
      <c r="V207" s="1" t="s">
        <v>1150</v>
      </c>
      <c r="W207" s="1"/>
      <c r="X207" s="1" t="s">
        <v>37</v>
      </c>
      <c r="Y207" s="1" t="s">
        <v>1146</v>
      </c>
      <c r="Z207" s="1">
        <v>5478</v>
      </c>
    </row>
    <row r="208" spans="1:26" ht="42">
      <c r="A208" s="1" t="str">
        <f>"00081Y"</f>
        <v>00081Y</v>
      </c>
      <c r="B208" s="1" t="s">
        <v>1133</v>
      </c>
      <c r="C208" s="1" t="s">
        <v>1134</v>
      </c>
      <c r="D208" s="1" t="str">
        <f>"8025242433"</f>
        <v>8025242433</v>
      </c>
      <c r="E208" s="1">
        <v>1523</v>
      </c>
      <c r="F208" s="1" t="s">
        <v>28</v>
      </c>
      <c r="G208" s="1" t="s">
        <v>1151</v>
      </c>
      <c r="H208" s="1">
        <v>4591</v>
      </c>
      <c r="I208" s="1">
        <v>25</v>
      </c>
      <c r="J208" s="1" t="s">
        <v>1152</v>
      </c>
      <c r="K208" s="1" t="s">
        <v>152</v>
      </c>
      <c r="L208" s="1" t="s">
        <v>1143</v>
      </c>
      <c r="M208" s="1" t="s">
        <v>1153</v>
      </c>
      <c r="N208" s="2">
        <v>36892</v>
      </c>
      <c r="O208" s="1"/>
      <c r="P208" s="2">
        <v>40849</v>
      </c>
      <c r="Q208" s="1" t="s">
        <v>34</v>
      </c>
      <c r="R208" s="1"/>
      <c r="S208" s="1" t="s">
        <v>35</v>
      </c>
      <c r="T208" s="1">
        <v>44.811914600000001</v>
      </c>
      <c r="U208" s="1">
        <v>-73.107196099999996</v>
      </c>
      <c r="V208" s="1" t="s">
        <v>1154</v>
      </c>
      <c r="W208" s="1"/>
      <c r="X208" s="1" t="s">
        <v>37</v>
      </c>
      <c r="Y208" s="1" t="s">
        <v>1146</v>
      </c>
      <c r="Z208" s="1">
        <v>0</v>
      </c>
    </row>
    <row r="209" spans="1:26" ht="42">
      <c r="A209" s="1" t="str">
        <f>"00081Y"</f>
        <v>00081Y</v>
      </c>
      <c r="B209" s="1" t="s">
        <v>1133</v>
      </c>
      <c r="C209" s="1" t="s">
        <v>1134</v>
      </c>
      <c r="D209" s="1" t="str">
        <f>"8025242433"</f>
        <v>8025242433</v>
      </c>
      <c r="E209" s="1">
        <v>1523</v>
      </c>
      <c r="F209" s="1" t="s">
        <v>28</v>
      </c>
      <c r="G209" s="1" t="s">
        <v>1155</v>
      </c>
      <c r="H209" s="1">
        <v>1952</v>
      </c>
      <c r="I209" s="1">
        <v>25</v>
      </c>
      <c r="J209" s="1" t="s">
        <v>1156</v>
      </c>
      <c r="K209" s="1" t="s">
        <v>152</v>
      </c>
      <c r="L209" s="1" t="s">
        <v>1057</v>
      </c>
      <c r="M209" s="1" t="s">
        <v>1157</v>
      </c>
      <c r="N209" s="2">
        <v>36892</v>
      </c>
      <c r="O209" s="1"/>
      <c r="P209" s="2">
        <v>42198</v>
      </c>
      <c r="Q209" s="1" t="s">
        <v>34</v>
      </c>
      <c r="R209" s="1"/>
      <c r="S209" s="1" t="s">
        <v>35</v>
      </c>
      <c r="T209" s="1">
        <v>44.9482</v>
      </c>
      <c r="U209" s="1">
        <v>-73.082899999999995</v>
      </c>
      <c r="V209" s="1" t="s">
        <v>1158</v>
      </c>
      <c r="W209" s="1"/>
      <c r="X209" s="1" t="s">
        <v>37</v>
      </c>
      <c r="Y209" s="1" t="s">
        <v>1140</v>
      </c>
      <c r="Z209" s="1">
        <v>5488</v>
      </c>
    </row>
    <row r="210" spans="1:26" ht="42">
      <c r="A210" s="1" t="str">
        <f>"00081Y"</f>
        <v>00081Y</v>
      </c>
      <c r="B210" s="1" t="s">
        <v>1133</v>
      </c>
      <c r="C210" s="1" t="s">
        <v>1134</v>
      </c>
      <c r="D210" s="1" t="str">
        <f>"8025242433"</f>
        <v>8025242433</v>
      </c>
      <c r="E210" s="1">
        <v>1523</v>
      </c>
      <c r="F210" s="1" t="s">
        <v>28</v>
      </c>
      <c r="G210" s="1" t="s">
        <v>1159</v>
      </c>
      <c r="H210" s="1">
        <v>1929</v>
      </c>
      <c r="I210" s="1">
        <v>25</v>
      </c>
      <c r="J210" s="1" t="s">
        <v>1160</v>
      </c>
      <c r="K210" s="1" t="s">
        <v>152</v>
      </c>
      <c r="L210" s="1"/>
      <c r="M210" s="1" t="s">
        <v>1161</v>
      </c>
      <c r="N210" s="2">
        <v>36892</v>
      </c>
      <c r="O210" s="1"/>
      <c r="P210" s="2">
        <v>42198</v>
      </c>
      <c r="Q210" s="1" t="s">
        <v>34</v>
      </c>
      <c r="R210" s="1"/>
      <c r="S210" s="1" t="s">
        <v>35</v>
      </c>
      <c r="T210" s="1">
        <v>44.736885118474397</v>
      </c>
      <c r="U210" s="1">
        <v>-73.086858434532104</v>
      </c>
      <c r="V210" s="1" t="s">
        <v>1162</v>
      </c>
      <c r="W210" s="1"/>
      <c r="X210" s="1" t="s">
        <v>37</v>
      </c>
      <c r="Y210" s="1" t="s">
        <v>1064</v>
      </c>
      <c r="Z210" s="1">
        <v>5478</v>
      </c>
    </row>
    <row r="211" spans="1:26" ht="42">
      <c r="A211" s="1" t="str">
        <f>"00081Y"</f>
        <v>00081Y</v>
      </c>
      <c r="B211" s="1" t="s">
        <v>1133</v>
      </c>
      <c r="C211" s="1" t="s">
        <v>1134</v>
      </c>
      <c r="D211" s="1" t="str">
        <f>"8025242433"</f>
        <v>8025242433</v>
      </c>
      <c r="E211" s="1">
        <v>1523</v>
      </c>
      <c r="F211" s="1" t="s">
        <v>28</v>
      </c>
      <c r="G211" s="1" t="s">
        <v>1163</v>
      </c>
      <c r="H211" s="1"/>
      <c r="I211" s="1">
        <v>50</v>
      </c>
      <c r="J211" s="1" t="s">
        <v>1164</v>
      </c>
      <c r="K211" s="1" t="s">
        <v>152</v>
      </c>
      <c r="L211" s="1" t="s">
        <v>1054</v>
      </c>
      <c r="M211" s="1" t="s">
        <v>1165</v>
      </c>
      <c r="N211" s="2">
        <v>42249</v>
      </c>
      <c r="O211" s="1"/>
      <c r="P211" s="1"/>
      <c r="Q211" s="1" t="s">
        <v>34</v>
      </c>
      <c r="R211" s="1"/>
      <c r="S211" s="1" t="s">
        <v>35</v>
      </c>
      <c r="T211" s="1">
        <v>44.968974000000003</v>
      </c>
      <c r="U211" s="1">
        <v>-72.952259999999995</v>
      </c>
      <c r="V211" s="1" t="s">
        <v>1166</v>
      </c>
      <c r="W211" s="1"/>
      <c r="X211" s="1" t="s">
        <v>37</v>
      </c>
      <c r="Y211" s="1" t="s">
        <v>152</v>
      </c>
      <c r="Z211" s="1">
        <v>5457</v>
      </c>
    </row>
    <row r="212" spans="1:26" ht="42">
      <c r="A212" s="1" t="str">
        <f>"00081Y"</f>
        <v>00081Y</v>
      </c>
      <c r="B212" s="1" t="s">
        <v>1133</v>
      </c>
      <c r="C212" s="1" t="s">
        <v>1134</v>
      </c>
      <c r="D212" s="1" t="str">
        <f>"8025242433"</f>
        <v>8025242433</v>
      </c>
      <c r="E212" s="1">
        <v>1523</v>
      </c>
      <c r="F212" s="1" t="s">
        <v>28</v>
      </c>
      <c r="G212" s="1" t="s">
        <v>1167</v>
      </c>
      <c r="H212" s="1"/>
      <c r="I212" s="1">
        <v>25</v>
      </c>
      <c r="J212" s="1">
        <v>22</v>
      </c>
      <c r="K212" s="1" t="s">
        <v>152</v>
      </c>
      <c r="L212" s="1" t="s">
        <v>1137</v>
      </c>
      <c r="M212" s="1" t="s">
        <v>1168</v>
      </c>
      <c r="N212" s="2">
        <v>42943</v>
      </c>
      <c r="O212" s="1"/>
      <c r="P212" s="1"/>
      <c r="Q212" s="1" t="s">
        <v>34</v>
      </c>
      <c r="R212" s="1"/>
      <c r="S212" s="1" t="s">
        <v>35</v>
      </c>
      <c r="T212" s="1"/>
      <c r="U212" s="1"/>
      <c r="V212" s="1" t="s">
        <v>158</v>
      </c>
      <c r="W212" s="1"/>
      <c r="X212" s="1" t="s">
        <v>37</v>
      </c>
      <c r="Y212" s="1" t="s">
        <v>1140</v>
      </c>
      <c r="Z212" s="1">
        <v>0</v>
      </c>
    </row>
    <row r="213" spans="1:26" ht="42">
      <c r="A213" s="1" t="str">
        <f>"00081Y"</f>
        <v>00081Y</v>
      </c>
      <c r="B213" s="1" t="s">
        <v>1133</v>
      </c>
      <c r="C213" s="1" t="s">
        <v>1134</v>
      </c>
      <c r="D213" s="1" t="str">
        <f>"8025242433"</f>
        <v>8025242433</v>
      </c>
      <c r="E213" s="1">
        <v>1523</v>
      </c>
      <c r="F213" s="1" t="s">
        <v>28</v>
      </c>
      <c r="G213" s="1" t="s">
        <v>1169</v>
      </c>
      <c r="H213" s="1"/>
      <c r="I213" s="1">
        <v>25</v>
      </c>
      <c r="J213" s="1" t="s">
        <v>1170</v>
      </c>
      <c r="K213" s="1" t="s">
        <v>152</v>
      </c>
      <c r="L213" s="1" t="s">
        <v>1057</v>
      </c>
      <c r="M213" s="1" t="s">
        <v>1171</v>
      </c>
      <c r="N213" s="2">
        <v>42249</v>
      </c>
      <c r="O213" s="1"/>
      <c r="P213" s="1"/>
      <c r="Q213" s="1" t="s">
        <v>34</v>
      </c>
      <c r="R213" s="1"/>
      <c r="S213" s="1" t="s">
        <v>35</v>
      </c>
      <c r="T213" s="1">
        <v>44.983127940000003</v>
      </c>
      <c r="U213" s="1">
        <v>-73.081350760000007</v>
      </c>
      <c r="V213" s="1"/>
      <c r="W213" s="1"/>
      <c r="X213" s="1" t="s">
        <v>37</v>
      </c>
      <c r="Y213" s="1"/>
      <c r="Z213" s="1"/>
    </row>
    <row r="214" spans="1:26" ht="42">
      <c r="A214" s="1" t="str">
        <f>"00081Y"</f>
        <v>00081Y</v>
      </c>
      <c r="B214" s="1" t="s">
        <v>1133</v>
      </c>
      <c r="C214" s="1" t="s">
        <v>1134</v>
      </c>
      <c r="D214" s="1" t="str">
        <f>"8025242433"</f>
        <v>8025242433</v>
      </c>
      <c r="E214" s="1">
        <v>1523</v>
      </c>
      <c r="F214" s="1" t="s">
        <v>28</v>
      </c>
      <c r="G214" s="1" t="s">
        <v>1172</v>
      </c>
      <c r="H214" s="1"/>
      <c r="I214" s="1">
        <v>25</v>
      </c>
      <c r="J214" s="1" t="s">
        <v>1173</v>
      </c>
      <c r="K214" s="1" t="s">
        <v>152</v>
      </c>
      <c r="L214" s="1"/>
      <c r="M214" s="1" t="s">
        <v>1174</v>
      </c>
      <c r="N214" s="2">
        <v>42249</v>
      </c>
      <c r="O214" s="1"/>
      <c r="P214" s="1"/>
      <c r="Q214" s="1" t="s">
        <v>34</v>
      </c>
      <c r="R214" s="1"/>
      <c r="S214" s="1" t="s">
        <v>35</v>
      </c>
      <c r="T214" s="1">
        <v>44.737099999999998</v>
      </c>
      <c r="U214" s="1">
        <v>-73.016904999999994</v>
      </c>
      <c r="V214" s="1" t="s">
        <v>1175</v>
      </c>
      <c r="W214" s="1"/>
      <c r="X214" s="1" t="s">
        <v>37</v>
      </c>
      <c r="Y214" s="1" t="s">
        <v>1051</v>
      </c>
      <c r="Z214" s="1">
        <v>5454</v>
      </c>
    </row>
    <row r="215" spans="1:26" ht="42">
      <c r="A215" s="1" t="str">
        <f>"00081Y"</f>
        <v>00081Y</v>
      </c>
      <c r="B215" s="1" t="s">
        <v>1133</v>
      </c>
      <c r="C215" s="1" t="s">
        <v>1134</v>
      </c>
      <c r="D215" s="1" t="str">
        <f>"8025242433"</f>
        <v>8025242433</v>
      </c>
      <c r="E215" s="1">
        <v>1523</v>
      </c>
      <c r="F215" s="1" t="s">
        <v>28</v>
      </c>
      <c r="G215" s="1" t="s">
        <v>1176</v>
      </c>
      <c r="H215" s="1"/>
      <c r="I215" s="1">
        <v>25</v>
      </c>
      <c r="J215" s="1" t="s">
        <v>1149</v>
      </c>
      <c r="K215" s="1" t="s">
        <v>152</v>
      </c>
      <c r="L215" s="1" t="s">
        <v>1143</v>
      </c>
      <c r="M215" s="1" t="s">
        <v>1177</v>
      </c>
      <c r="N215" s="2">
        <v>42249</v>
      </c>
      <c r="O215" s="1"/>
      <c r="P215" s="1"/>
      <c r="Q215" s="1" t="s">
        <v>34</v>
      </c>
      <c r="R215" s="1"/>
      <c r="S215" s="1" t="s">
        <v>35</v>
      </c>
      <c r="T215" s="1">
        <v>44.849707160000001</v>
      </c>
      <c r="U215" s="1">
        <v>-73.144862939999996</v>
      </c>
      <c r="V215" s="1"/>
      <c r="W215" s="1"/>
      <c r="X215" s="1" t="s">
        <v>37</v>
      </c>
      <c r="Y215" s="1"/>
      <c r="Z215" s="1"/>
    </row>
    <row r="216" spans="1:26" ht="42">
      <c r="A216" s="1" t="str">
        <f>"00081Y"</f>
        <v>00081Y</v>
      </c>
      <c r="B216" s="1" t="s">
        <v>1133</v>
      </c>
      <c r="C216" s="1" t="s">
        <v>1134</v>
      </c>
      <c r="D216" s="1" t="str">
        <f>"8025242433"</f>
        <v>8025242433</v>
      </c>
      <c r="E216" s="1">
        <v>1523</v>
      </c>
      <c r="F216" s="1" t="s">
        <v>28</v>
      </c>
      <c r="G216" s="1" t="s">
        <v>1178</v>
      </c>
      <c r="H216" s="1"/>
      <c r="I216" s="1">
        <v>20</v>
      </c>
      <c r="J216" s="1" t="s">
        <v>1179</v>
      </c>
      <c r="K216" s="1" t="s">
        <v>152</v>
      </c>
      <c r="L216" s="1" t="s">
        <v>1048</v>
      </c>
      <c r="M216" s="1" t="s">
        <v>1174</v>
      </c>
      <c r="N216" s="2">
        <v>42249</v>
      </c>
      <c r="O216" s="1"/>
      <c r="P216" s="1"/>
      <c r="Q216" s="1" t="s">
        <v>34</v>
      </c>
      <c r="R216" s="1"/>
      <c r="S216" s="1" t="s">
        <v>35</v>
      </c>
      <c r="T216" s="1">
        <v>44.749316999999998</v>
      </c>
      <c r="U216" s="1">
        <v>-73.004547000000002</v>
      </c>
      <c r="V216" s="1"/>
      <c r="W216" s="1"/>
      <c r="X216" s="1" t="s">
        <v>37</v>
      </c>
      <c r="Y216" s="1"/>
      <c r="Z216" s="1"/>
    </row>
    <row r="217" spans="1:26" ht="42">
      <c r="A217" s="1" t="str">
        <f>"00081Y"</f>
        <v>00081Y</v>
      </c>
      <c r="B217" s="1" t="s">
        <v>1133</v>
      </c>
      <c r="C217" s="1" t="s">
        <v>1134</v>
      </c>
      <c r="D217" s="1" t="str">
        <f>"8025242433"</f>
        <v>8025242433</v>
      </c>
      <c r="E217" s="1">
        <v>1523</v>
      </c>
      <c r="F217" s="1" t="s">
        <v>28</v>
      </c>
      <c r="G217" s="1" t="s">
        <v>1180</v>
      </c>
      <c r="H217" s="1"/>
      <c r="I217" s="1">
        <v>30</v>
      </c>
      <c r="J217" s="1" t="s">
        <v>1058</v>
      </c>
      <c r="K217" s="1" t="s">
        <v>152</v>
      </c>
      <c r="L217" s="1" t="s">
        <v>1057</v>
      </c>
      <c r="M217" s="1" t="s">
        <v>1058</v>
      </c>
      <c r="N217" s="2">
        <v>42249</v>
      </c>
      <c r="O217" s="1"/>
      <c r="P217" s="1"/>
      <c r="Q217" s="1" t="s">
        <v>34</v>
      </c>
      <c r="R217" s="1"/>
      <c r="S217" s="1" t="s">
        <v>35</v>
      </c>
      <c r="T217" s="1">
        <v>44.945264000000002</v>
      </c>
      <c r="U217" s="1">
        <v>-73.029024000000007</v>
      </c>
      <c r="V217" s="1"/>
      <c r="W217" s="1"/>
      <c r="X217" s="1" t="s">
        <v>37</v>
      </c>
      <c r="Y217" s="1"/>
      <c r="Z217" s="1"/>
    </row>
    <row r="218" spans="1:26" ht="42">
      <c r="A218" s="1" t="str">
        <f>"00081Y"</f>
        <v>00081Y</v>
      </c>
      <c r="B218" s="1" t="s">
        <v>1133</v>
      </c>
      <c r="C218" s="1" t="s">
        <v>1134</v>
      </c>
      <c r="D218" s="1" t="str">
        <f>"8025242433"</f>
        <v>8025242433</v>
      </c>
      <c r="E218" s="1">
        <v>1523</v>
      </c>
      <c r="F218" s="1" t="s">
        <v>28</v>
      </c>
      <c r="G218" s="1" t="s">
        <v>1181</v>
      </c>
      <c r="H218" s="1"/>
      <c r="I218" s="1">
        <v>500</v>
      </c>
      <c r="J218" s="1" t="s">
        <v>1182</v>
      </c>
      <c r="K218" s="1" t="s">
        <v>152</v>
      </c>
      <c r="L218" s="1"/>
      <c r="M218" s="1" t="s">
        <v>1183</v>
      </c>
      <c r="N218" s="2">
        <v>42249</v>
      </c>
      <c r="O218" s="1"/>
      <c r="P218" s="2">
        <v>42919</v>
      </c>
      <c r="Q218" s="1" t="s">
        <v>34</v>
      </c>
      <c r="R218" s="1"/>
      <c r="S218" s="1" t="s">
        <v>35</v>
      </c>
      <c r="T218" s="1">
        <v>44.844847999999999</v>
      </c>
      <c r="U218" s="1">
        <v>-73.121603999999905</v>
      </c>
      <c r="V218" s="1" t="s">
        <v>1184</v>
      </c>
      <c r="W218" s="1"/>
      <c r="X218" s="1" t="s">
        <v>37</v>
      </c>
      <c r="Y218" s="1" t="s">
        <v>1185</v>
      </c>
      <c r="Z218" s="1">
        <v>5478</v>
      </c>
    </row>
    <row r="219" spans="1:26" ht="42">
      <c r="A219" s="1" t="str">
        <f>"00081Y"</f>
        <v>00081Y</v>
      </c>
      <c r="B219" s="1" t="s">
        <v>1133</v>
      </c>
      <c r="C219" s="1" t="s">
        <v>1134</v>
      </c>
      <c r="D219" s="1" t="str">
        <f>"8025242433"</f>
        <v>8025242433</v>
      </c>
      <c r="E219" s="1">
        <v>1523</v>
      </c>
      <c r="F219" s="1" t="s">
        <v>28</v>
      </c>
      <c r="G219" s="1" t="s">
        <v>1186</v>
      </c>
      <c r="H219" s="1">
        <v>4590</v>
      </c>
      <c r="I219" s="1">
        <v>25</v>
      </c>
      <c r="J219" s="1" t="s">
        <v>1187</v>
      </c>
      <c r="K219" s="1" t="s">
        <v>152</v>
      </c>
      <c r="L219" s="1" t="s">
        <v>1057</v>
      </c>
      <c r="M219" s="1" t="s">
        <v>1188</v>
      </c>
      <c r="N219" s="2">
        <v>36892</v>
      </c>
      <c r="O219" s="1"/>
      <c r="P219" s="2">
        <v>41550</v>
      </c>
      <c r="Q219" s="1" t="s">
        <v>34</v>
      </c>
      <c r="R219" s="1"/>
      <c r="S219" s="1" t="s">
        <v>35</v>
      </c>
      <c r="T219" s="1">
        <v>44.997750000000003</v>
      </c>
      <c r="U219" s="1">
        <v>-73.078739999999897</v>
      </c>
      <c r="V219" s="1" t="s">
        <v>1189</v>
      </c>
      <c r="W219" s="1"/>
      <c r="X219" s="1" t="s">
        <v>37</v>
      </c>
      <c r="Y219" s="1" t="s">
        <v>1059</v>
      </c>
      <c r="Z219" s="1">
        <v>0</v>
      </c>
    </row>
    <row r="220" spans="1:26" ht="42">
      <c r="A220" s="1" t="str">
        <f>"00081Y"</f>
        <v>00081Y</v>
      </c>
      <c r="B220" s="1" t="s">
        <v>1133</v>
      </c>
      <c r="C220" s="1" t="s">
        <v>1134</v>
      </c>
      <c r="D220" s="1" t="str">
        <f>"8025242433"</f>
        <v>8025242433</v>
      </c>
      <c r="E220" s="1">
        <v>1523</v>
      </c>
      <c r="F220" s="1" t="s">
        <v>28</v>
      </c>
      <c r="G220" s="1" t="s">
        <v>1190</v>
      </c>
      <c r="H220" s="1">
        <v>4589</v>
      </c>
      <c r="I220" s="1">
        <v>90</v>
      </c>
      <c r="J220" s="1" t="s">
        <v>1191</v>
      </c>
      <c r="K220" s="1" t="s">
        <v>152</v>
      </c>
      <c r="L220" s="1" t="s">
        <v>1137</v>
      </c>
      <c r="M220" s="1" t="s">
        <v>1192</v>
      </c>
      <c r="N220" s="2">
        <v>36892</v>
      </c>
      <c r="O220" s="1"/>
      <c r="P220" s="2">
        <v>42919</v>
      </c>
      <c r="Q220" s="1" t="s">
        <v>34</v>
      </c>
      <c r="R220" s="1"/>
      <c r="S220" s="1" t="s">
        <v>35</v>
      </c>
      <c r="T220" s="1">
        <v>44.880049999999997</v>
      </c>
      <c r="U220" s="1">
        <v>-73.075530000000001</v>
      </c>
      <c r="V220" s="1" t="s">
        <v>1193</v>
      </c>
      <c r="W220" s="1"/>
      <c r="X220" s="1" t="s">
        <v>37</v>
      </c>
      <c r="Y220" s="1" t="s">
        <v>1140</v>
      </c>
      <c r="Z220" s="1">
        <v>0</v>
      </c>
    </row>
    <row r="221" spans="1:26" ht="42">
      <c r="A221" s="1" t="str">
        <f>"00081Y"</f>
        <v>00081Y</v>
      </c>
      <c r="B221" s="1" t="s">
        <v>1133</v>
      </c>
      <c r="C221" s="1" t="s">
        <v>1134</v>
      </c>
      <c r="D221" s="1" t="str">
        <f>"8025242433"</f>
        <v>8025242433</v>
      </c>
      <c r="E221" s="1">
        <v>1523</v>
      </c>
      <c r="F221" s="1" t="s">
        <v>28</v>
      </c>
      <c r="G221" s="1" t="s">
        <v>1194</v>
      </c>
      <c r="H221" s="1">
        <v>3392</v>
      </c>
      <c r="I221" s="1">
        <v>25</v>
      </c>
      <c r="J221" s="1" t="s">
        <v>1195</v>
      </c>
      <c r="K221" s="1" t="s">
        <v>152</v>
      </c>
      <c r="L221" s="1" t="s">
        <v>1143</v>
      </c>
      <c r="M221" s="1" t="s">
        <v>1196</v>
      </c>
      <c r="N221" s="2">
        <v>36892</v>
      </c>
      <c r="O221" s="1"/>
      <c r="P221" s="2">
        <v>41550</v>
      </c>
      <c r="Q221" s="1" t="s">
        <v>34</v>
      </c>
      <c r="R221" s="1"/>
      <c r="S221" s="1" t="s">
        <v>35</v>
      </c>
      <c r="T221" s="1">
        <v>44.826340000000002</v>
      </c>
      <c r="U221" s="1">
        <v>-73.122860000000003</v>
      </c>
      <c r="V221" s="1" t="s">
        <v>1197</v>
      </c>
      <c r="W221" s="1"/>
      <c r="X221" s="1" t="s">
        <v>37</v>
      </c>
      <c r="Y221" s="1" t="s">
        <v>1146</v>
      </c>
      <c r="Z221" s="1">
        <v>5478</v>
      </c>
    </row>
    <row r="222" spans="1:26" ht="42">
      <c r="A222" s="1" t="str">
        <f>"00081Y"</f>
        <v>00081Y</v>
      </c>
      <c r="B222" s="1" t="s">
        <v>1133</v>
      </c>
      <c r="C222" s="1" t="s">
        <v>1134</v>
      </c>
      <c r="D222" s="1" t="str">
        <f>"8025242433"</f>
        <v>8025242433</v>
      </c>
      <c r="E222" s="1">
        <v>1523</v>
      </c>
      <c r="F222" s="1" t="s">
        <v>28</v>
      </c>
      <c r="G222" s="1" t="s">
        <v>1198</v>
      </c>
      <c r="H222" s="1"/>
      <c r="I222" s="1">
        <v>52</v>
      </c>
      <c r="J222" s="1" t="s">
        <v>470</v>
      </c>
      <c r="K222" s="1" t="s">
        <v>152</v>
      </c>
      <c r="L222" s="1" t="s">
        <v>1143</v>
      </c>
      <c r="M222" s="1" t="s">
        <v>1138</v>
      </c>
      <c r="N222" s="2">
        <v>36526</v>
      </c>
      <c r="O222" s="1"/>
      <c r="P222" s="2">
        <v>42493</v>
      </c>
      <c r="Q222" s="1" t="s">
        <v>34</v>
      </c>
      <c r="R222" s="1"/>
      <c r="S222" s="1" t="s">
        <v>35</v>
      </c>
      <c r="T222" s="1">
        <v>44.818179999999998</v>
      </c>
      <c r="U222" s="1">
        <v>-73.0232768999999</v>
      </c>
      <c r="V222" s="1" t="s">
        <v>1199</v>
      </c>
      <c r="W222" s="1"/>
      <c r="X222" s="1" t="s">
        <v>37</v>
      </c>
      <c r="Y222" s="1" t="s">
        <v>1200</v>
      </c>
      <c r="Z222" s="1">
        <v>5478</v>
      </c>
    </row>
    <row r="223" spans="1:26" ht="42">
      <c r="A223" s="1" t="str">
        <f>"00081Y"</f>
        <v>00081Y</v>
      </c>
      <c r="B223" s="1" t="s">
        <v>1133</v>
      </c>
      <c r="C223" s="1" t="s">
        <v>1134</v>
      </c>
      <c r="D223" s="1" t="str">
        <f>"8025242433"</f>
        <v>8025242433</v>
      </c>
      <c r="E223" s="1">
        <v>1523</v>
      </c>
      <c r="F223" s="1" t="s">
        <v>28</v>
      </c>
      <c r="G223" s="1" t="s">
        <v>1201</v>
      </c>
      <c r="H223" s="1"/>
      <c r="I223" s="1">
        <v>25</v>
      </c>
      <c r="J223" s="1" t="s">
        <v>1202</v>
      </c>
      <c r="K223" s="1" t="s">
        <v>152</v>
      </c>
      <c r="L223" s="1" t="s">
        <v>1143</v>
      </c>
      <c r="M223" s="1" t="s">
        <v>1203</v>
      </c>
      <c r="N223" s="2">
        <v>41334</v>
      </c>
      <c r="O223" s="1"/>
      <c r="P223" s="2">
        <v>41941</v>
      </c>
      <c r="Q223" s="1" t="s">
        <v>34</v>
      </c>
      <c r="R223" s="1"/>
      <c r="S223" s="1" t="s">
        <v>35</v>
      </c>
      <c r="T223" s="1">
        <v>44.776200000000003</v>
      </c>
      <c r="U223" s="1">
        <v>-73.075665999999998</v>
      </c>
      <c r="V223" s="1" t="s">
        <v>1204</v>
      </c>
      <c r="W223" s="1"/>
      <c r="X223" s="1" t="s">
        <v>37</v>
      </c>
      <c r="Y223" s="1" t="s">
        <v>1200</v>
      </c>
      <c r="Z223" s="1">
        <v>5478</v>
      </c>
    </row>
    <row r="224" spans="1:26" ht="42">
      <c r="A224" s="1" t="str">
        <f>"00081Y"</f>
        <v>00081Y</v>
      </c>
      <c r="B224" s="1" t="s">
        <v>1133</v>
      </c>
      <c r="C224" s="1" t="s">
        <v>1134</v>
      </c>
      <c r="D224" s="1" t="str">
        <f>"8025242433"</f>
        <v>8025242433</v>
      </c>
      <c r="E224" s="1">
        <v>1523</v>
      </c>
      <c r="F224" s="1" t="s">
        <v>28</v>
      </c>
      <c r="G224" s="1" t="s">
        <v>1205</v>
      </c>
      <c r="H224" s="1"/>
      <c r="I224" s="1">
        <v>50</v>
      </c>
      <c r="J224" s="1" t="s">
        <v>1206</v>
      </c>
      <c r="K224" s="1" t="s">
        <v>152</v>
      </c>
      <c r="L224" s="1" t="s">
        <v>1143</v>
      </c>
      <c r="M224" s="1" t="s">
        <v>1207</v>
      </c>
      <c r="N224" s="2">
        <v>41365</v>
      </c>
      <c r="O224" s="1"/>
      <c r="P224" s="2">
        <v>41388</v>
      </c>
      <c r="Q224" s="1" t="s">
        <v>1208</v>
      </c>
      <c r="R224" s="1"/>
      <c r="S224" s="1" t="s">
        <v>35</v>
      </c>
      <c r="T224" s="1">
        <v>44.812328999999998</v>
      </c>
      <c r="U224" s="1">
        <v>-73.049933899999999</v>
      </c>
      <c r="V224" s="1" t="s">
        <v>1209</v>
      </c>
      <c r="W224" s="1"/>
      <c r="X224" s="1" t="s">
        <v>37</v>
      </c>
      <c r="Y224" s="1" t="s">
        <v>1200</v>
      </c>
      <c r="Z224" s="1">
        <v>5478</v>
      </c>
    </row>
    <row r="225" spans="1:26" ht="42">
      <c r="A225" s="1" t="str">
        <f>"00082N"</f>
        <v>00082N</v>
      </c>
      <c r="B225" s="1" t="s">
        <v>1210</v>
      </c>
      <c r="C225" s="1" t="s">
        <v>1211</v>
      </c>
      <c r="D225" s="1" t="str">
        <f>"8024382203"</f>
        <v>8024382203</v>
      </c>
      <c r="E225" s="1">
        <v>2402</v>
      </c>
      <c r="F225" s="1" t="s">
        <v>28</v>
      </c>
      <c r="G225" s="1" t="s">
        <v>1212</v>
      </c>
      <c r="H225" s="1">
        <v>3006</v>
      </c>
      <c r="I225" s="1">
        <v>8</v>
      </c>
      <c r="J225" s="1" t="s">
        <v>1213</v>
      </c>
      <c r="K225" s="1" t="s">
        <v>135</v>
      </c>
      <c r="L225" s="1" t="s">
        <v>1214</v>
      </c>
      <c r="M225" s="1" t="s">
        <v>1215</v>
      </c>
      <c r="N225" s="2">
        <v>36892</v>
      </c>
      <c r="O225" s="1"/>
      <c r="P225" s="2">
        <v>32317</v>
      </c>
      <c r="Q225" s="1" t="s">
        <v>34</v>
      </c>
      <c r="R225" s="1"/>
      <c r="S225" s="1" t="s">
        <v>35</v>
      </c>
      <c r="T225" s="1">
        <v>43.510303</v>
      </c>
      <c r="U225" s="1">
        <v>-73.025192000000004</v>
      </c>
      <c r="V225" s="1" t="s">
        <v>1216</v>
      </c>
      <c r="W225" s="1"/>
      <c r="X225" s="1" t="s">
        <v>37</v>
      </c>
      <c r="Y225" s="1" t="s">
        <v>1217</v>
      </c>
      <c r="Z225" s="1">
        <v>5777</v>
      </c>
    </row>
    <row r="226" spans="1:26" ht="42">
      <c r="A226" s="1" t="str">
        <f>"00082N"</f>
        <v>00082N</v>
      </c>
      <c r="B226" s="1" t="s">
        <v>1210</v>
      </c>
      <c r="C226" s="1" t="s">
        <v>1211</v>
      </c>
      <c r="D226" s="1" t="str">
        <f>"8024382203"</f>
        <v>8024382203</v>
      </c>
      <c r="E226" s="1">
        <v>2402</v>
      </c>
      <c r="F226" s="1" t="s">
        <v>28</v>
      </c>
      <c r="G226" s="1" t="s">
        <v>1218</v>
      </c>
      <c r="H226" s="1"/>
      <c r="I226" s="1">
        <v>4</v>
      </c>
      <c r="J226" s="1">
        <v>1</v>
      </c>
      <c r="K226" s="1" t="s">
        <v>135</v>
      </c>
      <c r="L226" s="1" t="s">
        <v>1219</v>
      </c>
      <c r="M226" s="1" t="s">
        <v>1220</v>
      </c>
      <c r="N226" s="2">
        <v>42410</v>
      </c>
      <c r="O226" s="1"/>
      <c r="P226" s="1"/>
      <c r="Q226" s="1" t="s">
        <v>34</v>
      </c>
      <c r="R226" s="1"/>
      <c r="S226" s="1" t="s">
        <v>35</v>
      </c>
      <c r="T226" s="1">
        <v>43.583835999999998</v>
      </c>
      <c r="U226" s="1">
        <v>-73.021561000000005</v>
      </c>
      <c r="V226" s="1" t="s">
        <v>1221</v>
      </c>
      <c r="W226" s="1"/>
      <c r="X226" s="1" t="s">
        <v>37</v>
      </c>
      <c r="Y226" s="1" t="s">
        <v>1222</v>
      </c>
      <c r="Z226" s="1">
        <v>5777</v>
      </c>
    </row>
    <row r="227" spans="1:26" ht="42">
      <c r="A227" s="1" t="str">
        <f>"00082N"</f>
        <v>00082N</v>
      </c>
      <c r="B227" s="1" t="s">
        <v>1210</v>
      </c>
      <c r="C227" s="1" t="s">
        <v>1211</v>
      </c>
      <c r="D227" s="1" t="str">
        <f>"8024382203"</f>
        <v>8024382203</v>
      </c>
      <c r="E227" s="1">
        <v>2402</v>
      </c>
      <c r="F227" s="1" t="s">
        <v>28</v>
      </c>
      <c r="G227" s="1" t="s">
        <v>1223</v>
      </c>
      <c r="H227" s="1"/>
      <c r="I227" s="1">
        <v>3</v>
      </c>
      <c r="J227" s="1" t="s">
        <v>1224</v>
      </c>
      <c r="K227" s="1" t="s">
        <v>135</v>
      </c>
      <c r="L227" s="1" t="s">
        <v>136</v>
      </c>
      <c r="M227" s="1" t="s">
        <v>1225</v>
      </c>
      <c r="N227" s="2">
        <v>42949</v>
      </c>
      <c r="O227" s="1"/>
      <c r="P227" s="1"/>
      <c r="Q227" s="1" t="s">
        <v>34</v>
      </c>
      <c r="R227" s="1"/>
      <c r="S227" s="1" t="s">
        <v>35</v>
      </c>
      <c r="T227" s="1"/>
      <c r="U227" s="1"/>
      <c r="V227" s="1" t="s">
        <v>1226</v>
      </c>
      <c r="W227" s="1"/>
      <c r="X227" s="1" t="s">
        <v>37</v>
      </c>
      <c r="Y227" s="1" t="s">
        <v>139</v>
      </c>
      <c r="Z227" s="1">
        <v>5741</v>
      </c>
    </row>
    <row r="228" spans="1:26" ht="42">
      <c r="A228" s="1" t="str">
        <f>"00082P"</f>
        <v>00082P</v>
      </c>
      <c r="B228" s="1" t="s">
        <v>1227</v>
      </c>
      <c r="C228" s="1" t="s">
        <v>1228</v>
      </c>
      <c r="D228" s="1" t="str">
        <f>"8023530959"</f>
        <v>8023530959</v>
      </c>
      <c r="E228" s="1">
        <v>2970</v>
      </c>
      <c r="F228" s="1" t="s">
        <v>28</v>
      </c>
      <c r="G228" s="1" t="s">
        <v>1229</v>
      </c>
      <c r="H228" s="1">
        <v>4000</v>
      </c>
      <c r="I228" s="1">
        <v>4</v>
      </c>
      <c r="J228" s="1" t="s">
        <v>1230</v>
      </c>
      <c r="K228" s="1" t="s">
        <v>135</v>
      </c>
      <c r="L228" s="1" t="s">
        <v>1231</v>
      </c>
      <c r="M228" s="1" t="s">
        <v>1232</v>
      </c>
      <c r="N228" s="2">
        <v>36892</v>
      </c>
      <c r="O228" s="1"/>
      <c r="P228" s="2">
        <v>38441</v>
      </c>
      <c r="Q228" s="1" t="s">
        <v>34</v>
      </c>
      <c r="R228" s="1"/>
      <c r="S228" s="1" t="s">
        <v>35</v>
      </c>
      <c r="T228" s="1">
        <v>43.722884999999998</v>
      </c>
      <c r="U228" s="1">
        <v>-73.083022999999997</v>
      </c>
      <c r="V228" s="1" t="s">
        <v>1233</v>
      </c>
      <c r="W228" s="1"/>
      <c r="X228" s="1" t="s">
        <v>37</v>
      </c>
      <c r="Y228" s="1" t="s">
        <v>1234</v>
      </c>
      <c r="Z228" s="1">
        <v>5763</v>
      </c>
    </row>
    <row r="229" spans="1:26" ht="42">
      <c r="A229" s="1" t="str">
        <f>"00082P"</f>
        <v>00082P</v>
      </c>
      <c r="B229" s="1" t="s">
        <v>1227</v>
      </c>
      <c r="C229" s="1" t="s">
        <v>1228</v>
      </c>
      <c r="D229" s="1" t="str">
        <f>"8023530959"</f>
        <v>8023530959</v>
      </c>
      <c r="E229" s="1">
        <v>2970</v>
      </c>
      <c r="F229" s="1" t="s">
        <v>28</v>
      </c>
      <c r="G229" s="1" t="s">
        <v>1235</v>
      </c>
      <c r="H229" s="1">
        <v>4159</v>
      </c>
      <c r="I229" s="1">
        <v>1</v>
      </c>
      <c r="J229" s="1" t="s">
        <v>1236</v>
      </c>
      <c r="K229" s="1" t="s">
        <v>135</v>
      </c>
      <c r="L229" s="1" t="s">
        <v>1231</v>
      </c>
      <c r="M229" s="1" t="s">
        <v>1237</v>
      </c>
      <c r="N229" s="2">
        <v>41079</v>
      </c>
      <c r="O229" s="1"/>
      <c r="P229" s="2">
        <v>37827</v>
      </c>
      <c r="Q229" s="1" t="s">
        <v>34</v>
      </c>
      <c r="R229" s="1"/>
      <c r="S229" s="1" t="s">
        <v>35</v>
      </c>
      <c r="T229" s="1">
        <v>43.670386040845202</v>
      </c>
      <c r="U229" s="1">
        <v>-72.989119291305499</v>
      </c>
      <c r="V229" s="1" t="s">
        <v>1189</v>
      </c>
      <c r="W229" s="1"/>
      <c r="X229" s="1" t="s">
        <v>37</v>
      </c>
      <c r="Y229" s="1" t="s">
        <v>1238</v>
      </c>
      <c r="Z229" s="1">
        <v>5763</v>
      </c>
    </row>
    <row r="230" spans="1:26" ht="42">
      <c r="A230" s="1" t="str">
        <f>"00082P"</f>
        <v>00082P</v>
      </c>
      <c r="B230" s="1" t="s">
        <v>1227</v>
      </c>
      <c r="C230" s="1" t="s">
        <v>1228</v>
      </c>
      <c r="D230" s="1" t="str">
        <f>"8023530959"</f>
        <v>8023530959</v>
      </c>
      <c r="E230" s="1">
        <v>2970</v>
      </c>
      <c r="F230" s="1" t="s">
        <v>28</v>
      </c>
      <c r="G230" s="1" t="s">
        <v>1239</v>
      </c>
      <c r="H230" s="1">
        <v>4527</v>
      </c>
      <c r="I230" s="1">
        <v>0</v>
      </c>
      <c r="J230" s="1" t="s">
        <v>1240</v>
      </c>
      <c r="K230" s="1" t="s">
        <v>135</v>
      </c>
      <c r="L230" s="1" t="s">
        <v>1241</v>
      </c>
      <c r="M230" s="1" t="s">
        <v>1242</v>
      </c>
      <c r="N230" s="2">
        <v>41079</v>
      </c>
      <c r="O230" s="2">
        <v>42522</v>
      </c>
      <c r="P230" s="2">
        <v>38441</v>
      </c>
      <c r="Q230" s="1" t="s">
        <v>34</v>
      </c>
      <c r="R230" s="1"/>
      <c r="S230" s="1" t="s">
        <v>35</v>
      </c>
      <c r="T230" s="1">
        <v>43.774936401036001</v>
      </c>
      <c r="U230" s="1">
        <v>-73.105902671813894</v>
      </c>
      <c r="V230" s="1" t="s">
        <v>1243</v>
      </c>
      <c r="W230" s="1"/>
      <c r="X230" s="1" t="s">
        <v>37</v>
      </c>
      <c r="Y230" s="1" t="s">
        <v>1244</v>
      </c>
      <c r="Z230" s="1">
        <v>5733</v>
      </c>
    </row>
    <row r="231" spans="1:26" ht="42">
      <c r="A231" s="1" t="str">
        <f>"00082V"</f>
        <v>00082V</v>
      </c>
      <c r="B231" s="1" t="s">
        <v>1245</v>
      </c>
      <c r="C231" s="1" t="s">
        <v>1246</v>
      </c>
      <c r="D231" s="1" t="str">
        <f>"8022285190"</f>
        <v>8022285190</v>
      </c>
      <c r="E231" s="1">
        <v>2649</v>
      </c>
      <c r="F231" s="1" t="s">
        <v>28</v>
      </c>
      <c r="G231" s="1" t="s">
        <v>1247</v>
      </c>
      <c r="H231" s="1">
        <v>3406</v>
      </c>
      <c r="I231" s="1">
        <v>2</v>
      </c>
      <c r="J231" s="1" t="s">
        <v>1248</v>
      </c>
      <c r="K231" s="1" t="s">
        <v>77</v>
      </c>
      <c r="L231" s="1" t="s">
        <v>78</v>
      </c>
      <c r="M231" s="1" t="s">
        <v>1249</v>
      </c>
      <c r="N231" s="2">
        <v>36892</v>
      </c>
      <c r="O231" s="1"/>
      <c r="P231" s="1"/>
      <c r="Q231" s="1" t="s">
        <v>34</v>
      </c>
      <c r="R231" s="1"/>
      <c r="S231" s="1" t="s">
        <v>35</v>
      </c>
      <c r="T231" s="1">
        <v>43.394032000000003</v>
      </c>
      <c r="U231" s="1">
        <v>-72.710524999999905</v>
      </c>
      <c r="V231" s="1" t="s">
        <v>1250</v>
      </c>
      <c r="W231" s="1"/>
      <c r="X231" s="1" t="s">
        <v>37</v>
      </c>
      <c r="Y231" s="1" t="s">
        <v>81</v>
      </c>
      <c r="Z231" s="1">
        <v>5149</v>
      </c>
    </row>
    <row r="232" spans="1:26" ht="42">
      <c r="A232" s="1" t="str">
        <f>"00082W"</f>
        <v>00082W</v>
      </c>
      <c r="B232" s="1" t="s">
        <v>1251</v>
      </c>
      <c r="C232" s="1" t="s">
        <v>1252</v>
      </c>
      <c r="D232" s="1" t="str">
        <f>"8024535308"</f>
        <v>8024535308</v>
      </c>
      <c r="E232" s="1">
        <v>2880</v>
      </c>
      <c r="F232" s="1" t="s">
        <v>28</v>
      </c>
      <c r="G232" s="1" t="s">
        <v>1253</v>
      </c>
      <c r="H232" s="1"/>
      <c r="I232" s="1">
        <v>3</v>
      </c>
      <c r="J232" s="1">
        <v>1</v>
      </c>
      <c r="K232" s="1" t="s">
        <v>333</v>
      </c>
      <c r="L232" s="1" t="s">
        <v>645</v>
      </c>
      <c r="M232" s="1" t="s">
        <v>1254</v>
      </c>
      <c r="N232" s="2">
        <v>42328</v>
      </c>
      <c r="O232" s="1"/>
      <c r="P232" s="1"/>
      <c r="Q232" s="1" t="s">
        <v>34</v>
      </c>
      <c r="R232" s="1"/>
      <c r="S232" s="1" t="s">
        <v>35</v>
      </c>
      <c r="T232" s="1">
        <v>44.129888200000003</v>
      </c>
      <c r="U232" s="1">
        <v>-73.319368699999899</v>
      </c>
      <c r="V232" s="1" t="s">
        <v>1255</v>
      </c>
      <c r="W232" s="1"/>
      <c r="X232" s="1" t="s">
        <v>37</v>
      </c>
      <c r="Y232" s="1" t="s">
        <v>648</v>
      </c>
      <c r="Z232" s="1">
        <v>0</v>
      </c>
    </row>
    <row r="233" spans="1:26" ht="42">
      <c r="A233" s="1" t="str">
        <f>"00082Y"</f>
        <v>00082Y</v>
      </c>
      <c r="B233" s="1" t="s">
        <v>1256</v>
      </c>
      <c r="C233" s="1" t="s">
        <v>1257</v>
      </c>
      <c r="D233" s="1" t="str">
        <f>"8025987333"</f>
        <v>8025987333</v>
      </c>
      <c r="E233" s="1">
        <v>3383</v>
      </c>
      <c r="F233" s="1" t="s">
        <v>28</v>
      </c>
      <c r="G233" s="1" t="s">
        <v>1258</v>
      </c>
      <c r="H233" s="1">
        <v>4493</v>
      </c>
      <c r="I233" s="1">
        <v>8</v>
      </c>
      <c r="J233" s="1" t="s">
        <v>1259</v>
      </c>
      <c r="K233" s="1" t="s">
        <v>43</v>
      </c>
      <c r="L233" s="1" t="s">
        <v>1077</v>
      </c>
      <c r="M233" s="1" t="s">
        <v>1260</v>
      </c>
      <c r="N233" s="2">
        <v>36892</v>
      </c>
      <c r="O233" s="1"/>
      <c r="P233" s="2">
        <v>39288</v>
      </c>
      <c r="Q233" s="1" t="s">
        <v>34</v>
      </c>
      <c r="R233" s="1"/>
      <c r="S233" s="1" t="s">
        <v>35</v>
      </c>
      <c r="T233" s="1">
        <v>44.458006857667101</v>
      </c>
      <c r="U233" s="1">
        <v>-73.068695068359304</v>
      </c>
      <c r="V233" s="1" t="s">
        <v>1261</v>
      </c>
      <c r="W233" s="1"/>
      <c r="X233" s="1" t="s">
        <v>37</v>
      </c>
      <c r="Y233" s="1" t="s">
        <v>1080</v>
      </c>
      <c r="Z233" s="1">
        <v>5495</v>
      </c>
    </row>
    <row r="234" spans="1:26" ht="42">
      <c r="A234" s="1" t="str">
        <f>"00083N"</f>
        <v>00083N</v>
      </c>
      <c r="B234" s="1" t="s">
        <v>1262</v>
      </c>
      <c r="C234" s="1" t="s">
        <v>1263</v>
      </c>
      <c r="D234" s="1" t="str">
        <f>"8028674293"</f>
        <v>8028674293</v>
      </c>
      <c r="E234" s="1">
        <v>4594</v>
      </c>
      <c r="F234" s="1" t="s">
        <v>28</v>
      </c>
      <c r="G234" s="1" t="s">
        <v>1264</v>
      </c>
      <c r="H234" s="1"/>
      <c r="I234" s="1">
        <v>24</v>
      </c>
      <c r="J234" s="1" t="s">
        <v>1265</v>
      </c>
      <c r="K234" s="1" t="s">
        <v>135</v>
      </c>
      <c r="L234" s="1" t="s">
        <v>582</v>
      </c>
      <c r="M234" s="1" t="s">
        <v>1266</v>
      </c>
      <c r="N234" s="2">
        <v>41079</v>
      </c>
      <c r="O234" s="1"/>
      <c r="P234" s="2">
        <v>41079</v>
      </c>
      <c r="Q234" s="1" t="s">
        <v>34</v>
      </c>
      <c r="R234" s="1"/>
      <c r="S234" s="1" t="s">
        <v>35</v>
      </c>
      <c r="T234" s="1"/>
      <c r="U234" s="1"/>
      <c r="V234" s="1" t="s">
        <v>1267</v>
      </c>
      <c r="W234" s="1"/>
      <c r="X234" s="1" t="s">
        <v>37</v>
      </c>
      <c r="Y234" s="1" t="s">
        <v>583</v>
      </c>
      <c r="Z234" s="1">
        <v>5761</v>
      </c>
    </row>
    <row r="235" spans="1:26" ht="42">
      <c r="A235" s="1" t="str">
        <f>"00083N"</f>
        <v>00083N</v>
      </c>
      <c r="B235" s="1" t="s">
        <v>1262</v>
      </c>
      <c r="C235" s="1" t="s">
        <v>1263</v>
      </c>
      <c r="D235" s="1" t="str">
        <f>"8028674293"</f>
        <v>8028674293</v>
      </c>
      <c r="E235" s="1">
        <v>4594</v>
      </c>
      <c r="F235" s="1" t="s">
        <v>28</v>
      </c>
      <c r="G235" s="1" t="s">
        <v>1268</v>
      </c>
      <c r="H235" s="1"/>
      <c r="I235" s="1">
        <v>22</v>
      </c>
      <c r="J235" s="1" t="s">
        <v>1269</v>
      </c>
      <c r="K235" s="1" t="s">
        <v>135</v>
      </c>
      <c r="L235" s="1" t="s">
        <v>582</v>
      </c>
      <c r="M235" s="1" t="s">
        <v>1269</v>
      </c>
      <c r="N235" s="2">
        <v>41079</v>
      </c>
      <c r="O235" s="1"/>
      <c r="P235" s="2">
        <v>41578</v>
      </c>
      <c r="Q235" s="1" t="s">
        <v>34</v>
      </c>
      <c r="R235" s="1"/>
      <c r="S235" s="1" t="s">
        <v>35</v>
      </c>
      <c r="T235" s="1">
        <v>43.378959999999999</v>
      </c>
      <c r="U235" s="1">
        <v>-73.227289999999897</v>
      </c>
      <c r="V235" s="1" t="s">
        <v>1270</v>
      </c>
      <c r="W235" s="1"/>
      <c r="X235" s="1" t="s">
        <v>37</v>
      </c>
      <c r="Y235" s="1" t="s">
        <v>583</v>
      </c>
      <c r="Z235" s="1">
        <v>5761</v>
      </c>
    </row>
    <row r="236" spans="1:26" ht="42">
      <c r="A236" s="1" t="str">
        <f>"00083N"</f>
        <v>00083N</v>
      </c>
      <c r="B236" s="1" t="s">
        <v>1262</v>
      </c>
      <c r="C236" s="1" t="s">
        <v>1263</v>
      </c>
      <c r="D236" s="1" t="str">
        <f>"8028674293"</f>
        <v>8028674293</v>
      </c>
      <c r="E236" s="1">
        <v>4594</v>
      </c>
      <c r="F236" s="1" t="s">
        <v>28</v>
      </c>
      <c r="G236" s="1" t="s">
        <v>1271</v>
      </c>
      <c r="H236" s="1"/>
      <c r="I236" s="1">
        <v>27</v>
      </c>
      <c r="J236" s="1" t="s">
        <v>1272</v>
      </c>
      <c r="K236" s="1" t="s">
        <v>135</v>
      </c>
      <c r="L236" s="1" t="s">
        <v>582</v>
      </c>
      <c r="M236" s="1" t="s">
        <v>1273</v>
      </c>
      <c r="N236" s="2">
        <v>41079</v>
      </c>
      <c r="O236" s="1"/>
      <c r="P236" s="2">
        <v>41479</v>
      </c>
      <c r="Q236" s="1" t="s">
        <v>1208</v>
      </c>
      <c r="R236" s="1"/>
      <c r="S236" s="1" t="s">
        <v>35</v>
      </c>
      <c r="T236" s="1"/>
      <c r="U236" s="1"/>
      <c r="V236" s="1" t="s">
        <v>1274</v>
      </c>
      <c r="W236" s="1"/>
      <c r="X236" s="1" t="s">
        <v>37</v>
      </c>
      <c r="Y236" s="1" t="s">
        <v>583</v>
      </c>
      <c r="Z236" s="1">
        <v>5761</v>
      </c>
    </row>
    <row r="237" spans="1:26" ht="42">
      <c r="A237" s="1" t="str">
        <f>"00083N"</f>
        <v>00083N</v>
      </c>
      <c r="B237" s="1" t="s">
        <v>1262</v>
      </c>
      <c r="C237" s="1" t="s">
        <v>1263</v>
      </c>
      <c r="D237" s="1" t="str">
        <f>"8028674293"</f>
        <v>8028674293</v>
      </c>
      <c r="E237" s="1">
        <v>4594</v>
      </c>
      <c r="F237" s="1" t="s">
        <v>28</v>
      </c>
      <c r="G237" s="1" t="s">
        <v>1275</v>
      </c>
      <c r="H237" s="1"/>
      <c r="I237" s="1">
        <v>28</v>
      </c>
      <c r="J237" s="1" t="s">
        <v>1276</v>
      </c>
      <c r="K237" s="1" t="s">
        <v>135</v>
      </c>
      <c r="L237" s="1" t="s">
        <v>1277</v>
      </c>
      <c r="M237" s="1" t="s">
        <v>1278</v>
      </c>
      <c r="N237" s="2">
        <v>41275</v>
      </c>
      <c r="O237" s="1"/>
      <c r="P237" s="2">
        <v>41578</v>
      </c>
      <c r="Q237" s="1" t="s">
        <v>34</v>
      </c>
      <c r="R237" s="1"/>
      <c r="S237" s="1" t="s">
        <v>35</v>
      </c>
      <c r="T237" s="1">
        <v>43.412799999999997</v>
      </c>
      <c r="U237" s="1">
        <v>-73.219200000000001</v>
      </c>
      <c r="V237" s="1" t="s">
        <v>1279</v>
      </c>
      <c r="W237" s="1"/>
      <c r="X237" s="1" t="s">
        <v>37</v>
      </c>
      <c r="Y237" s="1" t="s">
        <v>1280</v>
      </c>
      <c r="Z237" s="1">
        <v>0</v>
      </c>
    </row>
    <row r="238" spans="1:26" ht="42">
      <c r="A238" s="1" t="str">
        <f>"00083N"</f>
        <v>00083N</v>
      </c>
      <c r="B238" s="1" t="s">
        <v>1262</v>
      </c>
      <c r="C238" s="1" t="s">
        <v>1263</v>
      </c>
      <c r="D238" s="1" t="str">
        <f>"8028674293"</f>
        <v>8028674293</v>
      </c>
      <c r="E238" s="1">
        <v>4594</v>
      </c>
      <c r="F238" s="1" t="s">
        <v>28</v>
      </c>
      <c r="G238" s="1" t="s">
        <v>1281</v>
      </c>
      <c r="H238" s="1"/>
      <c r="I238" s="1">
        <v>20</v>
      </c>
      <c r="J238" s="1" t="s">
        <v>1282</v>
      </c>
      <c r="K238" s="1" t="s">
        <v>187</v>
      </c>
      <c r="L238" s="1" t="s">
        <v>204</v>
      </c>
      <c r="M238" s="1" t="s">
        <v>1283</v>
      </c>
      <c r="N238" s="2">
        <v>41519</v>
      </c>
      <c r="O238" s="1"/>
      <c r="P238" s="1"/>
      <c r="Q238" s="1" t="s">
        <v>34</v>
      </c>
      <c r="R238" s="1"/>
      <c r="S238" s="1" t="s">
        <v>35</v>
      </c>
      <c r="T238" s="1">
        <v>43.073504279811203</v>
      </c>
      <c r="U238" s="1">
        <v>-72.731422432818505</v>
      </c>
      <c r="V238" s="1" t="s">
        <v>1284</v>
      </c>
      <c r="W238" s="1"/>
      <c r="X238" s="1" t="s">
        <v>37</v>
      </c>
      <c r="Y238" s="1" t="s">
        <v>205</v>
      </c>
      <c r="Z238" s="1">
        <v>5251</v>
      </c>
    </row>
    <row r="239" spans="1:26" ht="42">
      <c r="A239" s="1" t="str">
        <f>"00083N"</f>
        <v>00083N</v>
      </c>
      <c r="B239" s="1" t="s">
        <v>1262</v>
      </c>
      <c r="C239" s="1" t="s">
        <v>1263</v>
      </c>
      <c r="D239" s="1" t="str">
        <f>"8028674293"</f>
        <v>8028674293</v>
      </c>
      <c r="E239" s="1">
        <v>4594</v>
      </c>
      <c r="F239" s="1" t="s">
        <v>28</v>
      </c>
      <c r="G239" s="1" t="s">
        <v>1285</v>
      </c>
      <c r="H239" s="1"/>
      <c r="I239" s="1">
        <v>20</v>
      </c>
      <c r="J239" s="1" t="s">
        <v>1286</v>
      </c>
      <c r="K239" s="1" t="s">
        <v>187</v>
      </c>
      <c r="L239" s="1" t="s">
        <v>204</v>
      </c>
      <c r="M239" s="1" t="s">
        <v>1287</v>
      </c>
      <c r="N239" s="2">
        <v>41519</v>
      </c>
      <c r="O239" s="1"/>
      <c r="P239" s="1"/>
      <c r="Q239" s="1" t="s">
        <v>34</v>
      </c>
      <c r="R239" s="1"/>
      <c r="S239" s="1" t="s">
        <v>35</v>
      </c>
      <c r="T239" s="1"/>
      <c r="U239" s="1"/>
      <c r="V239" s="1" t="s">
        <v>1288</v>
      </c>
      <c r="W239" s="1"/>
      <c r="X239" s="1" t="s">
        <v>37</v>
      </c>
      <c r="Y239" s="1" t="s">
        <v>205</v>
      </c>
      <c r="Z239" s="1">
        <v>5251</v>
      </c>
    </row>
    <row r="240" spans="1:26" ht="42">
      <c r="A240" s="1" t="str">
        <f>"000840"</f>
        <v>000840</v>
      </c>
      <c r="B240" s="1" t="s">
        <v>1289</v>
      </c>
      <c r="C240" s="1" t="s">
        <v>1290</v>
      </c>
      <c r="D240" s="1" t="str">
        <f>"8022234342"</f>
        <v>8022234342</v>
      </c>
      <c r="E240" s="1">
        <v>3866</v>
      </c>
      <c r="F240" s="1" t="s">
        <v>28</v>
      </c>
      <c r="G240" s="1" t="s">
        <v>1291</v>
      </c>
      <c r="H240" s="1">
        <v>5135</v>
      </c>
      <c r="I240" s="1">
        <v>0</v>
      </c>
      <c r="J240" s="1" t="s">
        <v>1292</v>
      </c>
      <c r="K240" s="1" t="s">
        <v>31</v>
      </c>
      <c r="L240" s="1" t="s">
        <v>1293</v>
      </c>
      <c r="M240" s="1" t="s">
        <v>1294</v>
      </c>
      <c r="N240" s="2">
        <v>36892</v>
      </c>
      <c r="O240" s="1"/>
      <c r="P240" s="2">
        <v>42080</v>
      </c>
      <c r="Q240" s="1" t="s">
        <v>34</v>
      </c>
      <c r="R240" s="1"/>
      <c r="S240" s="1" t="s">
        <v>35</v>
      </c>
      <c r="T240" s="1">
        <v>44.266779999999997</v>
      </c>
      <c r="U240" s="1">
        <v>-72.584529999999901</v>
      </c>
      <c r="V240" s="1" t="s">
        <v>1295</v>
      </c>
      <c r="W240" s="1"/>
      <c r="X240" s="1" t="s">
        <v>37</v>
      </c>
      <c r="Y240" s="1" t="s">
        <v>802</v>
      </c>
      <c r="Z240" s="1">
        <v>5602</v>
      </c>
    </row>
    <row r="241" spans="1:26" ht="42">
      <c r="A241" s="1" t="str">
        <f>"000840"</f>
        <v>000840</v>
      </c>
      <c r="B241" s="1" t="s">
        <v>1289</v>
      </c>
      <c r="C241" s="1" t="s">
        <v>1290</v>
      </c>
      <c r="D241" s="1" t="str">
        <f>"8022234342"</f>
        <v>8022234342</v>
      </c>
      <c r="E241" s="1">
        <v>3866</v>
      </c>
      <c r="F241" s="1" t="s">
        <v>28</v>
      </c>
      <c r="G241" s="1" t="s">
        <v>1296</v>
      </c>
      <c r="H241" s="1"/>
      <c r="I241" s="1">
        <v>0</v>
      </c>
      <c r="J241" s="1" t="s">
        <v>1297</v>
      </c>
      <c r="K241" s="1" t="s">
        <v>31</v>
      </c>
      <c r="L241" s="1" t="s">
        <v>786</v>
      </c>
      <c r="M241" s="1" t="s">
        <v>1298</v>
      </c>
      <c r="N241" s="2">
        <v>42207</v>
      </c>
      <c r="O241" s="1"/>
      <c r="P241" s="1"/>
      <c r="Q241" s="1" t="s">
        <v>34</v>
      </c>
      <c r="R241" s="1"/>
      <c r="S241" s="1" t="s">
        <v>35</v>
      </c>
      <c r="T241" s="1">
        <v>44.210999000000001</v>
      </c>
      <c r="U241" s="1">
        <v>-72.640181999999896</v>
      </c>
      <c r="V241" s="1" t="s">
        <v>1299</v>
      </c>
      <c r="W241" s="1"/>
      <c r="X241" s="1" t="s">
        <v>37</v>
      </c>
      <c r="Y241" s="1" t="s">
        <v>1300</v>
      </c>
      <c r="Z241" s="1">
        <v>5602</v>
      </c>
    </row>
    <row r="242" spans="1:26" ht="42">
      <c r="A242" s="1" t="str">
        <f>"000840"</f>
        <v>000840</v>
      </c>
      <c r="B242" s="1" t="s">
        <v>1289</v>
      </c>
      <c r="C242" s="1" t="s">
        <v>1290</v>
      </c>
      <c r="D242" s="1" t="str">
        <f>"8022234342"</f>
        <v>8022234342</v>
      </c>
      <c r="E242" s="1">
        <v>3866</v>
      </c>
      <c r="F242" s="1" t="s">
        <v>28</v>
      </c>
      <c r="G242" s="1" t="s">
        <v>1301</v>
      </c>
      <c r="H242" s="1"/>
      <c r="I242" s="1">
        <v>5</v>
      </c>
      <c r="J242" s="1" t="s">
        <v>1302</v>
      </c>
      <c r="K242" s="1" t="s">
        <v>31</v>
      </c>
      <c r="L242" s="1" t="s">
        <v>1303</v>
      </c>
      <c r="M242" s="1" t="s">
        <v>1304</v>
      </c>
      <c r="N242" s="2">
        <v>43243</v>
      </c>
      <c r="O242" s="1"/>
      <c r="P242" s="1"/>
      <c r="Q242" s="1" t="s">
        <v>34</v>
      </c>
      <c r="R242" s="1"/>
      <c r="S242" s="1" t="s">
        <v>35</v>
      </c>
      <c r="T242" s="1"/>
      <c r="U242" s="1"/>
      <c r="V242" s="1" t="s">
        <v>1305</v>
      </c>
      <c r="W242" s="1"/>
      <c r="X242" s="1" t="s">
        <v>37</v>
      </c>
      <c r="Y242" s="1" t="s">
        <v>1306</v>
      </c>
      <c r="Z242" s="1">
        <v>5651</v>
      </c>
    </row>
    <row r="243" spans="1:26" ht="42">
      <c r="A243" s="1" t="str">
        <f>"00084B"</f>
        <v>00084B</v>
      </c>
      <c r="B243" s="1" t="s">
        <v>1307</v>
      </c>
      <c r="C243" s="1" t="s">
        <v>1308</v>
      </c>
      <c r="D243" s="1" t="str">
        <f>"8022447165"</f>
        <v>8022447165</v>
      </c>
      <c r="E243" s="1">
        <v>3196</v>
      </c>
      <c r="F243" s="1" t="s">
        <v>28</v>
      </c>
      <c r="G243" s="1" t="s">
        <v>1309</v>
      </c>
      <c r="H243" s="1">
        <v>4281</v>
      </c>
      <c r="I243" s="1">
        <v>1</v>
      </c>
      <c r="J243" s="1" t="s">
        <v>1310</v>
      </c>
      <c r="K243" s="1" t="s">
        <v>31</v>
      </c>
      <c r="L243" s="1" t="s">
        <v>120</v>
      </c>
      <c r="M243" s="1" t="s">
        <v>1311</v>
      </c>
      <c r="N243" s="2">
        <v>36892</v>
      </c>
      <c r="O243" s="1"/>
      <c r="P243" s="1"/>
      <c r="Q243" s="1" t="s">
        <v>34</v>
      </c>
      <c r="R243" s="1"/>
      <c r="S243" s="1" t="s">
        <v>35</v>
      </c>
      <c r="T243" s="1">
        <v>44.406962999999998</v>
      </c>
      <c r="U243" s="1">
        <v>-72.689574999999905</v>
      </c>
      <c r="V243" s="1" t="s">
        <v>1312</v>
      </c>
      <c r="W243" s="1"/>
      <c r="X243" s="1" t="s">
        <v>37</v>
      </c>
      <c r="Y243" s="1" t="s">
        <v>1313</v>
      </c>
      <c r="Z243" s="1">
        <v>5677</v>
      </c>
    </row>
    <row r="244" spans="1:26" ht="42">
      <c r="A244" s="1" t="str">
        <f>"00084W"</f>
        <v>00084W</v>
      </c>
      <c r="B244" s="1" t="s">
        <v>1314</v>
      </c>
      <c r="C244" s="1" t="s">
        <v>1315</v>
      </c>
      <c r="D244" s="1" t="str">
        <f>"8028883838"</f>
        <v>8028883838</v>
      </c>
      <c r="E244" s="1">
        <v>3595</v>
      </c>
      <c r="F244" s="1" t="s">
        <v>28</v>
      </c>
      <c r="G244" s="1" t="s">
        <v>1316</v>
      </c>
      <c r="H244" s="1">
        <v>4748</v>
      </c>
      <c r="I244" s="1">
        <v>0</v>
      </c>
      <c r="J244" s="1" t="s">
        <v>1317</v>
      </c>
      <c r="K244" s="1" t="s">
        <v>170</v>
      </c>
      <c r="L244" s="1" t="s">
        <v>1318</v>
      </c>
      <c r="M244" s="1" t="s">
        <v>1319</v>
      </c>
      <c r="N244" s="2">
        <v>36892</v>
      </c>
      <c r="O244" s="1"/>
      <c r="P244" s="1"/>
      <c r="Q244" s="1" t="s">
        <v>34</v>
      </c>
      <c r="R244" s="1"/>
      <c r="S244" s="1" t="s">
        <v>35</v>
      </c>
      <c r="T244" s="1">
        <v>44.569528539651998</v>
      </c>
      <c r="U244" s="1">
        <v>-72.441508769988999</v>
      </c>
      <c r="V244" s="1" t="s">
        <v>1320</v>
      </c>
      <c r="W244" s="1"/>
      <c r="X244" s="1" t="s">
        <v>37</v>
      </c>
      <c r="Y244" s="1" t="s">
        <v>1321</v>
      </c>
      <c r="Z244" s="1">
        <v>5680</v>
      </c>
    </row>
    <row r="245" spans="1:26" ht="42">
      <c r="A245" s="1" t="str">
        <f>"000858"</f>
        <v>000858</v>
      </c>
      <c r="B245" s="1" t="s">
        <v>1322</v>
      </c>
      <c r="C245" s="1" t="s">
        <v>1323</v>
      </c>
      <c r="D245" s="1" t="str">
        <f>"8024342034"</f>
        <v>8024342034</v>
      </c>
      <c r="E245" s="1">
        <v>1673</v>
      </c>
      <c r="F245" s="1" t="s">
        <v>28</v>
      </c>
      <c r="G245" s="1" t="s">
        <v>1324</v>
      </c>
      <c r="H245" s="1">
        <v>2132</v>
      </c>
      <c r="I245" s="1">
        <v>3</v>
      </c>
      <c r="J245" s="1" t="s">
        <v>410</v>
      </c>
      <c r="K245" s="1" t="s">
        <v>43</v>
      </c>
      <c r="L245" s="1" t="s">
        <v>51</v>
      </c>
      <c r="M245" s="1" t="s">
        <v>1325</v>
      </c>
      <c r="N245" s="2">
        <v>36892</v>
      </c>
      <c r="O245" s="1"/>
      <c r="P245" s="2">
        <v>37104</v>
      </c>
      <c r="Q245" s="1" t="s">
        <v>34</v>
      </c>
      <c r="R245" s="1"/>
      <c r="S245" s="1" t="s">
        <v>35</v>
      </c>
      <c r="T245" s="1">
        <v>44.422564100000002</v>
      </c>
      <c r="U245" s="1">
        <v>-73.007265899999993</v>
      </c>
      <c r="V245" s="1" t="s">
        <v>1326</v>
      </c>
      <c r="W245" s="1"/>
      <c r="X245" s="1" t="s">
        <v>37</v>
      </c>
      <c r="Y245" s="1" t="s">
        <v>54</v>
      </c>
      <c r="Z245" s="1">
        <v>5477</v>
      </c>
    </row>
    <row r="246" spans="1:26" ht="42">
      <c r="A246" s="1" t="str">
        <f>"00085G"</f>
        <v>00085G</v>
      </c>
      <c r="B246" s="1" t="s">
        <v>1327</v>
      </c>
      <c r="C246" s="1" t="s">
        <v>1328</v>
      </c>
      <c r="D246" s="1" t="str">
        <f>"8025225339"</f>
        <v>8025225339</v>
      </c>
      <c r="E246" s="1">
        <v>3584</v>
      </c>
      <c r="F246" s="1" t="s">
        <v>28</v>
      </c>
      <c r="G246" s="1" t="s">
        <v>1329</v>
      </c>
      <c r="H246" s="1">
        <v>4732</v>
      </c>
      <c r="I246" s="1">
        <v>2</v>
      </c>
      <c r="J246" s="1" t="s">
        <v>1330</v>
      </c>
      <c r="K246" s="1" t="s">
        <v>31</v>
      </c>
      <c r="L246" s="1" t="s">
        <v>716</v>
      </c>
      <c r="M246" s="1" t="s">
        <v>1331</v>
      </c>
      <c r="N246" s="2">
        <v>36892</v>
      </c>
      <c r="O246" s="1"/>
      <c r="P246" s="2">
        <v>38575</v>
      </c>
      <c r="Q246" s="1" t="s">
        <v>34</v>
      </c>
      <c r="R246" s="1"/>
      <c r="S246" s="1" t="s">
        <v>35</v>
      </c>
      <c r="T246" s="1">
        <v>44.192107999999998</v>
      </c>
      <c r="U246" s="1">
        <v>-72.481796000000003</v>
      </c>
      <c r="V246" s="1" t="s">
        <v>1332</v>
      </c>
      <c r="W246" s="1"/>
      <c r="X246" s="1" t="s">
        <v>37</v>
      </c>
      <c r="Y246" s="1" t="s">
        <v>237</v>
      </c>
      <c r="Z246" s="1">
        <v>5641</v>
      </c>
    </row>
    <row r="247" spans="1:26" ht="42">
      <c r="A247" s="1" t="str">
        <f>"00085P"</f>
        <v>00085P</v>
      </c>
      <c r="B247" s="1" t="s">
        <v>1333</v>
      </c>
      <c r="C247" s="1" t="s">
        <v>1334</v>
      </c>
      <c r="D247" s="1" t="str">
        <f>"8028993978"</f>
        <v>8028993978</v>
      </c>
      <c r="E247" s="1">
        <v>3071</v>
      </c>
      <c r="F247" s="1" t="s">
        <v>28</v>
      </c>
      <c r="G247" s="1" t="s">
        <v>1335</v>
      </c>
      <c r="H247" s="1">
        <v>4897</v>
      </c>
      <c r="I247" s="1">
        <v>5</v>
      </c>
      <c r="J247" s="1">
        <v>1</v>
      </c>
      <c r="K247" s="1" t="s">
        <v>43</v>
      </c>
      <c r="L247" s="1" t="s">
        <v>112</v>
      </c>
      <c r="M247" s="1" t="s">
        <v>1336</v>
      </c>
      <c r="N247" s="2">
        <v>36892</v>
      </c>
      <c r="O247" s="1"/>
      <c r="P247" s="2">
        <v>39323</v>
      </c>
      <c r="Q247" s="1" t="s">
        <v>34</v>
      </c>
      <c r="R247" s="1"/>
      <c r="S247" s="1" t="s">
        <v>35</v>
      </c>
      <c r="T247" s="1">
        <v>44.518160999999999</v>
      </c>
      <c r="U247" s="1">
        <v>-72.917781999999903</v>
      </c>
      <c r="V247" s="1" t="s">
        <v>1337</v>
      </c>
      <c r="W247" s="1"/>
      <c r="X247" s="1" t="s">
        <v>37</v>
      </c>
      <c r="Y247" s="1" t="s">
        <v>115</v>
      </c>
      <c r="Z247" s="1">
        <v>5489</v>
      </c>
    </row>
    <row r="248" spans="1:26" ht="42">
      <c r="A248" s="1" t="str">
        <f>"00085P"</f>
        <v>00085P</v>
      </c>
      <c r="B248" s="1" t="s">
        <v>1333</v>
      </c>
      <c r="C248" s="1" t="s">
        <v>1334</v>
      </c>
      <c r="D248" s="1" t="str">
        <f>"8028993978"</f>
        <v>8028993978</v>
      </c>
      <c r="E248" s="1">
        <v>3071</v>
      </c>
      <c r="F248" s="1" t="s">
        <v>28</v>
      </c>
      <c r="G248" s="1" t="s">
        <v>1338</v>
      </c>
      <c r="H248" s="1">
        <v>4861</v>
      </c>
      <c r="I248" s="1">
        <v>3</v>
      </c>
      <c r="J248" s="1" t="s">
        <v>1339</v>
      </c>
      <c r="K248" s="1" t="s">
        <v>43</v>
      </c>
      <c r="L248" s="1" t="s">
        <v>112</v>
      </c>
      <c r="M248" s="1" t="s">
        <v>1340</v>
      </c>
      <c r="N248" s="2">
        <v>36892</v>
      </c>
      <c r="O248" s="1"/>
      <c r="P248" s="2">
        <v>40673</v>
      </c>
      <c r="Q248" s="1" t="s">
        <v>34</v>
      </c>
      <c r="R248" s="1"/>
      <c r="S248" s="1" t="s">
        <v>35</v>
      </c>
      <c r="T248" s="1">
        <v>44.523333720047802</v>
      </c>
      <c r="U248" s="1">
        <v>-72.894700169563293</v>
      </c>
      <c r="V248" s="1" t="s">
        <v>1341</v>
      </c>
      <c r="W248" s="1"/>
      <c r="X248" s="1" t="s">
        <v>37</v>
      </c>
      <c r="Y248" s="1" t="s">
        <v>1342</v>
      </c>
      <c r="Z248" s="1">
        <v>5490</v>
      </c>
    </row>
    <row r="249" spans="1:26" ht="42">
      <c r="A249" s="1" t="str">
        <f>"00085P"</f>
        <v>00085P</v>
      </c>
      <c r="B249" s="1" t="s">
        <v>1333</v>
      </c>
      <c r="C249" s="1" t="s">
        <v>1334</v>
      </c>
      <c r="D249" s="1" t="str">
        <f>"8028993978"</f>
        <v>8028993978</v>
      </c>
      <c r="E249" s="1">
        <v>3071</v>
      </c>
      <c r="F249" s="1" t="s">
        <v>28</v>
      </c>
      <c r="G249" s="1" t="s">
        <v>1343</v>
      </c>
      <c r="H249" s="1">
        <v>4898</v>
      </c>
      <c r="I249" s="1">
        <v>4</v>
      </c>
      <c r="J249" s="1" t="s">
        <v>1344</v>
      </c>
      <c r="K249" s="1" t="s">
        <v>43</v>
      </c>
      <c r="L249" s="1" t="s">
        <v>364</v>
      </c>
      <c r="M249" s="1" t="s">
        <v>1345</v>
      </c>
      <c r="N249" s="2">
        <v>36892</v>
      </c>
      <c r="O249" s="1"/>
      <c r="P249" s="2">
        <v>38875</v>
      </c>
      <c r="Q249" s="1" t="s">
        <v>34</v>
      </c>
      <c r="R249" s="1"/>
      <c r="S249" s="1" t="s">
        <v>35</v>
      </c>
      <c r="T249" s="1">
        <v>44.513756999999998</v>
      </c>
      <c r="U249" s="1">
        <v>-72.9877129999999</v>
      </c>
      <c r="V249" s="1" t="s">
        <v>1346</v>
      </c>
      <c r="W249" s="1"/>
      <c r="X249" s="1" t="s">
        <v>37</v>
      </c>
      <c r="Y249" s="1" t="s">
        <v>367</v>
      </c>
      <c r="Z249" s="1">
        <v>5465</v>
      </c>
    </row>
    <row r="250" spans="1:26" ht="42">
      <c r="A250" s="1" t="str">
        <f>"00085P"</f>
        <v>00085P</v>
      </c>
      <c r="B250" s="1" t="s">
        <v>1333</v>
      </c>
      <c r="C250" s="1" t="s">
        <v>1334</v>
      </c>
      <c r="D250" s="1" t="str">
        <f>"8028993978"</f>
        <v>8028993978</v>
      </c>
      <c r="E250" s="1">
        <v>3071</v>
      </c>
      <c r="F250" s="1" t="s">
        <v>28</v>
      </c>
      <c r="G250" s="1" t="s">
        <v>1347</v>
      </c>
      <c r="H250" s="1"/>
      <c r="I250" s="1">
        <v>3</v>
      </c>
      <c r="J250" s="1">
        <v>4</v>
      </c>
      <c r="K250" s="1" t="s">
        <v>43</v>
      </c>
      <c r="L250" s="1" t="s">
        <v>364</v>
      </c>
      <c r="M250" s="1" t="s">
        <v>1348</v>
      </c>
      <c r="N250" s="2">
        <v>42205</v>
      </c>
      <c r="O250" s="1"/>
      <c r="P250" s="1"/>
      <c r="Q250" s="1" t="s">
        <v>34</v>
      </c>
      <c r="R250" s="1"/>
      <c r="S250" s="1" t="s">
        <v>35</v>
      </c>
      <c r="T250" s="1">
        <v>44.503339199999999</v>
      </c>
      <c r="U250" s="1">
        <v>-73.0013541</v>
      </c>
      <c r="V250" s="1" t="s">
        <v>1349</v>
      </c>
      <c r="W250" s="1"/>
      <c r="X250" s="1" t="s">
        <v>37</v>
      </c>
      <c r="Y250" s="1" t="s">
        <v>367</v>
      </c>
      <c r="Z250" s="1">
        <v>5465</v>
      </c>
    </row>
    <row r="251" spans="1:26" ht="42">
      <c r="A251" s="1" t="str">
        <f>"00085P"</f>
        <v>00085P</v>
      </c>
      <c r="B251" s="1" t="s">
        <v>1333</v>
      </c>
      <c r="C251" s="1" t="s">
        <v>1334</v>
      </c>
      <c r="D251" s="1" t="str">
        <f>"8028993978"</f>
        <v>8028993978</v>
      </c>
      <c r="E251" s="1">
        <v>3071</v>
      </c>
      <c r="F251" s="1" t="s">
        <v>28</v>
      </c>
      <c r="G251" s="1" t="s">
        <v>1350</v>
      </c>
      <c r="H251" s="1"/>
      <c r="I251" s="1">
        <v>3</v>
      </c>
      <c r="J251" s="1">
        <v>5</v>
      </c>
      <c r="K251" s="1" t="s">
        <v>43</v>
      </c>
      <c r="L251" s="1" t="s">
        <v>317</v>
      </c>
      <c r="M251" s="1" t="s">
        <v>1351</v>
      </c>
      <c r="N251" s="2">
        <v>42894</v>
      </c>
      <c r="O251" s="1"/>
      <c r="P251" s="1"/>
      <c r="Q251" s="1" t="s">
        <v>34</v>
      </c>
      <c r="R251" s="1"/>
      <c r="S251" s="1" t="s">
        <v>35</v>
      </c>
      <c r="T251" s="1">
        <v>44.632320999999997</v>
      </c>
      <c r="U251" s="1">
        <v>-72.966723000000002</v>
      </c>
      <c r="V251" s="1" t="s">
        <v>1352</v>
      </c>
      <c r="W251" s="1"/>
      <c r="X251" s="1" t="s">
        <v>37</v>
      </c>
      <c r="Y251" s="1" t="s">
        <v>320</v>
      </c>
      <c r="Z251" s="1">
        <v>0</v>
      </c>
    </row>
    <row r="252" spans="1:26" ht="42">
      <c r="A252" s="1" t="str">
        <f>"000862"</f>
        <v>000862</v>
      </c>
      <c r="B252" s="1" t="s">
        <v>1353</v>
      </c>
      <c r="C252" s="1" t="s">
        <v>1354</v>
      </c>
      <c r="D252" s="1" t="str">
        <f>"8023486632"</f>
        <v>8023486632</v>
      </c>
      <c r="E252" s="1">
        <v>3946</v>
      </c>
      <c r="F252" s="1" t="s">
        <v>28</v>
      </c>
      <c r="G252" s="1" t="s">
        <v>1355</v>
      </c>
      <c r="H252" s="1">
        <v>5231</v>
      </c>
      <c r="I252" s="1">
        <v>1</v>
      </c>
      <c r="J252" s="1" t="s">
        <v>1356</v>
      </c>
      <c r="K252" s="1" t="s">
        <v>144</v>
      </c>
      <c r="L252" s="1" t="s">
        <v>356</v>
      </c>
      <c r="M252" s="1" t="s">
        <v>1357</v>
      </c>
      <c r="N252" s="2">
        <v>36892</v>
      </c>
      <c r="O252" s="1"/>
      <c r="P252" s="2">
        <v>39646</v>
      </c>
      <c r="Q252" s="1" t="s">
        <v>34</v>
      </c>
      <c r="R252" s="1"/>
      <c r="S252" s="1" t="s">
        <v>35</v>
      </c>
      <c r="T252" s="1">
        <v>42.944439000000003</v>
      </c>
      <c r="U252" s="1">
        <v>-72.682470999999893</v>
      </c>
      <c r="V252" s="1" t="s">
        <v>1358</v>
      </c>
      <c r="W252" s="1"/>
      <c r="X252" s="1" t="s">
        <v>37</v>
      </c>
      <c r="Y252" s="1" t="s">
        <v>1359</v>
      </c>
      <c r="Z252" s="1">
        <v>5146</v>
      </c>
    </row>
    <row r="253" spans="1:26" ht="42">
      <c r="A253" s="1" t="str">
        <f>"000862"</f>
        <v>000862</v>
      </c>
      <c r="B253" s="1" t="s">
        <v>1353</v>
      </c>
      <c r="C253" s="1" t="s">
        <v>1354</v>
      </c>
      <c r="D253" s="1" t="str">
        <f>"8023486632"</f>
        <v>8023486632</v>
      </c>
      <c r="E253" s="1">
        <v>3946</v>
      </c>
      <c r="F253" s="1" t="s">
        <v>28</v>
      </c>
      <c r="G253" s="1" t="s">
        <v>1360</v>
      </c>
      <c r="H253" s="1"/>
      <c r="I253" s="1">
        <v>1</v>
      </c>
      <c r="J253" s="1" t="s">
        <v>1361</v>
      </c>
      <c r="K253" s="1" t="s">
        <v>144</v>
      </c>
      <c r="L253" s="1" t="s">
        <v>356</v>
      </c>
      <c r="M253" s="1" t="s">
        <v>1362</v>
      </c>
      <c r="N253" s="2">
        <v>42528</v>
      </c>
      <c r="O253" s="1"/>
      <c r="P253" s="1"/>
      <c r="Q253" s="1" t="s">
        <v>34</v>
      </c>
      <c r="R253" s="1"/>
      <c r="S253" s="1" t="s">
        <v>35</v>
      </c>
      <c r="T253" s="1">
        <v>42.904860900000003</v>
      </c>
      <c r="U253" s="1">
        <v>-72.717429899999999</v>
      </c>
      <c r="V253" s="1" t="s">
        <v>1363</v>
      </c>
      <c r="W253" s="1"/>
      <c r="X253" s="1" t="s">
        <v>37</v>
      </c>
      <c r="Y253" s="1" t="s">
        <v>359</v>
      </c>
      <c r="Z253" s="1">
        <v>5351</v>
      </c>
    </row>
    <row r="254" spans="1:26" ht="42">
      <c r="A254" s="1" t="str">
        <f>"00086H"</f>
        <v>00086H</v>
      </c>
      <c r="B254" s="1" t="s">
        <v>1364</v>
      </c>
      <c r="C254" s="1" t="s">
        <v>1365</v>
      </c>
      <c r="D254" s="1" t="str">
        <f>"8023659139"</f>
        <v>8023659139</v>
      </c>
      <c r="E254" s="1">
        <v>3556</v>
      </c>
      <c r="F254" s="1" t="s">
        <v>28</v>
      </c>
      <c r="G254" s="1" t="s">
        <v>1366</v>
      </c>
      <c r="H254" s="1">
        <v>4678</v>
      </c>
      <c r="I254" s="1">
        <v>2</v>
      </c>
      <c r="J254" s="1" t="s">
        <v>1367</v>
      </c>
      <c r="K254" s="1" t="s">
        <v>144</v>
      </c>
      <c r="L254" s="1" t="s">
        <v>356</v>
      </c>
      <c r="M254" s="1" t="s">
        <v>1368</v>
      </c>
      <c r="N254" s="2">
        <v>36892</v>
      </c>
      <c r="O254" s="1"/>
      <c r="P254" s="2">
        <v>38243</v>
      </c>
      <c r="Q254" s="1" t="s">
        <v>34</v>
      </c>
      <c r="R254" s="1"/>
      <c r="S254" s="1" t="s">
        <v>35</v>
      </c>
      <c r="T254" s="1">
        <v>42.972148999999902</v>
      </c>
      <c r="U254" s="1">
        <v>-72.679671999999897</v>
      </c>
      <c r="V254" s="1" t="s">
        <v>1369</v>
      </c>
      <c r="W254" s="1"/>
      <c r="X254" s="1" t="s">
        <v>37</v>
      </c>
      <c r="Y254" s="1" t="s">
        <v>1370</v>
      </c>
      <c r="Z254" s="1">
        <v>5345</v>
      </c>
    </row>
    <row r="255" spans="1:26" ht="42">
      <c r="A255" s="1" t="str">
        <f>"00086V"</f>
        <v>00086V</v>
      </c>
      <c r="B255" s="1" t="s">
        <v>1371</v>
      </c>
      <c r="C255" s="1" t="s">
        <v>1372</v>
      </c>
      <c r="D255" s="1" t="str">
        <f>"8028665650"</f>
        <v>8028665650</v>
      </c>
      <c r="E255" s="1">
        <v>1744</v>
      </c>
      <c r="F255" s="1" t="s">
        <v>28</v>
      </c>
      <c r="G255" s="1" t="s">
        <v>1373</v>
      </c>
      <c r="H255" s="1">
        <v>2203</v>
      </c>
      <c r="I255" s="1">
        <v>0</v>
      </c>
      <c r="J255" s="1" t="s">
        <v>1374</v>
      </c>
      <c r="K255" s="1" t="s">
        <v>68</v>
      </c>
      <c r="L255" s="1" t="s">
        <v>1375</v>
      </c>
      <c r="M255" s="1" t="s">
        <v>1376</v>
      </c>
      <c r="N255" s="2">
        <v>36892</v>
      </c>
      <c r="O255" s="1"/>
      <c r="P255" s="2">
        <v>34458</v>
      </c>
      <c r="Q255" s="1" t="s">
        <v>34</v>
      </c>
      <c r="R255" s="1"/>
      <c r="S255" s="1" t="s">
        <v>35</v>
      </c>
      <c r="T255" s="1">
        <v>44.068176800000003</v>
      </c>
      <c r="U255" s="1">
        <v>-72.053606899999906</v>
      </c>
      <c r="V255" s="1" t="s">
        <v>1377</v>
      </c>
      <c r="W255" s="1"/>
      <c r="X255" s="1" t="s">
        <v>37</v>
      </c>
      <c r="Y255" s="1" t="s">
        <v>1378</v>
      </c>
      <c r="Z255" s="1">
        <v>5051</v>
      </c>
    </row>
    <row r="256" spans="1:26" ht="42">
      <c r="A256" s="1" t="str">
        <f>"000871"</f>
        <v>000871</v>
      </c>
      <c r="B256" s="1" t="s">
        <v>1379</v>
      </c>
      <c r="C256" s="1" t="s">
        <v>1380</v>
      </c>
      <c r="D256" s="1" t="str">
        <f>"8027632439"</f>
        <v>8027632439</v>
      </c>
      <c r="E256" s="1">
        <v>2992</v>
      </c>
      <c r="F256" s="1" t="s">
        <v>28</v>
      </c>
      <c r="G256" s="1" t="s">
        <v>1381</v>
      </c>
      <c r="H256" s="1">
        <v>4483</v>
      </c>
      <c r="I256" s="1">
        <v>9</v>
      </c>
      <c r="J256" s="1" t="s">
        <v>1382</v>
      </c>
      <c r="K256" s="1" t="s">
        <v>68</v>
      </c>
      <c r="L256" s="1" t="s">
        <v>1383</v>
      </c>
      <c r="M256" s="1"/>
      <c r="N256" s="2">
        <v>36892</v>
      </c>
      <c r="O256" s="1"/>
      <c r="P256" s="2">
        <v>38855</v>
      </c>
      <c r="Q256" s="1" t="s">
        <v>34</v>
      </c>
      <c r="R256" s="1"/>
      <c r="S256" s="1" t="s">
        <v>35</v>
      </c>
      <c r="T256" s="1"/>
      <c r="U256" s="1"/>
      <c r="V256" s="1" t="s">
        <v>159</v>
      </c>
      <c r="W256" s="1"/>
      <c r="X256" s="1" t="s">
        <v>37</v>
      </c>
      <c r="Y256" s="1" t="s">
        <v>1384</v>
      </c>
      <c r="Z256" s="1"/>
    </row>
    <row r="257" spans="1:26" ht="42">
      <c r="A257" s="1" t="str">
        <f>"000871"</f>
        <v>000871</v>
      </c>
      <c r="B257" s="1" t="s">
        <v>1379</v>
      </c>
      <c r="C257" s="1" t="s">
        <v>1380</v>
      </c>
      <c r="D257" s="1" t="str">
        <f>"8027632439"</f>
        <v>8027632439</v>
      </c>
      <c r="E257" s="1">
        <v>2992</v>
      </c>
      <c r="F257" s="1" t="s">
        <v>28</v>
      </c>
      <c r="G257" s="1" t="s">
        <v>1385</v>
      </c>
      <c r="H257" s="1">
        <v>4286</v>
      </c>
      <c r="I257" s="1">
        <v>5</v>
      </c>
      <c r="J257" s="1" t="s">
        <v>1386</v>
      </c>
      <c r="K257" s="1" t="s">
        <v>68</v>
      </c>
      <c r="L257" s="1" t="s">
        <v>1383</v>
      </c>
      <c r="M257" s="1"/>
      <c r="N257" s="2">
        <v>36892</v>
      </c>
      <c r="O257" s="1"/>
      <c r="P257" s="2">
        <v>42944</v>
      </c>
      <c r="Q257" s="1" t="s">
        <v>34</v>
      </c>
      <c r="R257" s="1"/>
      <c r="S257" s="1" t="s">
        <v>35</v>
      </c>
      <c r="T257" s="1"/>
      <c r="U257" s="1"/>
      <c r="V257" s="1" t="s">
        <v>159</v>
      </c>
      <c r="W257" s="1"/>
      <c r="X257" s="1" t="s">
        <v>37</v>
      </c>
      <c r="Y257" s="1" t="s">
        <v>1384</v>
      </c>
      <c r="Z257" s="1"/>
    </row>
    <row r="258" spans="1:26" ht="42">
      <c r="A258" s="1" t="str">
        <f>"000871"</f>
        <v>000871</v>
      </c>
      <c r="B258" s="1" t="s">
        <v>1379</v>
      </c>
      <c r="C258" s="1" t="s">
        <v>1380</v>
      </c>
      <c r="D258" s="1" t="str">
        <f>"8027632439"</f>
        <v>8027632439</v>
      </c>
      <c r="E258" s="1">
        <v>2992</v>
      </c>
      <c r="F258" s="1" t="s">
        <v>28</v>
      </c>
      <c r="G258" s="1" t="s">
        <v>1387</v>
      </c>
      <c r="H258" s="1">
        <v>4687</v>
      </c>
      <c r="I258" s="1">
        <v>7</v>
      </c>
      <c r="J258" s="1" t="s">
        <v>1388</v>
      </c>
      <c r="K258" s="1" t="s">
        <v>68</v>
      </c>
      <c r="L258" s="1" t="s">
        <v>1383</v>
      </c>
      <c r="M258" s="1"/>
      <c r="N258" s="2">
        <v>36892</v>
      </c>
      <c r="O258" s="1"/>
      <c r="P258" s="2">
        <v>42944</v>
      </c>
      <c r="Q258" s="1" t="s">
        <v>34</v>
      </c>
      <c r="R258" s="1"/>
      <c r="S258" s="1" t="s">
        <v>35</v>
      </c>
      <c r="T258" s="1"/>
      <c r="U258" s="1"/>
      <c r="V258" s="1" t="s">
        <v>159</v>
      </c>
      <c r="W258" s="1"/>
      <c r="X258" s="1" t="s">
        <v>37</v>
      </c>
      <c r="Y258" s="1" t="s">
        <v>1384</v>
      </c>
      <c r="Z258" s="1"/>
    </row>
    <row r="259" spans="1:26" ht="42">
      <c r="A259" s="1" t="str">
        <f>"000871"</f>
        <v>000871</v>
      </c>
      <c r="B259" s="1" t="s">
        <v>1379</v>
      </c>
      <c r="C259" s="1" t="s">
        <v>1380</v>
      </c>
      <c r="D259" s="1" t="str">
        <f>"8027632439"</f>
        <v>8027632439</v>
      </c>
      <c r="E259" s="1">
        <v>2992</v>
      </c>
      <c r="F259" s="1" t="s">
        <v>28</v>
      </c>
      <c r="G259" s="1" t="s">
        <v>1389</v>
      </c>
      <c r="H259" s="1">
        <v>4285</v>
      </c>
      <c r="I259" s="1">
        <v>8</v>
      </c>
      <c r="J259" s="1" t="s">
        <v>1390</v>
      </c>
      <c r="K259" s="1" t="s">
        <v>77</v>
      </c>
      <c r="L259" s="1" t="s">
        <v>1391</v>
      </c>
      <c r="M259" s="1"/>
      <c r="N259" s="2">
        <v>36892</v>
      </c>
      <c r="O259" s="1"/>
      <c r="P259" s="2">
        <v>39745</v>
      </c>
      <c r="Q259" s="1" t="s">
        <v>34</v>
      </c>
      <c r="R259" s="1"/>
      <c r="S259" s="1" t="s">
        <v>35</v>
      </c>
      <c r="T259" s="1"/>
      <c r="U259" s="1"/>
      <c r="V259" s="1" t="s">
        <v>159</v>
      </c>
      <c r="W259" s="1"/>
      <c r="X259" s="1" t="s">
        <v>37</v>
      </c>
      <c r="Y259" s="1" t="s">
        <v>1392</v>
      </c>
      <c r="Z259" s="1"/>
    </row>
    <row r="260" spans="1:26" ht="42">
      <c r="A260" s="1" t="str">
        <f>"000871"</f>
        <v>000871</v>
      </c>
      <c r="B260" s="1" t="s">
        <v>1379</v>
      </c>
      <c r="C260" s="1" t="s">
        <v>1380</v>
      </c>
      <c r="D260" s="1" t="str">
        <f>"8027632439"</f>
        <v>8027632439</v>
      </c>
      <c r="E260" s="1">
        <v>2992</v>
      </c>
      <c r="F260" s="1" t="s">
        <v>28</v>
      </c>
      <c r="G260" s="1" t="s">
        <v>1393</v>
      </c>
      <c r="H260" s="1">
        <v>4415</v>
      </c>
      <c r="I260" s="1">
        <v>6</v>
      </c>
      <c r="J260" s="1" t="s">
        <v>1394</v>
      </c>
      <c r="K260" s="1" t="s">
        <v>77</v>
      </c>
      <c r="L260" s="1" t="s">
        <v>1391</v>
      </c>
      <c r="M260" s="1"/>
      <c r="N260" s="2">
        <v>36892</v>
      </c>
      <c r="O260" s="1"/>
      <c r="P260" s="2">
        <v>42944</v>
      </c>
      <c r="Q260" s="1" t="s">
        <v>34</v>
      </c>
      <c r="R260" s="1"/>
      <c r="S260" s="1" t="s">
        <v>35</v>
      </c>
      <c r="T260" s="1"/>
      <c r="U260" s="1"/>
      <c r="V260" s="1" t="s">
        <v>159</v>
      </c>
      <c r="W260" s="1"/>
      <c r="X260" s="1" t="s">
        <v>37</v>
      </c>
      <c r="Y260" s="1" t="s">
        <v>1392</v>
      </c>
      <c r="Z260" s="1"/>
    </row>
    <row r="261" spans="1:26" ht="42">
      <c r="A261" s="1" t="str">
        <f>"000871"</f>
        <v>000871</v>
      </c>
      <c r="B261" s="1" t="s">
        <v>1379</v>
      </c>
      <c r="C261" s="1" t="s">
        <v>1380</v>
      </c>
      <c r="D261" s="1" t="str">
        <f>"8027632439"</f>
        <v>8027632439</v>
      </c>
      <c r="E261" s="1">
        <v>2992</v>
      </c>
      <c r="F261" s="1" t="s">
        <v>28</v>
      </c>
      <c r="G261" s="1" t="s">
        <v>1395</v>
      </c>
      <c r="H261" s="1">
        <v>4081</v>
      </c>
      <c r="I261" s="1">
        <v>9</v>
      </c>
      <c r="J261" s="1" t="s">
        <v>470</v>
      </c>
      <c r="K261" s="1" t="s">
        <v>77</v>
      </c>
      <c r="L261" s="1" t="s">
        <v>1391</v>
      </c>
      <c r="M261" s="1" t="s">
        <v>1396</v>
      </c>
      <c r="N261" s="2">
        <v>36892</v>
      </c>
      <c r="O261" s="1"/>
      <c r="P261" s="2">
        <v>42944</v>
      </c>
      <c r="Q261" s="1" t="s">
        <v>34</v>
      </c>
      <c r="R261" s="1"/>
      <c r="S261" s="1" t="s">
        <v>35</v>
      </c>
      <c r="T261" s="1">
        <v>43.870503075614899</v>
      </c>
      <c r="U261" s="1">
        <v>-72.582544684410095</v>
      </c>
      <c r="V261" s="1" t="s">
        <v>1397</v>
      </c>
      <c r="W261" s="1"/>
      <c r="X261" s="1" t="s">
        <v>37</v>
      </c>
      <c r="Y261" s="1" t="s">
        <v>1398</v>
      </c>
      <c r="Z261" s="1">
        <v>5068</v>
      </c>
    </row>
    <row r="262" spans="1:26" ht="42">
      <c r="A262" s="1" t="str">
        <f>"000877"</f>
        <v>000877</v>
      </c>
      <c r="B262" s="1" t="s">
        <v>1399</v>
      </c>
      <c r="C262" s="1" t="s">
        <v>1400</v>
      </c>
      <c r="D262" s="1" t="str">
        <f>"8023334762"</f>
        <v>8023334762</v>
      </c>
      <c r="E262" s="1">
        <v>2902</v>
      </c>
      <c r="F262" s="1" t="s">
        <v>28</v>
      </c>
      <c r="G262" s="1" t="s">
        <v>1401</v>
      </c>
      <c r="H262" s="1"/>
      <c r="I262" s="1">
        <v>4</v>
      </c>
      <c r="J262" s="1" t="s">
        <v>1402</v>
      </c>
      <c r="K262" s="1" t="s">
        <v>68</v>
      </c>
      <c r="L262" s="1" t="s">
        <v>1403</v>
      </c>
      <c r="M262" s="1" t="s">
        <v>1404</v>
      </c>
      <c r="N262" s="2">
        <v>34834</v>
      </c>
      <c r="O262" s="1"/>
      <c r="P262" s="1"/>
      <c r="Q262" s="1" t="s">
        <v>34</v>
      </c>
      <c r="R262" s="1"/>
      <c r="S262" s="1" t="s">
        <v>35</v>
      </c>
      <c r="T262" s="1">
        <v>43.896968999999999</v>
      </c>
      <c r="U262" s="1">
        <v>-72.168380999999997</v>
      </c>
      <c r="V262" s="1" t="s">
        <v>1405</v>
      </c>
      <c r="W262" s="1"/>
      <c r="X262" s="1" t="s">
        <v>37</v>
      </c>
      <c r="Y262" s="1" t="s">
        <v>1406</v>
      </c>
      <c r="Z262" s="1">
        <v>5045</v>
      </c>
    </row>
    <row r="263" spans="1:26" ht="42">
      <c r="A263" s="1" t="str">
        <f>"00088H"</f>
        <v>00088H</v>
      </c>
      <c r="B263" s="1" t="s">
        <v>1407</v>
      </c>
      <c r="C263" s="1" t="s">
        <v>1408</v>
      </c>
      <c r="D263" s="1" t="str">
        <f>"8027442007"</f>
        <v>8027442007</v>
      </c>
      <c r="E263" s="1">
        <v>3222</v>
      </c>
      <c r="F263" s="1" t="s">
        <v>28</v>
      </c>
      <c r="G263" s="1" t="s">
        <v>1409</v>
      </c>
      <c r="H263" s="1">
        <v>5304</v>
      </c>
      <c r="I263" s="1">
        <v>32</v>
      </c>
      <c r="J263" s="1" t="s">
        <v>1410</v>
      </c>
      <c r="K263" s="1" t="s">
        <v>527</v>
      </c>
      <c r="L263" s="1" t="s">
        <v>1411</v>
      </c>
      <c r="M263" s="1" t="s">
        <v>1412</v>
      </c>
      <c r="N263" s="2">
        <v>36892</v>
      </c>
      <c r="O263" s="1"/>
      <c r="P263" s="2">
        <v>42234</v>
      </c>
      <c r="Q263" s="1" t="s">
        <v>34</v>
      </c>
      <c r="R263" s="1"/>
      <c r="S263" s="1" t="s">
        <v>35</v>
      </c>
      <c r="T263" s="1">
        <v>44.8904779</v>
      </c>
      <c r="U263" s="1">
        <v>-72.336508499999894</v>
      </c>
      <c r="V263" s="1" t="s">
        <v>1413</v>
      </c>
      <c r="W263" s="1"/>
      <c r="X263" s="1" t="s">
        <v>37</v>
      </c>
      <c r="Y263" s="1" t="s">
        <v>1411</v>
      </c>
      <c r="Z263" s="1">
        <v>5857</v>
      </c>
    </row>
    <row r="264" spans="1:26" ht="42">
      <c r="A264" s="1" t="str">
        <f>"00088H"</f>
        <v>00088H</v>
      </c>
      <c r="B264" s="1" t="s">
        <v>1407</v>
      </c>
      <c r="C264" s="1" t="s">
        <v>1408</v>
      </c>
      <c r="D264" s="1" t="str">
        <f>"8027442007"</f>
        <v>8027442007</v>
      </c>
      <c r="E264" s="1">
        <v>3222</v>
      </c>
      <c r="F264" s="1" t="s">
        <v>28</v>
      </c>
      <c r="G264" s="1" t="s">
        <v>1414</v>
      </c>
      <c r="H264" s="1"/>
      <c r="I264" s="1">
        <v>32</v>
      </c>
      <c r="J264" s="1" t="s">
        <v>1415</v>
      </c>
      <c r="K264" s="1" t="s">
        <v>428</v>
      </c>
      <c r="L264" s="1" t="s">
        <v>1416</v>
      </c>
      <c r="M264" s="1" t="s">
        <v>1415</v>
      </c>
      <c r="N264" s="2">
        <v>42955</v>
      </c>
      <c r="O264" s="1"/>
      <c r="P264" s="1"/>
      <c r="Q264" s="1" t="s">
        <v>34</v>
      </c>
      <c r="R264" s="1"/>
      <c r="S264" s="1" t="s">
        <v>35</v>
      </c>
      <c r="T264" s="1"/>
      <c r="U264" s="1"/>
      <c r="V264" s="1" t="s">
        <v>1417</v>
      </c>
      <c r="W264" s="1"/>
      <c r="X264" s="1" t="s">
        <v>37</v>
      </c>
      <c r="Y264" s="1" t="s">
        <v>1418</v>
      </c>
      <c r="Z264" s="1">
        <v>0</v>
      </c>
    </row>
    <row r="265" spans="1:26" ht="42">
      <c r="A265" s="1" t="str">
        <f>"00088H"</f>
        <v>00088H</v>
      </c>
      <c r="B265" s="1" t="s">
        <v>1407</v>
      </c>
      <c r="C265" s="1" t="s">
        <v>1408</v>
      </c>
      <c r="D265" s="1" t="str">
        <f>"8027442007"</f>
        <v>8027442007</v>
      </c>
      <c r="E265" s="1">
        <v>3222</v>
      </c>
      <c r="F265" s="1" t="s">
        <v>28</v>
      </c>
      <c r="G265" s="1" t="s">
        <v>1419</v>
      </c>
      <c r="H265" s="1"/>
      <c r="I265" s="1">
        <v>32</v>
      </c>
      <c r="J265" s="1" t="s">
        <v>1058</v>
      </c>
      <c r="K265" s="1" t="s">
        <v>152</v>
      </c>
      <c r="L265" s="1" t="s">
        <v>1057</v>
      </c>
      <c r="M265" s="1" t="s">
        <v>1420</v>
      </c>
      <c r="N265" s="2">
        <v>42955</v>
      </c>
      <c r="O265" s="1"/>
      <c r="P265" s="1"/>
      <c r="Q265" s="1" t="s">
        <v>34</v>
      </c>
      <c r="R265" s="1"/>
      <c r="S265" s="1" t="s">
        <v>35</v>
      </c>
      <c r="T265" s="1">
        <v>44.985993299999997</v>
      </c>
      <c r="U265" s="1">
        <v>-72.917862600000007</v>
      </c>
      <c r="V265" s="1" t="s">
        <v>1421</v>
      </c>
      <c r="W265" s="1"/>
      <c r="X265" s="1" t="s">
        <v>37</v>
      </c>
      <c r="Y265" s="1" t="s">
        <v>1059</v>
      </c>
      <c r="Z265" s="1">
        <v>5457</v>
      </c>
    </row>
    <row r="266" spans="1:26" ht="42">
      <c r="A266" s="1" t="str">
        <f>"00088H"</f>
        <v>00088H</v>
      </c>
      <c r="B266" s="1" t="s">
        <v>1407</v>
      </c>
      <c r="C266" s="1" t="s">
        <v>1408</v>
      </c>
      <c r="D266" s="1" t="str">
        <f>"8027442007"</f>
        <v>8027442007</v>
      </c>
      <c r="E266" s="1">
        <v>3222</v>
      </c>
      <c r="F266" s="1" t="s">
        <v>28</v>
      </c>
      <c r="G266" s="1" t="s">
        <v>1422</v>
      </c>
      <c r="H266" s="1"/>
      <c r="I266" s="1">
        <v>32</v>
      </c>
      <c r="J266" s="1" t="s">
        <v>1423</v>
      </c>
      <c r="K266" s="1" t="s">
        <v>152</v>
      </c>
      <c r="L266" s="1" t="s">
        <v>1054</v>
      </c>
      <c r="M266" s="1" t="s">
        <v>1424</v>
      </c>
      <c r="N266" s="2">
        <v>42955</v>
      </c>
      <c r="O266" s="1"/>
      <c r="P266" s="1"/>
      <c r="Q266" s="1" t="s">
        <v>34</v>
      </c>
      <c r="R266" s="1"/>
      <c r="S266" s="1" t="s">
        <v>35</v>
      </c>
      <c r="T266" s="1">
        <v>44.929902899999902</v>
      </c>
      <c r="U266" s="1">
        <v>-72.996063499999906</v>
      </c>
      <c r="V266" s="1" t="s">
        <v>1425</v>
      </c>
      <c r="W266" s="1"/>
      <c r="X266" s="1" t="s">
        <v>37</v>
      </c>
      <c r="Y266" s="1" t="s">
        <v>1426</v>
      </c>
      <c r="Z266" s="1">
        <v>5459</v>
      </c>
    </row>
    <row r="267" spans="1:26" ht="42">
      <c r="A267" s="1" t="str">
        <f>"00088H"</f>
        <v>00088H</v>
      </c>
      <c r="B267" s="1" t="s">
        <v>1407</v>
      </c>
      <c r="C267" s="1" t="s">
        <v>1408</v>
      </c>
      <c r="D267" s="1" t="str">
        <f>"8027442007"</f>
        <v>8027442007</v>
      </c>
      <c r="E267" s="1">
        <v>3222</v>
      </c>
      <c r="F267" s="1" t="s">
        <v>28</v>
      </c>
      <c r="G267" s="1" t="s">
        <v>1427</v>
      </c>
      <c r="H267" s="1"/>
      <c r="I267" s="1">
        <v>21</v>
      </c>
      <c r="J267" s="1" t="s">
        <v>1428</v>
      </c>
      <c r="K267" s="1" t="s">
        <v>152</v>
      </c>
      <c r="L267" s="1" t="s">
        <v>1057</v>
      </c>
      <c r="M267" s="1" t="s">
        <v>1429</v>
      </c>
      <c r="N267" s="2">
        <v>42955</v>
      </c>
      <c r="O267" s="1"/>
      <c r="P267" s="1"/>
      <c r="Q267" s="1" t="s">
        <v>34</v>
      </c>
      <c r="R267" s="1"/>
      <c r="S267" s="1" t="s">
        <v>35</v>
      </c>
      <c r="T267" s="1"/>
      <c r="U267" s="1"/>
      <c r="V267" s="1" t="s">
        <v>158</v>
      </c>
      <c r="W267" s="1"/>
      <c r="X267" s="1" t="s">
        <v>37</v>
      </c>
      <c r="Y267" s="1" t="s">
        <v>1426</v>
      </c>
      <c r="Z267" s="1">
        <v>0</v>
      </c>
    </row>
    <row r="268" spans="1:26" ht="42">
      <c r="A268" s="1" t="str">
        <f>"00088H"</f>
        <v>00088H</v>
      </c>
      <c r="B268" s="1" t="s">
        <v>1407</v>
      </c>
      <c r="C268" s="1" t="s">
        <v>1408</v>
      </c>
      <c r="D268" s="1" t="str">
        <f>"8027442007"</f>
        <v>8027442007</v>
      </c>
      <c r="E268" s="1">
        <v>3222</v>
      </c>
      <c r="F268" s="1" t="s">
        <v>28</v>
      </c>
      <c r="G268" s="1" t="s">
        <v>1430</v>
      </c>
      <c r="H268" s="1"/>
      <c r="I268" s="1">
        <v>32</v>
      </c>
      <c r="J268" s="1" t="s">
        <v>1431</v>
      </c>
      <c r="K268" s="1" t="s">
        <v>152</v>
      </c>
      <c r="L268" s="1" t="s">
        <v>1054</v>
      </c>
      <c r="M268" s="1" t="s">
        <v>1432</v>
      </c>
      <c r="N268" s="2">
        <v>42955</v>
      </c>
      <c r="O268" s="1"/>
      <c r="P268" s="1"/>
      <c r="Q268" s="1" t="s">
        <v>34</v>
      </c>
      <c r="R268" s="1"/>
      <c r="S268" s="1" t="s">
        <v>35</v>
      </c>
      <c r="T268" s="1">
        <v>44.986360300000001</v>
      </c>
      <c r="U268" s="1">
        <v>-72.917993899999999</v>
      </c>
      <c r="V268" s="1" t="s">
        <v>1433</v>
      </c>
      <c r="W268" s="1"/>
      <c r="X268" s="1" t="s">
        <v>37</v>
      </c>
      <c r="Y268" s="1" t="s">
        <v>152</v>
      </c>
      <c r="Z268" s="1">
        <v>5457</v>
      </c>
    </row>
    <row r="269" spans="1:26" ht="42">
      <c r="A269" s="1" t="str">
        <f>"00088H"</f>
        <v>00088H</v>
      </c>
      <c r="B269" s="1" t="s">
        <v>1407</v>
      </c>
      <c r="C269" s="1" t="s">
        <v>1408</v>
      </c>
      <c r="D269" s="1" t="str">
        <f>"8027442007"</f>
        <v>8027442007</v>
      </c>
      <c r="E269" s="1">
        <v>3222</v>
      </c>
      <c r="F269" s="1" t="s">
        <v>28</v>
      </c>
      <c r="G269" s="1" t="s">
        <v>1434</v>
      </c>
      <c r="H269" s="1"/>
      <c r="I269" s="1">
        <v>1000</v>
      </c>
      <c r="J269" s="1" t="s">
        <v>1435</v>
      </c>
      <c r="K269" s="1" t="s">
        <v>527</v>
      </c>
      <c r="L269" s="1" t="s">
        <v>1436</v>
      </c>
      <c r="M269" s="1" t="s">
        <v>1435</v>
      </c>
      <c r="N269" s="2">
        <v>42955</v>
      </c>
      <c r="O269" s="1"/>
      <c r="P269" s="1"/>
      <c r="Q269" s="1" t="s">
        <v>34</v>
      </c>
      <c r="R269" s="1"/>
      <c r="S269" s="1" t="s">
        <v>35</v>
      </c>
      <c r="T269" s="1">
        <v>44.998204000000001</v>
      </c>
      <c r="U269" s="1">
        <v>-72.361797099999905</v>
      </c>
      <c r="V269" s="1" t="s">
        <v>1437</v>
      </c>
      <c r="W269" s="1"/>
      <c r="X269" s="1" t="s">
        <v>37</v>
      </c>
      <c r="Y269" s="1" t="s">
        <v>1438</v>
      </c>
      <c r="Z269" s="1">
        <v>5859</v>
      </c>
    </row>
    <row r="270" spans="1:26" ht="42">
      <c r="A270" s="1" t="str">
        <f>"00088H"</f>
        <v>00088H</v>
      </c>
      <c r="B270" s="1" t="s">
        <v>1407</v>
      </c>
      <c r="C270" s="1" t="s">
        <v>1408</v>
      </c>
      <c r="D270" s="1" t="str">
        <f>"8027442007"</f>
        <v>8027442007</v>
      </c>
      <c r="E270" s="1">
        <v>3222</v>
      </c>
      <c r="F270" s="1" t="s">
        <v>28</v>
      </c>
      <c r="G270" s="1" t="s">
        <v>1439</v>
      </c>
      <c r="H270" s="1"/>
      <c r="I270" s="1">
        <v>32</v>
      </c>
      <c r="J270" s="1" t="s">
        <v>1440</v>
      </c>
      <c r="K270" s="1" t="s">
        <v>152</v>
      </c>
      <c r="L270" s="1" t="s">
        <v>1083</v>
      </c>
      <c r="M270" s="1" t="s">
        <v>1441</v>
      </c>
      <c r="N270" s="2">
        <v>42955</v>
      </c>
      <c r="O270" s="1"/>
      <c r="P270" s="1"/>
      <c r="Q270" s="1" t="s">
        <v>34</v>
      </c>
      <c r="R270" s="1"/>
      <c r="S270" s="1" t="s">
        <v>35</v>
      </c>
      <c r="T270" s="1">
        <v>44.841151400000001</v>
      </c>
      <c r="U270" s="1">
        <v>-72.696093300000001</v>
      </c>
      <c r="V270" s="1" t="s">
        <v>1442</v>
      </c>
      <c r="W270" s="1"/>
      <c r="X270" s="1" t="s">
        <v>37</v>
      </c>
      <c r="Y270" s="1" t="s">
        <v>1086</v>
      </c>
      <c r="Z270" s="1">
        <v>5450</v>
      </c>
    </row>
    <row r="271" spans="1:26" ht="42">
      <c r="A271" s="1" t="str">
        <f>"00088H"</f>
        <v>00088H</v>
      </c>
      <c r="B271" s="1" t="s">
        <v>1407</v>
      </c>
      <c r="C271" s="1" t="s">
        <v>1408</v>
      </c>
      <c r="D271" s="1" t="str">
        <f>"8027442007"</f>
        <v>8027442007</v>
      </c>
      <c r="E271" s="1">
        <v>3222</v>
      </c>
      <c r="F271" s="1" t="s">
        <v>28</v>
      </c>
      <c r="G271" s="1" t="s">
        <v>1443</v>
      </c>
      <c r="H271" s="1"/>
      <c r="I271" s="1">
        <v>32</v>
      </c>
      <c r="J271" s="1" t="s">
        <v>1444</v>
      </c>
      <c r="K271" s="1" t="s">
        <v>152</v>
      </c>
      <c r="L271" s="1" t="s">
        <v>1083</v>
      </c>
      <c r="M271" s="1" t="s">
        <v>1445</v>
      </c>
      <c r="N271" s="2">
        <v>42955</v>
      </c>
      <c r="O271" s="1"/>
      <c r="P271" s="1"/>
      <c r="Q271" s="1" t="s">
        <v>34</v>
      </c>
      <c r="R271" s="1"/>
      <c r="S271" s="1" t="s">
        <v>35</v>
      </c>
      <c r="T271" s="1">
        <v>44.923392</v>
      </c>
      <c r="U271" s="1">
        <v>-72.713858000000002</v>
      </c>
      <c r="V271" s="1" t="s">
        <v>1446</v>
      </c>
      <c r="W271" s="1"/>
      <c r="X271" s="1" t="s">
        <v>37</v>
      </c>
      <c r="Y271" s="1" t="s">
        <v>1447</v>
      </c>
      <c r="Z271" s="1">
        <v>5476</v>
      </c>
    </row>
    <row r="272" spans="1:26" ht="42">
      <c r="A272" s="1" t="str">
        <f>"00088H"</f>
        <v>00088H</v>
      </c>
      <c r="B272" s="1" t="s">
        <v>1407</v>
      </c>
      <c r="C272" s="1" t="s">
        <v>1408</v>
      </c>
      <c r="D272" s="1" t="str">
        <f>"8027442007"</f>
        <v>8027442007</v>
      </c>
      <c r="E272" s="1">
        <v>3222</v>
      </c>
      <c r="F272" s="1" t="s">
        <v>28</v>
      </c>
      <c r="G272" s="1" t="s">
        <v>1448</v>
      </c>
      <c r="H272" s="1"/>
      <c r="I272" s="1">
        <v>32</v>
      </c>
      <c r="J272" s="1" t="s">
        <v>1449</v>
      </c>
      <c r="K272" s="1" t="s">
        <v>152</v>
      </c>
      <c r="L272" s="1" t="s">
        <v>1054</v>
      </c>
      <c r="M272" s="1" t="s">
        <v>1450</v>
      </c>
      <c r="N272" s="2">
        <v>42955</v>
      </c>
      <c r="O272" s="1"/>
      <c r="P272" s="1"/>
      <c r="Q272" s="1" t="s">
        <v>34</v>
      </c>
      <c r="R272" s="1"/>
      <c r="S272" s="1" t="s">
        <v>35</v>
      </c>
      <c r="T272" s="1">
        <v>44.9621073</v>
      </c>
      <c r="U272" s="1">
        <v>-72.844690200000002</v>
      </c>
      <c r="V272" s="1" t="s">
        <v>1451</v>
      </c>
      <c r="W272" s="1"/>
      <c r="X272" s="1" t="s">
        <v>37</v>
      </c>
      <c r="Y272" s="1" t="s">
        <v>152</v>
      </c>
      <c r="Z272" s="1">
        <v>5450</v>
      </c>
    </row>
    <row r="273" spans="1:26" ht="42">
      <c r="A273" s="1" t="str">
        <f>"00088H"</f>
        <v>00088H</v>
      </c>
      <c r="B273" s="1" t="s">
        <v>1407</v>
      </c>
      <c r="C273" s="1" t="s">
        <v>1408</v>
      </c>
      <c r="D273" s="1" t="str">
        <f>"8027442007"</f>
        <v>8027442007</v>
      </c>
      <c r="E273" s="1">
        <v>3222</v>
      </c>
      <c r="F273" s="1" t="s">
        <v>28</v>
      </c>
      <c r="G273" s="1" t="s">
        <v>1452</v>
      </c>
      <c r="H273" s="1"/>
      <c r="I273" s="1">
        <v>32</v>
      </c>
      <c r="J273" s="1" t="s">
        <v>1453</v>
      </c>
      <c r="K273" s="1" t="s">
        <v>152</v>
      </c>
      <c r="L273" s="1" t="s">
        <v>1137</v>
      </c>
      <c r="M273" s="1" t="s">
        <v>1454</v>
      </c>
      <c r="N273" s="2">
        <v>42955</v>
      </c>
      <c r="O273" s="1"/>
      <c r="P273" s="1"/>
      <c r="Q273" s="1" t="s">
        <v>34</v>
      </c>
      <c r="R273" s="1"/>
      <c r="S273" s="1" t="s">
        <v>35</v>
      </c>
      <c r="T273" s="1">
        <v>44.965000099999997</v>
      </c>
      <c r="U273" s="1">
        <v>-73.055910900000001</v>
      </c>
      <c r="V273" s="1" t="s">
        <v>1455</v>
      </c>
      <c r="W273" s="1"/>
      <c r="X273" s="1" t="s">
        <v>37</v>
      </c>
      <c r="Y273" s="1" t="s">
        <v>1140</v>
      </c>
      <c r="Z273" s="1">
        <v>5488</v>
      </c>
    </row>
    <row r="274" spans="1:26" ht="42">
      <c r="A274" s="1" t="str">
        <f>"00088H"</f>
        <v>00088H</v>
      </c>
      <c r="B274" s="1" t="s">
        <v>1407</v>
      </c>
      <c r="C274" s="1" t="s">
        <v>1408</v>
      </c>
      <c r="D274" s="1" t="str">
        <f>"8027442007"</f>
        <v>8027442007</v>
      </c>
      <c r="E274" s="1">
        <v>3222</v>
      </c>
      <c r="F274" s="1" t="s">
        <v>28</v>
      </c>
      <c r="G274" s="1" t="s">
        <v>1456</v>
      </c>
      <c r="H274" s="1"/>
      <c r="I274" s="1">
        <v>32</v>
      </c>
      <c r="J274" s="1" t="s">
        <v>1457</v>
      </c>
      <c r="K274" s="1" t="s">
        <v>428</v>
      </c>
      <c r="L274" s="1" t="s">
        <v>1458</v>
      </c>
      <c r="M274" s="1" t="s">
        <v>1457</v>
      </c>
      <c r="N274" s="2">
        <v>42955</v>
      </c>
      <c r="O274" s="1"/>
      <c r="P274" s="1"/>
      <c r="Q274" s="1" t="s">
        <v>34</v>
      </c>
      <c r="R274" s="1"/>
      <c r="S274" s="1" t="s">
        <v>35</v>
      </c>
      <c r="T274" s="1">
        <v>44.650058999999999</v>
      </c>
      <c r="U274" s="1">
        <v>-73.279868999999906</v>
      </c>
      <c r="V274" s="1" t="s">
        <v>1459</v>
      </c>
      <c r="W274" s="1"/>
      <c r="X274" s="1" t="s">
        <v>37</v>
      </c>
      <c r="Y274" s="1" t="s">
        <v>1460</v>
      </c>
      <c r="Z274" s="1">
        <v>5486</v>
      </c>
    </row>
    <row r="275" spans="1:26" ht="42">
      <c r="A275" s="1" t="str">
        <f>"00088H"</f>
        <v>00088H</v>
      </c>
      <c r="B275" s="1" t="s">
        <v>1407</v>
      </c>
      <c r="C275" s="1" t="s">
        <v>1408</v>
      </c>
      <c r="D275" s="1" t="str">
        <f>"8027442007"</f>
        <v>8027442007</v>
      </c>
      <c r="E275" s="1">
        <v>3222</v>
      </c>
      <c r="F275" s="1" t="s">
        <v>28</v>
      </c>
      <c r="G275" s="1" t="s">
        <v>1461</v>
      </c>
      <c r="H275" s="1"/>
      <c r="I275" s="1">
        <v>32</v>
      </c>
      <c r="J275" s="1" t="s">
        <v>1462</v>
      </c>
      <c r="K275" s="1" t="s">
        <v>152</v>
      </c>
      <c r="L275" s="1" t="s">
        <v>1054</v>
      </c>
      <c r="M275" s="1" t="s">
        <v>1463</v>
      </c>
      <c r="N275" s="2">
        <v>42955</v>
      </c>
      <c r="O275" s="1"/>
      <c r="P275" s="1"/>
      <c r="Q275" s="1" t="s">
        <v>34</v>
      </c>
      <c r="R275" s="1"/>
      <c r="S275" s="1" t="s">
        <v>35</v>
      </c>
      <c r="T275" s="1">
        <v>44.991513699999999</v>
      </c>
      <c r="U275" s="1">
        <v>-72.966292600000003</v>
      </c>
      <c r="V275" s="1" t="s">
        <v>1464</v>
      </c>
      <c r="W275" s="1"/>
      <c r="X275" s="1" t="s">
        <v>37</v>
      </c>
      <c r="Y275" s="1" t="s">
        <v>152</v>
      </c>
      <c r="Z275" s="1">
        <v>5457</v>
      </c>
    </row>
    <row r="276" spans="1:26" ht="42">
      <c r="A276" s="1" t="str">
        <f>"00088H"</f>
        <v>00088H</v>
      </c>
      <c r="B276" s="1" t="s">
        <v>1407</v>
      </c>
      <c r="C276" s="1" t="s">
        <v>1408</v>
      </c>
      <c r="D276" s="1" t="str">
        <f>"8027442007"</f>
        <v>8027442007</v>
      </c>
      <c r="E276" s="1">
        <v>3222</v>
      </c>
      <c r="F276" s="1" t="s">
        <v>28</v>
      </c>
      <c r="G276" s="1" t="s">
        <v>1465</v>
      </c>
      <c r="H276" s="1"/>
      <c r="I276" s="1">
        <v>32</v>
      </c>
      <c r="J276" s="1" t="s">
        <v>1466</v>
      </c>
      <c r="K276" s="1" t="s">
        <v>152</v>
      </c>
      <c r="L276" s="1" t="s">
        <v>1057</v>
      </c>
      <c r="M276" s="1" t="s">
        <v>1467</v>
      </c>
      <c r="N276" s="2">
        <v>42955</v>
      </c>
      <c r="O276" s="1"/>
      <c r="P276" s="1"/>
      <c r="Q276" s="1" t="s">
        <v>34</v>
      </c>
      <c r="R276" s="1"/>
      <c r="S276" s="1" t="s">
        <v>35</v>
      </c>
      <c r="T276" s="1">
        <v>44.9671558</v>
      </c>
      <c r="U276" s="1">
        <v>-73.015634399999996</v>
      </c>
      <c r="V276" s="1" t="s">
        <v>1468</v>
      </c>
      <c r="W276" s="1"/>
      <c r="X276" s="1" t="s">
        <v>37</v>
      </c>
      <c r="Y276" s="1" t="s">
        <v>1469</v>
      </c>
      <c r="Z276" s="1">
        <v>5459</v>
      </c>
    </row>
    <row r="277" spans="1:26" ht="42">
      <c r="A277" s="1" t="str">
        <f>"00088H"</f>
        <v>00088H</v>
      </c>
      <c r="B277" s="1" t="s">
        <v>1407</v>
      </c>
      <c r="C277" s="1" t="s">
        <v>1408</v>
      </c>
      <c r="D277" s="1" t="str">
        <f>"8027442007"</f>
        <v>8027442007</v>
      </c>
      <c r="E277" s="1">
        <v>3222</v>
      </c>
      <c r="F277" s="1" t="s">
        <v>28</v>
      </c>
      <c r="G277" s="1" t="s">
        <v>1470</v>
      </c>
      <c r="H277" s="1"/>
      <c r="I277" s="1">
        <v>32</v>
      </c>
      <c r="J277" s="1" t="s">
        <v>1471</v>
      </c>
      <c r="K277" s="1" t="s">
        <v>527</v>
      </c>
      <c r="L277" s="1" t="s">
        <v>1411</v>
      </c>
      <c r="M277" s="1" t="s">
        <v>1471</v>
      </c>
      <c r="N277" s="2">
        <v>42573</v>
      </c>
      <c r="O277" s="1"/>
      <c r="P277" s="1"/>
      <c r="Q277" s="1" t="s">
        <v>34</v>
      </c>
      <c r="R277" s="1"/>
      <c r="S277" s="1" t="s">
        <v>35</v>
      </c>
      <c r="T277" s="1">
        <v>44.919060000000002</v>
      </c>
      <c r="U277" s="1">
        <v>-73.320849999999993</v>
      </c>
      <c r="V277" s="1" t="s">
        <v>158</v>
      </c>
      <c r="W277" s="1"/>
      <c r="X277" s="1" t="s">
        <v>37</v>
      </c>
      <c r="Y277" s="1" t="s">
        <v>535</v>
      </c>
      <c r="Z277" s="1">
        <v>0</v>
      </c>
    </row>
    <row r="278" spans="1:26" ht="42">
      <c r="A278" s="1" t="str">
        <f>"00088H"</f>
        <v>00088H</v>
      </c>
      <c r="B278" s="1" t="s">
        <v>1407</v>
      </c>
      <c r="C278" s="1" t="s">
        <v>1408</v>
      </c>
      <c r="D278" s="1" t="str">
        <f>"8027442007"</f>
        <v>8027442007</v>
      </c>
      <c r="E278" s="1">
        <v>3222</v>
      </c>
      <c r="F278" s="1" t="s">
        <v>28</v>
      </c>
      <c r="G278" s="1" t="s">
        <v>1472</v>
      </c>
      <c r="H278" s="1"/>
      <c r="I278" s="1">
        <v>32</v>
      </c>
      <c r="J278" s="1" t="s">
        <v>1473</v>
      </c>
      <c r="K278" s="1" t="s">
        <v>527</v>
      </c>
      <c r="L278" s="1" t="s">
        <v>1411</v>
      </c>
      <c r="M278" s="1" t="s">
        <v>1474</v>
      </c>
      <c r="N278" s="2">
        <v>42955</v>
      </c>
      <c r="O278" s="1"/>
      <c r="P278" s="1"/>
      <c r="Q278" s="1" t="s">
        <v>34</v>
      </c>
      <c r="R278" s="1"/>
      <c r="S278" s="1" t="s">
        <v>35</v>
      </c>
      <c r="T278" s="1">
        <v>44.916939399999997</v>
      </c>
      <c r="U278" s="1">
        <v>-72.245291299999906</v>
      </c>
      <c r="V278" s="1" t="s">
        <v>1475</v>
      </c>
      <c r="W278" s="1"/>
      <c r="X278" s="1" t="s">
        <v>37</v>
      </c>
      <c r="Y278" s="1" t="s">
        <v>535</v>
      </c>
      <c r="Z278" s="1">
        <v>5855</v>
      </c>
    </row>
    <row r="279" spans="1:26" ht="42">
      <c r="A279" s="1" t="str">
        <f>"00088H"</f>
        <v>00088H</v>
      </c>
      <c r="B279" s="1" t="s">
        <v>1407</v>
      </c>
      <c r="C279" s="1" t="s">
        <v>1408</v>
      </c>
      <c r="D279" s="1" t="str">
        <f>"8027442007"</f>
        <v>8027442007</v>
      </c>
      <c r="E279" s="1">
        <v>3222</v>
      </c>
      <c r="F279" s="1" t="s">
        <v>28</v>
      </c>
      <c r="G279" s="1" t="s">
        <v>1476</v>
      </c>
      <c r="H279" s="1"/>
      <c r="I279" s="1">
        <v>32</v>
      </c>
      <c r="J279" s="1" t="s">
        <v>1477</v>
      </c>
      <c r="K279" s="1" t="s">
        <v>152</v>
      </c>
      <c r="L279" s="1" t="s">
        <v>1054</v>
      </c>
      <c r="M279" s="1" t="s">
        <v>1478</v>
      </c>
      <c r="N279" s="2">
        <v>42194</v>
      </c>
      <c r="O279" s="1"/>
      <c r="P279" s="1"/>
      <c r="Q279" s="1" t="s">
        <v>34</v>
      </c>
      <c r="R279" s="1"/>
      <c r="S279" s="1" t="s">
        <v>35</v>
      </c>
      <c r="T279" s="1"/>
      <c r="U279" s="1"/>
      <c r="V279" s="1" t="s">
        <v>158</v>
      </c>
      <c r="W279" s="1"/>
      <c r="X279" s="1" t="s">
        <v>37</v>
      </c>
      <c r="Y279" s="1" t="s">
        <v>152</v>
      </c>
      <c r="Z279" s="1">
        <v>0</v>
      </c>
    </row>
    <row r="280" spans="1:26" ht="42">
      <c r="A280" s="1" t="str">
        <f>"00088H"</f>
        <v>00088H</v>
      </c>
      <c r="B280" s="1" t="s">
        <v>1407</v>
      </c>
      <c r="C280" s="1" t="s">
        <v>1408</v>
      </c>
      <c r="D280" s="1" t="str">
        <f>"8027442007"</f>
        <v>8027442007</v>
      </c>
      <c r="E280" s="1">
        <v>3222</v>
      </c>
      <c r="F280" s="1" t="s">
        <v>28</v>
      </c>
      <c r="G280" s="1" t="s">
        <v>1479</v>
      </c>
      <c r="H280" s="1"/>
      <c r="I280" s="1">
        <v>32</v>
      </c>
      <c r="J280" s="1" t="s">
        <v>1480</v>
      </c>
      <c r="K280" s="1" t="s">
        <v>527</v>
      </c>
      <c r="L280" s="1" t="s">
        <v>1481</v>
      </c>
      <c r="M280" s="1" t="s">
        <v>1482</v>
      </c>
      <c r="N280" s="2">
        <v>42194</v>
      </c>
      <c r="O280" s="1"/>
      <c r="P280" s="2">
        <v>42234</v>
      </c>
      <c r="Q280" s="1" t="s">
        <v>34</v>
      </c>
      <c r="R280" s="1"/>
      <c r="S280" s="1" t="s">
        <v>35</v>
      </c>
      <c r="T280" s="1">
        <v>44.893569999999997</v>
      </c>
      <c r="U280" s="1">
        <v>-72.413599999999903</v>
      </c>
      <c r="V280" s="1" t="s">
        <v>1483</v>
      </c>
      <c r="W280" s="1"/>
      <c r="X280" s="1" t="s">
        <v>37</v>
      </c>
      <c r="Y280" s="1" t="s">
        <v>1484</v>
      </c>
      <c r="Z280" s="1">
        <v>5868</v>
      </c>
    </row>
    <row r="281" spans="1:26" ht="42">
      <c r="A281" s="1" t="str">
        <f>"00088H"</f>
        <v>00088H</v>
      </c>
      <c r="B281" s="1" t="s">
        <v>1407</v>
      </c>
      <c r="C281" s="1" t="s">
        <v>1408</v>
      </c>
      <c r="D281" s="1" t="str">
        <f>"8027442007"</f>
        <v>8027442007</v>
      </c>
      <c r="E281" s="1">
        <v>3222</v>
      </c>
      <c r="F281" s="1" t="s">
        <v>28</v>
      </c>
      <c r="G281" s="1" t="s">
        <v>1485</v>
      </c>
      <c r="H281" s="1"/>
      <c r="I281" s="1">
        <v>32</v>
      </c>
      <c r="J281" s="1" t="s">
        <v>1486</v>
      </c>
      <c r="K281" s="1" t="s">
        <v>152</v>
      </c>
      <c r="L281" s="1"/>
      <c r="M281" s="1" t="s">
        <v>1487</v>
      </c>
      <c r="N281" s="2">
        <v>42194</v>
      </c>
      <c r="O281" s="1"/>
      <c r="P281" s="1"/>
      <c r="Q281" s="1" t="s">
        <v>34</v>
      </c>
      <c r="R281" s="1"/>
      <c r="S281" s="1" t="s">
        <v>35</v>
      </c>
      <c r="T281" s="1">
        <v>44.966471995203598</v>
      </c>
      <c r="U281" s="1">
        <v>-72.790380478036198</v>
      </c>
      <c r="V281" s="1" t="s">
        <v>1488</v>
      </c>
      <c r="W281" s="1"/>
      <c r="X281" s="1" t="s">
        <v>37</v>
      </c>
      <c r="Y281" s="1" t="s">
        <v>1489</v>
      </c>
      <c r="Z281" s="1">
        <v>5450</v>
      </c>
    </row>
    <row r="282" spans="1:26" ht="42">
      <c r="A282" s="1" t="str">
        <f>"00088H"</f>
        <v>00088H</v>
      </c>
      <c r="B282" s="1" t="s">
        <v>1407</v>
      </c>
      <c r="C282" s="1" t="s">
        <v>1408</v>
      </c>
      <c r="D282" s="1" t="str">
        <f>"8027442007"</f>
        <v>8027442007</v>
      </c>
      <c r="E282" s="1">
        <v>3222</v>
      </c>
      <c r="F282" s="1" t="s">
        <v>28</v>
      </c>
      <c r="G282" s="1" t="s">
        <v>1490</v>
      </c>
      <c r="H282" s="1"/>
      <c r="I282" s="1">
        <v>32</v>
      </c>
      <c r="J282" s="1" t="s">
        <v>1491</v>
      </c>
      <c r="K282" s="1" t="s">
        <v>152</v>
      </c>
      <c r="L282" s="1" t="s">
        <v>1057</v>
      </c>
      <c r="M282" s="1" t="s">
        <v>1491</v>
      </c>
      <c r="N282" s="2">
        <v>42194</v>
      </c>
      <c r="O282" s="1"/>
      <c r="P282" s="1"/>
      <c r="Q282" s="1" t="s">
        <v>34</v>
      </c>
      <c r="R282" s="1"/>
      <c r="S282" s="1" t="s">
        <v>35</v>
      </c>
      <c r="T282" s="1">
        <v>44.945689999999999</v>
      </c>
      <c r="U282" s="1">
        <v>-73.010930000000002</v>
      </c>
      <c r="V282" s="1" t="s">
        <v>1492</v>
      </c>
      <c r="W282" s="1"/>
      <c r="X282" s="1" t="s">
        <v>37</v>
      </c>
      <c r="Y282" s="1" t="s">
        <v>1059</v>
      </c>
      <c r="Z282" s="1">
        <v>5459</v>
      </c>
    </row>
    <row r="283" spans="1:26" ht="42">
      <c r="A283" s="1" t="str">
        <f>"00088H"</f>
        <v>00088H</v>
      </c>
      <c r="B283" s="1" t="s">
        <v>1407</v>
      </c>
      <c r="C283" s="1" t="s">
        <v>1408</v>
      </c>
      <c r="D283" s="1" t="str">
        <f>"8027442007"</f>
        <v>8027442007</v>
      </c>
      <c r="E283" s="1">
        <v>3222</v>
      </c>
      <c r="F283" s="1" t="s">
        <v>28</v>
      </c>
      <c r="G283" s="1" t="s">
        <v>1493</v>
      </c>
      <c r="H283" s="1"/>
      <c r="I283" s="1">
        <v>32</v>
      </c>
      <c r="J283" s="1" t="s">
        <v>1494</v>
      </c>
      <c r="K283" s="1" t="s">
        <v>152</v>
      </c>
      <c r="L283" s="1" t="s">
        <v>1054</v>
      </c>
      <c r="M283" s="1" t="s">
        <v>1494</v>
      </c>
      <c r="N283" s="2">
        <v>42194</v>
      </c>
      <c r="O283" s="1"/>
      <c r="P283" s="1"/>
      <c r="Q283" s="1" t="s">
        <v>34</v>
      </c>
      <c r="R283" s="1"/>
      <c r="S283" s="1" t="s">
        <v>35</v>
      </c>
      <c r="T283" s="1">
        <v>44.969059999999999</v>
      </c>
      <c r="U283" s="1">
        <v>-72.976979999999998</v>
      </c>
      <c r="V283" s="1" t="s">
        <v>1495</v>
      </c>
      <c r="W283" s="1"/>
      <c r="X283" s="1" t="s">
        <v>37</v>
      </c>
      <c r="Y283" s="1"/>
      <c r="Z283" s="1">
        <v>5459</v>
      </c>
    </row>
    <row r="284" spans="1:26" ht="42">
      <c r="A284" s="1" t="str">
        <f>"00088H"</f>
        <v>00088H</v>
      </c>
      <c r="B284" s="1" t="s">
        <v>1407</v>
      </c>
      <c r="C284" s="1" t="s">
        <v>1408</v>
      </c>
      <c r="D284" s="1" t="str">
        <f>"8027442007"</f>
        <v>8027442007</v>
      </c>
      <c r="E284" s="1">
        <v>3222</v>
      </c>
      <c r="F284" s="1" t="s">
        <v>28</v>
      </c>
      <c r="G284" s="1" t="s">
        <v>1496</v>
      </c>
      <c r="H284" s="1"/>
      <c r="I284" s="1">
        <v>32</v>
      </c>
      <c r="J284" s="1" t="s">
        <v>1497</v>
      </c>
      <c r="K284" s="1" t="s">
        <v>152</v>
      </c>
      <c r="L284" s="1" t="s">
        <v>1057</v>
      </c>
      <c r="M284" s="1" t="s">
        <v>1497</v>
      </c>
      <c r="N284" s="2">
        <v>42194</v>
      </c>
      <c r="O284" s="1"/>
      <c r="P284" s="1"/>
      <c r="Q284" s="1" t="s">
        <v>34</v>
      </c>
      <c r="R284" s="1"/>
      <c r="S284" s="1" t="s">
        <v>35</v>
      </c>
      <c r="T284" s="1">
        <v>44.9741</v>
      </c>
      <c r="U284" s="1">
        <v>-73.102080000000001</v>
      </c>
      <c r="V284" s="1"/>
      <c r="W284" s="1"/>
      <c r="X284" s="1" t="s">
        <v>37</v>
      </c>
      <c r="Y284" s="1"/>
      <c r="Z284" s="1"/>
    </row>
    <row r="285" spans="1:26" ht="42">
      <c r="A285" s="1" t="str">
        <f>"00088H"</f>
        <v>00088H</v>
      </c>
      <c r="B285" s="1" t="s">
        <v>1407</v>
      </c>
      <c r="C285" s="1" t="s">
        <v>1408</v>
      </c>
      <c r="D285" s="1" t="str">
        <f>"8027442007"</f>
        <v>8027442007</v>
      </c>
      <c r="E285" s="1">
        <v>3222</v>
      </c>
      <c r="F285" s="1" t="s">
        <v>28</v>
      </c>
      <c r="G285" s="1" t="s">
        <v>1498</v>
      </c>
      <c r="H285" s="1"/>
      <c r="I285" s="1">
        <v>32</v>
      </c>
      <c r="J285" s="1" t="s">
        <v>1499</v>
      </c>
      <c r="K285" s="1" t="s">
        <v>152</v>
      </c>
      <c r="L285" s="1" t="s">
        <v>1137</v>
      </c>
      <c r="M285" s="1" t="s">
        <v>1499</v>
      </c>
      <c r="N285" s="2">
        <v>42193</v>
      </c>
      <c r="O285" s="1"/>
      <c r="P285" s="1"/>
      <c r="Q285" s="1" t="s">
        <v>34</v>
      </c>
      <c r="R285" s="1"/>
      <c r="S285" s="1" t="s">
        <v>35</v>
      </c>
      <c r="T285" s="1">
        <v>44.940339999999999</v>
      </c>
      <c r="U285" s="1">
        <v>-73.146999999999906</v>
      </c>
      <c r="V285" s="1" t="s">
        <v>1500</v>
      </c>
      <c r="W285" s="1"/>
      <c r="X285" s="1" t="s">
        <v>37</v>
      </c>
      <c r="Y285" s="1"/>
      <c r="Z285" s="1">
        <v>5488</v>
      </c>
    </row>
    <row r="286" spans="1:26" ht="42">
      <c r="A286" s="1" t="str">
        <f>"00088H"</f>
        <v>00088H</v>
      </c>
      <c r="B286" s="1" t="s">
        <v>1407</v>
      </c>
      <c r="C286" s="1" t="s">
        <v>1408</v>
      </c>
      <c r="D286" s="1" t="str">
        <f>"8027442007"</f>
        <v>8027442007</v>
      </c>
      <c r="E286" s="1">
        <v>3222</v>
      </c>
      <c r="F286" s="1" t="s">
        <v>28</v>
      </c>
      <c r="G286" s="1" t="s">
        <v>1501</v>
      </c>
      <c r="H286" s="1"/>
      <c r="I286" s="1">
        <v>32</v>
      </c>
      <c r="J286" s="1" t="s">
        <v>1502</v>
      </c>
      <c r="K286" s="1" t="s">
        <v>152</v>
      </c>
      <c r="L286" s="1" t="s">
        <v>1137</v>
      </c>
      <c r="M286" s="1" t="s">
        <v>1502</v>
      </c>
      <c r="N286" s="2">
        <v>42193</v>
      </c>
      <c r="O286" s="1"/>
      <c r="P286" s="1"/>
      <c r="Q286" s="1" t="s">
        <v>34</v>
      </c>
      <c r="R286" s="1"/>
      <c r="S286" s="1" t="s">
        <v>35</v>
      </c>
      <c r="T286" s="1">
        <v>44.90316</v>
      </c>
      <c r="U286" s="1">
        <v>-73.146960000000007</v>
      </c>
      <c r="V286" s="1" t="s">
        <v>1503</v>
      </c>
      <c r="W286" s="1"/>
      <c r="X286" s="1" t="s">
        <v>37</v>
      </c>
      <c r="Y286" s="1"/>
      <c r="Z286" s="1">
        <v>5488</v>
      </c>
    </row>
    <row r="287" spans="1:26" ht="42">
      <c r="A287" s="1" t="str">
        <f>"00088H"</f>
        <v>00088H</v>
      </c>
      <c r="B287" s="1" t="s">
        <v>1407</v>
      </c>
      <c r="C287" s="1" t="s">
        <v>1408</v>
      </c>
      <c r="D287" s="1" t="str">
        <f>"8027442007"</f>
        <v>8027442007</v>
      </c>
      <c r="E287" s="1">
        <v>3222</v>
      </c>
      <c r="F287" s="1" t="s">
        <v>28</v>
      </c>
      <c r="G287" s="1" t="s">
        <v>1504</v>
      </c>
      <c r="H287" s="1"/>
      <c r="I287" s="1">
        <v>32</v>
      </c>
      <c r="J287" s="1" t="s">
        <v>1505</v>
      </c>
      <c r="K287" s="1" t="s">
        <v>152</v>
      </c>
      <c r="L287" s="1" t="s">
        <v>1057</v>
      </c>
      <c r="M287" s="1" t="s">
        <v>1505</v>
      </c>
      <c r="N287" s="2">
        <v>42194</v>
      </c>
      <c r="O287" s="1"/>
      <c r="P287" s="1"/>
      <c r="Q287" s="1" t="s">
        <v>34</v>
      </c>
      <c r="R287" s="1"/>
      <c r="S287" s="1" t="s">
        <v>35</v>
      </c>
      <c r="T287" s="1">
        <v>44.96181</v>
      </c>
      <c r="U287" s="1">
        <v>-73.016869999999898</v>
      </c>
      <c r="V287" s="1" t="s">
        <v>1506</v>
      </c>
      <c r="W287" s="1"/>
      <c r="X287" s="1" t="s">
        <v>37</v>
      </c>
      <c r="Y287" s="1" t="s">
        <v>1059</v>
      </c>
      <c r="Z287" s="1">
        <v>5459</v>
      </c>
    </row>
    <row r="288" spans="1:26" ht="42">
      <c r="A288" s="1" t="str">
        <f>"00088H"</f>
        <v>00088H</v>
      </c>
      <c r="B288" s="1" t="s">
        <v>1407</v>
      </c>
      <c r="C288" s="1" t="s">
        <v>1408</v>
      </c>
      <c r="D288" s="1" t="str">
        <f>"8027442007"</f>
        <v>8027442007</v>
      </c>
      <c r="E288" s="1">
        <v>3222</v>
      </c>
      <c r="F288" s="1" t="s">
        <v>28</v>
      </c>
      <c r="G288" s="1" t="s">
        <v>1507</v>
      </c>
      <c r="H288" s="1"/>
      <c r="I288" s="1">
        <v>32</v>
      </c>
      <c r="J288" s="1" t="s">
        <v>1441</v>
      </c>
      <c r="K288" s="1" t="s">
        <v>152</v>
      </c>
      <c r="L288" s="1" t="s">
        <v>1083</v>
      </c>
      <c r="M288" s="1" t="s">
        <v>1441</v>
      </c>
      <c r="N288" s="2">
        <v>42194</v>
      </c>
      <c r="O288" s="1"/>
      <c r="P288" s="1"/>
      <c r="Q288" s="1" t="s">
        <v>34</v>
      </c>
      <c r="R288" s="1"/>
      <c r="S288" s="1" t="s">
        <v>35</v>
      </c>
      <c r="T288" s="1">
        <v>44.912970000000001</v>
      </c>
      <c r="U288" s="1">
        <v>-72.861779999999996</v>
      </c>
      <c r="V288" s="1" t="s">
        <v>1508</v>
      </c>
      <c r="W288" s="1"/>
      <c r="X288" s="1" t="s">
        <v>37</v>
      </c>
      <c r="Y288" s="1" t="s">
        <v>1509</v>
      </c>
      <c r="Z288" s="1">
        <v>5450</v>
      </c>
    </row>
    <row r="289" spans="1:26" ht="42">
      <c r="A289" s="1" t="str">
        <f>"00088H"</f>
        <v>00088H</v>
      </c>
      <c r="B289" s="1" t="s">
        <v>1407</v>
      </c>
      <c r="C289" s="1" t="s">
        <v>1408</v>
      </c>
      <c r="D289" s="1" t="str">
        <f>"8027442007"</f>
        <v>8027442007</v>
      </c>
      <c r="E289" s="1">
        <v>3222</v>
      </c>
      <c r="F289" s="1" t="s">
        <v>28</v>
      </c>
      <c r="G289" s="1" t="s">
        <v>1510</v>
      </c>
      <c r="H289" s="1"/>
      <c r="I289" s="1">
        <v>32</v>
      </c>
      <c r="J289" s="1" t="s">
        <v>1487</v>
      </c>
      <c r="K289" s="1" t="s">
        <v>152</v>
      </c>
      <c r="L289" s="1" t="s">
        <v>1511</v>
      </c>
      <c r="M289" s="1" t="s">
        <v>1487</v>
      </c>
      <c r="N289" s="2">
        <v>42194</v>
      </c>
      <c r="O289" s="1"/>
      <c r="P289" s="1"/>
      <c r="Q289" s="1" t="s">
        <v>34</v>
      </c>
      <c r="R289" s="1"/>
      <c r="S289" s="1" t="s">
        <v>35</v>
      </c>
      <c r="T289" s="1">
        <v>44.927860000000003</v>
      </c>
      <c r="U289" s="1">
        <v>-72.748159999999899</v>
      </c>
      <c r="V289" s="1" t="s">
        <v>1512</v>
      </c>
      <c r="W289" s="1"/>
      <c r="X289" s="1" t="s">
        <v>37</v>
      </c>
      <c r="Y289" s="1" t="s">
        <v>1086</v>
      </c>
      <c r="Z289" s="1">
        <v>5450</v>
      </c>
    </row>
    <row r="290" spans="1:26" ht="42">
      <c r="A290" s="1" t="str">
        <f>"00088H"</f>
        <v>00088H</v>
      </c>
      <c r="B290" s="1" t="s">
        <v>1407</v>
      </c>
      <c r="C290" s="1" t="s">
        <v>1408</v>
      </c>
      <c r="D290" s="1" t="str">
        <f>"8027442007"</f>
        <v>8027442007</v>
      </c>
      <c r="E290" s="1">
        <v>3222</v>
      </c>
      <c r="F290" s="1" t="s">
        <v>28</v>
      </c>
      <c r="G290" s="1" t="s">
        <v>1513</v>
      </c>
      <c r="H290" s="1"/>
      <c r="I290" s="1">
        <v>32</v>
      </c>
      <c r="J290" s="1" t="s">
        <v>1478</v>
      </c>
      <c r="K290" s="1" t="s">
        <v>152</v>
      </c>
      <c r="L290" s="1" t="s">
        <v>1514</v>
      </c>
      <c r="M290" s="1" t="s">
        <v>1478</v>
      </c>
      <c r="N290" s="2">
        <v>42194</v>
      </c>
      <c r="O290" s="1"/>
      <c r="P290" s="2">
        <v>42172</v>
      </c>
      <c r="Q290" s="1" t="s">
        <v>1208</v>
      </c>
      <c r="R290" s="1"/>
      <c r="S290" s="1" t="s">
        <v>35</v>
      </c>
      <c r="T290" s="1">
        <v>44.918473578229403</v>
      </c>
      <c r="U290" s="1">
        <v>-72.897044420242295</v>
      </c>
      <c r="V290" s="1" t="s">
        <v>1515</v>
      </c>
      <c r="W290" s="1"/>
      <c r="X290" s="1" t="s">
        <v>37</v>
      </c>
      <c r="Y290" s="1" t="s">
        <v>1509</v>
      </c>
      <c r="Z290" s="1">
        <v>5457</v>
      </c>
    </row>
    <row r="291" spans="1:26" ht="42">
      <c r="A291" s="1" t="str">
        <f>"00088H"</f>
        <v>00088H</v>
      </c>
      <c r="B291" s="1" t="s">
        <v>1407</v>
      </c>
      <c r="C291" s="1" t="s">
        <v>1408</v>
      </c>
      <c r="D291" s="1" t="str">
        <f>"8027442007"</f>
        <v>8027442007</v>
      </c>
      <c r="E291" s="1">
        <v>3222</v>
      </c>
      <c r="F291" s="1" t="s">
        <v>28</v>
      </c>
      <c r="G291" s="1" t="s">
        <v>1516</v>
      </c>
      <c r="H291" s="1"/>
      <c r="I291" s="1">
        <v>32</v>
      </c>
      <c r="J291" s="1" t="s">
        <v>1517</v>
      </c>
      <c r="K291" s="1" t="s">
        <v>428</v>
      </c>
      <c r="L291" s="1" t="s">
        <v>1416</v>
      </c>
      <c r="M291" s="1" t="s">
        <v>1518</v>
      </c>
      <c r="N291" s="2">
        <v>42193</v>
      </c>
      <c r="O291" s="1"/>
      <c r="P291" s="1"/>
      <c r="Q291" s="1" t="s">
        <v>34</v>
      </c>
      <c r="R291" s="1"/>
      <c r="S291" s="1" t="s">
        <v>35</v>
      </c>
      <c r="T291" s="1">
        <v>44.73753</v>
      </c>
      <c r="U291" s="1">
        <v>-73.299700000000001</v>
      </c>
      <c r="V291" s="1" t="s">
        <v>1519</v>
      </c>
      <c r="W291" s="1"/>
      <c r="X291" s="1" t="s">
        <v>37</v>
      </c>
      <c r="Y291" s="1" t="s">
        <v>428</v>
      </c>
      <c r="Z291" s="1">
        <v>5458</v>
      </c>
    </row>
    <row r="292" spans="1:26" ht="42">
      <c r="A292" s="1" t="str">
        <f>"00088H"</f>
        <v>00088H</v>
      </c>
      <c r="B292" s="1" t="s">
        <v>1407</v>
      </c>
      <c r="C292" s="1" t="s">
        <v>1408</v>
      </c>
      <c r="D292" s="1" t="str">
        <f>"8027442007"</f>
        <v>8027442007</v>
      </c>
      <c r="E292" s="1">
        <v>3222</v>
      </c>
      <c r="F292" s="1" t="s">
        <v>28</v>
      </c>
      <c r="G292" s="1" t="s">
        <v>1520</v>
      </c>
      <c r="H292" s="1"/>
      <c r="I292" s="1">
        <v>32</v>
      </c>
      <c r="J292" s="1" t="s">
        <v>1521</v>
      </c>
      <c r="K292" s="1" t="s">
        <v>428</v>
      </c>
      <c r="L292" s="1" t="s">
        <v>1522</v>
      </c>
      <c r="M292" s="1" t="s">
        <v>1523</v>
      </c>
      <c r="N292" s="2">
        <v>42193</v>
      </c>
      <c r="O292" s="1"/>
      <c r="P292" s="1"/>
      <c r="Q292" s="1" t="s">
        <v>34</v>
      </c>
      <c r="R292" s="1"/>
      <c r="S292" s="1" t="s">
        <v>35</v>
      </c>
      <c r="T292" s="1">
        <v>44.894500000000001</v>
      </c>
      <c r="U292" s="1">
        <v>-73.243049999999897</v>
      </c>
      <c r="V292" s="1" t="s">
        <v>1524</v>
      </c>
      <c r="W292" s="1"/>
      <c r="X292" s="1" t="s">
        <v>37</v>
      </c>
      <c r="Y292" s="1" t="s">
        <v>1521</v>
      </c>
      <c r="Z292" s="1">
        <v>5474</v>
      </c>
    </row>
    <row r="293" spans="1:26" ht="42">
      <c r="A293" s="1" t="str">
        <f>"00088H"</f>
        <v>00088H</v>
      </c>
      <c r="B293" s="1" t="s">
        <v>1407</v>
      </c>
      <c r="C293" s="1" t="s">
        <v>1408</v>
      </c>
      <c r="D293" s="1" t="str">
        <f>"8027442007"</f>
        <v>8027442007</v>
      </c>
      <c r="E293" s="1">
        <v>3222</v>
      </c>
      <c r="F293" s="1" t="s">
        <v>28</v>
      </c>
      <c r="G293" s="1" t="s">
        <v>1525</v>
      </c>
      <c r="H293" s="1"/>
      <c r="I293" s="1">
        <v>32</v>
      </c>
      <c r="J293" s="1" t="s">
        <v>604</v>
      </c>
      <c r="K293" s="1" t="s">
        <v>428</v>
      </c>
      <c r="L293" s="1" t="s">
        <v>429</v>
      </c>
      <c r="M293" s="1" t="s">
        <v>604</v>
      </c>
      <c r="N293" s="2">
        <v>42193</v>
      </c>
      <c r="O293" s="1"/>
      <c r="P293" s="1"/>
      <c r="Q293" s="1" t="s">
        <v>34</v>
      </c>
      <c r="R293" s="1"/>
      <c r="S293" s="1" t="s">
        <v>35</v>
      </c>
      <c r="T293" s="1">
        <v>44.895330000000001</v>
      </c>
      <c r="U293" s="1">
        <v>-73.297219999999896</v>
      </c>
      <c r="V293" s="1" t="s">
        <v>1526</v>
      </c>
      <c r="W293" s="1"/>
      <c r="X293" s="1" t="s">
        <v>37</v>
      </c>
      <c r="Y293" s="1" t="s">
        <v>1527</v>
      </c>
      <c r="Z293" s="1">
        <v>5440</v>
      </c>
    </row>
    <row r="294" spans="1:26" ht="42">
      <c r="A294" s="1" t="str">
        <f>"00088H"</f>
        <v>00088H</v>
      </c>
      <c r="B294" s="1" t="s">
        <v>1407</v>
      </c>
      <c r="C294" s="1" t="s">
        <v>1408</v>
      </c>
      <c r="D294" s="1" t="str">
        <f>"8027442007"</f>
        <v>8027442007</v>
      </c>
      <c r="E294" s="1">
        <v>3222</v>
      </c>
      <c r="F294" s="1" t="s">
        <v>28</v>
      </c>
      <c r="G294" s="1" t="s">
        <v>1528</v>
      </c>
      <c r="H294" s="1"/>
      <c r="I294" s="1">
        <v>32</v>
      </c>
      <c r="J294" s="1" t="s">
        <v>1529</v>
      </c>
      <c r="K294" s="1" t="s">
        <v>428</v>
      </c>
      <c r="L294" s="1"/>
      <c r="M294" s="1" t="s">
        <v>1529</v>
      </c>
      <c r="N294" s="2">
        <v>42193</v>
      </c>
      <c r="O294" s="1"/>
      <c r="P294" s="1"/>
      <c r="Q294" s="1" t="s">
        <v>34</v>
      </c>
      <c r="R294" s="1"/>
      <c r="S294" s="1" t="s">
        <v>35</v>
      </c>
      <c r="T294" s="1">
        <v>44.997646816667199</v>
      </c>
      <c r="U294" s="1">
        <v>-73.317423820626502</v>
      </c>
      <c r="V294" s="1" t="s">
        <v>1530</v>
      </c>
      <c r="W294" s="1"/>
      <c r="X294" s="1" t="s">
        <v>37</v>
      </c>
      <c r="Y294" s="1" t="s">
        <v>1527</v>
      </c>
      <c r="Z294" s="1">
        <v>5440</v>
      </c>
    </row>
    <row r="295" spans="1:26" ht="42">
      <c r="A295" s="1" t="str">
        <f>"00088H"</f>
        <v>00088H</v>
      </c>
      <c r="B295" s="1" t="s">
        <v>1407</v>
      </c>
      <c r="C295" s="1" t="s">
        <v>1408</v>
      </c>
      <c r="D295" s="1" t="str">
        <f>"8027442007"</f>
        <v>8027442007</v>
      </c>
      <c r="E295" s="1">
        <v>3222</v>
      </c>
      <c r="F295" s="1" t="s">
        <v>28</v>
      </c>
      <c r="G295" s="1" t="s">
        <v>1531</v>
      </c>
      <c r="H295" s="1"/>
      <c r="I295" s="1">
        <v>32</v>
      </c>
      <c r="J295" s="1" t="s">
        <v>1137</v>
      </c>
      <c r="K295" s="1" t="s">
        <v>152</v>
      </c>
      <c r="L295" s="1" t="s">
        <v>1137</v>
      </c>
      <c r="M295" s="1" t="s">
        <v>1532</v>
      </c>
      <c r="N295" s="2">
        <v>42193</v>
      </c>
      <c r="O295" s="1"/>
      <c r="P295" s="1"/>
      <c r="Q295" s="1" t="s">
        <v>34</v>
      </c>
      <c r="R295" s="1"/>
      <c r="S295" s="1" t="s">
        <v>35</v>
      </c>
      <c r="T295" s="1">
        <v>44.937124573832797</v>
      </c>
      <c r="U295" s="1">
        <v>-73.218595656726393</v>
      </c>
      <c r="V295" s="1" t="s">
        <v>1533</v>
      </c>
      <c r="W295" s="1"/>
      <c r="X295" s="1" t="s">
        <v>37</v>
      </c>
      <c r="Y295" s="1"/>
      <c r="Z295" s="1">
        <v>5488</v>
      </c>
    </row>
    <row r="296" spans="1:26" ht="42">
      <c r="A296" s="1" t="str">
        <f>"00088H"</f>
        <v>00088H</v>
      </c>
      <c r="B296" s="1" t="s">
        <v>1407</v>
      </c>
      <c r="C296" s="1" t="s">
        <v>1408</v>
      </c>
      <c r="D296" s="1" t="str">
        <f>"8027442007"</f>
        <v>8027442007</v>
      </c>
      <c r="E296" s="1">
        <v>3222</v>
      </c>
      <c r="F296" s="1" t="s">
        <v>28</v>
      </c>
      <c r="G296" s="1" t="s">
        <v>1534</v>
      </c>
      <c r="H296" s="1"/>
      <c r="I296" s="1">
        <v>32</v>
      </c>
      <c r="J296" s="1" t="s">
        <v>1535</v>
      </c>
      <c r="K296" s="1" t="s">
        <v>152</v>
      </c>
      <c r="L296" s="1" t="s">
        <v>1137</v>
      </c>
      <c r="M296" s="1" t="s">
        <v>1535</v>
      </c>
      <c r="N296" s="2">
        <v>42193</v>
      </c>
      <c r="O296" s="1"/>
      <c r="P296" s="1"/>
      <c r="Q296" s="1" t="s">
        <v>34</v>
      </c>
      <c r="R296" s="1"/>
      <c r="S296" s="1" t="s">
        <v>35</v>
      </c>
      <c r="T296" s="1">
        <v>44.976309999999998</v>
      </c>
      <c r="U296" s="1">
        <v>-73.177619999999905</v>
      </c>
      <c r="V296" s="1" t="s">
        <v>1536</v>
      </c>
      <c r="W296" s="1"/>
      <c r="X296" s="1" t="s">
        <v>37</v>
      </c>
      <c r="Y296" s="1"/>
      <c r="Z296" s="1">
        <v>5488</v>
      </c>
    </row>
    <row r="297" spans="1:26" ht="42">
      <c r="A297" s="1" t="str">
        <f>"00088H"</f>
        <v>00088H</v>
      </c>
      <c r="B297" s="1" t="s">
        <v>1407</v>
      </c>
      <c r="C297" s="1" t="s">
        <v>1408</v>
      </c>
      <c r="D297" s="1" t="str">
        <f>"8027442007"</f>
        <v>8027442007</v>
      </c>
      <c r="E297" s="1">
        <v>3222</v>
      </c>
      <c r="F297" s="1" t="s">
        <v>28</v>
      </c>
      <c r="G297" s="1" t="s">
        <v>1537</v>
      </c>
      <c r="H297" s="1"/>
      <c r="I297" s="1">
        <v>32</v>
      </c>
      <c r="J297" s="1" t="s">
        <v>1538</v>
      </c>
      <c r="K297" s="1" t="s">
        <v>428</v>
      </c>
      <c r="L297" s="1" t="s">
        <v>429</v>
      </c>
      <c r="M297" s="1" t="s">
        <v>1539</v>
      </c>
      <c r="N297" s="2">
        <v>41556</v>
      </c>
      <c r="O297" s="1"/>
      <c r="P297" s="2">
        <v>41939</v>
      </c>
      <c r="Q297" s="1" t="s">
        <v>1208</v>
      </c>
      <c r="R297" s="1"/>
      <c r="S297" s="1" t="s">
        <v>35</v>
      </c>
      <c r="T297" s="1">
        <v>44.895710000000001</v>
      </c>
      <c r="U297" s="1">
        <v>-73.280879999999996</v>
      </c>
      <c r="V297" s="1" t="s">
        <v>1540</v>
      </c>
      <c r="W297" s="1"/>
      <c r="X297" s="1" t="s">
        <v>37</v>
      </c>
      <c r="Y297" s="1" t="s">
        <v>432</v>
      </c>
      <c r="Z297" s="1">
        <v>0</v>
      </c>
    </row>
    <row r="298" spans="1:26" ht="42">
      <c r="A298" s="1" t="str">
        <f>"00088H"</f>
        <v>00088H</v>
      </c>
      <c r="B298" s="1" t="s">
        <v>1407</v>
      </c>
      <c r="C298" s="1" t="s">
        <v>1408</v>
      </c>
      <c r="D298" s="1" t="str">
        <f>"8027442007"</f>
        <v>8027442007</v>
      </c>
      <c r="E298" s="1">
        <v>3222</v>
      </c>
      <c r="F298" s="1" t="s">
        <v>28</v>
      </c>
      <c r="G298" s="1" t="s">
        <v>1541</v>
      </c>
      <c r="H298" s="1"/>
      <c r="I298" s="1">
        <v>32</v>
      </c>
      <c r="J298" s="1" t="s">
        <v>1542</v>
      </c>
      <c r="K298" s="1" t="s">
        <v>428</v>
      </c>
      <c r="L298" s="1" t="s">
        <v>429</v>
      </c>
      <c r="M298" s="1" t="s">
        <v>1543</v>
      </c>
      <c r="N298" s="2">
        <v>41365</v>
      </c>
      <c r="O298" s="1"/>
      <c r="P298" s="1"/>
      <c r="Q298" s="1" t="s">
        <v>1208</v>
      </c>
      <c r="R298" s="1"/>
      <c r="S298" s="1" t="s">
        <v>35</v>
      </c>
      <c r="T298" s="1"/>
      <c r="U298" s="1"/>
      <c r="V298" s="1" t="s">
        <v>1544</v>
      </c>
      <c r="W298" s="1"/>
      <c r="X298" s="1" t="s">
        <v>37</v>
      </c>
      <c r="Y298" s="1" t="s">
        <v>1545</v>
      </c>
      <c r="Z298" s="1">
        <v>0</v>
      </c>
    </row>
    <row r="299" spans="1:26" ht="42">
      <c r="A299" s="1" t="str">
        <f>"00088H"</f>
        <v>00088H</v>
      </c>
      <c r="B299" s="1" t="s">
        <v>1407</v>
      </c>
      <c r="C299" s="1" t="s">
        <v>1408</v>
      </c>
      <c r="D299" s="1" t="str">
        <f>"8027442007"</f>
        <v>8027442007</v>
      </c>
      <c r="E299" s="1">
        <v>3222</v>
      </c>
      <c r="F299" s="1" t="s">
        <v>28</v>
      </c>
      <c r="G299" s="1" t="s">
        <v>1546</v>
      </c>
      <c r="H299" s="1"/>
      <c r="I299" s="1">
        <v>32</v>
      </c>
      <c r="J299" s="1" t="s">
        <v>1547</v>
      </c>
      <c r="K299" s="1" t="s">
        <v>428</v>
      </c>
      <c r="L299" s="1" t="s">
        <v>1416</v>
      </c>
      <c r="M299" s="1" t="s">
        <v>1548</v>
      </c>
      <c r="N299" s="2">
        <v>41760</v>
      </c>
      <c r="O299" s="1"/>
      <c r="P299" s="2">
        <v>41939</v>
      </c>
      <c r="Q299" s="1" t="s">
        <v>1208</v>
      </c>
      <c r="R299" s="1"/>
      <c r="S299" s="1" t="s">
        <v>35</v>
      </c>
      <c r="T299" s="1">
        <v>44.713000000000001</v>
      </c>
      <c r="U299" s="1">
        <v>-73.332789999999903</v>
      </c>
      <c r="V299" s="1" t="s">
        <v>1549</v>
      </c>
      <c r="W299" s="1"/>
      <c r="X299" s="1" t="s">
        <v>37</v>
      </c>
      <c r="Y299" s="1" t="s">
        <v>428</v>
      </c>
      <c r="Z299" s="1">
        <v>5000</v>
      </c>
    </row>
    <row r="300" spans="1:26" ht="42">
      <c r="A300" s="1" t="str">
        <f>"00088H"</f>
        <v>00088H</v>
      </c>
      <c r="B300" s="1" t="s">
        <v>1407</v>
      </c>
      <c r="C300" s="1" t="s">
        <v>1408</v>
      </c>
      <c r="D300" s="1" t="str">
        <f>"8027442007"</f>
        <v>8027442007</v>
      </c>
      <c r="E300" s="1">
        <v>3222</v>
      </c>
      <c r="F300" s="1" t="s">
        <v>28</v>
      </c>
      <c r="G300" s="1" t="s">
        <v>1550</v>
      </c>
      <c r="H300" s="1"/>
      <c r="I300" s="1">
        <v>32</v>
      </c>
      <c r="J300" s="1" t="s">
        <v>1551</v>
      </c>
      <c r="K300" s="1" t="s">
        <v>428</v>
      </c>
      <c r="L300" s="1" t="s">
        <v>1522</v>
      </c>
      <c r="M300" s="1" t="s">
        <v>1552</v>
      </c>
      <c r="N300" s="2">
        <v>42193</v>
      </c>
      <c r="O300" s="1"/>
      <c r="P300" s="1"/>
      <c r="Q300" s="1" t="s">
        <v>34</v>
      </c>
      <c r="R300" s="1"/>
      <c r="S300" s="1" t="s">
        <v>35</v>
      </c>
      <c r="T300" s="1">
        <v>44.785319999999999</v>
      </c>
      <c r="U300" s="1">
        <v>-73.315100000000001</v>
      </c>
      <c r="V300" s="1" t="s">
        <v>158</v>
      </c>
      <c r="W300" s="1"/>
      <c r="X300" s="1" t="s">
        <v>37</v>
      </c>
      <c r="Y300" s="1" t="s">
        <v>1521</v>
      </c>
      <c r="Z300" s="1">
        <v>5474</v>
      </c>
    </row>
    <row r="301" spans="1:26" ht="42">
      <c r="A301" s="1" t="str">
        <f>"00088H"</f>
        <v>00088H</v>
      </c>
      <c r="B301" s="1" t="s">
        <v>1407</v>
      </c>
      <c r="C301" s="1" t="s">
        <v>1408</v>
      </c>
      <c r="D301" s="1" t="str">
        <f>"8027442007"</f>
        <v>8027442007</v>
      </c>
      <c r="E301" s="1">
        <v>3222</v>
      </c>
      <c r="F301" s="1" t="s">
        <v>28</v>
      </c>
      <c r="G301" s="1" t="s">
        <v>1553</v>
      </c>
      <c r="H301" s="1"/>
      <c r="I301" s="1">
        <v>32</v>
      </c>
      <c r="J301" s="1" t="s">
        <v>1554</v>
      </c>
      <c r="K301" s="1" t="s">
        <v>428</v>
      </c>
      <c r="L301" s="1"/>
      <c r="M301" s="1" t="s">
        <v>1555</v>
      </c>
      <c r="N301" s="2">
        <v>42193</v>
      </c>
      <c r="O301" s="1"/>
      <c r="P301" s="1"/>
      <c r="Q301" s="1" t="s">
        <v>34</v>
      </c>
      <c r="R301" s="1"/>
      <c r="S301" s="1" t="s">
        <v>35</v>
      </c>
      <c r="T301" s="1">
        <v>44.856146661095103</v>
      </c>
      <c r="U301" s="1">
        <v>-73.259273529183702</v>
      </c>
      <c r="V301" s="1" t="s">
        <v>1556</v>
      </c>
      <c r="W301" s="1"/>
      <c r="X301" s="1" t="s">
        <v>37</v>
      </c>
      <c r="Y301" s="1" t="s">
        <v>1521</v>
      </c>
      <c r="Z301" s="1">
        <v>5474</v>
      </c>
    </row>
    <row r="302" spans="1:26" ht="42">
      <c r="A302" s="1" t="str">
        <f>"00088H"</f>
        <v>00088H</v>
      </c>
      <c r="B302" s="1" t="s">
        <v>1407</v>
      </c>
      <c r="C302" s="1" t="s">
        <v>1408</v>
      </c>
      <c r="D302" s="1" t="str">
        <f>"8027442007"</f>
        <v>8027442007</v>
      </c>
      <c r="E302" s="1">
        <v>3222</v>
      </c>
      <c r="F302" s="1" t="s">
        <v>28</v>
      </c>
      <c r="G302" s="1" t="s">
        <v>1557</v>
      </c>
      <c r="H302" s="1"/>
      <c r="I302" s="1">
        <v>32</v>
      </c>
      <c r="J302" s="1" t="s">
        <v>1558</v>
      </c>
      <c r="K302" s="1" t="s">
        <v>428</v>
      </c>
      <c r="L302" s="1" t="s">
        <v>1416</v>
      </c>
      <c r="M302" s="1" t="s">
        <v>1559</v>
      </c>
      <c r="N302" s="2">
        <v>40909</v>
      </c>
      <c r="O302" s="1"/>
      <c r="P302" s="1"/>
      <c r="Q302" s="1" t="s">
        <v>1208</v>
      </c>
      <c r="R302" s="1"/>
      <c r="S302" s="1" t="s">
        <v>35</v>
      </c>
      <c r="T302" s="1">
        <v>44.745289999999997</v>
      </c>
      <c r="U302" s="1">
        <v>-73.273970000000006</v>
      </c>
      <c r="V302" s="1" t="s">
        <v>1560</v>
      </c>
      <c r="W302" s="1"/>
      <c r="X302" s="1" t="s">
        <v>37</v>
      </c>
      <c r="Y302" s="1" t="s">
        <v>428</v>
      </c>
      <c r="Z302" s="1">
        <v>0</v>
      </c>
    </row>
    <row r="303" spans="1:26" ht="42">
      <c r="A303" s="1" t="str">
        <f>"00088H"</f>
        <v>00088H</v>
      </c>
      <c r="B303" s="1" t="s">
        <v>1407</v>
      </c>
      <c r="C303" s="1" t="s">
        <v>1408</v>
      </c>
      <c r="D303" s="1" t="str">
        <f>"8027442007"</f>
        <v>8027442007</v>
      </c>
      <c r="E303" s="1">
        <v>3222</v>
      </c>
      <c r="F303" s="1" t="s">
        <v>28</v>
      </c>
      <c r="G303" s="1" t="s">
        <v>1561</v>
      </c>
      <c r="H303" s="1"/>
      <c r="I303" s="1">
        <v>32</v>
      </c>
      <c r="J303" s="1" t="s">
        <v>1562</v>
      </c>
      <c r="K303" s="1" t="s">
        <v>428</v>
      </c>
      <c r="L303" s="1" t="s">
        <v>429</v>
      </c>
      <c r="M303" s="1" t="s">
        <v>1563</v>
      </c>
      <c r="N303" s="2">
        <v>40909</v>
      </c>
      <c r="O303" s="1"/>
      <c r="P303" s="1"/>
      <c r="Q303" s="1" t="s">
        <v>1208</v>
      </c>
      <c r="R303" s="1"/>
      <c r="S303" s="1" t="s">
        <v>35</v>
      </c>
      <c r="T303" s="1">
        <v>44.9990566191425</v>
      </c>
      <c r="U303" s="1">
        <v>-73.223433424718607</v>
      </c>
      <c r="V303" s="1" t="s">
        <v>1564</v>
      </c>
      <c r="W303" s="1"/>
      <c r="X303" s="1" t="s">
        <v>37</v>
      </c>
      <c r="Y303" s="1" t="s">
        <v>1527</v>
      </c>
      <c r="Z303" s="1">
        <v>0</v>
      </c>
    </row>
    <row r="304" spans="1:26" ht="42">
      <c r="A304" s="1" t="str">
        <f>"00088H"</f>
        <v>00088H</v>
      </c>
      <c r="B304" s="1" t="s">
        <v>1407</v>
      </c>
      <c r="C304" s="1" t="s">
        <v>1408</v>
      </c>
      <c r="D304" s="1" t="str">
        <f>"8027442007"</f>
        <v>8027442007</v>
      </c>
      <c r="E304" s="1">
        <v>3222</v>
      </c>
      <c r="F304" s="1" t="s">
        <v>28</v>
      </c>
      <c r="G304" s="1" t="s">
        <v>1565</v>
      </c>
      <c r="H304" s="1"/>
      <c r="I304" s="1">
        <v>32</v>
      </c>
      <c r="J304" s="1" t="s">
        <v>1566</v>
      </c>
      <c r="K304" s="1" t="s">
        <v>428</v>
      </c>
      <c r="L304" s="1" t="s">
        <v>1416</v>
      </c>
      <c r="M304" s="1" t="s">
        <v>1567</v>
      </c>
      <c r="N304" s="2">
        <v>40909</v>
      </c>
      <c r="O304" s="1"/>
      <c r="P304" s="2">
        <v>41913</v>
      </c>
      <c r="Q304" s="1" t="s">
        <v>1208</v>
      </c>
      <c r="R304" s="1"/>
      <c r="S304" s="1" t="s">
        <v>35</v>
      </c>
      <c r="T304" s="1">
        <v>44.675089999999997</v>
      </c>
      <c r="U304" s="1">
        <v>-73.31259</v>
      </c>
      <c r="V304" s="1" t="s">
        <v>1568</v>
      </c>
      <c r="W304" s="1"/>
      <c r="X304" s="1" t="s">
        <v>37</v>
      </c>
      <c r="Y304" s="1" t="s">
        <v>428</v>
      </c>
      <c r="Z304" s="1">
        <v>0</v>
      </c>
    </row>
    <row r="305" spans="1:26" ht="42">
      <c r="A305" s="1" t="str">
        <f>"00088H"</f>
        <v>00088H</v>
      </c>
      <c r="B305" s="1" t="s">
        <v>1407</v>
      </c>
      <c r="C305" s="1" t="s">
        <v>1408</v>
      </c>
      <c r="D305" s="1" t="str">
        <f>"8027442007"</f>
        <v>8027442007</v>
      </c>
      <c r="E305" s="1">
        <v>3222</v>
      </c>
      <c r="F305" s="1" t="s">
        <v>28</v>
      </c>
      <c r="G305" s="1" t="s">
        <v>1569</v>
      </c>
      <c r="H305" s="1"/>
      <c r="I305" s="1">
        <v>32</v>
      </c>
      <c r="J305" s="1" t="s">
        <v>1570</v>
      </c>
      <c r="K305" s="1" t="s">
        <v>428</v>
      </c>
      <c r="L305" s="1" t="s">
        <v>1458</v>
      </c>
      <c r="M305" s="1" t="s">
        <v>1571</v>
      </c>
      <c r="N305" s="2">
        <v>40909</v>
      </c>
      <c r="O305" s="1"/>
      <c r="P305" s="2">
        <v>41907</v>
      </c>
      <c r="Q305" s="1" t="s">
        <v>1208</v>
      </c>
      <c r="R305" s="1"/>
      <c r="S305" s="1" t="s">
        <v>35</v>
      </c>
      <c r="T305" s="1">
        <v>44.639470000000003</v>
      </c>
      <c r="U305" s="1">
        <v>-73.332099999999897</v>
      </c>
      <c r="V305" s="1" t="s">
        <v>1572</v>
      </c>
      <c r="W305" s="1"/>
      <c r="X305" s="1" t="s">
        <v>37</v>
      </c>
      <c r="Y305" s="1" t="s">
        <v>1460</v>
      </c>
      <c r="Z305" s="1">
        <v>0</v>
      </c>
    </row>
    <row r="306" spans="1:26" ht="42">
      <c r="A306" s="1" t="str">
        <f>"00088H"</f>
        <v>00088H</v>
      </c>
      <c r="B306" s="1" t="s">
        <v>1407</v>
      </c>
      <c r="C306" s="1" t="s">
        <v>1408</v>
      </c>
      <c r="D306" s="1" t="str">
        <f>"8027442007"</f>
        <v>8027442007</v>
      </c>
      <c r="E306" s="1">
        <v>3222</v>
      </c>
      <c r="F306" s="1" t="s">
        <v>28</v>
      </c>
      <c r="G306" s="1" t="s">
        <v>1573</v>
      </c>
      <c r="H306" s="1"/>
      <c r="I306" s="1">
        <v>32</v>
      </c>
      <c r="J306" s="1" t="s">
        <v>1574</v>
      </c>
      <c r="K306" s="1" t="s">
        <v>428</v>
      </c>
      <c r="L306" s="1" t="s">
        <v>1458</v>
      </c>
      <c r="M306" s="1" t="s">
        <v>1575</v>
      </c>
      <c r="N306" s="2">
        <v>40909</v>
      </c>
      <c r="O306" s="1"/>
      <c r="P306" s="2">
        <v>41913</v>
      </c>
      <c r="Q306" s="1" t="s">
        <v>1208</v>
      </c>
      <c r="R306" s="1"/>
      <c r="S306" s="1" t="s">
        <v>35</v>
      </c>
      <c r="T306" s="1">
        <v>44.626669999999997</v>
      </c>
      <c r="U306" s="1">
        <v>-73.307500000000005</v>
      </c>
      <c r="V306" s="1" t="s">
        <v>1576</v>
      </c>
      <c r="W306" s="1"/>
      <c r="X306" s="1" t="s">
        <v>37</v>
      </c>
      <c r="Y306" s="1" t="s">
        <v>1460</v>
      </c>
      <c r="Z306" s="1">
        <v>0</v>
      </c>
    </row>
    <row r="307" spans="1:26" ht="42">
      <c r="A307" s="1" t="str">
        <f>"00088H"</f>
        <v>00088H</v>
      </c>
      <c r="B307" s="1" t="s">
        <v>1407</v>
      </c>
      <c r="C307" s="1" t="s">
        <v>1408</v>
      </c>
      <c r="D307" s="1" t="str">
        <f>"8027442007"</f>
        <v>8027442007</v>
      </c>
      <c r="E307" s="1">
        <v>3222</v>
      </c>
      <c r="F307" s="1" t="s">
        <v>28</v>
      </c>
      <c r="G307" s="1" t="s">
        <v>1577</v>
      </c>
      <c r="H307" s="1"/>
      <c r="I307" s="1">
        <v>32</v>
      </c>
      <c r="J307" s="1" t="s">
        <v>1578</v>
      </c>
      <c r="K307" s="1" t="s">
        <v>428</v>
      </c>
      <c r="L307" s="1" t="s">
        <v>1522</v>
      </c>
      <c r="M307" s="1" t="s">
        <v>1579</v>
      </c>
      <c r="N307" s="2">
        <v>40909</v>
      </c>
      <c r="O307" s="1"/>
      <c r="P307" s="2">
        <v>41939</v>
      </c>
      <c r="Q307" s="1" t="s">
        <v>1208</v>
      </c>
      <c r="R307" s="1"/>
      <c r="S307" s="1" t="s">
        <v>35</v>
      </c>
      <c r="T307" s="1">
        <v>44.814239999999998</v>
      </c>
      <c r="U307" s="1">
        <v>-73.296009999999995</v>
      </c>
      <c r="V307" s="1" t="s">
        <v>1580</v>
      </c>
      <c r="W307" s="1"/>
      <c r="X307" s="1" t="s">
        <v>37</v>
      </c>
      <c r="Y307" s="1" t="s">
        <v>1521</v>
      </c>
      <c r="Z307" s="1">
        <v>0</v>
      </c>
    </row>
    <row r="308" spans="1:26" ht="42">
      <c r="A308" s="1" t="str">
        <f>"00088H"</f>
        <v>00088H</v>
      </c>
      <c r="B308" s="1" t="s">
        <v>1407</v>
      </c>
      <c r="C308" s="1" t="s">
        <v>1408</v>
      </c>
      <c r="D308" s="1" t="str">
        <f>"8027442007"</f>
        <v>8027442007</v>
      </c>
      <c r="E308" s="1">
        <v>3222</v>
      </c>
      <c r="F308" s="1" t="s">
        <v>28</v>
      </c>
      <c r="G308" s="1" t="s">
        <v>1581</v>
      </c>
      <c r="H308" s="1"/>
      <c r="I308" s="1">
        <v>32</v>
      </c>
      <c r="J308" s="1" t="s">
        <v>1582</v>
      </c>
      <c r="K308" s="1" t="s">
        <v>527</v>
      </c>
      <c r="L308" s="1" t="s">
        <v>1436</v>
      </c>
      <c r="M308" s="1" t="s">
        <v>1583</v>
      </c>
      <c r="N308" s="2">
        <v>40909</v>
      </c>
      <c r="O308" s="1"/>
      <c r="P308" s="1"/>
      <c r="Q308" s="1" t="s">
        <v>34</v>
      </c>
      <c r="R308" s="1"/>
      <c r="S308" s="1" t="s">
        <v>35</v>
      </c>
      <c r="T308" s="1">
        <v>44.9</v>
      </c>
      <c r="U308" s="1">
        <v>-72.36</v>
      </c>
      <c r="V308" s="1" t="s">
        <v>1584</v>
      </c>
      <c r="W308" s="1"/>
      <c r="X308" s="1" t="s">
        <v>37</v>
      </c>
      <c r="Y308" s="1" t="s">
        <v>1484</v>
      </c>
      <c r="Z308" s="1">
        <v>0</v>
      </c>
    </row>
    <row r="309" spans="1:26" ht="42">
      <c r="A309" s="1" t="str">
        <f>"00088H"</f>
        <v>00088H</v>
      </c>
      <c r="B309" s="1" t="s">
        <v>1407</v>
      </c>
      <c r="C309" s="1" t="s">
        <v>1408</v>
      </c>
      <c r="D309" s="1" t="str">
        <f>"8027442007"</f>
        <v>8027442007</v>
      </c>
      <c r="E309" s="1">
        <v>3222</v>
      </c>
      <c r="F309" s="1" t="s">
        <v>28</v>
      </c>
      <c r="G309" s="1" t="s">
        <v>1585</v>
      </c>
      <c r="H309" s="1"/>
      <c r="I309" s="1">
        <v>32</v>
      </c>
      <c r="J309" s="1" t="s">
        <v>1586</v>
      </c>
      <c r="K309" s="1" t="s">
        <v>428</v>
      </c>
      <c r="L309" s="1" t="s">
        <v>429</v>
      </c>
      <c r="M309" s="1" t="s">
        <v>1587</v>
      </c>
      <c r="N309" s="2">
        <v>40909</v>
      </c>
      <c r="O309" s="1"/>
      <c r="P309" s="2">
        <v>42124</v>
      </c>
      <c r="Q309" s="1" t="s">
        <v>1208</v>
      </c>
      <c r="R309" s="1"/>
      <c r="S309" s="1" t="s">
        <v>35</v>
      </c>
      <c r="T309" s="1">
        <v>44.992489999999997</v>
      </c>
      <c r="U309" s="1">
        <v>-73.302889999999906</v>
      </c>
      <c r="V309" s="1" t="s">
        <v>1588</v>
      </c>
      <c r="W309" s="1"/>
      <c r="X309" s="1" t="s">
        <v>37</v>
      </c>
      <c r="Y309" s="1" t="s">
        <v>1527</v>
      </c>
      <c r="Z309" s="1">
        <v>0</v>
      </c>
    </row>
    <row r="310" spans="1:26" ht="42">
      <c r="A310" s="1" t="str">
        <f>"00088H"</f>
        <v>00088H</v>
      </c>
      <c r="B310" s="1" t="s">
        <v>1407</v>
      </c>
      <c r="C310" s="1" t="s">
        <v>1408</v>
      </c>
      <c r="D310" s="1" t="str">
        <f>"8027442007"</f>
        <v>8027442007</v>
      </c>
      <c r="E310" s="1">
        <v>3222</v>
      </c>
      <c r="F310" s="1" t="s">
        <v>28</v>
      </c>
      <c r="G310" s="1" t="s">
        <v>1589</v>
      </c>
      <c r="H310" s="1"/>
      <c r="I310" s="1">
        <v>32</v>
      </c>
      <c r="J310" s="1" t="s">
        <v>1590</v>
      </c>
      <c r="K310" s="1" t="s">
        <v>428</v>
      </c>
      <c r="L310" s="1" t="s">
        <v>429</v>
      </c>
      <c r="M310" s="1" t="s">
        <v>1591</v>
      </c>
      <c r="N310" s="2">
        <v>40909</v>
      </c>
      <c r="O310" s="1"/>
      <c r="P310" s="2">
        <v>41915</v>
      </c>
      <c r="Q310" s="1" t="s">
        <v>34</v>
      </c>
      <c r="R310" s="1"/>
      <c r="S310" s="1" t="s">
        <v>35</v>
      </c>
      <c r="T310" s="1">
        <v>44.976039999999998</v>
      </c>
      <c r="U310" s="1">
        <v>-73.235189999999903</v>
      </c>
      <c r="V310" s="1" t="s">
        <v>1592</v>
      </c>
      <c r="W310" s="1"/>
      <c r="X310" s="1" t="s">
        <v>37</v>
      </c>
      <c r="Y310" s="1" t="s">
        <v>1593</v>
      </c>
      <c r="Z310" s="1">
        <v>0</v>
      </c>
    </row>
    <row r="311" spans="1:26" ht="42">
      <c r="A311" s="1" t="str">
        <f>"00088H"</f>
        <v>00088H</v>
      </c>
      <c r="B311" s="1" t="s">
        <v>1407</v>
      </c>
      <c r="C311" s="1" t="s">
        <v>1408</v>
      </c>
      <c r="D311" s="1" t="str">
        <f>"8027442007"</f>
        <v>8027442007</v>
      </c>
      <c r="E311" s="1">
        <v>3222</v>
      </c>
      <c r="F311" s="1" t="s">
        <v>28</v>
      </c>
      <c r="G311" s="1" t="s">
        <v>1594</v>
      </c>
      <c r="H311" s="1"/>
      <c r="I311" s="1">
        <v>32</v>
      </c>
      <c r="J311" s="1" t="s">
        <v>1595</v>
      </c>
      <c r="K311" s="1" t="s">
        <v>428</v>
      </c>
      <c r="L311" s="1" t="s">
        <v>429</v>
      </c>
      <c r="M311" s="1" t="s">
        <v>1491</v>
      </c>
      <c r="N311" s="2">
        <v>40909</v>
      </c>
      <c r="O311" s="1"/>
      <c r="P311" s="1"/>
      <c r="Q311" s="1" t="s">
        <v>34</v>
      </c>
      <c r="R311" s="1"/>
      <c r="S311" s="1" t="s">
        <v>35</v>
      </c>
      <c r="T311" s="1">
        <v>44.956000000000003</v>
      </c>
      <c r="U311" s="1">
        <v>-73.281889999999905</v>
      </c>
      <c r="V311" s="1" t="s">
        <v>1596</v>
      </c>
      <c r="W311" s="1"/>
      <c r="X311" s="1" t="s">
        <v>37</v>
      </c>
      <c r="Y311" s="1" t="s">
        <v>1527</v>
      </c>
      <c r="Z311" s="1">
        <v>0</v>
      </c>
    </row>
    <row r="312" spans="1:26" ht="42">
      <c r="A312" s="1" t="str">
        <f>"00088H"</f>
        <v>00088H</v>
      </c>
      <c r="B312" s="1" t="s">
        <v>1407</v>
      </c>
      <c r="C312" s="1" t="s">
        <v>1408</v>
      </c>
      <c r="D312" s="1" t="str">
        <f>"8027442007"</f>
        <v>8027442007</v>
      </c>
      <c r="E312" s="1">
        <v>3222</v>
      </c>
      <c r="F312" s="1" t="s">
        <v>28</v>
      </c>
      <c r="G312" s="1" t="s">
        <v>1597</v>
      </c>
      <c r="H312" s="1"/>
      <c r="I312" s="1">
        <v>32</v>
      </c>
      <c r="J312" s="1" t="s">
        <v>1598</v>
      </c>
      <c r="K312" s="1" t="s">
        <v>428</v>
      </c>
      <c r="L312" s="1" t="s">
        <v>429</v>
      </c>
      <c r="M312" s="1" t="s">
        <v>1599</v>
      </c>
      <c r="N312" s="2">
        <v>40909</v>
      </c>
      <c r="O312" s="1"/>
      <c r="P312" s="2">
        <v>41200</v>
      </c>
      <c r="Q312" s="1" t="s">
        <v>1208</v>
      </c>
      <c r="R312" s="1"/>
      <c r="S312" s="1" t="s">
        <v>35</v>
      </c>
      <c r="T312" s="1">
        <v>44.938695716944601</v>
      </c>
      <c r="U312" s="1">
        <v>-73.276057988405199</v>
      </c>
      <c r="V312" s="1" t="s">
        <v>834</v>
      </c>
      <c r="W312" s="1"/>
      <c r="X312" s="1" t="s">
        <v>37</v>
      </c>
      <c r="Y312" s="1" t="s">
        <v>1527</v>
      </c>
      <c r="Z312" s="1">
        <v>0</v>
      </c>
    </row>
    <row r="313" spans="1:26" ht="42">
      <c r="A313" s="1" t="str">
        <f>"00088H"</f>
        <v>00088H</v>
      </c>
      <c r="B313" s="1" t="s">
        <v>1407</v>
      </c>
      <c r="C313" s="1" t="s">
        <v>1408</v>
      </c>
      <c r="D313" s="1" t="str">
        <f>"8027442007"</f>
        <v>8027442007</v>
      </c>
      <c r="E313" s="1">
        <v>3222</v>
      </c>
      <c r="F313" s="1" t="s">
        <v>28</v>
      </c>
      <c r="G313" s="1" t="s">
        <v>1600</v>
      </c>
      <c r="H313" s="1"/>
      <c r="I313" s="1">
        <v>32</v>
      </c>
      <c r="J313" s="1" t="s">
        <v>1601</v>
      </c>
      <c r="K313" s="1" t="s">
        <v>152</v>
      </c>
      <c r="L313" s="1" t="s">
        <v>1137</v>
      </c>
      <c r="M313" s="1" t="s">
        <v>1149</v>
      </c>
      <c r="N313" s="2">
        <v>40909</v>
      </c>
      <c r="O313" s="1"/>
      <c r="P313" s="2">
        <v>41941</v>
      </c>
      <c r="Q313" s="1" t="s">
        <v>1208</v>
      </c>
      <c r="R313" s="1"/>
      <c r="S313" s="1" t="s">
        <v>35</v>
      </c>
      <c r="T313" s="1">
        <v>44.877730447953702</v>
      </c>
      <c r="U313" s="1">
        <v>-73.152278065681401</v>
      </c>
      <c r="V313" s="1" t="s">
        <v>1602</v>
      </c>
      <c r="W313" s="1"/>
      <c r="X313" s="1" t="s">
        <v>37</v>
      </c>
      <c r="Y313" s="1" t="s">
        <v>1140</v>
      </c>
      <c r="Z313" s="1">
        <v>0</v>
      </c>
    </row>
    <row r="314" spans="1:26" ht="42">
      <c r="A314" s="1" t="str">
        <f>"00088H"</f>
        <v>00088H</v>
      </c>
      <c r="B314" s="1" t="s">
        <v>1407</v>
      </c>
      <c r="C314" s="1" t="s">
        <v>1408</v>
      </c>
      <c r="D314" s="1" t="str">
        <f>"8027442007"</f>
        <v>8027442007</v>
      </c>
      <c r="E314" s="1">
        <v>3222</v>
      </c>
      <c r="F314" s="1" t="s">
        <v>28</v>
      </c>
      <c r="G314" s="1" t="s">
        <v>1603</v>
      </c>
      <c r="H314" s="1">
        <v>4924</v>
      </c>
      <c r="I314" s="1">
        <v>32</v>
      </c>
      <c r="J314" s="1" t="s">
        <v>1604</v>
      </c>
      <c r="K314" s="1" t="s">
        <v>170</v>
      </c>
      <c r="L314" s="1" t="s">
        <v>171</v>
      </c>
      <c r="M314" s="1" t="s">
        <v>1605</v>
      </c>
      <c r="N314" s="2">
        <v>36892</v>
      </c>
      <c r="O314" s="1"/>
      <c r="P314" s="1"/>
      <c r="Q314" s="1" t="s">
        <v>34</v>
      </c>
      <c r="R314" s="1"/>
      <c r="S314" s="1" t="s">
        <v>35</v>
      </c>
      <c r="T314" s="1">
        <v>44.638930000000002</v>
      </c>
      <c r="U314" s="1">
        <v>-72.706659999999999</v>
      </c>
      <c r="V314" s="1" t="s">
        <v>159</v>
      </c>
      <c r="W314" s="1"/>
      <c r="X314" s="1" t="s">
        <v>37</v>
      </c>
      <c r="Y314" s="1" t="s">
        <v>173</v>
      </c>
      <c r="Z314" s="1">
        <v>0</v>
      </c>
    </row>
    <row r="315" spans="1:26" ht="42">
      <c r="A315" s="1" t="str">
        <f>"00088H"</f>
        <v>00088H</v>
      </c>
      <c r="B315" s="1" t="s">
        <v>1407</v>
      </c>
      <c r="C315" s="1" t="s">
        <v>1408</v>
      </c>
      <c r="D315" s="1" t="str">
        <f>"8027442007"</f>
        <v>8027442007</v>
      </c>
      <c r="E315" s="1">
        <v>3222</v>
      </c>
      <c r="F315" s="1" t="s">
        <v>28</v>
      </c>
      <c r="G315" s="1" t="s">
        <v>1606</v>
      </c>
      <c r="H315" s="1"/>
      <c r="I315" s="1">
        <v>32</v>
      </c>
      <c r="J315" s="1" t="s">
        <v>470</v>
      </c>
      <c r="K315" s="1" t="s">
        <v>527</v>
      </c>
      <c r="L315" s="1" t="s">
        <v>1481</v>
      </c>
      <c r="M315" s="1" t="s">
        <v>1607</v>
      </c>
      <c r="N315" s="2">
        <v>40299</v>
      </c>
      <c r="O315" s="1"/>
      <c r="P315" s="2">
        <v>42502</v>
      </c>
      <c r="Q315" s="1" t="s">
        <v>34</v>
      </c>
      <c r="R315" s="1"/>
      <c r="S315" s="1" t="s">
        <v>35</v>
      </c>
      <c r="T315" s="1">
        <v>44.8596</v>
      </c>
      <c r="U315" s="1">
        <v>-72.408000000000001</v>
      </c>
      <c r="V315" s="1" t="s">
        <v>1608</v>
      </c>
      <c r="W315" s="1"/>
      <c r="X315" s="1" t="s">
        <v>37</v>
      </c>
      <c r="Y315" s="1" t="s">
        <v>1609</v>
      </c>
      <c r="Z315" s="1">
        <v>5874</v>
      </c>
    </row>
    <row r="316" spans="1:26" ht="42">
      <c r="A316" s="1" t="str">
        <f>"000892"</f>
        <v>000892</v>
      </c>
      <c r="B316" s="1" t="s">
        <v>1610</v>
      </c>
      <c r="C316" s="1" t="s">
        <v>1611</v>
      </c>
      <c r="D316" s="1" t="str">
        <f>"8028882965"</f>
        <v>8028882965</v>
      </c>
      <c r="E316" s="1">
        <v>1875</v>
      </c>
      <c r="F316" s="1" t="s">
        <v>28</v>
      </c>
      <c r="G316" s="1" t="s">
        <v>1612</v>
      </c>
      <c r="H316" s="1">
        <v>2333</v>
      </c>
      <c r="I316" s="1">
        <v>2</v>
      </c>
      <c r="J316" s="1" t="s">
        <v>1613</v>
      </c>
      <c r="K316" s="1" t="s">
        <v>170</v>
      </c>
      <c r="L316" s="1" t="s">
        <v>1614</v>
      </c>
      <c r="M316" s="1" t="s">
        <v>1615</v>
      </c>
      <c r="N316" s="2">
        <v>36892</v>
      </c>
      <c r="O316" s="1"/>
      <c r="P316" s="2">
        <v>38197</v>
      </c>
      <c r="Q316" s="1" t="s">
        <v>34</v>
      </c>
      <c r="R316" s="1"/>
      <c r="S316" s="1" t="s">
        <v>35</v>
      </c>
      <c r="T316" s="1">
        <v>44.538338000000003</v>
      </c>
      <c r="U316" s="1">
        <v>-72.521987899999999</v>
      </c>
      <c r="V316" s="1" t="s">
        <v>1616</v>
      </c>
      <c r="W316" s="1"/>
      <c r="X316" s="1" t="s">
        <v>37</v>
      </c>
      <c r="Y316" s="1" t="s">
        <v>1617</v>
      </c>
      <c r="Z316" s="1">
        <v>5657</v>
      </c>
    </row>
    <row r="317" spans="1:26" ht="42">
      <c r="A317" s="1" t="str">
        <f>"000897"</f>
        <v>000897</v>
      </c>
      <c r="B317" s="1" t="s">
        <v>1618</v>
      </c>
      <c r="C317" s="1" t="s">
        <v>1619</v>
      </c>
      <c r="D317" s="1" t="str">
        <f>"8026442763"</f>
        <v>8026442763</v>
      </c>
      <c r="E317" s="1">
        <v>1892</v>
      </c>
      <c r="F317" s="1" t="s">
        <v>28</v>
      </c>
      <c r="G317" s="1" t="s">
        <v>1620</v>
      </c>
      <c r="H317" s="1">
        <v>2350</v>
      </c>
      <c r="I317" s="1">
        <v>1</v>
      </c>
      <c r="J317" s="1" t="s">
        <v>1621</v>
      </c>
      <c r="K317" s="1" t="s">
        <v>170</v>
      </c>
      <c r="L317" s="1" t="s">
        <v>1622</v>
      </c>
      <c r="M317" s="1" t="s">
        <v>1623</v>
      </c>
      <c r="N317" s="2">
        <v>36892</v>
      </c>
      <c r="O317" s="1"/>
      <c r="P317" s="2">
        <v>42640</v>
      </c>
      <c r="Q317" s="1" t="s">
        <v>34</v>
      </c>
      <c r="R317" s="1"/>
      <c r="S317" s="1" t="s">
        <v>35</v>
      </c>
      <c r="T317" s="1">
        <v>44.759625499999999</v>
      </c>
      <c r="U317" s="1">
        <v>-72.670476500000007</v>
      </c>
      <c r="V317" s="1" t="s">
        <v>1624</v>
      </c>
      <c r="W317" s="1"/>
      <c r="X317" s="1" t="s">
        <v>37</v>
      </c>
      <c r="Y317" s="1" t="s">
        <v>1625</v>
      </c>
      <c r="Z317" s="1">
        <v>5492</v>
      </c>
    </row>
    <row r="318" spans="1:26" ht="42">
      <c r="A318" s="1" t="str">
        <f>"00089A"</f>
        <v>00089A</v>
      </c>
      <c r="B318" s="1" t="s">
        <v>1626</v>
      </c>
      <c r="C318" s="1" t="s">
        <v>1627</v>
      </c>
      <c r="D318" s="1" t="str">
        <f>"8022653582"</f>
        <v>8022653582</v>
      </c>
      <c r="E318" s="1">
        <v>3598</v>
      </c>
      <c r="F318" s="1" t="s">
        <v>28</v>
      </c>
      <c r="G318" s="1" t="s">
        <v>1628</v>
      </c>
      <c r="H318" s="1">
        <v>4754</v>
      </c>
      <c r="I318" s="1">
        <v>5</v>
      </c>
      <c r="J318" s="1" t="s">
        <v>1629</v>
      </c>
      <c r="K318" s="1" t="s">
        <v>135</v>
      </c>
      <c r="L318" s="1" t="s">
        <v>1630</v>
      </c>
      <c r="M318" s="1" t="s">
        <v>1631</v>
      </c>
      <c r="N318" s="2">
        <v>36892</v>
      </c>
      <c r="O318" s="1"/>
      <c r="P318" s="2">
        <v>40758</v>
      </c>
      <c r="Q318" s="1" t="s">
        <v>34</v>
      </c>
      <c r="R318" s="1"/>
      <c r="S318" s="1" t="s">
        <v>35</v>
      </c>
      <c r="T318" s="1">
        <v>43.609383344075297</v>
      </c>
      <c r="U318" s="1">
        <v>-73.235815465450202</v>
      </c>
      <c r="V318" s="1" t="s">
        <v>1632</v>
      </c>
      <c r="W318" s="1"/>
      <c r="X318" s="1" t="s">
        <v>37</v>
      </c>
      <c r="Y318" s="1" t="s">
        <v>1633</v>
      </c>
      <c r="Z318" s="1">
        <v>5735</v>
      </c>
    </row>
    <row r="319" spans="1:26" ht="42">
      <c r="A319" s="1" t="str">
        <f>"0008A5"</f>
        <v>0008A5</v>
      </c>
      <c r="B319" s="1" t="s">
        <v>1634</v>
      </c>
      <c r="C319" s="1" t="s">
        <v>1635</v>
      </c>
      <c r="D319" s="1" t="str">
        <f>"8029859028"</f>
        <v>8029859028</v>
      </c>
      <c r="E319" s="1">
        <v>2478</v>
      </c>
      <c r="F319" s="1" t="s">
        <v>28</v>
      </c>
      <c r="G319" s="1" t="s">
        <v>1636</v>
      </c>
      <c r="H319" s="1">
        <v>3116</v>
      </c>
      <c r="I319" s="1">
        <v>3</v>
      </c>
      <c r="J319" s="1" t="s">
        <v>1637</v>
      </c>
      <c r="K319" s="1" t="s">
        <v>43</v>
      </c>
      <c r="L319" s="1" t="s">
        <v>723</v>
      </c>
      <c r="M319" s="1" t="s">
        <v>724</v>
      </c>
      <c r="N319" s="2">
        <v>36892</v>
      </c>
      <c r="O319" s="1"/>
      <c r="P319" s="2">
        <v>38460</v>
      </c>
      <c r="Q319" s="1" t="s">
        <v>34</v>
      </c>
      <c r="R319" s="1"/>
      <c r="S319" s="1" t="s">
        <v>35</v>
      </c>
      <c r="T319" s="1">
        <v>44.388048581466101</v>
      </c>
      <c r="U319" s="1">
        <v>-73.257511854171696</v>
      </c>
      <c r="V319" s="1" t="s">
        <v>1638</v>
      </c>
      <c r="W319" s="1"/>
      <c r="X319" s="1" t="s">
        <v>37</v>
      </c>
      <c r="Y319" s="1" t="s">
        <v>725</v>
      </c>
      <c r="Z319" s="1">
        <v>5482</v>
      </c>
    </row>
    <row r="320" spans="1:26" ht="42">
      <c r="A320" s="1" t="str">
        <f>"0008AN"</f>
        <v>0008AN</v>
      </c>
      <c r="B320" s="1" t="s">
        <v>1639</v>
      </c>
      <c r="C320" s="1" t="s">
        <v>1640</v>
      </c>
      <c r="D320" s="1" t="str">
        <f>"8025254044"</f>
        <v>8025254044</v>
      </c>
      <c r="E320" s="1">
        <v>3266</v>
      </c>
      <c r="F320" s="1" t="s">
        <v>28</v>
      </c>
      <c r="G320" s="1" t="s">
        <v>1641</v>
      </c>
      <c r="H320" s="1">
        <v>4347</v>
      </c>
      <c r="I320" s="1">
        <v>11</v>
      </c>
      <c r="J320" s="1" t="s">
        <v>1642</v>
      </c>
      <c r="K320" s="1" t="s">
        <v>527</v>
      </c>
      <c r="L320" s="1" t="s">
        <v>1643</v>
      </c>
      <c r="M320" s="1" t="s">
        <v>1639</v>
      </c>
      <c r="N320" s="2">
        <v>36892</v>
      </c>
      <c r="O320" s="1"/>
      <c r="P320" s="2">
        <v>37032</v>
      </c>
      <c r="Q320" s="1" t="s">
        <v>34</v>
      </c>
      <c r="R320" s="1"/>
      <c r="S320" s="1" t="s">
        <v>35</v>
      </c>
      <c r="T320" s="1">
        <v>44.71819</v>
      </c>
      <c r="U320" s="1">
        <v>-72.199774999999903</v>
      </c>
      <c r="V320" s="1" t="s">
        <v>1644</v>
      </c>
      <c r="W320" s="1"/>
      <c r="X320" s="1" t="s">
        <v>37</v>
      </c>
      <c r="Y320" s="1" t="s">
        <v>1645</v>
      </c>
      <c r="Z320" s="1">
        <v>5839</v>
      </c>
    </row>
    <row r="321" spans="1:26" ht="42">
      <c r="A321" s="1" t="str">
        <f>"0008AP"</f>
        <v>0008AP</v>
      </c>
      <c r="B321" s="1" t="s">
        <v>1646</v>
      </c>
      <c r="C321" s="1" t="s">
        <v>1647</v>
      </c>
      <c r="D321" s="1" t="str">
        <f>"8024339897"</f>
        <v>8024339897</v>
      </c>
      <c r="E321" s="1">
        <v>3868</v>
      </c>
      <c r="F321" s="1" t="s">
        <v>28</v>
      </c>
      <c r="G321" s="1" t="s">
        <v>1648</v>
      </c>
      <c r="H321" s="1">
        <v>5137</v>
      </c>
      <c r="I321" s="1">
        <v>27</v>
      </c>
      <c r="J321" s="1" t="s">
        <v>1649</v>
      </c>
      <c r="K321" s="1" t="s">
        <v>68</v>
      </c>
      <c r="L321" s="1" t="s">
        <v>224</v>
      </c>
      <c r="M321" s="1" t="s">
        <v>1650</v>
      </c>
      <c r="N321" s="2">
        <v>36892</v>
      </c>
      <c r="O321" s="1"/>
      <c r="P321" s="2">
        <v>42999</v>
      </c>
      <c r="Q321" s="1" t="s">
        <v>34</v>
      </c>
      <c r="R321" s="1"/>
      <c r="S321" s="1" t="s">
        <v>35</v>
      </c>
      <c r="T321" s="1">
        <v>44.120519999999999</v>
      </c>
      <c r="U321" s="1">
        <v>-72.553369999999902</v>
      </c>
      <c r="V321" s="1" t="s">
        <v>1651</v>
      </c>
      <c r="W321" s="1"/>
      <c r="X321" s="1" t="s">
        <v>37</v>
      </c>
      <c r="Y321" s="1" t="s">
        <v>227</v>
      </c>
      <c r="Z321" s="1">
        <v>5679</v>
      </c>
    </row>
    <row r="322" spans="1:26" ht="42">
      <c r="A322" s="1" t="str">
        <f>"0008AP"</f>
        <v>0008AP</v>
      </c>
      <c r="B322" s="1" t="s">
        <v>1646</v>
      </c>
      <c r="C322" s="1" t="s">
        <v>1647</v>
      </c>
      <c r="D322" s="1" t="str">
        <f>"8024339897"</f>
        <v>8024339897</v>
      </c>
      <c r="E322" s="1">
        <v>3868</v>
      </c>
      <c r="F322" s="1" t="s">
        <v>28</v>
      </c>
      <c r="G322" s="1" t="s">
        <v>1652</v>
      </c>
      <c r="H322" s="1"/>
      <c r="I322" s="1">
        <v>2</v>
      </c>
      <c r="J322" s="1">
        <v>2</v>
      </c>
      <c r="K322" s="1" t="s">
        <v>31</v>
      </c>
      <c r="L322" s="1" t="s">
        <v>786</v>
      </c>
      <c r="M322" s="1" t="s">
        <v>1653</v>
      </c>
      <c r="N322" s="2">
        <v>42205</v>
      </c>
      <c r="O322" s="1"/>
      <c r="P322" s="2">
        <v>42992</v>
      </c>
      <c r="Q322" s="1" t="s">
        <v>34</v>
      </c>
      <c r="R322" s="1"/>
      <c r="S322" s="1" t="s">
        <v>35</v>
      </c>
      <c r="T322" s="1">
        <v>44.197870299999998</v>
      </c>
      <c r="U322" s="1">
        <v>-72.568669399999905</v>
      </c>
      <c r="V322" s="1" t="s">
        <v>1654</v>
      </c>
      <c r="W322" s="1"/>
      <c r="X322" s="1" t="s">
        <v>37</v>
      </c>
      <c r="Y322" s="1" t="s">
        <v>1300</v>
      </c>
      <c r="Z322" s="1">
        <v>5602</v>
      </c>
    </row>
    <row r="323" spans="1:26" ht="42">
      <c r="A323" s="1" t="str">
        <f>"0008AY"</f>
        <v>0008AY</v>
      </c>
      <c r="B323" s="1" t="s">
        <v>1655</v>
      </c>
      <c r="C323" s="1" t="s">
        <v>1656</v>
      </c>
      <c r="D323" s="1" t="str">
        <f>"8022971718"</f>
        <v>8022971718</v>
      </c>
      <c r="E323" s="1">
        <v>2346</v>
      </c>
      <c r="F323" s="1" t="s">
        <v>28</v>
      </c>
      <c r="G323" s="1" t="s">
        <v>1657</v>
      </c>
      <c r="H323" s="1">
        <v>2929</v>
      </c>
      <c r="I323" s="1">
        <v>2</v>
      </c>
      <c r="J323" s="1" t="s">
        <v>1658</v>
      </c>
      <c r="K323" s="1" t="s">
        <v>144</v>
      </c>
      <c r="L323" s="1" t="s">
        <v>586</v>
      </c>
      <c r="M323" s="1" t="s">
        <v>1659</v>
      </c>
      <c r="N323" s="2">
        <v>36892</v>
      </c>
      <c r="O323" s="1"/>
      <c r="P323" s="2">
        <v>35207</v>
      </c>
      <c r="Q323" s="1" t="s">
        <v>34</v>
      </c>
      <c r="R323" s="1"/>
      <c r="S323" s="1" t="s">
        <v>35</v>
      </c>
      <c r="T323" s="1">
        <v>43.152489000000003</v>
      </c>
      <c r="U323" s="1">
        <v>-72.853637999999904</v>
      </c>
      <c r="V323" s="1" t="s">
        <v>1660</v>
      </c>
      <c r="W323" s="1"/>
      <c r="X323" s="1" t="s">
        <v>37</v>
      </c>
      <c r="Y323" s="1" t="s">
        <v>1661</v>
      </c>
      <c r="Z323" s="1">
        <v>5155</v>
      </c>
    </row>
    <row r="324" spans="1:26" ht="42">
      <c r="A324" s="1" t="str">
        <f>"0008B1"</f>
        <v>0008B1</v>
      </c>
      <c r="B324" s="1" t="s">
        <v>1662</v>
      </c>
      <c r="C324" s="1" t="s">
        <v>1663</v>
      </c>
      <c r="D324" s="1" t="str">
        <f>"8023701148"</f>
        <v>8023701148</v>
      </c>
      <c r="E324" s="1">
        <v>3734</v>
      </c>
      <c r="F324" s="1" t="s">
        <v>28</v>
      </c>
      <c r="G324" s="1" t="s">
        <v>1664</v>
      </c>
      <c r="H324" s="1">
        <v>4953</v>
      </c>
      <c r="I324" s="1">
        <v>0</v>
      </c>
      <c r="J324" s="1" t="s">
        <v>1665</v>
      </c>
      <c r="K324" s="1" t="s">
        <v>333</v>
      </c>
      <c r="L324" s="1" t="s">
        <v>1666</v>
      </c>
      <c r="M324" s="1" t="s">
        <v>1667</v>
      </c>
      <c r="N324" s="2">
        <v>36892</v>
      </c>
      <c r="O324" s="1"/>
      <c r="P324" s="1"/>
      <c r="Q324" s="1" t="s">
        <v>34</v>
      </c>
      <c r="R324" s="1"/>
      <c r="S324" s="1" t="s">
        <v>35</v>
      </c>
      <c r="T324" s="1">
        <v>44.156559000000001</v>
      </c>
      <c r="U324" s="1">
        <v>-73.244109999999907</v>
      </c>
      <c r="V324" s="1" t="s">
        <v>1668</v>
      </c>
      <c r="W324" s="1"/>
      <c r="X324" s="1" t="s">
        <v>37</v>
      </c>
      <c r="Y324" s="1" t="s">
        <v>652</v>
      </c>
      <c r="Z324" s="1">
        <v>5491</v>
      </c>
    </row>
    <row r="325" spans="1:26" ht="42">
      <c r="A325" s="1" t="str">
        <f>"0008B1"</f>
        <v>0008B1</v>
      </c>
      <c r="B325" s="1" t="s">
        <v>1662</v>
      </c>
      <c r="C325" s="1" t="s">
        <v>1663</v>
      </c>
      <c r="D325" s="1" t="str">
        <f>"8023701148"</f>
        <v>8023701148</v>
      </c>
      <c r="E325" s="1">
        <v>3734</v>
      </c>
      <c r="F325" s="1" t="s">
        <v>28</v>
      </c>
      <c r="G325" s="1" t="s">
        <v>1669</v>
      </c>
      <c r="H325" s="1"/>
      <c r="I325" s="1">
        <v>1</v>
      </c>
      <c r="J325" s="1" t="s">
        <v>1670</v>
      </c>
      <c r="K325" s="1" t="s">
        <v>333</v>
      </c>
      <c r="L325" s="1" t="s">
        <v>679</v>
      </c>
      <c r="M325" s="1" t="s">
        <v>1671</v>
      </c>
      <c r="N325" s="2">
        <v>42919</v>
      </c>
      <c r="O325" s="1"/>
      <c r="P325" s="1"/>
      <c r="Q325" s="1" t="s">
        <v>34</v>
      </c>
      <c r="R325" s="1"/>
      <c r="S325" s="1" t="s">
        <v>35</v>
      </c>
      <c r="T325" s="1"/>
      <c r="U325" s="1"/>
      <c r="V325" s="1" t="s">
        <v>1672</v>
      </c>
      <c r="W325" s="1"/>
      <c r="X325" s="1" t="s">
        <v>37</v>
      </c>
      <c r="Y325" s="1" t="s">
        <v>479</v>
      </c>
      <c r="Z325" s="1">
        <v>5456</v>
      </c>
    </row>
    <row r="326" spans="1:26" ht="42">
      <c r="A326" s="1" t="str">
        <f>"0008B2"</f>
        <v>0008B2</v>
      </c>
      <c r="B326" s="1" t="s">
        <v>1673</v>
      </c>
      <c r="C326" s="1" t="s">
        <v>1674</v>
      </c>
      <c r="D326" s="1" t="str">
        <f>"8027963015"</f>
        <v>8027963015</v>
      </c>
      <c r="E326" s="1">
        <v>3846</v>
      </c>
      <c r="F326" s="1" t="s">
        <v>28</v>
      </c>
      <c r="G326" s="1" t="s">
        <v>1675</v>
      </c>
      <c r="H326" s="1">
        <v>5106</v>
      </c>
      <c r="I326" s="1">
        <v>20</v>
      </c>
      <c r="J326" s="1" t="s">
        <v>410</v>
      </c>
      <c r="K326" s="1" t="s">
        <v>428</v>
      </c>
      <c r="L326" s="1" t="s">
        <v>429</v>
      </c>
      <c r="M326" s="1" t="s">
        <v>1676</v>
      </c>
      <c r="N326" s="2">
        <v>36892</v>
      </c>
      <c r="O326" s="1"/>
      <c r="P326" s="2">
        <v>39293</v>
      </c>
      <c r="Q326" s="1" t="s">
        <v>34</v>
      </c>
      <c r="R326" s="1"/>
      <c r="S326" s="1" t="s">
        <v>35</v>
      </c>
      <c r="T326" s="1">
        <v>44.917209999999997</v>
      </c>
      <c r="U326" s="1">
        <v>-73.311054999999996</v>
      </c>
      <c r="V326" s="1" t="s">
        <v>1677</v>
      </c>
      <c r="W326" s="1"/>
      <c r="X326" s="1" t="s">
        <v>37</v>
      </c>
      <c r="Y326" s="1" t="s">
        <v>432</v>
      </c>
      <c r="Z326" s="1">
        <v>5440</v>
      </c>
    </row>
    <row r="327" spans="1:26" ht="42">
      <c r="A327" s="1" t="str">
        <f>"0008B2"</f>
        <v>0008B2</v>
      </c>
      <c r="B327" s="1" t="s">
        <v>1673</v>
      </c>
      <c r="C327" s="1" t="s">
        <v>1674</v>
      </c>
      <c r="D327" s="1" t="str">
        <f>"8027963015"</f>
        <v>8027963015</v>
      </c>
      <c r="E327" s="1">
        <v>3846</v>
      </c>
      <c r="F327" s="1" t="s">
        <v>28</v>
      </c>
      <c r="G327" s="1" t="s">
        <v>1678</v>
      </c>
      <c r="H327" s="1"/>
      <c r="I327" s="1">
        <v>22</v>
      </c>
      <c r="J327" s="1" t="s">
        <v>1679</v>
      </c>
      <c r="K327" s="1" t="s">
        <v>428</v>
      </c>
      <c r="L327" s="1" t="s">
        <v>1680</v>
      </c>
      <c r="M327" s="1" t="s">
        <v>1681</v>
      </c>
      <c r="N327" s="2">
        <v>40887</v>
      </c>
      <c r="O327" s="1"/>
      <c r="P327" s="2">
        <v>42559</v>
      </c>
      <c r="Q327" s="1" t="s">
        <v>34</v>
      </c>
      <c r="R327" s="1">
        <v>270</v>
      </c>
      <c r="S327" s="1" t="s">
        <v>35</v>
      </c>
      <c r="T327" s="1">
        <v>44.887586381022899</v>
      </c>
      <c r="U327" s="1">
        <v>-73.328630626201601</v>
      </c>
      <c r="V327" s="1" t="s">
        <v>1682</v>
      </c>
      <c r="W327" s="1"/>
      <c r="X327" s="1" t="s">
        <v>37</v>
      </c>
      <c r="Y327" s="1" t="s">
        <v>1683</v>
      </c>
      <c r="Z327" s="1">
        <v>5463</v>
      </c>
    </row>
    <row r="328" spans="1:26" ht="42">
      <c r="A328" s="1" t="str">
        <f>"0008B2"</f>
        <v>0008B2</v>
      </c>
      <c r="B328" s="1" t="s">
        <v>1673</v>
      </c>
      <c r="C328" s="1" t="s">
        <v>1674</v>
      </c>
      <c r="D328" s="1" t="str">
        <f>"8027963015"</f>
        <v>8027963015</v>
      </c>
      <c r="E328" s="1">
        <v>3846</v>
      </c>
      <c r="F328" s="1" t="s">
        <v>28</v>
      </c>
      <c r="G328" s="1" t="s">
        <v>1684</v>
      </c>
      <c r="H328" s="1"/>
      <c r="I328" s="1">
        <v>28</v>
      </c>
      <c r="J328" s="1" t="s">
        <v>1685</v>
      </c>
      <c r="K328" s="1" t="s">
        <v>428</v>
      </c>
      <c r="L328" s="1" t="s">
        <v>1680</v>
      </c>
      <c r="M328" s="1" t="s">
        <v>1686</v>
      </c>
      <c r="N328" s="2">
        <v>40887</v>
      </c>
      <c r="O328" s="1"/>
      <c r="P328" s="1"/>
      <c r="Q328" s="1" t="s">
        <v>34</v>
      </c>
      <c r="R328" s="1"/>
      <c r="S328" s="1" t="s">
        <v>35</v>
      </c>
      <c r="T328" s="1">
        <v>44.840001563770301</v>
      </c>
      <c r="U328" s="1">
        <v>-73.351743221282902</v>
      </c>
      <c r="V328" s="1" t="s">
        <v>1687</v>
      </c>
      <c r="W328" s="1"/>
      <c r="X328" s="1" t="s">
        <v>37</v>
      </c>
      <c r="Y328" s="1" t="s">
        <v>1683</v>
      </c>
      <c r="Z328" s="1">
        <v>5463</v>
      </c>
    </row>
    <row r="329" spans="1:26" ht="42">
      <c r="A329" s="1" t="str">
        <f>"0008B2"</f>
        <v>0008B2</v>
      </c>
      <c r="B329" s="1" t="s">
        <v>1673</v>
      </c>
      <c r="C329" s="1" t="s">
        <v>1674</v>
      </c>
      <c r="D329" s="1" t="str">
        <f>"8027963015"</f>
        <v>8027963015</v>
      </c>
      <c r="E329" s="1">
        <v>3846</v>
      </c>
      <c r="F329" s="1" t="s">
        <v>28</v>
      </c>
      <c r="G329" s="1" t="s">
        <v>1688</v>
      </c>
      <c r="H329" s="1"/>
      <c r="I329" s="1">
        <v>28</v>
      </c>
      <c r="J329" s="1" t="s">
        <v>1689</v>
      </c>
      <c r="K329" s="1" t="s">
        <v>428</v>
      </c>
      <c r="L329" s="1" t="s">
        <v>1680</v>
      </c>
      <c r="M329" s="1" t="s">
        <v>1690</v>
      </c>
      <c r="N329" s="2">
        <v>41815</v>
      </c>
      <c r="O329" s="1"/>
      <c r="P329" s="1"/>
      <c r="Q329" s="1" t="s">
        <v>34</v>
      </c>
      <c r="R329" s="1"/>
      <c r="S329" s="1" t="s">
        <v>35</v>
      </c>
      <c r="T329" s="1">
        <v>44.886525989535002</v>
      </c>
      <c r="U329" s="1">
        <v>-73.348159790039006</v>
      </c>
      <c r="V329" s="1" t="s">
        <v>1691</v>
      </c>
      <c r="W329" s="1"/>
      <c r="X329" s="1" t="s">
        <v>37</v>
      </c>
      <c r="Y329" s="1" t="s">
        <v>1692</v>
      </c>
      <c r="Z329" s="1">
        <v>5440</v>
      </c>
    </row>
    <row r="330" spans="1:26" ht="42">
      <c r="A330" s="1" t="str">
        <f>"0008B2"</f>
        <v>0008B2</v>
      </c>
      <c r="B330" s="1" t="s">
        <v>1673</v>
      </c>
      <c r="C330" s="1" t="s">
        <v>1674</v>
      </c>
      <c r="D330" s="1" t="str">
        <f>"8027963015"</f>
        <v>8027963015</v>
      </c>
      <c r="E330" s="1">
        <v>3846</v>
      </c>
      <c r="F330" s="1" t="s">
        <v>28</v>
      </c>
      <c r="G330" s="1" t="s">
        <v>1693</v>
      </c>
      <c r="H330" s="1"/>
      <c r="I330" s="1">
        <v>68</v>
      </c>
      <c r="J330" s="1">
        <v>5</v>
      </c>
      <c r="K330" s="1" t="s">
        <v>428</v>
      </c>
      <c r="L330" s="1" t="s">
        <v>429</v>
      </c>
      <c r="M330" s="1" t="s">
        <v>1694</v>
      </c>
      <c r="N330" s="2">
        <v>42187</v>
      </c>
      <c r="O330" s="1"/>
      <c r="P330" s="1"/>
      <c r="Q330" s="1" t="s">
        <v>34</v>
      </c>
      <c r="R330" s="1"/>
      <c r="S330" s="1" t="s">
        <v>35</v>
      </c>
      <c r="T330" s="1">
        <v>44.953501000000003</v>
      </c>
      <c r="U330" s="1">
        <v>-73.281836999999996</v>
      </c>
      <c r="V330" s="1" t="s">
        <v>1695</v>
      </c>
      <c r="W330" s="1"/>
      <c r="X330" s="1" t="s">
        <v>37</v>
      </c>
      <c r="Y330" s="1" t="s">
        <v>1527</v>
      </c>
      <c r="Z330" s="1">
        <v>5440</v>
      </c>
    </row>
    <row r="331" spans="1:26" ht="42">
      <c r="A331" s="1" t="str">
        <f>"0008B2"</f>
        <v>0008B2</v>
      </c>
      <c r="B331" s="1" t="s">
        <v>1673</v>
      </c>
      <c r="C331" s="1" t="s">
        <v>1674</v>
      </c>
      <c r="D331" s="1" t="str">
        <f>"8027963015"</f>
        <v>8027963015</v>
      </c>
      <c r="E331" s="1">
        <v>3846</v>
      </c>
      <c r="F331" s="1" t="s">
        <v>28</v>
      </c>
      <c r="G331" s="1" t="s">
        <v>1696</v>
      </c>
      <c r="H331" s="1"/>
      <c r="I331" s="1">
        <v>20</v>
      </c>
      <c r="J331" s="1" t="s">
        <v>1697</v>
      </c>
      <c r="K331" s="1" t="s">
        <v>159</v>
      </c>
      <c r="L331" s="1"/>
      <c r="M331" s="1" t="s">
        <v>1698</v>
      </c>
      <c r="N331" s="2">
        <v>42559</v>
      </c>
      <c r="O331" s="1"/>
      <c r="P331" s="2">
        <v>42559</v>
      </c>
      <c r="Q331" s="1" t="s">
        <v>34</v>
      </c>
      <c r="R331" s="1">
        <v>180</v>
      </c>
      <c r="S331" s="1" t="s">
        <v>35</v>
      </c>
      <c r="T331" s="1">
        <v>44.896011807815</v>
      </c>
      <c r="U331" s="1">
        <v>-73.332592248916598</v>
      </c>
      <c r="V331" s="1" t="s">
        <v>1699</v>
      </c>
      <c r="W331" s="1"/>
      <c r="X331" s="1" t="s">
        <v>37</v>
      </c>
      <c r="Y331" s="1" t="s">
        <v>1700</v>
      </c>
      <c r="Z331" s="1">
        <v>5463</v>
      </c>
    </row>
    <row r="332" spans="1:26" ht="42">
      <c r="A332" s="1" t="str">
        <f>"0008B2"</f>
        <v>0008B2</v>
      </c>
      <c r="B332" s="1" t="s">
        <v>1673</v>
      </c>
      <c r="C332" s="1" t="s">
        <v>1674</v>
      </c>
      <c r="D332" s="1" t="str">
        <f>"8027963015"</f>
        <v>8027963015</v>
      </c>
      <c r="E332" s="1">
        <v>3846</v>
      </c>
      <c r="F332" s="1" t="s">
        <v>28</v>
      </c>
      <c r="G332" s="1" t="s">
        <v>1701</v>
      </c>
      <c r="H332" s="1"/>
      <c r="I332" s="1">
        <v>6</v>
      </c>
      <c r="J332" s="1" t="s">
        <v>1702</v>
      </c>
      <c r="K332" s="1" t="s">
        <v>428</v>
      </c>
      <c r="L332" s="1" t="s">
        <v>1680</v>
      </c>
      <c r="M332" s="1" t="s">
        <v>1703</v>
      </c>
      <c r="N332" s="2">
        <v>42921</v>
      </c>
      <c r="O332" s="1"/>
      <c r="P332" s="1"/>
      <c r="Q332" s="1" t="s">
        <v>34</v>
      </c>
      <c r="R332" s="1"/>
      <c r="S332" s="1" t="s">
        <v>35</v>
      </c>
      <c r="T332" s="1"/>
      <c r="U332" s="1"/>
      <c r="V332" s="1" t="s">
        <v>1704</v>
      </c>
      <c r="W332" s="1"/>
      <c r="X332" s="1" t="s">
        <v>37</v>
      </c>
      <c r="Y332" s="1" t="s">
        <v>432</v>
      </c>
      <c r="Z332" s="1">
        <v>5440</v>
      </c>
    </row>
    <row r="333" spans="1:26" ht="42">
      <c r="A333" s="1" t="str">
        <f>"0008C6"</f>
        <v>0008C6</v>
      </c>
      <c r="B333" s="1" t="s">
        <v>1705</v>
      </c>
      <c r="C333" s="1" t="s">
        <v>1706</v>
      </c>
      <c r="D333" s="1" t="str">
        <f>"8023682383"</f>
        <v>8023682383</v>
      </c>
      <c r="E333" s="1">
        <v>3869</v>
      </c>
      <c r="F333" s="1" t="s">
        <v>28</v>
      </c>
      <c r="G333" s="1" t="s">
        <v>1707</v>
      </c>
      <c r="H333" s="1">
        <v>5139</v>
      </c>
      <c r="I333" s="1">
        <v>4</v>
      </c>
      <c r="J333" s="1" t="s">
        <v>1708</v>
      </c>
      <c r="K333" s="1" t="s">
        <v>144</v>
      </c>
      <c r="L333" s="1" t="s">
        <v>1709</v>
      </c>
      <c r="M333" s="1" t="s">
        <v>1710</v>
      </c>
      <c r="N333" s="2">
        <v>36892</v>
      </c>
      <c r="O333" s="1"/>
      <c r="P333" s="2">
        <v>39370</v>
      </c>
      <c r="Q333" s="1" t="s">
        <v>34</v>
      </c>
      <c r="R333" s="1"/>
      <c r="S333" s="1" t="s">
        <v>35</v>
      </c>
      <c r="T333" s="1">
        <v>42.808734999999999</v>
      </c>
      <c r="U333" s="1">
        <v>-72.880966000000001</v>
      </c>
      <c r="V333" s="1" t="s">
        <v>1711</v>
      </c>
      <c r="W333" s="1"/>
      <c r="X333" s="1" t="s">
        <v>37</v>
      </c>
      <c r="Y333" s="1" t="s">
        <v>1712</v>
      </c>
      <c r="Z333" s="1">
        <v>5361</v>
      </c>
    </row>
    <row r="334" spans="1:26" ht="42">
      <c r="A334" s="1" t="str">
        <f>"0008C6"</f>
        <v>0008C6</v>
      </c>
      <c r="B334" s="1" t="s">
        <v>1705</v>
      </c>
      <c r="C334" s="1" t="s">
        <v>1706</v>
      </c>
      <c r="D334" s="1" t="str">
        <f>"8023682383"</f>
        <v>8023682383</v>
      </c>
      <c r="E334" s="1">
        <v>3869</v>
      </c>
      <c r="F334" s="1" t="s">
        <v>28</v>
      </c>
      <c r="G334" s="1" t="s">
        <v>1713</v>
      </c>
      <c r="H334" s="1"/>
      <c r="I334" s="1">
        <v>2</v>
      </c>
      <c r="J334" s="1">
        <v>2</v>
      </c>
      <c r="K334" s="1" t="s">
        <v>144</v>
      </c>
      <c r="L334" s="1" t="s">
        <v>1709</v>
      </c>
      <c r="M334" s="1" t="s">
        <v>1714</v>
      </c>
      <c r="N334" s="2">
        <v>42891</v>
      </c>
      <c r="O334" s="1"/>
      <c r="P334" s="1"/>
      <c r="Q334" s="1" t="s">
        <v>34</v>
      </c>
      <c r="R334" s="1"/>
      <c r="S334" s="1" t="s">
        <v>35</v>
      </c>
      <c r="T334" s="1">
        <v>42.736781999999998</v>
      </c>
      <c r="U334" s="1">
        <v>-72.817595999999895</v>
      </c>
      <c r="V334" s="1" t="s">
        <v>1715</v>
      </c>
      <c r="W334" s="1"/>
      <c r="X334" s="1" t="s">
        <v>37</v>
      </c>
      <c r="Y334" s="1" t="s">
        <v>1712</v>
      </c>
      <c r="Z334" s="1">
        <v>5342</v>
      </c>
    </row>
    <row r="335" spans="1:26" ht="42">
      <c r="A335" s="1" t="str">
        <f>"0008C6"</f>
        <v>0008C6</v>
      </c>
      <c r="B335" s="1" t="s">
        <v>1705</v>
      </c>
      <c r="C335" s="1" t="s">
        <v>1706</v>
      </c>
      <c r="D335" s="1" t="str">
        <f>"8023682383"</f>
        <v>8023682383</v>
      </c>
      <c r="E335" s="1">
        <v>3869</v>
      </c>
      <c r="F335" s="1" t="s">
        <v>28</v>
      </c>
      <c r="G335" s="1" t="s">
        <v>1716</v>
      </c>
      <c r="H335" s="1"/>
      <c r="I335" s="1">
        <v>4</v>
      </c>
      <c r="J335" s="1">
        <v>3</v>
      </c>
      <c r="K335" s="1" t="s">
        <v>144</v>
      </c>
      <c r="L335" s="1" t="s">
        <v>1709</v>
      </c>
      <c r="M335" s="1" t="s">
        <v>1717</v>
      </c>
      <c r="N335" s="2">
        <v>42891</v>
      </c>
      <c r="O335" s="1"/>
      <c r="P335" s="1"/>
      <c r="Q335" s="1" t="s">
        <v>34</v>
      </c>
      <c r="R335" s="1"/>
      <c r="S335" s="1" t="s">
        <v>35</v>
      </c>
      <c r="T335" s="1">
        <v>42.761355999999999</v>
      </c>
      <c r="U335" s="1">
        <v>-72.8118438999999</v>
      </c>
      <c r="V335" s="1" t="s">
        <v>1718</v>
      </c>
      <c r="W335" s="1"/>
      <c r="X335" s="1" t="s">
        <v>37</v>
      </c>
      <c r="Y335" s="1" t="s">
        <v>1712</v>
      </c>
      <c r="Z335" s="1">
        <v>5342</v>
      </c>
    </row>
    <row r="336" spans="1:26" ht="42">
      <c r="A336" s="1" t="str">
        <f>"0008D3"</f>
        <v>0008D3</v>
      </c>
      <c r="B336" s="1" t="s">
        <v>1719</v>
      </c>
      <c r="C336" s="1" t="s">
        <v>1720</v>
      </c>
      <c r="D336" s="1" t="str">
        <f>"8028936692"</f>
        <v>8028936692</v>
      </c>
      <c r="E336" s="1">
        <v>3740</v>
      </c>
      <c r="F336" s="1" t="s">
        <v>28</v>
      </c>
      <c r="G336" s="1" t="s">
        <v>1721</v>
      </c>
      <c r="H336" s="1">
        <v>4961</v>
      </c>
      <c r="I336" s="1">
        <v>1</v>
      </c>
      <c r="J336" s="1">
        <v>1</v>
      </c>
      <c r="K336" s="1" t="s">
        <v>43</v>
      </c>
      <c r="L336" s="1" t="s">
        <v>86</v>
      </c>
      <c r="M336" s="1" t="s">
        <v>1722</v>
      </c>
      <c r="N336" s="2">
        <v>36892</v>
      </c>
      <c r="O336" s="1"/>
      <c r="P336" s="1"/>
      <c r="Q336" s="1" t="s">
        <v>34</v>
      </c>
      <c r="R336" s="1"/>
      <c r="S336" s="1" t="s">
        <v>35</v>
      </c>
      <c r="T336" s="1">
        <v>44.689048</v>
      </c>
      <c r="U336" s="1">
        <v>-73.175728999999905</v>
      </c>
      <c r="V336" s="1" t="s">
        <v>1723</v>
      </c>
      <c r="W336" s="1"/>
      <c r="X336" s="1" t="s">
        <v>37</v>
      </c>
      <c r="Y336" s="1" t="s">
        <v>1724</v>
      </c>
      <c r="Z336" s="1">
        <v>5468</v>
      </c>
    </row>
    <row r="337" spans="1:26" ht="42">
      <c r="A337" s="1" t="str">
        <f>"0008DQ"</f>
        <v>0008DQ</v>
      </c>
      <c r="B337" s="1" t="s">
        <v>1725</v>
      </c>
      <c r="C337" s="1" t="s">
        <v>1726</v>
      </c>
      <c r="D337" s="1" t="str">
        <f>"8027483034"</f>
        <v>8027483034</v>
      </c>
      <c r="E337" s="1">
        <v>3979</v>
      </c>
      <c r="F337" s="1" t="s">
        <v>28</v>
      </c>
      <c r="G337" s="1" t="s">
        <v>1727</v>
      </c>
      <c r="H337" s="1">
        <v>5272</v>
      </c>
      <c r="I337" s="1">
        <v>10</v>
      </c>
      <c r="J337" s="1" t="s">
        <v>1728</v>
      </c>
      <c r="K337" s="1" t="s">
        <v>527</v>
      </c>
      <c r="L337" s="1" t="s">
        <v>1729</v>
      </c>
      <c r="M337" s="1" t="s">
        <v>1730</v>
      </c>
      <c r="N337" s="2">
        <v>36892</v>
      </c>
      <c r="O337" s="1"/>
      <c r="P337" s="2">
        <v>39658</v>
      </c>
      <c r="Q337" s="1" t="s">
        <v>34</v>
      </c>
      <c r="R337" s="1"/>
      <c r="S337" s="1" t="s">
        <v>35</v>
      </c>
      <c r="T337" s="1">
        <v>44.847290000000001</v>
      </c>
      <c r="U337" s="1">
        <v>-72.064319999999995</v>
      </c>
      <c r="V337" s="1" t="s">
        <v>1731</v>
      </c>
      <c r="W337" s="1"/>
      <c r="X337" s="1" t="s">
        <v>37</v>
      </c>
      <c r="Y337" s="1" t="s">
        <v>1732</v>
      </c>
      <c r="Z337" s="1">
        <v>5872</v>
      </c>
    </row>
    <row r="338" spans="1:26" ht="42">
      <c r="A338" s="1" t="str">
        <f>"0008DQ"</f>
        <v>0008DQ</v>
      </c>
      <c r="B338" s="1" t="s">
        <v>1725</v>
      </c>
      <c r="C338" s="1" t="s">
        <v>1726</v>
      </c>
      <c r="D338" s="1" t="str">
        <f>"8027483034"</f>
        <v>8027483034</v>
      </c>
      <c r="E338" s="1">
        <v>3979</v>
      </c>
      <c r="F338" s="1" t="s">
        <v>28</v>
      </c>
      <c r="G338" s="1" t="s">
        <v>1733</v>
      </c>
      <c r="H338" s="1"/>
      <c r="I338" s="1">
        <v>4</v>
      </c>
      <c r="J338" s="1" t="s">
        <v>1734</v>
      </c>
      <c r="K338" s="1" t="s">
        <v>527</v>
      </c>
      <c r="L338" s="1" t="s">
        <v>1729</v>
      </c>
      <c r="M338" s="1" t="s">
        <v>1735</v>
      </c>
      <c r="N338" s="2">
        <v>40554</v>
      </c>
      <c r="O338" s="1"/>
      <c r="P338" s="1"/>
      <c r="Q338" s="1" t="s">
        <v>34</v>
      </c>
      <c r="R338" s="1"/>
      <c r="S338" s="1" t="s">
        <v>35</v>
      </c>
      <c r="T338" s="1">
        <v>44.852051000000003</v>
      </c>
      <c r="U338" s="1">
        <v>-72.074066000000002</v>
      </c>
      <c r="V338" s="1" t="s">
        <v>1736</v>
      </c>
      <c r="W338" s="1"/>
      <c r="X338" s="1" t="s">
        <v>37</v>
      </c>
      <c r="Y338" s="1" t="s">
        <v>1737</v>
      </c>
      <c r="Z338" s="1">
        <v>5872</v>
      </c>
    </row>
    <row r="339" spans="1:26" ht="42">
      <c r="A339" s="1" t="str">
        <f>"0008DQ"</f>
        <v>0008DQ</v>
      </c>
      <c r="B339" s="1" t="s">
        <v>1725</v>
      </c>
      <c r="C339" s="1" t="s">
        <v>1726</v>
      </c>
      <c r="D339" s="1" t="str">
        <f>"8027483034"</f>
        <v>8027483034</v>
      </c>
      <c r="E339" s="1">
        <v>3979</v>
      </c>
      <c r="F339" s="1" t="s">
        <v>28</v>
      </c>
      <c r="G339" s="1" t="s">
        <v>1738</v>
      </c>
      <c r="H339" s="1"/>
      <c r="I339" s="1">
        <v>1</v>
      </c>
      <c r="J339" s="1">
        <v>5</v>
      </c>
      <c r="K339" s="1" t="s">
        <v>59</v>
      </c>
      <c r="L339" s="1" t="s">
        <v>1739</v>
      </c>
      <c r="M339" s="1" t="s">
        <v>1730</v>
      </c>
      <c r="N339" s="2">
        <v>42181</v>
      </c>
      <c r="O339" s="1"/>
      <c r="P339" s="1"/>
      <c r="Q339" s="1" t="s">
        <v>34</v>
      </c>
      <c r="R339" s="1"/>
      <c r="S339" s="1" t="s">
        <v>35</v>
      </c>
      <c r="T339" s="1">
        <v>44.543495999999998</v>
      </c>
      <c r="U339" s="1">
        <v>-72.030744999999996</v>
      </c>
      <c r="V339" s="1" t="s">
        <v>1740</v>
      </c>
      <c r="W339" s="1"/>
      <c r="X339" s="1" t="s">
        <v>37</v>
      </c>
      <c r="Y339" s="1" t="s">
        <v>1741</v>
      </c>
      <c r="Z339" s="1">
        <v>5851</v>
      </c>
    </row>
    <row r="340" spans="1:26" ht="42">
      <c r="A340" s="1" t="str">
        <f>"0008DQ"</f>
        <v>0008DQ</v>
      </c>
      <c r="B340" s="1" t="s">
        <v>1725</v>
      </c>
      <c r="C340" s="1" t="s">
        <v>1726</v>
      </c>
      <c r="D340" s="1" t="str">
        <f>"8027483034"</f>
        <v>8027483034</v>
      </c>
      <c r="E340" s="1">
        <v>3979</v>
      </c>
      <c r="F340" s="1" t="s">
        <v>28</v>
      </c>
      <c r="G340" s="1" t="s">
        <v>1742</v>
      </c>
      <c r="H340" s="1"/>
      <c r="I340" s="1">
        <v>2</v>
      </c>
      <c r="J340" s="1">
        <v>4</v>
      </c>
      <c r="K340" s="1" t="s">
        <v>527</v>
      </c>
      <c r="L340" s="1" t="s">
        <v>1729</v>
      </c>
      <c r="M340" s="1" t="s">
        <v>1743</v>
      </c>
      <c r="N340" s="2">
        <v>42901</v>
      </c>
      <c r="O340" s="1"/>
      <c r="P340" s="1"/>
      <c r="Q340" s="1" t="s">
        <v>34</v>
      </c>
      <c r="R340" s="1"/>
      <c r="S340" s="1" t="s">
        <v>35</v>
      </c>
      <c r="T340" s="1">
        <v>44.845748999999998</v>
      </c>
      <c r="U340" s="1">
        <v>-72.062850999999995</v>
      </c>
      <c r="V340" s="1" t="s">
        <v>1744</v>
      </c>
      <c r="W340" s="1"/>
      <c r="X340" s="1" t="s">
        <v>37</v>
      </c>
      <c r="Y340" s="1" t="s">
        <v>1732</v>
      </c>
      <c r="Z340" s="1">
        <v>5872</v>
      </c>
    </row>
    <row r="341" spans="1:26" ht="28">
      <c r="A341" s="1" t="str">
        <f>"0008F1"</f>
        <v>0008F1</v>
      </c>
      <c r="B341" s="1" t="s">
        <v>1745</v>
      </c>
      <c r="C341" s="1" t="s">
        <v>1746</v>
      </c>
      <c r="D341" s="1"/>
      <c r="E341" s="1">
        <v>3535</v>
      </c>
      <c r="F341" s="1" t="s">
        <v>28</v>
      </c>
      <c r="G341" s="1" t="s">
        <v>1747</v>
      </c>
      <c r="H341" s="1">
        <v>4654</v>
      </c>
      <c r="I341" s="1">
        <v>1</v>
      </c>
      <c r="J341" s="1" t="s">
        <v>1748</v>
      </c>
      <c r="K341" s="1" t="s">
        <v>43</v>
      </c>
      <c r="L341" s="1" t="s">
        <v>44</v>
      </c>
      <c r="M341" s="1" t="s">
        <v>1749</v>
      </c>
      <c r="N341" s="2">
        <v>36892</v>
      </c>
      <c r="O341" s="1"/>
      <c r="P341" s="2">
        <v>38189</v>
      </c>
      <c r="Q341" s="1" t="s">
        <v>34</v>
      </c>
      <c r="R341" s="1"/>
      <c r="S341" s="1" t="s">
        <v>35</v>
      </c>
      <c r="T341" s="1">
        <v>44.471540999999903</v>
      </c>
      <c r="U341" s="1">
        <v>-73.201690999999897</v>
      </c>
      <c r="V341" s="1" t="s">
        <v>1750</v>
      </c>
      <c r="W341" s="1"/>
      <c r="X341" s="1" t="s">
        <v>37</v>
      </c>
      <c r="Y341" s="1" t="s">
        <v>46</v>
      </c>
      <c r="Z341" s="1">
        <v>5401</v>
      </c>
    </row>
    <row r="342" spans="1:26" ht="28">
      <c r="A342" s="1" t="str">
        <f>"0008F1"</f>
        <v>0008F1</v>
      </c>
      <c r="B342" s="1" t="s">
        <v>1745</v>
      </c>
      <c r="C342" s="1" t="s">
        <v>1746</v>
      </c>
      <c r="D342" s="1"/>
      <c r="E342" s="1">
        <v>3535</v>
      </c>
      <c r="F342" s="1" t="s">
        <v>28</v>
      </c>
      <c r="G342" s="1" t="s">
        <v>1751</v>
      </c>
      <c r="H342" s="1"/>
      <c r="I342" s="1">
        <v>1</v>
      </c>
      <c r="J342" s="1" t="s">
        <v>1752</v>
      </c>
      <c r="K342" s="1" t="s">
        <v>43</v>
      </c>
      <c r="L342" s="1" t="s">
        <v>1099</v>
      </c>
      <c r="M342" s="1" t="s">
        <v>1749</v>
      </c>
      <c r="N342" s="2">
        <v>43256</v>
      </c>
      <c r="O342" s="1"/>
      <c r="P342" s="1"/>
      <c r="Q342" s="1" t="s">
        <v>34</v>
      </c>
      <c r="R342" s="1"/>
      <c r="S342" s="1" t="s">
        <v>35</v>
      </c>
      <c r="T342" s="1"/>
      <c r="U342" s="1"/>
      <c r="V342" s="1" t="s">
        <v>1753</v>
      </c>
      <c r="W342" s="1"/>
      <c r="X342" s="1" t="s">
        <v>37</v>
      </c>
      <c r="Y342" s="1" t="s">
        <v>1111</v>
      </c>
      <c r="Z342" s="1">
        <v>5403</v>
      </c>
    </row>
    <row r="343" spans="1:26" ht="42">
      <c r="A343" s="1" t="str">
        <f>"0008F4"</f>
        <v>0008F4</v>
      </c>
      <c r="B343" s="1" t="s">
        <v>1754</v>
      </c>
      <c r="C343" s="1" t="s">
        <v>1755</v>
      </c>
      <c r="D343" s="1" t="str">
        <f>"8024365950"</f>
        <v>8024365950</v>
      </c>
      <c r="E343" s="1">
        <v>3561</v>
      </c>
      <c r="F343" s="1" t="s">
        <v>28</v>
      </c>
      <c r="G343" s="1" t="s">
        <v>1756</v>
      </c>
      <c r="H343" s="1">
        <v>4688</v>
      </c>
      <c r="I343" s="1">
        <v>2</v>
      </c>
      <c r="J343" s="1" t="s">
        <v>1757</v>
      </c>
      <c r="K343" s="1" t="s">
        <v>77</v>
      </c>
      <c r="L343" s="1" t="s">
        <v>507</v>
      </c>
      <c r="M343" s="1"/>
      <c r="N343" s="2">
        <v>36892</v>
      </c>
      <c r="O343" s="1"/>
      <c r="P343" s="2">
        <v>42901</v>
      </c>
      <c r="Q343" s="1" t="s">
        <v>34</v>
      </c>
      <c r="R343" s="1"/>
      <c r="S343" s="1" t="s">
        <v>35</v>
      </c>
      <c r="T343" s="1">
        <v>43.5494540270033</v>
      </c>
      <c r="U343" s="1">
        <v>-72.427470088004995</v>
      </c>
      <c r="V343" s="1" t="s">
        <v>1758</v>
      </c>
      <c r="W343" s="1"/>
      <c r="X343" s="1" t="s">
        <v>37</v>
      </c>
      <c r="Y343" s="1" t="s">
        <v>510</v>
      </c>
      <c r="Z343" s="1">
        <v>5048</v>
      </c>
    </row>
    <row r="344" spans="1:26" ht="42">
      <c r="A344" s="1" t="str">
        <f>"0008F9"</f>
        <v>0008F9</v>
      </c>
      <c r="B344" s="1" t="s">
        <v>1759</v>
      </c>
      <c r="C344" s="1" t="s">
        <v>1760</v>
      </c>
      <c r="D344" s="1" t="str">
        <f>"8024335944"</f>
        <v>8024335944</v>
      </c>
      <c r="E344" s="1">
        <v>3635</v>
      </c>
      <c r="F344" s="1" t="s">
        <v>28</v>
      </c>
      <c r="G344" s="1" t="s">
        <v>1761</v>
      </c>
      <c r="H344" s="1">
        <v>4808</v>
      </c>
      <c r="I344" s="1">
        <v>1</v>
      </c>
      <c r="J344" s="1" t="s">
        <v>1762</v>
      </c>
      <c r="K344" s="1" t="s">
        <v>68</v>
      </c>
      <c r="L344" s="1" t="s">
        <v>224</v>
      </c>
      <c r="M344" s="1" t="s">
        <v>1763</v>
      </c>
      <c r="N344" s="2">
        <v>36892</v>
      </c>
      <c r="O344" s="1"/>
      <c r="P344" s="2">
        <v>38608</v>
      </c>
      <c r="Q344" s="1" t="s">
        <v>34</v>
      </c>
      <c r="R344" s="1"/>
      <c r="S344" s="1" t="s">
        <v>35</v>
      </c>
      <c r="T344" s="1">
        <v>44.140284999999999</v>
      </c>
      <c r="U344" s="1">
        <v>-72.5450819</v>
      </c>
      <c r="V344" s="1" t="s">
        <v>1764</v>
      </c>
      <c r="W344" s="1"/>
      <c r="X344" s="1" t="s">
        <v>37</v>
      </c>
      <c r="Y344" s="1" t="s">
        <v>227</v>
      </c>
      <c r="Z344" s="1">
        <v>5679</v>
      </c>
    </row>
    <row r="345" spans="1:26" ht="28">
      <c r="A345" s="1" t="str">
        <f>"0008FV"</f>
        <v>0008FV</v>
      </c>
      <c r="B345" s="1" t="s">
        <v>1765</v>
      </c>
      <c r="C345" s="1" t="s">
        <v>1766</v>
      </c>
      <c r="D345" s="1"/>
      <c r="E345" s="1">
        <v>3832</v>
      </c>
      <c r="F345" s="1" t="s">
        <v>28</v>
      </c>
      <c r="G345" s="1" t="s">
        <v>1767</v>
      </c>
      <c r="H345" s="1">
        <v>5089</v>
      </c>
      <c r="I345" s="1">
        <v>5</v>
      </c>
      <c r="J345" s="1" t="s">
        <v>1768</v>
      </c>
      <c r="K345" s="1" t="s">
        <v>170</v>
      </c>
      <c r="L345" s="1" t="s">
        <v>1769</v>
      </c>
      <c r="M345" s="1" t="s">
        <v>1770</v>
      </c>
      <c r="N345" s="2">
        <v>36892</v>
      </c>
      <c r="O345" s="1"/>
      <c r="P345" s="2">
        <v>39273</v>
      </c>
      <c r="Q345" s="1" t="s">
        <v>34</v>
      </c>
      <c r="R345" s="1"/>
      <c r="S345" s="1" t="s">
        <v>35</v>
      </c>
      <c r="T345" s="1">
        <v>44.578921999999999</v>
      </c>
      <c r="U345" s="1">
        <v>-72.579459999999898</v>
      </c>
      <c r="V345" s="1" t="s">
        <v>1771</v>
      </c>
      <c r="W345" s="1"/>
      <c r="X345" s="1" t="s">
        <v>37</v>
      </c>
      <c r="Y345" s="1" t="s">
        <v>1772</v>
      </c>
      <c r="Z345" s="1">
        <v>5655</v>
      </c>
    </row>
    <row r="346" spans="1:26" ht="42">
      <c r="A346" s="1" t="str">
        <f>"0008G3"</f>
        <v>0008G3</v>
      </c>
      <c r="B346" s="1" t="s">
        <v>1773</v>
      </c>
      <c r="C346" s="1" t="s">
        <v>1774</v>
      </c>
      <c r="D346" s="1" t="str">
        <f>"8023330084"</f>
        <v>8023330084</v>
      </c>
      <c r="E346" s="1">
        <v>3796</v>
      </c>
      <c r="F346" s="1" t="s">
        <v>28</v>
      </c>
      <c r="G346" s="1" t="s">
        <v>1775</v>
      </c>
      <c r="H346" s="1"/>
      <c r="I346" s="1">
        <v>1</v>
      </c>
      <c r="J346" s="1" t="s">
        <v>1776</v>
      </c>
      <c r="K346" s="1" t="s">
        <v>333</v>
      </c>
      <c r="L346" s="1" t="s">
        <v>684</v>
      </c>
      <c r="M346" s="1" t="s">
        <v>1777</v>
      </c>
      <c r="N346" s="2">
        <v>40273</v>
      </c>
      <c r="O346" s="1"/>
      <c r="P346" s="1"/>
      <c r="Q346" s="1" t="s">
        <v>34</v>
      </c>
      <c r="R346" s="1"/>
      <c r="S346" s="1" t="s">
        <v>35</v>
      </c>
      <c r="T346" s="1">
        <v>44.159148999999999</v>
      </c>
      <c r="U346" s="1">
        <v>-73.146507999999898</v>
      </c>
      <c r="V346" s="1" t="s">
        <v>1778</v>
      </c>
      <c r="W346" s="1"/>
      <c r="X346" s="1" t="s">
        <v>37</v>
      </c>
      <c r="Y346" s="1" t="s">
        <v>464</v>
      </c>
      <c r="Z346" s="1">
        <v>5443</v>
      </c>
    </row>
    <row r="347" spans="1:26" ht="42">
      <c r="A347" s="1" t="str">
        <f>"0008G3"</f>
        <v>0008G3</v>
      </c>
      <c r="B347" s="1" t="s">
        <v>1773</v>
      </c>
      <c r="C347" s="1" t="s">
        <v>1774</v>
      </c>
      <c r="D347" s="1" t="str">
        <f>"8023330084"</f>
        <v>8023330084</v>
      </c>
      <c r="E347" s="1">
        <v>3796</v>
      </c>
      <c r="F347" s="1" t="s">
        <v>28</v>
      </c>
      <c r="G347" s="1" t="s">
        <v>1779</v>
      </c>
      <c r="H347" s="1"/>
      <c r="I347" s="1">
        <v>14</v>
      </c>
      <c r="J347" s="1" t="s">
        <v>1780</v>
      </c>
      <c r="K347" s="1" t="s">
        <v>43</v>
      </c>
      <c r="L347" s="1" t="s">
        <v>348</v>
      </c>
      <c r="M347" s="1" t="s">
        <v>1781</v>
      </c>
      <c r="N347" s="2">
        <v>40273</v>
      </c>
      <c r="O347" s="1"/>
      <c r="P347" s="1"/>
      <c r="Q347" s="1" t="s">
        <v>34</v>
      </c>
      <c r="R347" s="1"/>
      <c r="S347" s="1" t="s">
        <v>35</v>
      </c>
      <c r="T347" s="1">
        <v>44.284835999999999</v>
      </c>
      <c r="U347" s="1">
        <v>-73.084304999999901</v>
      </c>
      <c r="V347" s="1" t="s">
        <v>1782</v>
      </c>
      <c r="W347" s="1"/>
      <c r="X347" s="1" t="s">
        <v>37</v>
      </c>
      <c r="Y347" s="1" t="s">
        <v>351</v>
      </c>
      <c r="Z347" s="1">
        <v>5461</v>
      </c>
    </row>
    <row r="348" spans="1:26" ht="42">
      <c r="A348" s="1" t="str">
        <f>"0008G3"</f>
        <v>0008G3</v>
      </c>
      <c r="B348" s="1" t="s">
        <v>1773</v>
      </c>
      <c r="C348" s="1" t="s">
        <v>1774</v>
      </c>
      <c r="D348" s="1" t="str">
        <f>"8023330084"</f>
        <v>8023330084</v>
      </c>
      <c r="E348" s="1">
        <v>3796</v>
      </c>
      <c r="F348" s="1" t="s">
        <v>28</v>
      </c>
      <c r="G348" s="1" t="s">
        <v>1783</v>
      </c>
      <c r="H348" s="1"/>
      <c r="I348" s="1">
        <v>10</v>
      </c>
      <c r="J348" s="1" t="s">
        <v>1784</v>
      </c>
      <c r="K348" s="1" t="s">
        <v>43</v>
      </c>
      <c r="L348" s="1" t="s">
        <v>348</v>
      </c>
      <c r="M348" s="1" t="s">
        <v>1785</v>
      </c>
      <c r="N348" s="2">
        <v>41045</v>
      </c>
      <c r="O348" s="1"/>
      <c r="P348" s="1"/>
      <c r="Q348" s="1" t="s">
        <v>34</v>
      </c>
      <c r="R348" s="1"/>
      <c r="S348" s="1" t="s">
        <v>35</v>
      </c>
      <c r="T348" s="1">
        <v>44.288899108943298</v>
      </c>
      <c r="U348" s="1">
        <v>-73.126811832189503</v>
      </c>
      <c r="V348" s="1" t="s">
        <v>1786</v>
      </c>
      <c r="W348" s="1"/>
      <c r="X348" s="1" t="s">
        <v>37</v>
      </c>
      <c r="Y348" s="1" t="s">
        <v>351</v>
      </c>
      <c r="Z348" s="1">
        <v>5461</v>
      </c>
    </row>
    <row r="349" spans="1:26" ht="42">
      <c r="A349" s="1" t="str">
        <f>"0008G3"</f>
        <v>0008G3</v>
      </c>
      <c r="B349" s="1" t="s">
        <v>1773</v>
      </c>
      <c r="C349" s="1" t="s">
        <v>1774</v>
      </c>
      <c r="D349" s="1" t="str">
        <f>"8023330084"</f>
        <v>8023330084</v>
      </c>
      <c r="E349" s="1">
        <v>3796</v>
      </c>
      <c r="F349" s="1" t="s">
        <v>28</v>
      </c>
      <c r="G349" s="1" t="s">
        <v>1787</v>
      </c>
      <c r="H349" s="1"/>
      <c r="I349" s="1">
        <v>4</v>
      </c>
      <c r="J349" s="1" t="s">
        <v>1788</v>
      </c>
      <c r="K349" s="1" t="s">
        <v>333</v>
      </c>
      <c r="L349" s="1" t="s">
        <v>807</v>
      </c>
      <c r="M349" s="1" t="s">
        <v>1789</v>
      </c>
      <c r="N349" s="2">
        <v>42829</v>
      </c>
      <c r="O349" s="1"/>
      <c r="P349" s="1"/>
      <c r="Q349" s="1" t="s">
        <v>34</v>
      </c>
      <c r="R349" s="1"/>
      <c r="S349" s="1" t="s">
        <v>35</v>
      </c>
      <c r="T349" s="1">
        <v>44.260426284996399</v>
      </c>
      <c r="U349" s="1">
        <v>-73.128264248371096</v>
      </c>
      <c r="V349" s="1" t="s">
        <v>1790</v>
      </c>
      <c r="W349" s="1"/>
      <c r="X349" s="1" t="s">
        <v>37</v>
      </c>
      <c r="Y349" s="1" t="s">
        <v>1791</v>
      </c>
      <c r="Z349" s="1">
        <v>5473</v>
      </c>
    </row>
    <row r="350" spans="1:26" ht="42">
      <c r="A350" s="1" t="str">
        <f>"0008G7"</f>
        <v>0008G7</v>
      </c>
      <c r="B350" s="1" t="s">
        <v>1792</v>
      </c>
      <c r="C350" s="1" t="s">
        <v>1793</v>
      </c>
      <c r="D350" s="1" t="str">
        <f>"8024726749"</f>
        <v>8024726749</v>
      </c>
      <c r="E350" s="1">
        <v>2591</v>
      </c>
      <c r="F350" s="1" t="s">
        <v>28</v>
      </c>
      <c r="G350" s="1" t="s">
        <v>1794</v>
      </c>
      <c r="H350" s="1">
        <v>4838</v>
      </c>
      <c r="I350" s="1">
        <v>9</v>
      </c>
      <c r="J350" s="1" t="s">
        <v>1795</v>
      </c>
      <c r="K350" s="1" t="s">
        <v>59</v>
      </c>
      <c r="L350" s="1" t="s">
        <v>1796</v>
      </c>
      <c r="M350" s="1" t="s">
        <v>1797</v>
      </c>
      <c r="N350" s="2">
        <v>36892</v>
      </c>
      <c r="O350" s="1"/>
      <c r="P350" s="2">
        <v>40658</v>
      </c>
      <c r="Q350" s="1" t="s">
        <v>34</v>
      </c>
      <c r="R350" s="1"/>
      <c r="S350" s="1" t="s">
        <v>35</v>
      </c>
      <c r="T350" s="1">
        <v>44.511096799999997</v>
      </c>
      <c r="U350" s="1">
        <v>-72.330247299999996</v>
      </c>
      <c r="V350" s="1" t="s">
        <v>1798</v>
      </c>
      <c r="W350" s="1"/>
      <c r="X350" s="1" t="s">
        <v>37</v>
      </c>
      <c r="Y350" s="1" t="s">
        <v>1799</v>
      </c>
      <c r="Z350" s="1">
        <v>5836</v>
      </c>
    </row>
    <row r="351" spans="1:26" ht="42">
      <c r="A351" s="1" t="str">
        <f>"0008G7"</f>
        <v>0008G7</v>
      </c>
      <c r="B351" s="1" t="s">
        <v>1792</v>
      </c>
      <c r="C351" s="1" t="s">
        <v>1793</v>
      </c>
      <c r="D351" s="1" t="str">
        <f>"8024726749"</f>
        <v>8024726749</v>
      </c>
      <c r="E351" s="1">
        <v>2591</v>
      </c>
      <c r="F351" s="1" t="s">
        <v>28</v>
      </c>
      <c r="G351" s="1" t="s">
        <v>1800</v>
      </c>
      <c r="H351" s="1"/>
      <c r="I351" s="1">
        <v>8</v>
      </c>
      <c r="J351" s="1" t="s">
        <v>1801</v>
      </c>
      <c r="K351" s="1" t="s">
        <v>170</v>
      </c>
      <c r="L351" s="1" t="s">
        <v>380</v>
      </c>
      <c r="M351" s="1" t="s">
        <v>1802</v>
      </c>
      <c r="N351" s="2">
        <v>40568</v>
      </c>
      <c r="O351" s="1"/>
      <c r="P351" s="1"/>
      <c r="Q351" s="1" t="s">
        <v>34</v>
      </c>
      <c r="R351" s="1"/>
      <c r="S351" s="1" t="s">
        <v>35</v>
      </c>
      <c r="T351" s="1"/>
      <c r="U351" s="1"/>
      <c r="V351" s="1" t="s">
        <v>1803</v>
      </c>
      <c r="W351" s="1"/>
      <c r="X351" s="1" t="s">
        <v>37</v>
      </c>
      <c r="Y351" s="1" t="s">
        <v>1804</v>
      </c>
      <c r="Z351" s="1">
        <v>5661</v>
      </c>
    </row>
    <row r="352" spans="1:26" ht="42">
      <c r="A352" s="1" t="str">
        <f>"0008GB"</f>
        <v>0008GB</v>
      </c>
      <c r="B352" s="1" t="s">
        <v>1805</v>
      </c>
      <c r="C352" s="1" t="s">
        <v>1806</v>
      </c>
      <c r="D352" s="1" t="str">
        <f>"8029482615"</f>
        <v>8029482615</v>
      </c>
      <c r="E352" s="1">
        <v>2706</v>
      </c>
      <c r="F352" s="1" t="s">
        <v>28</v>
      </c>
      <c r="G352" s="1" t="s">
        <v>1807</v>
      </c>
      <c r="H352" s="1">
        <v>3627</v>
      </c>
      <c r="I352" s="1">
        <v>15</v>
      </c>
      <c r="J352" s="1" t="s">
        <v>1808</v>
      </c>
      <c r="K352" s="1" t="s">
        <v>333</v>
      </c>
      <c r="L352" s="1" t="s">
        <v>691</v>
      </c>
      <c r="M352" s="1" t="s">
        <v>1809</v>
      </c>
      <c r="N352" s="2">
        <v>36892</v>
      </c>
      <c r="O352" s="1"/>
      <c r="P352" s="2">
        <v>41937</v>
      </c>
      <c r="Q352" s="1" t="s">
        <v>34</v>
      </c>
      <c r="R352" s="1"/>
      <c r="S352" s="1" t="s">
        <v>35</v>
      </c>
      <c r="T352" s="1">
        <v>43.850300996661701</v>
      </c>
      <c r="U352" s="1">
        <v>-73.248920738696995</v>
      </c>
      <c r="V352" s="1" t="s">
        <v>1810</v>
      </c>
      <c r="W352" s="1"/>
      <c r="X352" s="1" t="s">
        <v>37</v>
      </c>
      <c r="Y352" s="1" t="s">
        <v>693</v>
      </c>
      <c r="Z352" s="1">
        <v>5760</v>
      </c>
    </row>
    <row r="353" spans="1:26" ht="42">
      <c r="A353" s="1" t="str">
        <f>"0008GB"</f>
        <v>0008GB</v>
      </c>
      <c r="B353" s="1" t="s">
        <v>1805</v>
      </c>
      <c r="C353" s="1" t="s">
        <v>1806</v>
      </c>
      <c r="D353" s="1" t="str">
        <f>"8029482615"</f>
        <v>8029482615</v>
      </c>
      <c r="E353" s="1">
        <v>2706</v>
      </c>
      <c r="F353" s="1" t="s">
        <v>28</v>
      </c>
      <c r="G353" s="1" t="s">
        <v>1811</v>
      </c>
      <c r="H353" s="1"/>
      <c r="I353" s="1">
        <v>15</v>
      </c>
      <c r="J353" s="1">
        <v>2</v>
      </c>
      <c r="K353" s="1" t="s">
        <v>333</v>
      </c>
      <c r="L353" s="1" t="s">
        <v>842</v>
      </c>
      <c r="M353" s="1" t="s">
        <v>1812</v>
      </c>
      <c r="N353" s="2">
        <v>40299</v>
      </c>
      <c r="O353" s="1"/>
      <c r="P353" s="2">
        <v>41937</v>
      </c>
      <c r="Q353" s="1" t="s">
        <v>34</v>
      </c>
      <c r="R353" s="1"/>
      <c r="S353" s="1" t="s">
        <v>35</v>
      </c>
      <c r="T353" s="1">
        <v>43.858600000000003</v>
      </c>
      <c r="U353" s="1">
        <v>-73.136129999999895</v>
      </c>
      <c r="V353" s="1" t="s">
        <v>1813</v>
      </c>
      <c r="W353" s="1"/>
      <c r="X353" s="1" t="s">
        <v>37</v>
      </c>
      <c r="Y353" s="1" t="s">
        <v>845</v>
      </c>
      <c r="Z353" s="1">
        <v>0</v>
      </c>
    </row>
    <row r="354" spans="1:26" ht="42">
      <c r="A354" s="1" t="str">
        <f>"0008GB"</f>
        <v>0008GB</v>
      </c>
      <c r="B354" s="1" t="s">
        <v>1805</v>
      </c>
      <c r="C354" s="1" t="s">
        <v>1806</v>
      </c>
      <c r="D354" s="1" t="str">
        <f>"8029482615"</f>
        <v>8029482615</v>
      </c>
      <c r="E354" s="1">
        <v>2706</v>
      </c>
      <c r="F354" s="1" t="s">
        <v>28</v>
      </c>
      <c r="G354" s="1" t="s">
        <v>1814</v>
      </c>
      <c r="H354" s="1"/>
      <c r="I354" s="1">
        <v>15</v>
      </c>
      <c r="J354" s="1">
        <v>3</v>
      </c>
      <c r="K354" s="1" t="s">
        <v>135</v>
      </c>
      <c r="L354" s="1" t="s">
        <v>871</v>
      </c>
      <c r="M354" s="1" t="s">
        <v>1815</v>
      </c>
      <c r="N354" s="2">
        <v>40661</v>
      </c>
      <c r="O354" s="1"/>
      <c r="P354" s="2">
        <v>41937</v>
      </c>
      <c r="Q354" s="1" t="s">
        <v>34</v>
      </c>
      <c r="R354" s="1"/>
      <c r="S354" s="1" t="s">
        <v>35</v>
      </c>
      <c r="T354" s="1">
        <v>43.8355851044685</v>
      </c>
      <c r="U354" s="1">
        <v>-73.170820176601396</v>
      </c>
      <c r="V354" s="1" t="s">
        <v>1816</v>
      </c>
      <c r="W354" s="1"/>
      <c r="X354" s="1" t="s">
        <v>37</v>
      </c>
      <c r="Y354" s="1" t="s">
        <v>874</v>
      </c>
      <c r="Z354" s="1">
        <v>5733</v>
      </c>
    </row>
    <row r="355" spans="1:26" ht="42">
      <c r="A355" s="1" t="str">
        <f>"0008GB"</f>
        <v>0008GB</v>
      </c>
      <c r="B355" s="1" t="s">
        <v>1805</v>
      </c>
      <c r="C355" s="1" t="s">
        <v>1806</v>
      </c>
      <c r="D355" s="1" t="str">
        <f>"8029482615"</f>
        <v>8029482615</v>
      </c>
      <c r="E355" s="1">
        <v>2706</v>
      </c>
      <c r="F355" s="1" t="s">
        <v>28</v>
      </c>
      <c r="G355" s="1" t="s">
        <v>1817</v>
      </c>
      <c r="H355" s="1"/>
      <c r="I355" s="1">
        <v>15</v>
      </c>
      <c r="J355" s="1">
        <v>4</v>
      </c>
      <c r="K355" s="1" t="s">
        <v>135</v>
      </c>
      <c r="L355" s="1" t="s">
        <v>1241</v>
      </c>
      <c r="M355" s="1" t="s">
        <v>1818</v>
      </c>
      <c r="N355" s="2">
        <v>42515</v>
      </c>
      <c r="O355" s="1"/>
      <c r="P355" s="1"/>
      <c r="Q355" s="1" t="s">
        <v>34</v>
      </c>
      <c r="R355" s="1"/>
      <c r="S355" s="1" t="s">
        <v>35</v>
      </c>
      <c r="T355" s="1">
        <v>43.783200000000001</v>
      </c>
      <c r="U355" s="1">
        <v>-73.080341665999896</v>
      </c>
      <c r="V355" s="1" t="s">
        <v>1819</v>
      </c>
      <c r="W355" s="1"/>
      <c r="X355" s="1" t="s">
        <v>37</v>
      </c>
      <c r="Y355" s="1" t="s">
        <v>1820</v>
      </c>
      <c r="Z355" s="1">
        <v>12921</v>
      </c>
    </row>
    <row r="356" spans="1:26" ht="42">
      <c r="A356" s="1" t="str">
        <f>"0008GB"</f>
        <v>0008GB</v>
      </c>
      <c r="B356" s="1" t="s">
        <v>1805</v>
      </c>
      <c r="C356" s="1" t="s">
        <v>1806</v>
      </c>
      <c r="D356" s="1" t="str">
        <f>"8029482615"</f>
        <v>8029482615</v>
      </c>
      <c r="E356" s="1">
        <v>2706</v>
      </c>
      <c r="F356" s="1" t="s">
        <v>28</v>
      </c>
      <c r="G356" s="1" t="s">
        <v>1821</v>
      </c>
      <c r="H356" s="1"/>
      <c r="I356" s="1">
        <v>15</v>
      </c>
      <c r="J356" s="1" t="s">
        <v>1241</v>
      </c>
      <c r="K356" s="1" t="s">
        <v>135</v>
      </c>
      <c r="L356" s="1" t="s">
        <v>1241</v>
      </c>
      <c r="M356" s="1" t="s">
        <v>1822</v>
      </c>
      <c r="N356" s="2">
        <v>42891</v>
      </c>
      <c r="O356" s="1"/>
      <c r="P356" s="1"/>
      <c r="Q356" s="1" t="s">
        <v>34</v>
      </c>
      <c r="R356" s="1"/>
      <c r="S356" s="1" t="s">
        <v>35</v>
      </c>
      <c r="T356" s="1">
        <v>43.823476762787401</v>
      </c>
      <c r="U356" s="1">
        <v>-73.122527003288198</v>
      </c>
      <c r="V356" s="1" t="s">
        <v>1823</v>
      </c>
      <c r="W356" s="1"/>
      <c r="X356" s="1" t="s">
        <v>37</v>
      </c>
      <c r="Y356" s="1" t="s">
        <v>1244</v>
      </c>
      <c r="Z356" s="1">
        <v>5733</v>
      </c>
    </row>
    <row r="357" spans="1:26" ht="42">
      <c r="A357" s="1" t="str">
        <f>"0008GQ"</f>
        <v>0008GQ</v>
      </c>
      <c r="B357" s="1" t="s">
        <v>1824</v>
      </c>
      <c r="C357" s="1" t="s">
        <v>1825</v>
      </c>
      <c r="D357" s="1" t="str">
        <f>"8025243805"</f>
        <v>8025243805</v>
      </c>
      <c r="E357" s="1">
        <v>4017</v>
      </c>
      <c r="F357" s="1" t="s">
        <v>28</v>
      </c>
      <c r="G357" s="1" t="s">
        <v>1826</v>
      </c>
      <c r="H357" s="1">
        <v>5333</v>
      </c>
      <c r="I357" s="1">
        <v>2</v>
      </c>
      <c r="J357" s="1" t="s">
        <v>1827</v>
      </c>
      <c r="K357" s="1" t="s">
        <v>152</v>
      </c>
      <c r="L357" s="1" t="s">
        <v>1062</v>
      </c>
      <c r="M357" s="1" t="s">
        <v>1058</v>
      </c>
      <c r="N357" s="2">
        <v>36892</v>
      </c>
      <c r="O357" s="1"/>
      <c r="P357" s="1"/>
      <c r="Q357" s="1" t="s">
        <v>34</v>
      </c>
      <c r="R357" s="1"/>
      <c r="S357" s="1" t="s">
        <v>35</v>
      </c>
      <c r="T357" s="1">
        <v>44.699916999999999</v>
      </c>
      <c r="U357" s="1">
        <v>-73.125968999999998</v>
      </c>
      <c r="V357" s="1" t="s">
        <v>1828</v>
      </c>
      <c r="W357" s="1"/>
      <c r="X357" s="1" t="s">
        <v>37</v>
      </c>
      <c r="Y357" s="1" t="s">
        <v>1064</v>
      </c>
      <c r="Z357" s="1">
        <v>5478</v>
      </c>
    </row>
    <row r="358" spans="1:26" ht="42">
      <c r="A358" s="1" t="str">
        <f>"0008GQ"</f>
        <v>0008GQ</v>
      </c>
      <c r="B358" s="1" t="s">
        <v>1824</v>
      </c>
      <c r="C358" s="1" t="s">
        <v>1825</v>
      </c>
      <c r="D358" s="1" t="str">
        <f>"8025243805"</f>
        <v>8025243805</v>
      </c>
      <c r="E358" s="1">
        <v>4017</v>
      </c>
      <c r="F358" s="1" t="s">
        <v>28</v>
      </c>
      <c r="G358" s="1" t="s">
        <v>1829</v>
      </c>
      <c r="H358" s="1"/>
      <c r="I358" s="1">
        <v>0</v>
      </c>
      <c r="J358" s="1">
        <v>2</v>
      </c>
      <c r="K358" s="1" t="s">
        <v>43</v>
      </c>
      <c r="L358" s="1" t="s">
        <v>86</v>
      </c>
      <c r="M358" s="1" t="s">
        <v>1830</v>
      </c>
      <c r="N358" s="2">
        <v>42179</v>
      </c>
      <c r="O358" s="1"/>
      <c r="P358" s="1"/>
      <c r="Q358" s="1" t="s">
        <v>34</v>
      </c>
      <c r="R358" s="1"/>
      <c r="S358" s="1" t="s">
        <v>35</v>
      </c>
      <c r="T358" s="1">
        <v>44.616441700000003</v>
      </c>
      <c r="U358" s="1">
        <v>-73.100382999999894</v>
      </c>
      <c r="V358" s="1" t="s">
        <v>1831</v>
      </c>
      <c r="W358" s="1"/>
      <c r="X358" s="1" t="s">
        <v>37</v>
      </c>
      <c r="Y358" s="1" t="s">
        <v>1724</v>
      </c>
      <c r="Z358" s="1">
        <v>5468</v>
      </c>
    </row>
    <row r="359" spans="1:26" ht="42">
      <c r="A359" s="1" t="str">
        <f>"0008GQ"</f>
        <v>0008GQ</v>
      </c>
      <c r="B359" s="1" t="s">
        <v>1824</v>
      </c>
      <c r="C359" s="1" t="s">
        <v>1825</v>
      </c>
      <c r="D359" s="1" t="str">
        <f>"8025243805"</f>
        <v>8025243805</v>
      </c>
      <c r="E359" s="1">
        <v>4017</v>
      </c>
      <c r="F359" s="1" t="s">
        <v>28</v>
      </c>
      <c r="G359" s="1" t="s">
        <v>1832</v>
      </c>
      <c r="H359" s="1"/>
      <c r="I359" s="1">
        <v>0</v>
      </c>
      <c r="J359" s="1">
        <v>3</v>
      </c>
      <c r="K359" s="1" t="s">
        <v>43</v>
      </c>
      <c r="L359" s="1" t="s">
        <v>86</v>
      </c>
      <c r="M359" s="1" t="s">
        <v>1833</v>
      </c>
      <c r="N359" s="2">
        <v>42179</v>
      </c>
      <c r="O359" s="1"/>
      <c r="P359" s="1"/>
      <c r="Q359" s="1" t="s">
        <v>34</v>
      </c>
      <c r="R359" s="1"/>
      <c r="S359" s="1" t="s">
        <v>35</v>
      </c>
      <c r="T359" s="1">
        <v>44.583651000000003</v>
      </c>
      <c r="U359" s="1">
        <v>-73.126861500000004</v>
      </c>
      <c r="V359" s="1" t="s">
        <v>1834</v>
      </c>
      <c r="W359" s="1"/>
      <c r="X359" s="1" t="s">
        <v>37</v>
      </c>
      <c r="Y359" s="1" t="s">
        <v>89</v>
      </c>
      <c r="Z359" s="1">
        <v>5468</v>
      </c>
    </row>
    <row r="360" spans="1:26" ht="42">
      <c r="A360" s="1" t="str">
        <f>"0008GQ"</f>
        <v>0008GQ</v>
      </c>
      <c r="B360" s="1" t="s">
        <v>1824</v>
      </c>
      <c r="C360" s="1" t="s">
        <v>1825</v>
      </c>
      <c r="D360" s="1" t="str">
        <f>"8025243805"</f>
        <v>8025243805</v>
      </c>
      <c r="E360" s="1">
        <v>4017</v>
      </c>
      <c r="F360" s="1" t="s">
        <v>28</v>
      </c>
      <c r="G360" s="1" t="s">
        <v>1835</v>
      </c>
      <c r="H360" s="1"/>
      <c r="I360" s="1">
        <v>0</v>
      </c>
      <c r="J360" s="1">
        <v>4</v>
      </c>
      <c r="K360" s="1" t="s">
        <v>43</v>
      </c>
      <c r="L360" s="1" t="s">
        <v>317</v>
      </c>
      <c r="M360" s="1" t="s">
        <v>1412</v>
      </c>
      <c r="N360" s="2">
        <v>42179</v>
      </c>
      <c r="O360" s="1"/>
      <c r="P360" s="1"/>
      <c r="Q360" s="1" t="s">
        <v>34</v>
      </c>
      <c r="R360" s="1"/>
      <c r="S360" s="1" t="s">
        <v>35</v>
      </c>
      <c r="T360" s="1">
        <v>44.598334899999998</v>
      </c>
      <c r="U360" s="1">
        <v>-72.997700300000005</v>
      </c>
      <c r="V360" s="1" t="s">
        <v>1836</v>
      </c>
      <c r="W360" s="1"/>
      <c r="X360" s="1" t="s">
        <v>37</v>
      </c>
      <c r="Y360" s="1" t="s">
        <v>320</v>
      </c>
      <c r="Z360" s="1">
        <v>5494</v>
      </c>
    </row>
    <row r="361" spans="1:26" ht="42">
      <c r="A361" s="1" t="str">
        <f>"0008GQ"</f>
        <v>0008GQ</v>
      </c>
      <c r="B361" s="1" t="s">
        <v>1824</v>
      </c>
      <c r="C361" s="1" t="s">
        <v>1825</v>
      </c>
      <c r="D361" s="1" t="str">
        <f>"8025243805"</f>
        <v>8025243805</v>
      </c>
      <c r="E361" s="1">
        <v>4017</v>
      </c>
      <c r="F361" s="1" t="s">
        <v>28</v>
      </c>
      <c r="G361" s="1" t="s">
        <v>1837</v>
      </c>
      <c r="H361" s="1"/>
      <c r="I361" s="1">
        <v>2</v>
      </c>
      <c r="J361" s="1">
        <v>7</v>
      </c>
      <c r="K361" s="1" t="s">
        <v>43</v>
      </c>
      <c r="L361" s="1" t="s">
        <v>86</v>
      </c>
      <c r="M361" s="1" t="s">
        <v>1838</v>
      </c>
      <c r="N361" s="2">
        <v>42179</v>
      </c>
      <c r="O361" s="1"/>
      <c r="P361" s="1"/>
      <c r="Q361" s="1" t="s">
        <v>34</v>
      </c>
      <c r="R361" s="1"/>
      <c r="S361" s="1" t="s">
        <v>35</v>
      </c>
      <c r="T361" s="1">
        <v>44.6635712</v>
      </c>
      <c r="U361" s="1">
        <v>-73.177877499999994</v>
      </c>
      <c r="V361" s="1" t="s">
        <v>1839</v>
      </c>
      <c r="W361" s="1"/>
      <c r="X361" s="1" t="s">
        <v>37</v>
      </c>
      <c r="Y361" s="1" t="s">
        <v>89</v>
      </c>
      <c r="Z361" s="1">
        <v>5468</v>
      </c>
    </row>
    <row r="362" spans="1:26" ht="42">
      <c r="A362" s="1" t="str">
        <f>"0008GQ"</f>
        <v>0008GQ</v>
      </c>
      <c r="B362" s="1" t="s">
        <v>1824</v>
      </c>
      <c r="C362" s="1" t="s">
        <v>1825</v>
      </c>
      <c r="D362" s="1" t="str">
        <f>"8025243805"</f>
        <v>8025243805</v>
      </c>
      <c r="E362" s="1">
        <v>4017</v>
      </c>
      <c r="F362" s="1" t="s">
        <v>28</v>
      </c>
      <c r="G362" s="1" t="s">
        <v>1840</v>
      </c>
      <c r="H362" s="1"/>
      <c r="I362" s="1">
        <v>1</v>
      </c>
      <c r="J362" s="1">
        <v>8</v>
      </c>
      <c r="K362" s="1" t="s">
        <v>43</v>
      </c>
      <c r="L362" s="1" t="s">
        <v>86</v>
      </c>
      <c r="M362" s="1" t="s">
        <v>1841</v>
      </c>
      <c r="N362" s="2">
        <v>42516</v>
      </c>
      <c r="O362" s="1"/>
      <c r="P362" s="1"/>
      <c r="Q362" s="1" t="s">
        <v>34</v>
      </c>
      <c r="R362" s="1"/>
      <c r="S362" s="1" t="s">
        <v>35</v>
      </c>
      <c r="T362" s="1">
        <v>44.656185000000001</v>
      </c>
      <c r="U362" s="1">
        <v>-73.200596000000004</v>
      </c>
      <c r="V362" s="1" t="s">
        <v>1842</v>
      </c>
      <c r="W362" s="1"/>
      <c r="X362" s="1" t="s">
        <v>37</v>
      </c>
      <c r="Y362" s="1" t="s">
        <v>89</v>
      </c>
      <c r="Z362" s="1">
        <v>5468</v>
      </c>
    </row>
    <row r="363" spans="1:26" ht="42">
      <c r="A363" s="1" t="str">
        <f>"0008GQ"</f>
        <v>0008GQ</v>
      </c>
      <c r="B363" s="1" t="s">
        <v>1824</v>
      </c>
      <c r="C363" s="1" t="s">
        <v>1825</v>
      </c>
      <c r="D363" s="1" t="str">
        <f>"8025243805"</f>
        <v>8025243805</v>
      </c>
      <c r="E363" s="1">
        <v>4017</v>
      </c>
      <c r="F363" s="1" t="s">
        <v>28</v>
      </c>
      <c r="G363" s="1" t="s">
        <v>1843</v>
      </c>
      <c r="H363" s="1"/>
      <c r="I363" s="1">
        <v>1</v>
      </c>
      <c r="J363" s="1">
        <v>9</v>
      </c>
      <c r="K363" s="1" t="s">
        <v>43</v>
      </c>
      <c r="L363" s="1" t="s">
        <v>86</v>
      </c>
      <c r="M363" s="1" t="s">
        <v>1844</v>
      </c>
      <c r="N363" s="2">
        <v>42887</v>
      </c>
      <c r="O363" s="1"/>
      <c r="P363" s="1"/>
      <c r="Q363" s="1" t="s">
        <v>34</v>
      </c>
      <c r="R363" s="1"/>
      <c r="S363" s="1" t="s">
        <v>35</v>
      </c>
      <c r="T363" s="1"/>
      <c r="U363" s="1"/>
      <c r="V363" s="1" t="s">
        <v>1845</v>
      </c>
      <c r="W363" s="1"/>
      <c r="X363" s="1" t="s">
        <v>37</v>
      </c>
      <c r="Y363" s="1" t="s">
        <v>86</v>
      </c>
      <c r="Z363" s="1">
        <v>5468</v>
      </c>
    </row>
    <row r="364" spans="1:26" ht="42">
      <c r="A364" s="1" t="str">
        <f>"0008GW"</f>
        <v>0008GW</v>
      </c>
      <c r="B364" s="1" t="s">
        <v>1846</v>
      </c>
      <c r="C364" s="1" t="s">
        <v>1847</v>
      </c>
      <c r="D364" s="1" t="str">
        <f>"8027734886"</f>
        <v>8027734886</v>
      </c>
      <c r="E364" s="1">
        <v>2725</v>
      </c>
      <c r="F364" s="1" t="s">
        <v>28</v>
      </c>
      <c r="G364" s="1" t="s">
        <v>1848</v>
      </c>
      <c r="H364" s="1">
        <v>5150</v>
      </c>
      <c r="I364" s="1">
        <v>20</v>
      </c>
      <c r="J364" s="1" t="s">
        <v>1849</v>
      </c>
      <c r="K364" s="1" t="s">
        <v>135</v>
      </c>
      <c r="L364" s="1" t="s">
        <v>1850</v>
      </c>
      <c r="M364" s="1" t="s">
        <v>1851</v>
      </c>
      <c r="N364" s="2">
        <v>36892</v>
      </c>
      <c r="O364" s="1"/>
      <c r="P364" s="2">
        <v>42236</v>
      </c>
      <c r="Q364" s="1" t="s">
        <v>34</v>
      </c>
      <c r="R364" s="1"/>
      <c r="S364" s="1" t="s">
        <v>35</v>
      </c>
      <c r="T364" s="1">
        <v>43.721846626727</v>
      </c>
      <c r="U364" s="1">
        <v>-73.130514621734605</v>
      </c>
      <c r="V364" s="1" t="s">
        <v>1852</v>
      </c>
      <c r="W364" s="1"/>
      <c r="X364" s="1" t="s">
        <v>37</v>
      </c>
      <c r="Y364" s="1" t="s">
        <v>1853</v>
      </c>
      <c r="Z364" s="1">
        <v>5753</v>
      </c>
    </row>
    <row r="365" spans="1:26" ht="42">
      <c r="A365" s="1" t="str">
        <f>"0008GW"</f>
        <v>0008GW</v>
      </c>
      <c r="B365" s="1" t="s">
        <v>1846</v>
      </c>
      <c r="C365" s="1" t="s">
        <v>1847</v>
      </c>
      <c r="D365" s="1" t="str">
        <f>"8027734886"</f>
        <v>8027734886</v>
      </c>
      <c r="E365" s="1">
        <v>2725</v>
      </c>
      <c r="F365" s="1" t="s">
        <v>28</v>
      </c>
      <c r="G365" s="1" t="s">
        <v>1854</v>
      </c>
      <c r="H365" s="1"/>
      <c r="I365" s="1">
        <v>15</v>
      </c>
      <c r="J365" s="1" t="s">
        <v>1855</v>
      </c>
      <c r="K365" s="1" t="s">
        <v>135</v>
      </c>
      <c r="L365" s="1" t="s">
        <v>1630</v>
      </c>
      <c r="M365" s="1" t="s">
        <v>1856</v>
      </c>
      <c r="N365" s="2">
        <v>42174</v>
      </c>
      <c r="O365" s="1"/>
      <c r="P365" s="2">
        <v>42236</v>
      </c>
      <c r="Q365" s="1" t="s">
        <v>34</v>
      </c>
      <c r="R365" s="1"/>
      <c r="S365" s="1" t="s">
        <v>35</v>
      </c>
      <c r="T365" s="1">
        <v>43.6560896336699</v>
      </c>
      <c r="U365" s="1">
        <v>-73.134183883666907</v>
      </c>
      <c r="V365" s="1" t="s">
        <v>1857</v>
      </c>
      <c r="W365" s="1"/>
      <c r="X365" s="1" t="s">
        <v>37</v>
      </c>
      <c r="Y365" s="1" t="s">
        <v>1633</v>
      </c>
      <c r="Z365" s="1">
        <v>5735</v>
      </c>
    </row>
    <row r="366" spans="1:26" ht="42">
      <c r="A366" s="1" t="str">
        <f>"0008GW"</f>
        <v>0008GW</v>
      </c>
      <c r="B366" s="1" t="s">
        <v>1846</v>
      </c>
      <c r="C366" s="1" t="s">
        <v>1847</v>
      </c>
      <c r="D366" s="1" t="str">
        <f>"8027734886"</f>
        <v>8027734886</v>
      </c>
      <c r="E366" s="1">
        <v>2725</v>
      </c>
      <c r="F366" s="1" t="s">
        <v>28</v>
      </c>
      <c r="G366" s="1" t="s">
        <v>1858</v>
      </c>
      <c r="H366" s="1"/>
      <c r="I366" s="1">
        <v>15</v>
      </c>
      <c r="J366" s="1" t="s">
        <v>1859</v>
      </c>
      <c r="K366" s="1" t="s">
        <v>135</v>
      </c>
      <c r="L366" s="1" t="s">
        <v>1219</v>
      </c>
      <c r="M366" s="1" t="s">
        <v>1860</v>
      </c>
      <c r="N366" s="2">
        <v>42174</v>
      </c>
      <c r="O366" s="1"/>
      <c r="P366" s="2">
        <v>42236</v>
      </c>
      <c r="Q366" s="1" t="s">
        <v>34</v>
      </c>
      <c r="R366" s="1"/>
      <c r="S366" s="1" t="s">
        <v>35</v>
      </c>
      <c r="T366" s="1">
        <v>43.604786271339997</v>
      </c>
      <c r="U366" s="1">
        <v>-73.038836717605506</v>
      </c>
      <c r="V366" s="1" t="s">
        <v>1861</v>
      </c>
      <c r="W366" s="1"/>
      <c r="X366" s="1" t="s">
        <v>37</v>
      </c>
      <c r="Y366" s="1" t="s">
        <v>1222</v>
      </c>
      <c r="Z366" s="1">
        <v>5735</v>
      </c>
    </row>
    <row r="367" spans="1:26" ht="42">
      <c r="A367" s="1" t="str">
        <f>"0008GW"</f>
        <v>0008GW</v>
      </c>
      <c r="B367" s="1" t="s">
        <v>1846</v>
      </c>
      <c r="C367" s="1" t="s">
        <v>1847</v>
      </c>
      <c r="D367" s="1" t="str">
        <f>"8027734886"</f>
        <v>8027734886</v>
      </c>
      <c r="E367" s="1">
        <v>2725</v>
      </c>
      <c r="F367" s="1" t="s">
        <v>28</v>
      </c>
      <c r="G367" s="1" t="s">
        <v>1862</v>
      </c>
      <c r="H367" s="1"/>
      <c r="I367" s="1">
        <v>4</v>
      </c>
      <c r="J367" s="1" t="s">
        <v>1863</v>
      </c>
      <c r="K367" s="1" t="s">
        <v>135</v>
      </c>
      <c r="L367" s="1" t="s">
        <v>1241</v>
      </c>
      <c r="M367" s="1" t="s">
        <v>1864</v>
      </c>
      <c r="N367" s="2">
        <v>42923</v>
      </c>
      <c r="O367" s="1"/>
      <c r="P367" s="1"/>
      <c r="Q367" s="1" t="s">
        <v>34</v>
      </c>
      <c r="R367" s="1"/>
      <c r="S367" s="1" t="s">
        <v>35</v>
      </c>
      <c r="T367" s="1"/>
      <c r="U367" s="1"/>
      <c r="V367" s="1" t="s">
        <v>1863</v>
      </c>
      <c r="W367" s="1"/>
      <c r="X367" s="1" t="s">
        <v>37</v>
      </c>
      <c r="Y367" s="1" t="s">
        <v>1244</v>
      </c>
      <c r="Z367" s="1">
        <v>5733</v>
      </c>
    </row>
    <row r="368" spans="1:26" ht="42">
      <c r="A368" s="1" t="str">
        <f>"0008GW"</f>
        <v>0008GW</v>
      </c>
      <c r="B368" s="1" t="s">
        <v>1846</v>
      </c>
      <c r="C368" s="1" t="s">
        <v>1847</v>
      </c>
      <c r="D368" s="1" t="str">
        <f>"8027734886"</f>
        <v>8027734886</v>
      </c>
      <c r="E368" s="1">
        <v>2725</v>
      </c>
      <c r="F368" s="1" t="s">
        <v>28</v>
      </c>
      <c r="G368" s="1" t="s">
        <v>1865</v>
      </c>
      <c r="H368" s="1"/>
      <c r="I368" s="1">
        <v>18</v>
      </c>
      <c r="J368" s="1">
        <v>5</v>
      </c>
      <c r="K368" s="1" t="s">
        <v>135</v>
      </c>
      <c r="L368" s="1" t="s">
        <v>1219</v>
      </c>
      <c r="M368" s="1" t="s">
        <v>1866</v>
      </c>
      <c r="N368" s="2">
        <v>42958</v>
      </c>
      <c r="O368" s="1"/>
      <c r="P368" s="1"/>
      <c r="Q368" s="1" t="s">
        <v>34</v>
      </c>
      <c r="R368" s="1"/>
      <c r="S368" s="1" t="s">
        <v>35</v>
      </c>
      <c r="T368" s="1">
        <v>43.634135999999998</v>
      </c>
      <c r="U368" s="1">
        <v>-73.068519999999907</v>
      </c>
      <c r="V368" s="1" t="s">
        <v>1867</v>
      </c>
      <c r="W368" s="1"/>
      <c r="X368" s="1" t="s">
        <v>37</v>
      </c>
      <c r="Y368" s="1" t="s">
        <v>1222</v>
      </c>
      <c r="Z368" s="1">
        <v>5744</v>
      </c>
    </row>
    <row r="369" spans="1:26" ht="42">
      <c r="A369" s="1" t="str">
        <f>"0008H0"</f>
        <v>0008H0</v>
      </c>
      <c r="B369" s="1" t="s">
        <v>1868</v>
      </c>
      <c r="C369" s="1" t="s">
        <v>1869</v>
      </c>
      <c r="D369" s="1" t="str">
        <f>"8023886751"</f>
        <v>8023886751</v>
      </c>
      <c r="E369" s="1">
        <v>2730</v>
      </c>
      <c r="F369" s="1" t="s">
        <v>28</v>
      </c>
      <c r="G369" s="1" t="s">
        <v>1870</v>
      </c>
      <c r="H369" s="1">
        <v>4766</v>
      </c>
      <c r="I369" s="1">
        <v>3</v>
      </c>
      <c r="J369" s="1" t="s">
        <v>1871</v>
      </c>
      <c r="K369" s="1" t="s">
        <v>333</v>
      </c>
      <c r="L369" s="1" t="s">
        <v>684</v>
      </c>
      <c r="M369" s="1" t="s">
        <v>1872</v>
      </c>
      <c r="N369" s="2">
        <v>36892</v>
      </c>
      <c r="O369" s="1"/>
      <c r="P369" s="1"/>
      <c r="Q369" s="1" t="s">
        <v>34</v>
      </c>
      <c r="R369" s="1"/>
      <c r="S369" s="1" t="s">
        <v>35</v>
      </c>
      <c r="T369" s="1"/>
      <c r="U369" s="1"/>
      <c r="V369" s="1" t="s">
        <v>1873</v>
      </c>
      <c r="W369" s="1"/>
      <c r="X369" s="1" t="s">
        <v>37</v>
      </c>
      <c r="Y369" s="1" t="s">
        <v>464</v>
      </c>
      <c r="Z369" s="1">
        <v>5443</v>
      </c>
    </row>
    <row r="370" spans="1:26" ht="42">
      <c r="A370" s="1" t="str">
        <f>"0008HV"</f>
        <v>0008HV</v>
      </c>
      <c r="B370" s="1" t="s">
        <v>1874</v>
      </c>
      <c r="C370" s="1" t="s">
        <v>1875</v>
      </c>
      <c r="D370" s="1" t="str">
        <f>"8025277565"</f>
        <v>8025277565</v>
      </c>
      <c r="E370" s="1">
        <v>3850</v>
      </c>
      <c r="F370" s="1" t="s">
        <v>28</v>
      </c>
      <c r="G370" s="1" t="s">
        <v>1876</v>
      </c>
      <c r="H370" s="1">
        <v>5128</v>
      </c>
      <c r="I370" s="1">
        <v>1</v>
      </c>
      <c r="J370" s="1" t="s">
        <v>1877</v>
      </c>
      <c r="K370" s="1" t="s">
        <v>152</v>
      </c>
      <c r="L370" s="1" t="s">
        <v>1048</v>
      </c>
      <c r="M370" s="1" t="s">
        <v>1878</v>
      </c>
      <c r="N370" s="2">
        <v>36892</v>
      </c>
      <c r="O370" s="1"/>
      <c r="P370" s="2">
        <v>42639</v>
      </c>
      <c r="Q370" s="1" t="s">
        <v>34</v>
      </c>
      <c r="R370" s="1"/>
      <c r="S370" s="1" t="s">
        <v>35</v>
      </c>
      <c r="T370" s="1">
        <v>44.644508999999999</v>
      </c>
      <c r="U370" s="1">
        <v>-72.896238999999895</v>
      </c>
      <c r="V370" s="1" t="s">
        <v>1879</v>
      </c>
      <c r="W370" s="1"/>
      <c r="X370" s="1" t="s">
        <v>37</v>
      </c>
      <c r="Y370" s="1" t="s">
        <v>1051</v>
      </c>
      <c r="Z370" s="1">
        <v>5444</v>
      </c>
    </row>
    <row r="371" spans="1:26" ht="42">
      <c r="A371" s="1" t="str">
        <f>"0008J1"</f>
        <v>0008J1</v>
      </c>
      <c r="B371" s="1" t="s">
        <v>1880</v>
      </c>
      <c r="C371" s="1" t="s">
        <v>1881</v>
      </c>
      <c r="D371" s="1" t="str">
        <f>"8027442406"</f>
        <v>8027442406</v>
      </c>
      <c r="E371" s="1">
        <v>2772</v>
      </c>
      <c r="F371" s="1" t="s">
        <v>28</v>
      </c>
      <c r="G371" s="1" t="s">
        <v>1882</v>
      </c>
      <c r="H371" s="1">
        <v>3647</v>
      </c>
      <c r="I371" s="1">
        <v>9</v>
      </c>
      <c r="J371" s="1" t="s">
        <v>1883</v>
      </c>
      <c r="K371" s="1" t="s">
        <v>527</v>
      </c>
      <c r="L371" s="1" t="s">
        <v>1481</v>
      </c>
      <c r="M371" s="1" t="s">
        <v>1884</v>
      </c>
      <c r="N371" s="2">
        <v>36892</v>
      </c>
      <c r="O371" s="1"/>
      <c r="P371" s="2">
        <v>35998</v>
      </c>
      <c r="Q371" s="1" t="s">
        <v>34</v>
      </c>
      <c r="R371" s="1"/>
      <c r="S371" s="1" t="s">
        <v>35</v>
      </c>
      <c r="T371" s="1">
        <v>44.8864727794112</v>
      </c>
      <c r="U371" s="1">
        <v>-72.430340051651001</v>
      </c>
      <c r="V371" s="1" t="s">
        <v>1885</v>
      </c>
      <c r="W371" s="1"/>
      <c r="X371" s="1" t="s">
        <v>37</v>
      </c>
      <c r="Y371" s="1" t="s">
        <v>1609</v>
      </c>
      <c r="Z371" s="1">
        <v>5874</v>
      </c>
    </row>
    <row r="372" spans="1:26" ht="42">
      <c r="A372" s="1" t="str">
        <f>"0008J4"</f>
        <v>0008J4</v>
      </c>
      <c r="B372" s="1" t="s">
        <v>1886</v>
      </c>
      <c r="C372" s="1" t="s">
        <v>1887</v>
      </c>
      <c r="D372" s="1" t="str">
        <f>"8028492208"</f>
        <v>8028492208</v>
      </c>
      <c r="E372" s="1">
        <v>2776</v>
      </c>
      <c r="F372" s="1" t="s">
        <v>28</v>
      </c>
      <c r="G372" s="1" t="s">
        <v>1888</v>
      </c>
      <c r="H372" s="1">
        <v>4261</v>
      </c>
      <c r="I372" s="1">
        <v>5</v>
      </c>
      <c r="J372" s="1" t="s">
        <v>1889</v>
      </c>
      <c r="K372" s="1" t="s">
        <v>152</v>
      </c>
      <c r="L372" s="1" t="s">
        <v>1048</v>
      </c>
      <c r="M372" s="1" t="s">
        <v>1890</v>
      </c>
      <c r="N372" s="2">
        <v>36892</v>
      </c>
      <c r="O372" s="1"/>
      <c r="P372" s="2">
        <v>36382</v>
      </c>
      <c r="Q372" s="1" t="s">
        <v>34</v>
      </c>
      <c r="R372" s="1"/>
      <c r="S372" s="1" t="s">
        <v>35</v>
      </c>
      <c r="T372" s="1">
        <v>44.686408999999998</v>
      </c>
      <c r="U372" s="1">
        <v>-73.025667999999996</v>
      </c>
      <c r="V372" s="1" t="s">
        <v>1891</v>
      </c>
      <c r="W372" s="1"/>
      <c r="X372" s="1" t="s">
        <v>37</v>
      </c>
      <c r="Y372" s="1" t="s">
        <v>1051</v>
      </c>
      <c r="Z372" s="1">
        <v>5454</v>
      </c>
    </row>
    <row r="373" spans="1:26" ht="42">
      <c r="A373" s="1" t="str">
        <f>"0008JV"</f>
        <v>0008JV</v>
      </c>
      <c r="B373" s="1" t="s">
        <v>1892</v>
      </c>
      <c r="C373" s="1" t="s">
        <v>1893</v>
      </c>
      <c r="D373" s="1" t="str">
        <f>"8026492200"</f>
        <v>8026492200</v>
      </c>
      <c r="E373" s="1">
        <v>2802</v>
      </c>
      <c r="F373" s="1" t="s">
        <v>28</v>
      </c>
      <c r="G373" s="1" t="s">
        <v>1894</v>
      </c>
      <c r="H373" s="1">
        <v>3675</v>
      </c>
      <c r="I373" s="1">
        <v>1</v>
      </c>
      <c r="J373" s="1" t="s">
        <v>1895</v>
      </c>
      <c r="K373" s="1" t="s">
        <v>77</v>
      </c>
      <c r="L373" s="1" t="s">
        <v>638</v>
      </c>
      <c r="M373" s="1" t="s">
        <v>1896</v>
      </c>
      <c r="N373" s="2">
        <v>36892</v>
      </c>
      <c r="O373" s="1"/>
      <c r="P373" s="2">
        <v>43267</v>
      </c>
      <c r="Q373" s="1" t="s">
        <v>34</v>
      </c>
      <c r="R373" s="1"/>
      <c r="S373" s="1" t="s">
        <v>35</v>
      </c>
      <c r="T373" s="1">
        <v>43.699713282768101</v>
      </c>
      <c r="U373" s="1">
        <v>-72.305102348327594</v>
      </c>
      <c r="V373" s="1" t="s">
        <v>1897</v>
      </c>
      <c r="W373" s="1"/>
      <c r="X373" s="1" t="s">
        <v>37</v>
      </c>
      <c r="Y373" s="1" t="s">
        <v>640</v>
      </c>
      <c r="Z373" s="1">
        <v>5055</v>
      </c>
    </row>
    <row r="374" spans="1:26" ht="42">
      <c r="A374" s="1" t="str">
        <f>"0008JV"</f>
        <v>0008JV</v>
      </c>
      <c r="B374" s="1" t="s">
        <v>1892</v>
      </c>
      <c r="C374" s="1" t="s">
        <v>1893</v>
      </c>
      <c r="D374" s="1" t="str">
        <f>"8026492200"</f>
        <v>8026492200</v>
      </c>
      <c r="E374" s="1">
        <v>2802</v>
      </c>
      <c r="F374" s="1" t="s">
        <v>28</v>
      </c>
      <c r="G374" s="1" t="s">
        <v>1898</v>
      </c>
      <c r="H374" s="1">
        <v>4773</v>
      </c>
      <c r="I374" s="1">
        <v>0</v>
      </c>
      <c r="J374" s="1" t="s">
        <v>1899</v>
      </c>
      <c r="K374" s="1" t="s">
        <v>77</v>
      </c>
      <c r="L374" s="1" t="s">
        <v>638</v>
      </c>
      <c r="M374" s="1"/>
      <c r="N374" s="2">
        <v>36892</v>
      </c>
      <c r="O374" s="2">
        <v>42522</v>
      </c>
      <c r="P374" s="2">
        <v>38448</v>
      </c>
      <c r="Q374" s="1" t="s">
        <v>34</v>
      </c>
      <c r="R374" s="1"/>
      <c r="S374" s="1" t="s">
        <v>35</v>
      </c>
      <c r="T374" s="1"/>
      <c r="U374" s="1"/>
      <c r="V374" s="1" t="s">
        <v>159</v>
      </c>
      <c r="W374" s="1"/>
      <c r="X374" s="1" t="s">
        <v>37</v>
      </c>
      <c r="Y374" s="1" t="s">
        <v>640</v>
      </c>
      <c r="Z374" s="1">
        <v>5055</v>
      </c>
    </row>
    <row r="375" spans="1:26" ht="42">
      <c r="A375" s="1" t="str">
        <f>"0008K9"</f>
        <v>0008K9</v>
      </c>
      <c r="B375" s="1" t="s">
        <v>1900</v>
      </c>
      <c r="C375" s="1" t="s">
        <v>1901</v>
      </c>
      <c r="D375" s="1" t="str">
        <f>"8023253019"</f>
        <v>8023253019</v>
      </c>
      <c r="E375" s="1">
        <v>3008</v>
      </c>
      <c r="F375" s="1" t="s">
        <v>28</v>
      </c>
      <c r="G375" s="1" t="s">
        <v>1902</v>
      </c>
      <c r="H375" s="1">
        <v>4058</v>
      </c>
      <c r="I375" s="1">
        <v>0</v>
      </c>
      <c r="J375" s="1" t="s">
        <v>1903</v>
      </c>
      <c r="K375" s="1" t="s">
        <v>135</v>
      </c>
      <c r="L375" s="1" t="s">
        <v>1277</v>
      </c>
      <c r="M375" s="1" t="s">
        <v>1904</v>
      </c>
      <c r="N375" s="2">
        <v>36892</v>
      </c>
      <c r="O375" s="1"/>
      <c r="P375" s="2">
        <v>37782</v>
      </c>
      <c r="Q375" s="1" t="s">
        <v>34</v>
      </c>
      <c r="R375" s="1"/>
      <c r="S375" s="1" t="s">
        <v>35</v>
      </c>
      <c r="T375" s="1">
        <v>43.405787975198201</v>
      </c>
      <c r="U375" s="1">
        <v>-73.152948617935095</v>
      </c>
      <c r="V375" s="1" t="s">
        <v>1905</v>
      </c>
      <c r="W375" s="1"/>
      <c r="X375" s="1" t="s">
        <v>37</v>
      </c>
      <c r="Y375" s="1" t="s">
        <v>1280</v>
      </c>
      <c r="Z375" s="1">
        <v>5774</v>
      </c>
    </row>
    <row r="376" spans="1:26" ht="42">
      <c r="A376" s="1" t="str">
        <f>"0008KB"</f>
        <v>0008KB</v>
      </c>
      <c r="B376" s="1" t="s">
        <v>1906</v>
      </c>
      <c r="C376" s="1" t="s">
        <v>1907</v>
      </c>
      <c r="D376" s="1" t="str">
        <f>"8027299932"</f>
        <v>8027299932</v>
      </c>
      <c r="E376" s="1">
        <v>2824</v>
      </c>
      <c r="F376" s="1" t="s">
        <v>28</v>
      </c>
      <c r="G376" s="1" t="s">
        <v>1908</v>
      </c>
      <c r="H376" s="1">
        <v>3706</v>
      </c>
      <c r="I376" s="1">
        <v>1</v>
      </c>
      <c r="J376" s="1" t="s">
        <v>470</v>
      </c>
      <c r="K376" s="1" t="s">
        <v>68</v>
      </c>
      <c r="L376" s="1" t="s">
        <v>250</v>
      </c>
      <c r="M376" s="1" t="s">
        <v>1909</v>
      </c>
      <c r="N376" s="2">
        <v>36892</v>
      </c>
      <c r="O376" s="1"/>
      <c r="P376" s="2">
        <v>42943</v>
      </c>
      <c r="Q376" s="1" t="s">
        <v>34</v>
      </c>
      <c r="R376" s="1"/>
      <c r="S376" s="1" t="s">
        <v>35</v>
      </c>
      <c r="T376" s="1">
        <v>43.930098999999998</v>
      </c>
      <c r="U376" s="1">
        <v>-72.689101999999906</v>
      </c>
      <c r="V376" s="1" t="s">
        <v>1910</v>
      </c>
      <c r="W376" s="1"/>
      <c r="X376" s="1" t="s">
        <v>37</v>
      </c>
      <c r="Y376" s="1" t="s">
        <v>253</v>
      </c>
      <c r="Z376" s="1">
        <v>5060</v>
      </c>
    </row>
    <row r="377" spans="1:26" ht="42">
      <c r="A377" s="1" t="str">
        <f>"0008KM"</f>
        <v>0008KM</v>
      </c>
      <c r="B377" s="1" t="s">
        <v>1911</v>
      </c>
      <c r="C377" s="1" t="s">
        <v>1912</v>
      </c>
      <c r="D377" s="1" t="str">
        <f>"8023346823"</f>
        <v>8023346823</v>
      </c>
      <c r="E377" s="1">
        <v>2847</v>
      </c>
      <c r="F377" s="1" t="s">
        <v>28</v>
      </c>
      <c r="G377" s="1" t="s">
        <v>1913</v>
      </c>
      <c r="H377" s="1">
        <v>3743</v>
      </c>
      <c r="I377" s="1">
        <v>2</v>
      </c>
      <c r="J377" s="1" t="s">
        <v>1914</v>
      </c>
      <c r="K377" s="1" t="s">
        <v>527</v>
      </c>
      <c r="L377" s="1" t="s">
        <v>1915</v>
      </c>
      <c r="M377" s="1" t="s">
        <v>1916</v>
      </c>
      <c r="N377" s="2">
        <v>36892</v>
      </c>
      <c r="O377" s="1"/>
      <c r="P377" s="1"/>
      <c r="Q377" s="1" t="s">
        <v>34</v>
      </c>
      <c r="R377" s="1"/>
      <c r="S377" s="1" t="s">
        <v>35</v>
      </c>
      <c r="T377" s="1">
        <v>44.933931000000001</v>
      </c>
      <c r="U377" s="1">
        <v>-72.217105199999907</v>
      </c>
      <c r="V377" s="1" t="s">
        <v>1917</v>
      </c>
      <c r="W377" s="1"/>
      <c r="X377" s="1" t="s">
        <v>37</v>
      </c>
      <c r="Y377" s="1" t="s">
        <v>1918</v>
      </c>
      <c r="Z377" s="1">
        <v>5857</v>
      </c>
    </row>
    <row r="378" spans="1:26" ht="42">
      <c r="A378" s="1" t="str">
        <f>"0008KW"</f>
        <v>0008KW</v>
      </c>
      <c r="B378" s="1" t="s">
        <v>1919</v>
      </c>
      <c r="C378" s="1" t="s">
        <v>1920</v>
      </c>
      <c r="D378" s="1" t="str">
        <f>"8022592406"</f>
        <v>8022592406</v>
      </c>
      <c r="E378" s="1">
        <v>2864</v>
      </c>
      <c r="F378" s="1" t="s">
        <v>28</v>
      </c>
      <c r="G378" s="1" t="s">
        <v>1921</v>
      </c>
      <c r="H378" s="1">
        <v>3771</v>
      </c>
      <c r="I378" s="1">
        <v>4</v>
      </c>
      <c r="J378" s="1" t="s">
        <v>1922</v>
      </c>
      <c r="K378" s="1" t="s">
        <v>135</v>
      </c>
      <c r="L378" s="1" t="s">
        <v>1923</v>
      </c>
      <c r="M378" s="1" t="s">
        <v>1924</v>
      </c>
      <c r="N378" s="2">
        <v>36892</v>
      </c>
      <c r="O378" s="1"/>
      <c r="P378" s="2">
        <v>36831</v>
      </c>
      <c r="Q378" s="1" t="s">
        <v>34</v>
      </c>
      <c r="R378" s="1"/>
      <c r="S378" s="1" t="s">
        <v>35</v>
      </c>
      <c r="T378" s="1">
        <v>43.449806000000002</v>
      </c>
      <c r="U378" s="1">
        <v>-72.776015999999998</v>
      </c>
      <c r="V378" s="1" t="s">
        <v>1925</v>
      </c>
      <c r="W378" s="1"/>
      <c r="X378" s="1" t="s">
        <v>37</v>
      </c>
      <c r="Y378" s="1" t="s">
        <v>1926</v>
      </c>
      <c r="Z378" s="1">
        <v>5758</v>
      </c>
    </row>
    <row r="379" spans="1:26" ht="42">
      <c r="A379" s="1" t="str">
        <f>"0008M4"</f>
        <v>0008M4</v>
      </c>
      <c r="B379" s="1" t="s">
        <v>1927</v>
      </c>
      <c r="C379" s="1" t="s">
        <v>1928</v>
      </c>
      <c r="D379" s="1" t="str">
        <f>"8027854186"</f>
        <v>8027854186</v>
      </c>
      <c r="E379" s="1">
        <v>2896</v>
      </c>
      <c r="F379" s="1" t="s">
        <v>28</v>
      </c>
      <c r="G379" s="1" t="s">
        <v>1929</v>
      </c>
      <c r="H379" s="1">
        <v>3841</v>
      </c>
      <c r="I379" s="1">
        <v>2</v>
      </c>
      <c r="J379" s="1" t="s">
        <v>1930</v>
      </c>
      <c r="K379" s="1" t="s">
        <v>68</v>
      </c>
      <c r="L379" s="1" t="s">
        <v>69</v>
      </c>
      <c r="M379" s="1" t="s">
        <v>1931</v>
      </c>
      <c r="N379" s="2">
        <v>36892</v>
      </c>
      <c r="O379" s="1"/>
      <c r="P379" s="2">
        <v>42929</v>
      </c>
      <c r="Q379" s="1" t="s">
        <v>34</v>
      </c>
      <c r="R379" s="1"/>
      <c r="S379" s="1" t="s">
        <v>35</v>
      </c>
      <c r="T379" s="1">
        <v>43.822827500000002</v>
      </c>
      <c r="U379" s="1">
        <v>-72.227455500000005</v>
      </c>
      <c r="V379" s="1" t="s">
        <v>1932</v>
      </c>
      <c r="W379" s="1"/>
      <c r="X379" s="1" t="s">
        <v>37</v>
      </c>
      <c r="Y379" s="1" t="s">
        <v>502</v>
      </c>
      <c r="Z379" s="1">
        <v>5074</v>
      </c>
    </row>
    <row r="380" spans="1:26" ht="42">
      <c r="A380" s="1" t="str">
        <f>"0008M7"</f>
        <v>0008M7</v>
      </c>
      <c r="B380" s="1" t="s">
        <v>1933</v>
      </c>
      <c r="C380" s="1" t="s">
        <v>1934</v>
      </c>
      <c r="D380" s="1" t="str">
        <f>"8024592837"</f>
        <v>8024592837</v>
      </c>
      <c r="E380" s="1">
        <v>2899</v>
      </c>
      <c r="F380" s="1" t="s">
        <v>28</v>
      </c>
      <c r="G380" s="1" t="s">
        <v>1935</v>
      </c>
      <c r="H380" s="1">
        <v>3844</v>
      </c>
      <c r="I380" s="1">
        <v>2</v>
      </c>
      <c r="J380" s="1" t="s">
        <v>1936</v>
      </c>
      <c r="K380" s="1" t="s">
        <v>135</v>
      </c>
      <c r="L380" s="1" t="s">
        <v>1937</v>
      </c>
      <c r="M380" s="1" t="s">
        <v>1938</v>
      </c>
      <c r="N380" s="2">
        <v>36892</v>
      </c>
      <c r="O380" s="1"/>
      <c r="P380" s="2">
        <v>34918</v>
      </c>
      <c r="Q380" s="1" t="s">
        <v>34</v>
      </c>
      <c r="R380" s="1"/>
      <c r="S380" s="1" t="s">
        <v>35</v>
      </c>
      <c r="T380" s="1">
        <v>43.667514999999902</v>
      </c>
      <c r="U380" s="1">
        <v>-73.0433878999999</v>
      </c>
      <c r="V380" s="1" t="s">
        <v>1939</v>
      </c>
      <c r="W380" s="1"/>
      <c r="X380" s="1" t="s">
        <v>37</v>
      </c>
      <c r="Y380" s="1" t="s">
        <v>1940</v>
      </c>
      <c r="Z380" s="1">
        <v>5765</v>
      </c>
    </row>
    <row r="381" spans="1:26" ht="42">
      <c r="A381" s="1" t="str">
        <f>"0008N0"</f>
        <v>0008N0</v>
      </c>
      <c r="B381" s="1" t="s">
        <v>1941</v>
      </c>
      <c r="C381" s="1" t="s">
        <v>1942</v>
      </c>
      <c r="D381" s="1" t="str">
        <f>"8028693515"</f>
        <v>8028693515</v>
      </c>
      <c r="E381" s="1">
        <v>3159</v>
      </c>
      <c r="F381" s="1" t="s">
        <v>28</v>
      </c>
      <c r="G381" s="1" t="s">
        <v>1943</v>
      </c>
      <c r="H381" s="1">
        <v>4241</v>
      </c>
      <c r="I381" s="1">
        <v>3</v>
      </c>
      <c r="J381" s="1" t="s">
        <v>1944</v>
      </c>
      <c r="K381" s="1" t="s">
        <v>144</v>
      </c>
      <c r="L381" s="1" t="s">
        <v>1945</v>
      </c>
      <c r="M381" s="1" t="s">
        <v>1946</v>
      </c>
      <c r="N381" s="2">
        <v>36892</v>
      </c>
      <c r="O381" s="1"/>
      <c r="P381" s="2">
        <v>42858</v>
      </c>
      <c r="Q381" s="1" t="s">
        <v>34</v>
      </c>
      <c r="R381" s="1"/>
      <c r="S381" s="1" t="s">
        <v>35</v>
      </c>
      <c r="T381" s="1">
        <v>43.144623000000003</v>
      </c>
      <c r="U381" s="1">
        <v>-72.516128999999907</v>
      </c>
      <c r="V381" s="1" t="s">
        <v>1947</v>
      </c>
      <c r="W381" s="1"/>
      <c r="X381" s="1" t="s">
        <v>37</v>
      </c>
      <c r="Y381" s="1" t="s">
        <v>1948</v>
      </c>
      <c r="Z381" s="1">
        <v>5101</v>
      </c>
    </row>
    <row r="382" spans="1:26" ht="42">
      <c r="A382" s="1" t="str">
        <f>"0008N6"</f>
        <v>0008N6</v>
      </c>
      <c r="B382" s="1" t="s">
        <v>1949</v>
      </c>
      <c r="C382" s="1" t="s">
        <v>1950</v>
      </c>
      <c r="D382" s="1" t="str">
        <f>"8028782271"</f>
        <v>8028782271</v>
      </c>
      <c r="E382" s="1">
        <v>3169</v>
      </c>
      <c r="F382" s="1" t="s">
        <v>28</v>
      </c>
      <c r="G382" s="1" t="s">
        <v>1951</v>
      </c>
      <c r="H382" s="1">
        <v>4319</v>
      </c>
      <c r="I382" s="1">
        <v>11</v>
      </c>
      <c r="J382" s="1" t="s">
        <v>1952</v>
      </c>
      <c r="K382" s="1" t="s">
        <v>43</v>
      </c>
      <c r="L382" s="1" t="s">
        <v>178</v>
      </c>
      <c r="M382" s="1" t="s">
        <v>1953</v>
      </c>
      <c r="N382" s="2">
        <v>36892</v>
      </c>
      <c r="O382" s="1"/>
      <c r="P382" s="2">
        <v>42142</v>
      </c>
      <c r="Q382" s="1" t="s">
        <v>34</v>
      </c>
      <c r="R382" s="1"/>
      <c r="S382" s="1" t="s">
        <v>35</v>
      </c>
      <c r="T382" s="1">
        <v>44.5148737274992</v>
      </c>
      <c r="U382" s="1">
        <v>-73.091086149215698</v>
      </c>
      <c r="V382" s="1" t="s">
        <v>1954</v>
      </c>
      <c r="W382" s="1"/>
      <c r="X382" s="1" t="s">
        <v>37</v>
      </c>
      <c r="Y382" s="1" t="s">
        <v>181</v>
      </c>
      <c r="Z382" s="1">
        <v>5452</v>
      </c>
    </row>
    <row r="383" spans="1:26" ht="42">
      <c r="A383" s="1" t="str">
        <f>"0008N6"</f>
        <v>0008N6</v>
      </c>
      <c r="B383" s="1" t="s">
        <v>1949</v>
      </c>
      <c r="C383" s="1" t="s">
        <v>1950</v>
      </c>
      <c r="D383" s="1" t="str">
        <f>"8028782271"</f>
        <v>8028782271</v>
      </c>
      <c r="E383" s="1">
        <v>3169</v>
      </c>
      <c r="F383" s="1" t="s">
        <v>28</v>
      </c>
      <c r="G383" s="1" t="s">
        <v>1955</v>
      </c>
      <c r="H383" s="1"/>
      <c r="I383" s="1">
        <v>0</v>
      </c>
      <c r="J383" s="1" t="s">
        <v>1956</v>
      </c>
      <c r="K383" s="1" t="s">
        <v>43</v>
      </c>
      <c r="L383" s="1" t="s">
        <v>178</v>
      </c>
      <c r="M383" s="1"/>
      <c r="N383" s="2">
        <v>40684</v>
      </c>
      <c r="O383" s="2">
        <v>42370</v>
      </c>
      <c r="P383" s="2">
        <v>42502</v>
      </c>
      <c r="Q383" s="1" t="s">
        <v>34</v>
      </c>
      <c r="R383" s="1"/>
      <c r="S383" s="1" t="s">
        <v>35</v>
      </c>
      <c r="T383" s="1"/>
      <c r="U383" s="1"/>
      <c r="V383" s="1" t="s">
        <v>1957</v>
      </c>
      <c r="W383" s="1"/>
      <c r="X383" s="1" t="s">
        <v>37</v>
      </c>
      <c r="Y383" s="1" t="s">
        <v>181</v>
      </c>
      <c r="Z383" s="1">
        <v>5452</v>
      </c>
    </row>
    <row r="384" spans="1:26" ht="42">
      <c r="A384" s="1" t="str">
        <f>"0008NN"</f>
        <v>0008NN</v>
      </c>
      <c r="B384" s="1" t="s">
        <v>1958</v>
      </c>
      <c r="C384" s="1" t="s">
        <v>1959</v>
      </c>
      <c r="D384" s="1" t="str">
        <f>"8027334761"</f>
        <v>8027334761</v>
      </c>
      <c r="E384" s="1">
        <v>3190</v>
      </c>
      <c r="F384" s="1" t="s">
        <v>28</v>
      </c>
      <c r="G384" s="1" t="s">
        <v>1960</v>
      </c>
      <c r="H384" s="1">
        <v>4273</v>
      </c>
      <c r="I384" s="1">
        <v>186</v>
      </c>
      <c r="J384" s="1" t="s">
        <v>1961</v>
      </c>
      <c r="K384" s="1" t="s">
        <v>187</v>
      </c>
      <c r="L384" s="1" t="s">
        <v>293</v>
      </c>
      <c r="M384" s="1" t="s">
        <v>1962</v>
      </c>
      <c r="N384" s="2">
        <v>36892</v>
      </c>
      <c r="O384" s="1"/>
      <c r="P384" s="2">
        <v>42502</v>
      </c>
      <c r="Q384" s="1" t="s">
        <v>1208</v>
      </c>
      <c r="R384" s="1"/>
      <c r="S384" s="1" t="s">
        <v>35</v>
      </c>
      <c r="T384" s="1">
        <v>42.964669999999998</v>
      </c>
      <c r="U384" s="1">
        <v>-73.228055999999896</v>
      </c>
      <c r="V384" s="1" t="s">
        <v>1963</v>
      </c>
      <c r="W384" s="1"/>
      <c r="X384" s="1" t="s">
        <v>37</v>
      </c>
      <c r="Y384" s="1" t="s">
        <v>296</v>
      </c>
      <c r="Z384" s="1">
        <v>5262</v>
      </c>
    </row>
    <row r="385" spans="1:26" ht="42">
      <c r="A385" s="1" t="str">
        <f>"0008NN"</f>
        <v>0008NN</v>
      </c>
      <c r="B385" s="1" t="s">
        <v>1958</v>
      </c>
      <c r="C385" s="1" t="s">
        <v>1959</v>
      </c>
      <c r="D385" s="1" t="str">
        <f>"8027334761"</f>
        <v>8027334761</v>
      </c>
      <c r="E385" s="1">
        <v>3190</v>
      </c>
      <c r="F385" s="1" t="s">
        <v>28</v>
      </c>
      <c r="G385" s="1" t="s">
        <v>1964</v>
      </c>
      <c r="H385" s="1">
        <v>4990</v>
      </c>
      <c r="I385" s="1">
        <v>38</v>
      </c>
      <c r="J385" s="1" t="s">
        <v>1965</v>
      </c>
      <c r="K385" s="1" t="s">
        <v>187</v>
      </c>
      <c r="L385" s="1" t="s">
        <v>188</v>
      </c>
      <c r="M385" s="1" t="s">
        <v>1966</v>
      </c>
      <c r="N385" s="2">
        <v>36892</v>
      </c>
      <c r="O385" s="1"/>
      <c r="P385" s="2">
        <v>43029</v>
      </c>
      <c r="Q385" s="1" t="s">
        <v>1208</v>
      </c>
      <c r="R385" s="1"/>
      <c r="S385" s="1" t="s">
        <v>35</v>
      </c>
      <c r="T385" s="1">
        <v>42.912289999999999</v>
      </c>
      <c r="U385" s="1">
        <v>-73.209360000000004</v>
      </c>
      <c r="V385" s="1" t="s">
        <v>159</v>
      </c>
      <c r="W385" s="1"/>
      <c r="X385" s="1" t="s">
        <v>37</v>
      </c>
      <c r="Y385" s="1" t="s">
        <v>187</v>
      </c>
      <c r="Z385" s="1">
        <v>0</v>
      </c>
    </row>
    <row r="386" spans="1:26" ht="42">
      <c r="A386" s="1" t="str">
        <f>"0008NN"</f>
        <v>0008NN</v>
      </c>
      <c r="B386" s="1" t="s">
        <v>1958</v>
      </c>
      <c r="C386" s="1" t="s">
        <v>1959</v>
      </c>
      <c r="D386" s="1" t="str">
        <f>"8027334761"</f>
        <v>8027334761</v>
      </c>
      <c r="E386" s="1">
        <v>3190</v>
      </c>
      <c r="F386" s="1" t="s">
        <v>28</v>
      </c>
      <c r="G386" s="1" t="s">
        <v>1967</v>
      </c>
      <c r="H386" s="1"/>
      <c r="I386" s="1">
        <v>48</v>
      </c>
      <c r="J386" s="1" t="s">
        <v>1968</v>
      </c>
      <c r="K386" s="1" t="s">
        <v>144</v>
      </c>
      <c r="L386" s="1" t="s">
        <v>1969</v>
      </c>
      <c r="M386" s="1"/>
      <c r="N386" s="2">
        <v>41791</v>
      </c>
      <c r="O386" s="1"/>
      <c r="P386" s="2">
        <v>41862</v>
      </c>
      <c r="Q386" s="1" t="s">
        <v>1208</v>
      </c>
      <c r="R386" s="1"/>
      <c r="S386" s="1" t="s">
        <v>35</v>
      </c>
      <c r="T386" s="1">
        <v>42.763807999999997</v>
      </c>
      <c r="U386" s="1">
        <v>-72.482731000000001</v>
      </c>
      <c r="V386" s="1" t="s">
        <v>1968</v>
      </c>
      <c r="W386" s="1"/>
      <c r="X386" s="1" t="s">
        <v>37</v>
      </c>
      <c r="Y386" s="1"/>
      <c r="Z386" s="1">
        <v>0</v>
      </c>
    </row>
    <row r="387" spans="1:26" ht="42">
      <c r="A387" s="1" t="str">
        <f>"0008NN"</f>
        <v>0008NN</v>
      </c>
      <c r="B387" s="1" t="s">
        <v>1958</v>
      </c>
      <c r="C387" s="1" t="s">
        <v>1959</v>
      </c>
      <c r="D387" s="1" t="str">
        <f>"8027334761"</f>
        <v>8027334761</v>
      </c>
      <c r="E387" s="1">
        <v>3190</v>
      </c>
      <c r="F387" s="1" t="s">
        <v>28</v>
      </c>
      <c r="G387" s="1" t="s">
        <v>1970</v>
      </c>
      <c r="H387" s="1"/>
      <c r="I387" s="1">
        <v>48</v>
      </c>
      <c r="J387" s="1" t="s">
        <v>1971</v>
      </c>
      <c r="K387" s="1" t="s">
        <v>144</v>
      </c>
      <c r="L387" s="1" t="s">
        <v>1969</v>
      </c>
      <c r="M387" s="1"/>
      <c r="N387" s="2">
        <v>41791</v>
      </c>
      <c r="O387" s="1"/>
      <c r="P387" s="2">
        <v>41862</v>
      </c>
      <c r="Q387" s="1" t="s">
        <v>1208</v>
      </c>
      <c r="R387" s="1"/>
      <c r="S387" s="1" t="s">
        <v>35</v>
      </c>
      <c r="T387" s="1">
        <v>42.787023583793697</v>
      </c>
      <c r="U387" s="1">
        <v>-72.519936561584402</v>
      </c>
      <c r="V387" s="1" t="s">
        <v>1972</v>
      </c>
      <c r="W387" s="1"/>
      <c r="X387" s="1" t="s">
        <v>37</v>
      </c>
      <c r="Y387" s="1" t="s">
        <v>1973</v>
      </c>
      <c r="Z387" s="1">
        <v>5354</v>
      </c>
    </row>
    <row r="388" spans="1:26" ht="42">
      <c r="A388" s="1" t="str">
        <f>"0008NN"</f>
        <v>0008NN</v>
      </c>
      <c r="B388" s="1" t="s">
        <v>1958</v>
      </c>
      <c r="C388" s="1" t="s">
        <v>1959</v>
      </c>
      <c r="D388" s="1" t="str">
        <f>"8027334761"</f>
        <v>8027334761</v>
      </c>
      <c r="E388" s="1">
        <v>3190</v>
      </c>
      <c r="F388" s="1" t="s">
        <v>28</v>
      </c>
      <c r="G388" s="1" t="s">
        <v>1974</v>
      </c>
      <c r="H388" s="1"/>
      <c r="I388" s="1">
        <v>48</v>
      </c>
      <c r="J388" s="1">
        <v>5</v>
      </c>
      <c r="K388" s="1" t="s">
        <v>144</v>
      </c>
      <c r="L388" s="1" t="s">
        <v>1969</v>
      </c>
      <c r="M388" s="1" t="s">
        <v>158</v>
      </c>
      <c r="N388" s="2">
        <v>41791</v>
      </c>
      <c r="O388" s="1"/>
      <c r="P388" s="2">
        <v>41862</v>
      </c>
      <c r="Q388" s="1" t="s">
        <v>1208</v>
      </c>
      <c r="R388" s="1"/>
      <c r="S388" s="1" t="s">
        <v>35</v>
      </c>
      <c r="T388" s="1">
        <v>42.799554000000001</v>
      </c>
      <c r="U388" s="1">
        <v>-72.557721999999998</v>
      </c>
      <c r="V388" s="1" t="s">
        <v>1975</v>
      </c>
      <c r="W388" s="1"/>
      <c r="X388" s="1" t="s">
        <v>37</v>
      </c>
      <c r="Y388" s="1" t="s">
        <v>1973</v>
      </c>
      <c r="Z388" s="1">
        <v>5354</v>
      </c>
    </row>
    <row r="389" spans="1:26" ht="42">
      <c r="A389" s="1" t="str">
        <f>"0008NN"</f>
        <v>0008NN</v>
      </c>
      <c r="B389" s="1" t="s">
        <v>1958</v>
      </c>
      <c r="C389" s="1" t="s">
        <v>1959</v>
      </c>
      <c r="D389" s="1" t="str">
        <f>"8027334761"</f>
        <v>8027334761</v>
      </c>
      <c r="E389" s="1">
        <v>3190</v>
      </c>
      <c r="F389" s="1" t="s">
        <v>28</v>
      </c>
      <c r="G389" s="1" t="s">
        <v>1976</v>
      </c>
      <c r="H389" s="1"/>
      <c r="I389" s="1">
        <v>48</v>
      </c>
      <c r="J389" s="1">
        <v>6</v>
      </c>
      <c r="K389" s="1" t="s">
        <v>144</v>
      </c>
      <c r="L389" s="1"/>
      <c r="M389" s="1" t="s">
        <v>158</v>
      </c>
      <c r="N389" s="2">
        <v>41791</v>
      </c>
      <c r="O389" s="1"/>
      <c r="P389" s="2">
        <v>41863</v>
      </c>
      <c r="Q389" s="1" t="s">
        <v>1208</v>
      </c>
      <c r="R389" s="1"/>
      <c r="S389" s="1" t="s">
        <v>35</v>
      </c>
      <c r="T389" s="1">
        <v>42.901767</v>
      </c>
      <c r="U389" s="1">
        <v>-72.532658999999896</v>
      </c>
      <c r="V389" s="1" t="s">
        <v>1977</v>
      </c>
      <c r="W389" s="1"/>
      <c r="X389" s="1" t="s">
        <v>37</v>
      </c>
      <c r="Y389" s="1" t="s">
        <v>611</v>
      </c>
      <c r="Z389" s="1">
        <v>5301</v>
      </c>
    </row>
    <row r="390" spans="1:26" ht="42">
      <c r="A390" s="1" t="str">
        <f>"0008NN"</f>
        <v>0008NN</v>
      </c>
      <c r="B390" s="1" t="s">
        <v>1958</v>
      </c>
      <c r="C390" s="1" t="s">
        <v>1959</v>
      </c>
      <c r="D390" s="1" t="str">
        <f>"8027334761"</f>
        <v>8027334761</v>
      </c>
      <c r="E390" s="1">
        <v>3190</v>
      </c>
      <c r="F390" s="1" t="s">
        <v>28</v>
      </c>
      <c r="G390" s="1" t="s">
        <v>1978</v>
      </c>
      <c r="H390" s="1"/>
      <c r="I390" s="1">
        <v>32</v>
      </c>
      <c r="J390" s="1">
        <v>7</v>
      </c>
      <c r="K390" s="1" t="s">
        <v>187</v>
      </c>
      <c r="L390" s="1" t="s">
        <v>293</v>
      </c>
      <c r="M390" s="1" t="s">
        <v>158</v>
      </c>
      <c r="N390" s="2">
        <v>42912</v>
      </c>
      <c r="O390" s="1"/>
      <c r="P390" s="2">
        <v>43029</v>
      </c>
      <c r="Q390" s="1" t="s">
        <v>34</v>
      </c>
      <c r="R390" s="1"/>
      <c r="S390" s="1" t="s">
        <v>35</v>
      </c>
      <c r="T390" s="1">
        <v>43.029409999999999</v>
      </c>
      <c r="U390" s="1">
        <v>-73.183679999999896</v>
      </c>
      <c r="V390" s="1" t="s">
        <v>1979</v>
      </c>
      <c r="W390" s="1"/>
      <c r="X390" s="1" t="s">
        <v>37</v>
      </c>
      <c r="Y390" s="1" t="s">
        <v>1980</v>
      </c>
      <c r="Z390" s="1">
        <v>5250</v>
      </c>
    </row>
    <row r="391" spans="1:26" ht="42">
      <c r="A391" s="1" t="str">
        <f>"0008PM"</f>
        <v>0008PM</v>
      </c>
      <c r="B391" s="1" t="s">
        <v>1981</v>
      </c>
      <c r="C391" s="1" t="s">
        <v>1982</v>
      </c>
      <c r="D391" s="1" t="str">
        <f>"8029859457"</f>
        <v>8029859457</v>
      </c>
      <c r="E391" s="1">
        <v>3247</v>
      </c>
      <c r="F391" s="1" t="s">
        <v>28</v>
      </c>
      <c r="G391" s="1" t="s">
        <v>1983</v>
      </c>
      <c r="H391" s="1">
        <v>4311</v>
      </c>
      <c r="I391" s="1">
        <v>3</v>
      </c>
      <c r="J391" s="1" t="s">
        <v>1984</v>
      </c>
      <c r="K391" s="1" t="s">
        <v>43</v>
      </c>
      <c r="L391" s="1" t="s">
        <v>723</v>
      </c>
      <c r="M391" s="1" t="s">
        <v>1985</v>
      </c>
      <c r="N391" s="2">
        <v>36892</v>
      </c>
      <c r="O391" s="1"/>
      <c r="P391" s="2">
        <v>38883</v>
      </c>
      <c r="Q391" s="1" t="s">
        <v>34</v>
      </c>
      <c r="R391" s="1"/>
      <c r="S391" s="1" t="s">
        <v>35</v>
      </c>
      <c r="T391" s="1">
        <v>44.366534788105703</v>
      </c>
      <c r="U391" s="1">
        <v>-73.183608949184404</v>
      </c>
      <c r="V391" s="1" t="s">
        <v>1986</v>
      </c>
      <c r="W391" s="1"/>
      <c r="X391" s="1" t="s">
        <v>37</v>
      </c>
      <c r="Y391" s="1" t="s">
        <v>725</v>
      </c>
      <c r="Z391" s="1">
        <v>5482</v>
      </c>
    </row>
    <row r="392" spans="1:26" ht="42">
      <c r="A392" s="1" t="str">
        <f>"0008PX"</f>
        <v>0008PX</v>
      </c>
      <c r="B392" s="1" t="s">
        <v>1987</v>
      </c>
      <c r="C392" s="1" t="s">
        <v>1988</v>
      </c>
      <c r="D392" s="1" t="str">
        <f>"8023345443"</f>
        <v>8023345443</v>
      </c>
      <c r="E392" s="1">
        <v>3253</v>
      </c>
      <c r="F392" s="1" t="s">
        <v>28</v>
      </c>
      <c r="G392" s="1" t="s">
        <v>1989</v>
      </c>
      <c r="H392" s="1">
        <v>4318</v>
      </c>
      <c r="I392" s="1">
        <v>1</v>
      </c>
      <c r="J392" s="1" t="s">
        <v>1990</v>
      </c>
      <c r="K392" s="1" t="s">
        <v>527</v>
      </c>
      <c r="L392" s="1" t="s">
        <v>532</v>
      </c>
      <c r="M392" s="1" t="s">
        <v>1991</v>
      </c>
      <c r="N392" s="2">
        <v>36892</v>
      </c>
      <c r="O392" s="1"/>
      <c r="P392" s="1"/>
      <c r="Q392" s="1" t="s">
        <v>34</v>
      </c>
      <c r="R392" s="1"/>
      <c r="S392" s="1" t="s">
        <v>35</v>
      </c>
      <c r="T392" s="1">
        <v>44.970965999999997</v>
      </c>
      <c r="U392" s="1">
        <v>-72.146491999999895</v>
      </c>
      <c r="V392" s="1" t="s">
        <v>1992</v>
      </c>
      <c r="W392" s="1"/>
      <c r="X392" s="1" t="s">
        <v>37</v>
      </c>
      <c r="Y392" s="1" t="s">
        <v>535</v>
      </c>
      <c r="Z392" s="1">
        <v>5855</v>
      </c>
    </row>
    <row r="393" spans="1:26" ht="42">
      <c r="A393" s="1" t="str">
        <f>"0008Q0"</f>
        <v>0008Q0</v>
      </c>
      <c r="B393" s="1" t="s">
        <v>1993</v>
      </c>
      <c r="C393" s="1" t="s">
        <v>1994</v>
      </c>
      <c r="D393" s="1" t="str">
        <f>"8024363340"</f>
        <v>8024363340</v>
      </c>
      <c r="E393" s="1">
        <v>3256</v>
      </c>
      <c r="F393" s="1" t="s">
        <v>28</v>
      </c>
      <c r="G393" s="1" t="s">
        <v>1995</v>
      </c>
      <c r="H393" s="1">
        <v>4330</v>
      </c>
      <c r="I393" s="1">
        <v>1</v>
      </c>
      <c r="J393" s="1" t="s">
        <v>1996</v>
      </c>
      <c r="K393" s="1" t="s">
        <v>77</v>
      </c>
      <c r="L393" s="1" t="s">
        <v>507</v>
      </c>
      <c r="M393" s="1" t="s">
        <v>1997</v>
      </c>
      <c r="N393" s="2">
        <v>36892</v>
      </c>
      <c r="O393" s="1"/>
      <c r="P393" s="2">
        <v>41071</v>
      </c>
      <c r="Q393" s="1" t="s">
        <v>34</v>
      </c>
      <c r="R393" s="1"/>
      <c r="S393" s="1" t="s">
        <v>35</v>
      </c>
      <c r="T393" s="1">
        <v>43.560833194993599</v>
      </c>
      <c r="U393" s="1">
        <v>-72.452237606048499</v>
      </c>
      <c r="V393" s="1" t="s">
        <v>1998</v>
      </c>
      <c r="W393" s="1"/>
      <c r="X393" s="1" t="s">
        <v>37</v>
      </c>
      <c r="Y393" s="1" t="s">
        <v>1999</v>
      </c>
      <c r="Z393" s="1">
        <v>5048</v>
      </c>
    </row>
    <row r="394" spans="1:26" ht="42">
      <c r="A394" s="1" t="str">
        <f>"0008Q4"</f>
        <v>0008Q4</v>
      </c>
      <c r="B394" s="1" t="s">
        <v>2000</v>
      </c>
      <c r="C394" s="1" t="s">
        <v>2001</v>
      </c>
      <c r="D394" s="1" t="str">
        <f>"8024826405"</f>
        <v>8024826405</v>
      </c>
      <c r="E394" s="1">
        <v>3265</v>
      </c>
      <c r="F394" s="1" t="s">
        <v>28</v>
      </c>
      <c r="G394" s="1" t="s">
        <v>2002</v>
      </c>
      <c r="H394" s="1">
        <v>4345</v>
      </c>
      <c r="I394" s="1">
        <v>6</v>
      </c>
      <c r="J394" s="1" t="s">
        <v>2003</v>
      </c>
      <c r="K394" s="1" t="s">
        <v>43</v>
      </c>
      <c r="L394" s="1" t="s">
        <v>348</v>
      </c>
      <c r="M394" s="1" t="s">
        <v>2004</v>
      </c>
      <c r="N394" s="2">
        <v>36892</v>
      </c>
      <c r="O394" s="1"/>
      <c r="P394" s="2">
        <v>42584</v>
      </c>
      <c r="Q394" s="1" t="s">
        <v>34</v>
      </c>
      <c r="R394" s="1"/>
      <c r="S394" s="1" t="s">
        <v>35</v>
      </c>
      <c r="T394" s="1">
        <v>44.346633999999902</v>
      </c>
      <c r="U394" s="1">
        <v>-73.064857000000003</v>
      </c>
      <c r="V394" s="1" t="s">
        <v>2005</v>
      </c>
      <c r="W394" s="1"/>
      <c r="X394" s="1" t="s">
        <v>37</v>
      </c>
      <c r="Y394" s="1" t="s">
        <v>351</v>
      </c>
      <c r="Z394" s="1">
        <v>5461</v>
      </c>
    </row>
    <row r="395" spans="1:26" ht="42">
      <c r="A395" s="1" t="str">
        <f>"0008QB"</f>
        <v>0008QB</v>
      </c>
      <c r="B395" s="1" t="s">
        <v>2006</v>
      </c>
      <c r="C395" s="1" t="s">
        <v>2007</v>
      </c>
      <c r="D395" s="1" t="str">
        <f>"8023682353"</f>
        <v>8023682353</v>
      </c>
      <c r="E395" s="1">
        <v>3275</v>
      </c>
      <c r="F395" s="1" t="s">
        <v>28</v>
      </c>
      <c r="G395" s="1" t="s">
        <v>2008</v>
      </c>
      <c r="H395" s="1">
        <v>4359</v>
      </c>
      <c r="I395" s="1">
        <v>3</v>
      </c>
      <c r="J395" s="1" t="s">
        <v>2009</v>
      </c>
      <c r="K395" s="1" t="s">
        <v>144</v>
      </c>
      <c r="L395" s="1" t="s">
        <v>1709</v>
      </c>
      <c r="M395" s="1" t="s">
        <v>2010</v>
      </c>
      <c r="N395" s="2">
        <v>36892</v>
      </c>
      <c r="O395" s="1"/>
      <c r="P395" s="1"/>
      <c r="Q395" s="1" t="s">
        <v>34</v>
      </c>
      <c r="R395" s="1"/>
      <c r="S395" s="1" t="s">
        <v>35</v>
      </c>
      <c r="T395" s="1">
        <v>42.804570899999902</v>
      </c>
      <c r="U395" s="1">
        <v>-72.809606900000006</v>
      </c>
      <c r="V395" s="1" t="s">
        <v>2011</v>
      </c>
      <c r="W395" s="1"/>
      <c r="X395" s="1" t="s">
        <v>37</v>
      </c>
      <c r="Y395" s="1" t="s">
        <v>2012</v>
      </c>
      <c r="Z395" s="1">
        <v>5342</v>
      </c>
    </row>
    <row r="396" spans="1:26" ht="42">
      <c r="A396" s="1" t="str">
        <f>"0008QC"</f>
        <v>0008QC</v>
      </c>
      <c r="B396" s="1" t="s">
        <v>2013</v>
      </c>
      <c r="C396" s="1" t="s">
        <v>2014</v>
      </c>
      <c r="D396" s="1" t="str">
        <f>"8028796455"</f>
        <v>8028796455</v>
      </c>
      <c r="E396" s="1">
        <v>4014</v>
      </c>
      <c r="F396" s="1" t="s">
        <v>28</v>
      </c>
      <c r="G396" s="1" t="s">
        <v>2015</v>
      </c>
      <c r="H396" s="1">
        <v>5330</v>
      </c>
      <c r="I396" s="1">
        <v>3</v>
      </c>
      <c r="J396" s="1" t="s">
        <v>2016</v>
      </c>
      <c r="K396" s="1" t="s">
        <v>43</v>
      </c>
      <c r="L396" s="1" t="s">
        <v>317</v>
      </c>
      <c r="M396" s="1" t="s">
        <v>2017</v>
      </c>
      <c r="N396" s="2">
        <v>36892</v>
      </c>
      <c r="O396" s="1"/>
      <c r="P396" s="1"/>
      <c r="Q396" s="1" t="s">
        <v>34</v>
      </c>
      <c r="R396" s="1"/>
      <c r="S396" s="1" t="s">
        <v>35</v>
      </c>
      <c r="T396" s="1">
        <v>44.556136000000002</v>
      </c>
      <c r="U396" s="1">
        <v>-73.001745999999997</v>
      </c>
      <c r="V396" s="1" t="s">
        <v>2018</v>
      </c>
      <c r="W396" s="1"/>
      <c r="X396" s="1" t="s">
        <v>37</v>
      </c>
      <c r="Y396" s="1" t="s">
        <v>320</v>
      </c>
      <c r="Z396" s="1">
        <v>5494</v>
      </c>
    </row>
    <row r="397" spans="1:26" ht="42">
      <c r="A397" s="1" t="str">
        <f>"0008V6"</f>
        <v>0008V6</v>
      </c>
      <c r="B397" s="1" t="s">
        <v>2019</v>
      </c>
      <c r="C397" s="1" t="s">
        <v>2020</v>
      </c>
      <c r="D397" s="1" t="str">
        <f>"8029482156"</f>
        <v>8029482156</v>
      </c>
      <c r="E397" s="1">
        <v>3307</v>
      </c>
      <c r="F397" s="1" t="s">
        <v>28</v>
      </c>
      <c r="G397" s="1" t="s">
        <v>2021</v>
      </c>
      <c r="H397" s="1">
        <v>4381</v>
      </c>
      <c r="I397" s="1">
        <v>3</v>
      </c>
      <c r="J397" s="1" t="s">
        <v>2022</v>
      </c>
      <c r="K397" s="1" t="s">
        <v>333</v>
      </c>
      <c r="L397" s="1" t="s">
        <v>691</v>
      </c>
      <c r="M397" s="1" t="s">
        <v>2023</v>
      </c>
      <c r="N397" s="2">
        <v>36892</v>
      </c>
      <c r="O397" s="1"/>
      <c r="P397" s="2">
        <v>38441</v>
      </c>
      <c r="Q397" s="1" t="s">
        <v>34</v>
      </c>
      <c r="R397" s="1"/>
      <c r="S397" s="1" t="s">
        <v>35</v>
      </c>
      <c r="T397" s="1">
        <v>43.848842530794698</v>
      </c>
      <c r="U397" s="1">
        <v>-73.247276544570894</v>
      </c>
      <c r="V397" s="1" t="s">
        <v>2024</v>
      </c>
      <c r="W397" s="1"/>
      <c r="X397" s="1" t="s">
        <v>37</v>
      </c>
      <c r="Y397" s="1" t="s">
        <v>693</v>
      </c>
      <c r="Z397" s="1">
        <v>5760</v>
      </c>
    </row>
    <row r="398" spans="1:26" ht="42">
      <c r="A398" s="1" t="str">
        <f>"0008VJ"</f>
        <v>0008VJ</v>
      </c>
      <c r="B398" s="1" t="s">
        <v>2025</v>
      </c>
      <c r="C398" s="1" t="s">
        <v>2026</v>
      </c>
      <c r="D398" s="1" t="str">
        <f>"8028993111"</f>
        <v>8028993111</v>
      </c>
      <c r="E398" s="1">
        <v>3842</v>
      </c>
      <c r="F398" s="1" t="s">
        <v>28</v>
      </c>
      <c r="G398" s="1" t="s">
        <v>2027</v>
      </c>
      <c r="H398" s="1">
        <v>5100</v>
      </c>
      <c r="I398" s="1">
        <v>1</v>
      </c>
      <c r="J398" s="1" t="s">
        <v>563</v>
      </c>
      <c r="K398" s="1" t="s">
        <v>43</v>
      </c>
      <c r="L398" s="1" t="s">
        <v>364</v>
      </c>
      <c r="M398" s="1" t="s">
        <v>2028</v>
      </c>
      <c r="N398" s="2">
        <v>36892</v>
      </c>
      <c r="O398" s="1"/>
      <c r="P398" s="2">
        <v>39695</v>
      </c>
      <c r="Q398" s="1" t="s">
        <v>34</v>
      </c>
      <c r="R398" s="1"/>
      <c r="S398" s="1" t="s">
        <v>35</v>
      </c>
      <c r="T398" s="1">
        <v>44.464457000000003</v>
      </c>
      <c r="U398" s="1">
        <v>-72.9781578999999</v>
      </c>
      <c r="V398" s="1" t="s">
        <v>2029</v>
      </c>
      <c r="W398" s="1"/>
      <c r="X398" s="1" t="s">
        <v>37</v>
      </c>
      <c r="Y398" s="1" t="s">
        <v>367</v>
      </c>
      <c r="Z398" s="1">
        <v>5465</v>
      </c>
    </row>
    <row r="399" spans="1:26" ht="42">
      <c r="A399" s="1" t="str">
        <f>"0008VM"</f>
        <v>0008VM</v>
      </c>
      <c r="B399" s="1" t="s">
        <v>2030</v>
      </c>
      <c r="C399" s="1" t="s">
        <v>2031</v>
      </c>
      <c r="D399" s="1" t="str">
        <f>"8024257890"</f>
        <v>8024257890</v>
      </c>
      <c r="E399" s="1">
        <v>3327</v>
      </c>
      <c r="F399" s="1" t="s">
        <v>28</v>
      </c>
      <c r="G399" s="1" t="s">
        <v>2032</v>
      </c>
      <c r="H399" s="1">
        <v>4392</v>
      </c>
      <c r="I399" s="1">
        <v>4</v>
      </c>
      <c r="J399" s="1" t="s">
        <v>2033</v>
      </c>
      <c r="K399" s="1" t="s">
        <v>333</v>
      </c>
      <c r="L399" s="1" t="s">
        <v>679</v>
      </c>
      <c r="M399" s="1" t="s">
        <v>2034</v>
      </c>
      <c r="N399" s="2">
        <v>36892</v>
      </c>
      <c r="O399" s="1"/>
      <c r="P399" s="1"/>
      <c r="Q399" s="1" t="s">
        <v>34</v>
      </c>
      <c r="R399" s="1"/>
      <c r="S399" s="1" t="s">
        <v>35</v>
      </c>
      <c r="T399" s="1">
        <v>44.248458900000003</v>
      </c>
      <c r="U399" s="1">
        <v>-73.203135999999901</v>
      </c>
      <c r="V399" s="1" t="s">
        <v>2035</v>
      </c>
      <c r="W399" s="1"/>
      <c r="X399" s="1" t="s">
        <v>37</v>
      </c>
      <c r="Y399" s="1" t="s">
        <v>2036</v>
      </c>
      <c r="Z399" s="1">
        <v>5473</v>
      </c>
    </row>
    <row r="400" spans="1:26" ht="42">
      <c r="A400" s="1" t="str">
        <f>"0008VM"</f>
        <v>0008VM</v>
      </c>
      <c r="B400" s="1" t="s">
        <v>2030</v>
      </c>
      <c r="C400" s="1" t="s">
        <v>2031</v>
      </c>
      <c r="D400" s="1" t="str">
        <f>"8024257890"</f>
        <v>8024257890</v>
      </c>
      <c r="E400" s="1">
        <v>3327</v>
      </c>
      <c r="F400" s="1" t="s">
        <v>28</v>
      </c>
      <c r="G400" s="1" t="s">
        <v>2037</v>
      </c>
      <c r="H400" s="1"/>
      <c r="I400" s="1">
        <v>1</v>
      </c>
      <c r="J400" s="1" t="s">
        <v>2038</v>
      </c>
      <c r="K400" s="1" t="s">
        <v>43</v>
      </c>
      <c r="L400" s="1" t="s">
        <v>728</v>
      </c>
      <c r="M400" s="1" t="s">
        <v>2039</v>
      </c>
      <c r="N400" s="2">
        <v>41795</v>
      </c>
      <c r="O400" s="1"/>
      <c r="P400" s="1"/>
      <c r="Q400" s="1" t="s">
        <v>34</v>
      </c>
      <c r="R400" s="1"/>
      <c r="S400" s="1" t="s">
        <v>35</v>
      </c>
      <c r="T400" s="1">
        <v>44.298851547743404</v>
      </c>
      <c r="U400" s="1">
        <v>-73.185591101646395</v>
      </c>
      <c r="V400" s="1" t="s">
        <v>2040</v>
      </c>
      <c r="W400" s="1"/>
      <c r="X400" s="1" t="s">
        <v>37</v>
      </c>
      <c r="Y400" s="1" t="s">
        <v>736</v>
      </c>
      <c r="Z400" s="1">
        <v>5000</v>
      </c>
    </row>
    <row r="401" spans="1:26" ht="42">
      <c r="A401" s="1" t="str">
        <f>"0008VM"</f>
        <v>0008VM</v>
      </c>
      <c r="B401" s="1" t="s">
        <v>2030</v>
      </c>
      <c r="C401" s="1" t="s">
        <v>2031</v>
      </c>
      <c r="D401" s="1" t="str">
        <f>"8024257890"</f>
        <v>8024257890</v>
      </c>
      <c r="E401" s="1">
        <v>3327</v>
      </c>
      <c r="F401" s="1" t="s">
        <v>28</v>
      </c>
      <c r="G401" s="1" t="s">
        <v>2041</v>
      </c>
      <c r="H401" s="1"/>
      <c r="I401" s="1">
        <v>3</v>
      </c>
      <c r="J401" s="1" t="s">
        <v>2042</v>
      </c>
      <c r="K401" s="1" t="s">
        <v>43</v>
      </c>
      <c r="L401" s="1" t="s">
        <v>728</v>
      </c>
      <c r="M401" s="1" t="s">
        <v>2043</v>
      </c>
      <c r="N401" s="2">
        <v>41795</v>
      </c>
      <c r="O401" s="1"/>
      <c r="P401" s="1"/>
      <c r="Q401" s="1" t="s">
        <v>34</v>
      </c>
      <c r="R401" s="1"/>
      <c r="S401" s="1" t="s">
        <v>35</v>
      </c>
      <c r="T401" s="1">
        <v>44.3224386546554</v>
      </c>
      <c r="U401" s="1">
        <v>-73.1830886006355</v>
      </c>
      <c r="V401" s="1" t="s">
        <v>2044</v>
      </c>
      <c r="W401" s="1"/>
      <c r="X401" s="1" t="s">
        <v>37</v>
      </c>
      <c r="Y401" s="1" t="s">
        <v>736</v>
      </c>
      <c r="Z401" s="1">
        <v>5000</v>
      </c>
    </row>
    <row r="402" spans="1:26" ht="42">
      <c r="A402" s="1" t="str">
        <f>"0008VQ"</f>
        <v>0008VQ</v>
      </c>
      <c r="B402" s="1" t="s">
        <v>2045</v>
      </c>
      <c r="C402" s="1" t="s">
        <v>2046</v>
      </c>
      <c r="D402" s="1" t="str">
        <f>"8028794209"</f>
        <v>8028794209</v>
      </c>
      <c r="E402" s="1">
        <v>3330</v>
      </c>
      <c r="F402" s="1" t="s">
        <v>28</v>
      </c>
      <c r="G402" s="1" t="s">
        <v>2047</v>
      </c>
      <c r="H402" s="1">
        <v>4407</v>
      </c>
      <c r="I402" s="1">
        <v>2</v>
      </c>
      <c r="J402" s="1" t="s">
        <v>2048</v>
      </c>
      <c r="K402" s="1" t="s">
        <v>43</v>
      </c>
      <c r="L402" s="1" t="s">
        <v>317</v>
      </c>
      <c r="M402" s="1" t="s">
        <v>2049</v>
      </c>
      <c r="N402" s="2">
        <v>36892</v>
      </c>
      <c r="O402" s="1"/>
      <c r="P402" s="2">
        <v>37358</v>
      </c>
      <c r="Q402" s="1" t="s">
        <v>34</v>
      </c>
      <c r="R402" s="1"/>
      <c r="S402" s="1" t="s">
        <v>35</v>
      </c>
      <c r="T402" s="1">
        <v>44.629992000000001</v>
      </c>
      <c r="U402" s="1">
        <v>-73.021504999999905</v>
      </c>
      <c r="V402" s="1" t="s">
        <v>2050</v>
      </c>
      <c r="W402" s="1"/>
      <c r="X402" s="1" t="s">
        <v>37</v>
      </c>
      <c r="Y402" s="1" t="s">
        <v>320</v>
      </c>
      <c r="Z402" s="1">
        <v>5494</v>
      </c>
    </row>
    <row r="403" spans="1:26" ht="42">
      <c r="A403" s="1" t="str">
        <f>"0008W7"</f>
        <v>0008W7</v>
      </c>
      <c r="B403" s="1" t="s">
        <v>2051</v>
      </c>
      <c r="C403" s="1" t="s">
        <v>2052</v>
      </c>
      <c r="D403" s="1" t="str">
        <f>"8026450652"</f>
        <v>8026450652</v>
      </c>
      <c r="E403" s="1">
        <v>3381</v>
      </c>
      <c r="F403" s="1" t="s">
        <v>28</v>
      </c>
      <c r="G403" s="1" t="s">
        <v>2053</v>
      </c>
      <c r="H403" s="1">
        <v>4464</v>
      </c>
      <c r="I403" s="1">
        <v>6</v>
      </c>
      <c r="J403" s="1" t="s">
        <v>2054</v>
      </c>
      <c r="K403" s="1" t="s">
        <v>135</v>
      </c>
      <c r="L403" s="1" t="s">
        <v>582</v>
      </c>
      <c r="M403" s="1" t="s">
        <v>2055</v>
      </c>
      <c r="N403" s="2">
        <v>36892</v>
      </c>
      <c r="O403" s="1"/>
      <c r="P403" s="2">
        <v>42110</v>
      </c>
      <c r="Q403" s="1" t="s">
        <v>34</v>
      </c>
      <c r="R403" s="1"/>
      <c r="S403" s="1" t="s">
        <v>35</v>
      </c>
      <c r="T403" s="1">
        <v>43.340299999999999</v>
      </c>
      <c r="U403" s="1">
        <v>-73.231859999999898</v>
      </c>
      <c r="V403" s="1" t="s">
        <v>2056</v>
      </c>
      <c r="W403" s="1"/>
      <c r="X403" s="1" t="s">
        <v>37</v>
      </c>
      <c r="Y403" s="1" t="s">
        <v>2057</v>
      </c>
      <c r="Z403" s="1">
        <v>5775</v>
      </c>
    </row>
    <row r="404" spans="1:26" ht="42">
      <c r="A404" s="1" t="str">
        <f>"0008W7"</f>
        <v>0008W7</v>
      </c>
      <c r="B404" s="1" t="s">
        <v>2051</v>
      </c>
      <c r="C404" s="1" t="s">
        <v>2052</v>
      </c>
      <c r="D404" s="1" t="str">
        <f>"8026450652"</f>
        <v>8026450652</v>
      </c>
      <c r="E404" s="1">
        <v>3381</v>
      </c>
      <c r="F404" s="1" t="s">
        <v>28</v>
      </c>
      <c r="G404" s="1" t="s">
        <v>2058</v>
      </c>
      <c r="H404" s="1"/>
      <c r="I404" s="1">
        <v>6</v>
      </c>
      <c r="J404" s="1" t="s">
        <v>2059</v>
      </c>
      <c r="K404" s="1" t="s">
        <v>135</v>
      </c>
      <c r="L404" s="1" t="s">
        <v>582</v>
      </c>
      <c r="M404" s="1" t="s">
        <v>2060</v>
      </c>
      <c r="N404" s="2">
        <v>41283</v>
      </c>
      <c r="O404" s="1"/>
      <c r="P404" s="1"/>
      <c r="Q404" s="1" t="s">
        <v>34</v>
      </c>
      <c r="R404" s="1"/>
      <c r="S404" s="1" t="s">
        <v>35</v>
      </c>
      <c r="T404" s="1"/>
      <c r="U404" s="1"/>
      <c r="V404" s="1" t="s">
        <v>2061</v>
      </c>
      <c r="W404" s="1"/>
      <c r="X404" s="1" t="s">
        <v>37</v>
      </c>
      <c r="Y404" s="1" t="s">
        <v>2057</v>
      </c>
      <c r="Z404" s="1">
        <v>5775</v>
      </c>
    </row>
    <row r="405" spans="1:26" ht="42">
      <c r="A405" s="1" t="str">
        <f>"0008W7"</f>
        <v>0008W7</v>
      </c>
      <c r="B405" s="1" t="s">
        <v>2051</v>
      </c>
      <c r="C405" s="1" t="s">
        <v>2052</v>
      </c>
      <c r="D405" s="1" t="str">
        <f>"8026450652"</f>
        <v>8026450652</v>
      </c>
      <c r="E405" s="1">
        <v>3381</v>
      </c>
      <c r="F405" s="1" t="s">
        <v>28</v>
      </c>
      <c r="G405" s="1" t="s">
        <v>2062</v>
      </c>
      <c r="H405" s="1"/>
      <c r="I405" s="1">
        <v>3</v>
      </c>
      <c r="J405" s="1" t="s">
        <v>2063</v>
      </c>
      <c r="K405" s="1" t="s">
        <v>135</v>
      </c>
      <c r="L405" s="1" t="s">
        <v>582</v>
      </c>
      <c r="M405" s="1" t="s">
        <v>2063</v>
      </c>
      <c r="N405" s="2">
        <v>42187</v>
      </c>
      <c r="O405" s="1"/>
      <c r="P405" s="1"/>
      <c r="Q405" s="1" t="s">
        <v>34</v>
      </c>
      <c r="R405" s="1"/>
      <c r="S405" s="1" t="s">
        <v>35</v>
      </c>
      <c r="T405" s="1">
        <v>43.323169999999998</v>
      </c>
      <c r="U405" s="1">
        <v>-73.217877799999997</v>
      </c>
      <c r="V405" s="1" t="s">
        <v>2064</v>
      </c>
      <c r="W405" s="1"/>
      <c r="X405" s="1" t="s">
        <v>37</v>
      </c>
      <c r="Y405" s="1" t="s">
        <v>2057</v>
      </c>
      <c r="Z405" s="1">
        <v>5701</v>
      </c>
    </row>
    <row r="406" spans="1:26" ht="42">
      <c r="A406" s="1" t="str">
        <f>"0008WY"</f>
        <v>0008WY</v>
      </c>
      <c r="B406" s="1" t="s">
        <v>2065</v>
      </c>
      <c r="C406" s="1" t="s">
        <v>2066</v>
      </c>
      <c r="D406" s="1" t="str">
        <f>"8028635696"</f>
        <v>8028635696</v>
      </c>
      <c r="E406" s="1">
        <v>3414</v>
      </c>
      <c r="F406" s="1" t="s">
        <v>28</v>
      </c>
      <c r="G406" s="1" t="s">
        <v>2067</v>
      </c>
      <c r="H406" s="1">
        <v>4506</v>
      </c>
      <c r="I406" s="1">
        <v>1</v>
      </c>
      <c r="J406" s="1" t="s">
        <v>410</v>
      </c>
      <c r="K406" s="1" t="s">
        <v>43</v>
      </c>
      <c r="L406" s="1" t="s">
        <v>44</v>
      </c>
      <c r="M406" s="1" t="s">
        <v>2068</v>
      </c>
      <c r="N406" s="2">
        <v>36892</v>
      </c>
      <c r="O406" s="1"/>
      <c r="P406" s="1"/>
      <c r="Q406" s="1" t="s">
        <v>34</v>
      </c>
      <c r="R406" s="1"/>
      <c r="S406" s="1" t="s">
        <v>35</v>
      </c>
      <c r="T406" s="1">
        <v>44.503729999999997</v>
      </c>
      <c r="U406" s="1">
        <v>-73.236783000000003</v>
      </c>
      <c r="V406" s="1" t="s">
        <v>2069</v>
      </c>
      <c r="W406" s="1"/>
      <c r="X406" s="1" t="s">
        <v>37</v>
      </c>
      <c r="Y406" s="1" t="s">
        <v>46</v>
      </c>
      <c r="Z406" s="1">
        <v>5408</v>
      </c>
    </row>
    <row r="407" spans="1:26" ht="42">
      <c r="A407" s="1" t="str">
        <f>"0008X0"</f>
        <v>0008X0</v>
      </c>
      <c r="B407" s="1" t="s">
        <v>2070</v>
      </c>
      <c r="C407" s="1" t="s">
        <v>2071</v>
      </c>
      <c r="D407" s="1" t="str">
        <f>"8022446657"</f>
        <v>8022446657</v>
      </c>
      <c r="E407" s="1">
        <v>3416</v>
      </c>
      <c r="F407" s="1" t="s">
        <v>28</v>
      </c>
      <c r="G407" s="1" t="s">
        <v>2072</v>
      </c>
      <c r="H407" s="1">
        <v>5303</v>
      </c>
      <c r="I407" s="1">
        <v>1</v>
      </c>
      <c r="J407" s="1" t="s">
        <v>2073</v>
      </c>
      <c r="K407" s="1" t="s">
        <v>68</v>
      </c>
      <c r="L407" s="1" t="s">
        <v>1383</v>
      </c>
      <c r="M407" s="1" t="s">
        <v>2074</v>
      </c>
      <c r="N407" s="2">
        <v>36892</v>
      </c>
      <c r="O407" s="1"/>
      <c r="P407" s="1"/>
      <c r="Q407" s="1" t="s">
        <v>34</v>
      </c>
      <c r="R407" s="1"/>
      <c r="S407" s="1" t="s">
        <v>35</v>
      </c>
      <c r="T407" s="1">
        <v>43.942406299999902</v>
      </c>
      <c r="U407" s="1">
        <v>-72.554737599999996</v>
      </c>
      <c r="V407" s="1" t="s">
        <v>2075</v>
      </c>
      <c r="W407" s="1"/>
      <c r="X407" s="1" t="s">
        <v>37</v>
      </c>
      <c r="Y407" s="1" t="s">
        <v>1384</v>
      </c>
      <c r="Z407" s="1">
        <v>5060</v>
      </c>
    </row>
    <row r="408" spans="1:26" ht="42">
      <c r="A408" s="1" t="str">
        <f>"0008X0"</f>
        <v>0008X0</v>
      </c>
      <c r="B408" s="1" t="s">
        <v>2070</v>
      </c>
      <c r="C408" s="1" t="s">
        <v>2071</v>
      </c>
      <c r="D408" s="1" t="str">
        <f>"8022446657"</f>
        <v>8022446657</v>
      </c>
      <c r="E408" s="1">
        <v>3416</v>
      </c>
      <c r="F408" s="1" t="s">
        <v>28</v>
      </c>
      <c r="G408" s="1" t="s">
        <v>2076</v>
      </c>
      <c r="H408" s="1">
        <v>4800</v>
      </c>
      <c r="I408" s="1">
        <v>3</v>
      </c>
      <c r="J408" s="1" t="s">
        <v>2077</v>
      </c>
      <c r="K408" s="1" t="s">
        <v>31</v>
      </c>
      <c r="L408" s="1" t="s">
        <v>2078</v>
      </c>
      <c r="M408" s="1" t="s">
        <v>2079</v>
      </c>
      <c r="N408" s="2">
        <v>36892</v>
      </c>
      <c r="O408" s="1"/>
      <c r="P408" s="1"/>
      <c r="Q408" s="1" t="s">
        <v>34</v>
      </c>
      <c r="R408" s="1"/>
      <c r="S408" s="1" t="s">
        <v>35</v>
      </c>
      <c r="T408" s="1">
        <v>44.343031592242703</v>
      </c>
      <c r="U408" s="1">
        <v>-72.840844094753194</v>
      </c>
      <c r="V408" s="1" t="s">
        <v>2080</v>
      </c>
      <c r="W408" s="1"/>
      <c r="X408" s="1" t="s">
        <v>37</v>
      </c>
      <c r="Y408" s="1" t="s">
        <v>2081</v>
      </c>
      <c r="Z408" s="1">
        <v>5676</v>
      </c>
    </row>
    <row r="409" spans="1:26" ht="42">
      <c r="A409" s="1" t="str">
        <f>"0008X8"</f>
        <v>0008X8</v>
      </c>
      <c r="B409" s="1" t="s">
        <v>2082</v>
      </c>
      <c r="C409" s="1" t="s">
        <v>2083</v>
      </c>
      <c r="D409" s="1" t="str">
        <f>"8024823193"</f>
        <v>8024823193</v>
      </c>
      <c r="E409" s="1">
        <v>3426</v>
      </c>
      <c r="F409" s="1" t="s">
        <v>28</v>
      </c>
      <c r="G409" s="1" t="s">
        <v>2084</v>
      </c>
      <c r="H409" s="1">
        <v>4502</v>
      </c>
      <c r="I409" s="1">
        <v>11</v>
      </c>
      <c r="J409" s="1" t="s">
        <v>1642</v>
      </c>
      <c r="K409" s="1" t="s">
        <v>43</v>
      </c>
      <c r="L409" s="1" t="s">
        <v>348</v>
      </c>
      <c r="M409" s="1" t="s">
        <v>2085</v>
      </c>
      <c r="N409" s="2">
        <v>36892</v>
      </c>
      <c r="O409" s="1"/>
      <c r="P409" s="2">
        <v>42627</v>
      </c>
      <c r="Q409" s="1" t="s">
        <v>34</v>
      </c>
      <c r="R409" s="1"/>
      <c r="S409" s="1" t="s">
        <v>35</v>
      </c>
      <c r="T409" s="1">
        <v>44.315837999999999</v>
      </c>
      <c r="U409" s="1">
        <v>-73.112296999999998</v>
      </c>
      <c r="V409" s="1" t="s">
        <v>2086</v>
      </c>
      <c r="W409" s="1"/>
      <c r="X409" s="1" t="s">
        <v>37</v>
      </c>
      <c r="Y409" s="1" t="s">
        <v>351</v>
      </c>
      <c r="Z409" s="1">
        <v>5461</v>
      </c>
    </row>
    <row r="410" spans="1:26" ht="42">
      <c r="A410" s="1" t="str">
        <f>"0008X8"</f>
        <v>0008X8</v>
      </c>
      <c r="B410" s="1" t="s">
        <v>2082</v>
      </c>
      <c r="C410" s="1" t="s">
        <v>2083</v>
      </c>
      <c r="D410" s="1" t="str">
        <f>"8024823193"</f>
        <v>8024823193</v>
      </c>
      <c r="E410" s="1">
        <v>3426</v>
      </c>
      <c r="F410" s="1" t="s">
        <v>28</v>
      </c>
      <c r="G410" s="1" t="s">
        <v>2087</v>
      </c>
      <c r="H410" s="1"/>
      <c r="I410" s="1">
        <v>14</v>
      </c>
      <c r="J410" s="1" t="s">
        <v>2088</v>
      </c>
      <c r="K410" s="1" t="s">
        <v>43</v>
      </c>
      <c r="L410" s="1" t="s">
        <v>728</v>
      </c>
      <c r="M410" s="1" t="s">
        <v>2089</v>
      </c>
      <c r="N410" s="2">
        <v>42473</v>
      </c>
      <c r="O410" s="1"/>
      <c r="P410" s="1"/>
      <c r="Q410" s="1" t="s">
        <v>34</v>
      </c>
      <c r="R410" s="1"/>
      <c r="S410" s="1" t="s">
        <v>35</v>
      </c>
      <c r="T410" s="1">
        <v>44.309847599999998</v>
      </c>
      <c r="U410" s="1">
        <v>-73.260992799999997</v>
      </c>
      <c r="V410" s="1" t="s">
        <v>618</v>
      </c>
      <c r="W410" s="1"/>
      <c r="X410" s="1" t="s">
        <v>37</v>
      </c>
      <c r="Y410" s="1" t="s">
        <v>736</v>
      </c>
      <c r="Z410" s="1">
        <v>5445</v>
      </c>
    </row>
    <row r="411" spans="1:26" ht="42">
      <c r="A411" s="1" t="str">
        <f>"0008XB"</f>
        <v>0008XB</v>
      </c>
      <c r="B411" s="1" t="s">
        <v>2090</v>
      </c>
      <c r="C411" s="1" t="s">
        <v>2091</v>
      </c>
      <c r="D411" s="1" t="str">
        <f>"8024428941"</f>
        <v>8024428941</v>
      </c>
      <c r="E411" s="1">
        <v>3430</v>
      </c>
      <c r="F411" s="1" t="s">
        <v>28</v>
      </c>
      <c r="G411" s="1" t="s">
        <v>2092</v>
      </c>
      <c r="H411" s="1">
        <v>4508</v>
      </c>
      <c r="I411" s="1">
        <v>3</v>
      </c>
      <c r="J411" s="1" t="s">
        <v>2093</v>
      </c>
      <c r="K411" s="1" t="s">
        <v>187</v>
      </c>
      <c r="L411" s="1" t="s">
        <v>188</v>
      </c>
      <c r="M411" s="1" t="s">
        <v>2094</v>
      </c>
      <c r="N411" s="2">
        <v>36892</v>
      </c>
      <c r="O411" s="1"/>
      <c r="P411" s="2">
        <v>40350</v>
      </c>
      <c r="Q411" s="1" t="s">
        <v>34</v>
      </c>
      <c r="R411" s="1"/>
      <c r="S411" s="1" t="s">
        <v>35</v>
      </c>
      <c r="T411" s="1">
        <v>42.918284999999997</v>
      </c>
      <c r="U411" s="1">
        <v>-73.198882999999995</v>
      </c>
      <c r="V411" s="1" t="s">
        <v>2095</v>
      </c>
      <c r="W411" s="1"/>
      <c r="X411" s="1" t="s">
        <v>37</v>
      </c>
      <c r="Y411" s="1" t="s">
        <v>187</v>
      </c>
      <c r="Z411" s="1">
        <v>5201</v>
      </c>
    </row>
    <row r="412" spans="1:26" ht="42">
      <c r="A412" s="1" t="str">
        <f>"0008Y3"</f>
        <v>0008Y3</v>
      </c>
      <c r="B412" s="1" t="s">
        <v>2096</v>
      </c>
      <c r="C412" s="1" t="s">
        <v>2097</v>
      </c>
      <c r="D412" s="1" t="str">
        <f>"8028245469"</f>
        <v>8028245469</v>
      </c>
      <c r="E412" s="1">
        <v>3469</v>
      </c>
      <c r="F412" s="1" t="s">
        <v>28</v>
      </c>
      <c r="G412" s="1" t="s">
        <v>2098</v>
      </c>
      <c r="H412" s="1">
        <v>4960</v>
      </c>
      <c r="I412" s="1">
        <v>15</v>
      </c>
      <c r="J412" s="1" t="s">
        <v>2099</v>
      </c>
      <c r="K412" s="1" t="s">
        <v>144</v>
      </c>
      <c r="L412" s="1" t="s">
        <v>578</v>
      </c>
      <c r="M412" s="1" t="s">
        <v>2100</v>
      </c>
      <c r="N412" s="2">
        <v>36892</v>
      </c>
      <c r="O412" s="1"/>
      <c r="P412" s="2">
        <v>39332</v>
      </c>
      <c r="Q412" s="1" t="s">
        <v>34</v>
      </c>
      <c r="R412" s="1"/>
      <c r="S412" s="1" t="s">
        <v>35</v>
      </c>
      <c r="T412" s="1">
        <v>43.203069300000003</v>
      </c>
      <c r="U412" s="1">
        <v>-72.821453000000005</v>
      </c>
      <c r="V412" s="1" t="s">
        <v>605</v>
      </c>
      <c r="W412" s="1"/>
      <c r="X412" s="1" t="s">
        <v>37</v>
      </c>
      <c r="Y412" s="1" t="s">
        <v>579</v>
      </c>
      <c r="Z412" s="1">
        <v>5148</v>
      </c>
    </row>
    <row r="413" spans="1:26" ht="42">
      <c r="A413" s="1" t="str">
        <f>"0008Y3"</f>
        <v>0008Y3</v>
      </c>
      <c r="B413" s="1" t="s">
        <v>2096</v>
      </c>
      <c r="C413" s="1" t="s">
        <v>2097</v>
      </c>
      <c r="D413" s="1" t="str">
        <f>"8028245469"</f>
        <v>8028245469</v>
      </c>
      <c r="E413" s="1">
        <v>3469</v>
      </c>
      <c r="F413" s="1" t="s">
        <v>28</v>
      </c>
      <c r="G413" s="1" t="s">
        <v>2101</v>
      </c>
      <c r="H413" s="1">
        <v>4571</v>
      </c>
      <c r="I413" s="1">
        <v>2</v>
      </c>
      <c r="J413" s="1" t="s">
        <v>2102</v>
      </c>
      <c r="K413" s="1" t="s">
        <v>77</v>
      </c>
      <c r="L413" s="1" t="s">
        <v>2103</v>
      </c>
      <c r="M413" s="1" t="s">
        <v>2104</v>
      </c>
      <c r="N413" s="2">
        <v>36892</v>
      </c>
      <c r="O413" s="1"/>
      <c r="P413" s="2">
        <v>39332</v>
      </c>
      <c r="Q413" s="1" t="s">
        <v>34</v>
      </c>
      <c r="R413" s="1"/>
      <c r="S413" s="1" t="s">
        <v>35</v>
      </c>
      <c r="T413" s="1">
        <v>43.311858999999998</v>
      </c>
      <c r="U413" s="1">
        <v>-72.825858999999895</v>
      </c>
      <c r="V413" s="1" t="s">
        <v>2105</v>
      </c>
      <c r="W413" s="1"/>
      <c r="X413" s="1" t="s">
        <v>37</v>
      </c>
      <c r="Y413" s="1" t="s">
        <v>2106</v>
      </c>
      <c r="Z413" s="1">
        <v>5161</v>
      </c>
    </row>
    <row r="414" spans="1:26" ht="42">
      <c r="A414" s="1" t="str">
        <f>"0008Y7"</f>
        <v>0008Y7</v>
      </c>
      <c r="B414" s="1" t="s">
        <v>2107</v>
      </c>
      <c r="C414" s="1" t="s">
        <v>2108</v>
      </c>
      <c r="D414" s="1" t="str">
        <f>"8024395652"</f>
        <v>8024395652</v>
      </c>
      <c r="E414" s="1">
        <v>3475</v>
      </c>
      <c r="F414" s="1" t="s">
        <v>28</v>
      </c>
      <c r="G414" s="1" t="s">
        <v>2109</v>
      </c>
      <c r="H414" s="1">
        <v>4584</v>
      </c>
      <c r="I414" s="1">
        <v>2</v>
      </c>
      <c r="J414" s="1" t="s">
        <v>2110</v>
      </c>
      <c r="K414" s="1" t="s">
        <v>68</v>
      </c>
      <c r="L414" s="1" t="s">
        <v>2111</v>
      </c>
      <c r="M414" s="1" t="s">
        <v>2112</v>
      </c>
      <c r="N414" s="2">
        <v>36892</v>
      </c>
      <c r="O414" s="1"/>
      <c r="P414" s="2">
        <v>42937</v>
      </c>
      <c r="Q414" s="1" t="s">
        <v>34</v>
      </c>
      <c r="R414" s="1"/>
      <c r="S414" s="1" t="s">
        <v>35</v>
      </c>
      <c r="T414" s="1">
        <v>44.041549000000003</v>
      </c>
      <c r="U414" s="1">
        <v>-72.306591999999995</v>
      </c>
      <c r="V414" s="1" t="s">
        <v>2113</v>
      </c>
      <c r="W414" s="1"/>
      <c r="X414" s="1" t="s">
        <v>37</v>
      </c>
      <c r="Y414" s="1" t="s">
        <v>2114</v>
      </c>
      <c r="Z414" s="1">
        <v>5039</v>
      </c>
    </row>
    <row r="415" spans="1:26" ht="42">
      <c r="A415" s="1" t="str">
        <f>"0008YD"</f>
        <v>0008YD</v>
      </c>
      <c r="B415" s="1" t="s">
        <v>2115</v>
      </c>
      <c r="C415" s="1" t="s">
        <v>2116</v>
      </c>
      <c r="D415" s="1" t="str">
        <f>"8024463582"</f>
        <v>8024463582</v>
      </c>
      <c r="E415" s="1">
        <v>3489</v>
      </c>
      <c r="F415" s="1" t="s">
        <v>28</v>
      </c>
      <c r="G415" s="1" t="s">
        <v>2117</v>
      </c>
      <c r="H415" s="1">
        <v>4596</v>
      </c>
      <c r="I415" s="1">
        <v>3</v>
      </c>
      <c r="J415" s="1" t="s">
        <v>2118</v>
      </c>
      <c r="K415" s="1" t="s">
        <v>135</v>
      </c>
      <c r="L415" s="1" t="s">
        <v>2119</v>
      </c>
      <c r="M415" s="1" t="s">
        <v>2120</v>
      </c>
      <c r="N415" s="2">
        <v>36892</v>
      </c>
      <c r="O415" s="1"/>
      <c r="P415" s="1"/>
      <c r="Q415" s="1" t="s">
        <v>34</v>
      </c>
      <c r="R415" s="1"/>
      <c r="S415" s="1" t="s">
        <v>35</v>
      </c>
      <c r="T415" s="1">
        <v>43.398626</v>
      </c>
      <c r="U415" s="1">
        <v>-72.998901199999906</v>
      </c>
      <c r="V415" s="1" t="s">
        <v>2121</v>
      </c>
      <c r="W415" s="1"/>
      <c r="X415" s="1" t="s">
        <v>37</v>
      </c>
      <c r="Y415" s="1" t="s">
        <v>2122</v>
      </c>
      <c r="Z415" s="1">
        <v>5773</v>
      </c>
    </row>
    <row r="416" spans="1:26" ht="42">
      <c r="A416" s="1" t="str">
        <f>"0008YM"</f>
        <v>0008YM</v>
      </c>
      <c r="B416" s="1" t="s">
        <v>2123</v>
      </c>
      <c r="C416" s="1" t="s">
        <v>2124</v>
      </c>
      <c r="D416" s="1" t="str">
        <f>"8028636626"</f>
        <v>8028636626</v>
      </c>
      <c r="E416" s="1">
        <v>3496</v>
      </c>
      <c r="F416" s="1" t="s">
        <v>28</v>
      </c>
      <c r="G416" s="1" t="s">
        <v>2125</v>
      </c>
      <c r="H416" s="1">
        <v>4604</v>
      </c>
      <c r="I416" s="1">
        <v>0</v>
      </c>
      <c r="J416" s="1" t="s">
        <v>2126</v>
      </c>
      <c r="K416" s="1" t="s">
        <v>43</v>
      </c>
      <c r="L416" s="1" t="s">
        <v>2127</v>
      </c>
      <c r="M416" s="1" t="s">
        <v>2128</v>
      </c>
      <c r="N416" s="2">
        <v>36892</v>
      </c>
      <c r="O416" s="1"/>
      <c r="P416" s="2">
        <v>39275</v>
      </c>
      <c r="Q416" s="1" t="s">
        <v>34</v>
      </c>
      <c r="R416" s="1"/>
      <c r="S416" s="1" t="s">
        <v>35</v>
      </c>
      <c r="T416" s="1">
        <v>44.395919900000003</v>
      </c>
      <c r="U416" s="1">
        <v>-73.139106999999896</v>
      </c>
      <c r="V416" s="1" t="s">
        <v>2129</v>
      </c>
      <c r="W416" s="1"/>
      <c r="X416" s="1" t="s">
        <v>37</v>
      </c>
      <c r="Y416" s="1" t="s">
        <v>2130</v>
      </c>
      <c r="Z416" s="1">
        <v>5495</v>
      </c>
    </row>
    <row r="417" spans="1:26" ht="42">
      <c r="A417" s="1" t="str">
        <f>"0008YN"</f>
        <v>0008YN</v>
      </c>
      <c r="B417" s="1" t="s">
        <v>2131</v>
      </c>
      <c r="C417" s="1" t="s">
        <v>2132</v>
      </c>
      <c r="D417" s="1" t="str">
        <f>"8027852795"</f>
        <v>8027852795</v>
      </c>
      <c r="E417" s="1">
        <v>3497</v>
      </c>
      <c r="F417" s="1" t="s">
        <v>28</v>
      </c>
      <c r="G417" s="1" t="s">
        <v>2133</v>
      </c>
      <c r="H417" s="1">
        <v>4595</v>
      </c>
      <c r="I417" s="1">
        <v>2</v>
      </c>
      <c r="J417" s="1" t="s">
        <v>2134</v>
      </c>
      <c r="K417" s="1" t="s">
        <v>68</v>
      </c>
      <c r="L417" s="1" t="s">
        <v>69</v>
      </c>
      <c r="M417" s="1" t="s">
        <v>2135</v>
      </c>
      <c r="N417" s="2">
        <v>36892</v>
      </c>
      <c r="O417" s="1"/>
      <c r="P417" s="2">
        <v>42958</v>
      </c>
      <c r="Q417" s="1" t="s">
        <v>34</v>
      </c>
      <c r="R417" s="1"/>
      <c r="S417" s="1" t="s">
        <v>35</v>
      </c>
      <c r="T417" s="1">
        <v>43.830598999999999</v>
      </c>
      <c r="U417" s="1">
        <v>-72.259343999999999</v>
      </c>
      <c r="V417" s="1" t="s">
        <v>2136</v>
      </c>
      <c r="W417" s="1"/>
      <c r="X417" s="1" t="s">
        <v>37</v>
      </c>
      <c r="Y417" s="1" t="s">
        <v>502</v>
      </c>
      <c r="Z417" s="1">
        <v>5075</v>
      </c>
    </row>
    <row r="418" spans="1:26" ht="42">
      <c r="A418" s="1" t="str">
        <f>"0008Z2"</f>
        <v>0008Z2</v>
      </c>
      <c r="B418" s="1" t="s">
        <v>2137</v>
      </c>
      <c r="C418" s="1" t="s">
        <v>2138</v>
      </c>
      <c r="D418" s="1" t="str">
        <f>"8028994983"</f>
        <v>8028994983</v>
      </c>
      <c r="E418" s="1">
        <v>3516</v>
      </c>
      <c r="F418" s="1" t="s">
        <v>28</v>
      </c>
      <c r="G418" s="1" t="s">
        <v>2139</v>
      </c>
      <c r="H418" s="1">
        <v>4623</v>
      </c>
      <c r="I418" s="1">
        <v>2</v>
      </c>
      <c r="J418" s="1" t="s">
        <v>2140</v>
      </c>
      <c r="K418" s="1" t="s">
        <v>43</v>
      </c>
      <c r="L418" s="1" t="s">
        <v>112</v>
      </c>
      <c r="M418" s="1" t="s">
        <v>2141</v>
      </c>
      <c r="N418" s="2">
        <v>36892</v>
      </c>
      <c r="O418" s="1"/>
      <c r="P418" s="2">
        <v>42606</v>
      </c>
      <c r="Q418" s="1" t="s">
        <v>34</v>
      </c>
      <c r="R418" s="1"/>
      <c r="S418" s="1" t="s">
        <v>35</v>
      </c>
      <c r="T418" s="1">
        <v>44.564374999999998</v>
      </c>
      <c r="U418" s="1">
        <v>-72.944493999999906</v>
      </c>
      <c r="V418" s="1" t="s">
        <v>2142</v>
      </c>
      <c r="W418" s="1"/>
      <c r="X418" s="1" t="s">
        <v>37</v>
      </c>
      <c r="Y418" s="1" t="s">
        <v>115</v>
      </c>
      <c r="Z418" s="1">
        <v>5489</v>
      </c>
    </row>
    <row r="419" spans="1:26" ht="42">
      <c r="A419" s="1" t="str">
        <f>"0008Z4"</f>
        <v>0008Z4</v>
      </c>
      <c r="B419" s="1" t="s">
        <v>2143</v>
      </c>
      <c r="C419" s="1" t="s">
        <v>2144</v>
      </c>
      <c r="D419" s="1" t="str">
        <f>"8607450487"</f>
        <v>8607450487</v>
      </c>
      <c r="E419" s="1">
        <v>4040</v>
      </c>
      <c r="F419" s="1" t="s">
        <v>28</v>
      </c>
      <c r="G419" s="1" t="s">
        <v>2145</v>
      </c>
      <c r="H419" s="1">
        <v>5363</v>
      </c>
      <c r="I419" s="1">
        <v>2</v>
      </c>
      <c r="J419" s="1" t="s">
        <v>2146</v>
      </c>
      <c r="K419" s="1" t="s">
        <v>31</v>
      </c>
      <c r="L419" s="1" t="s">
        <v>2147</v>
      </c>
      <c r="M419" s="1" t="s">
        <v>2148</v>
      </c>
      <c r="N419" s="2">
        <v>36892</v>
      </c>
      <c r="O419" s="1"/>
      <c r="P419" s="1"/>
      <c r="Q419" s="1" t="s">
        <v>34</v>
      </c>
      <c r="R419" s="1"/>
      <c r="S419" s="1" t="s">
        <v>35</v>
      </c>
      <c r="T419" s="1">
        <v>44.392412</v>
      </c>
      <c r="U419" s="1">
        <v>-72.360209999999995</v>
      </c>
      <c r="V419" s="1" t="s">
        <v>2149</v>
      </c>
      <c r="W419" s="1"/>
      <c r="X419" s="1" t="s">
        <v>37</v>
      </c>
      <c r="Y419" s="1" t="s">
        <v>2150</v>
      </c>
      <c r="Z419" s="1">
        <v>5000</v>
      </c>
    </row>
    <row r="420" spans="1:26" ht="28">
      <c r="A420" s="1" t="str">
        <f>"0008ZC"</f>
        <v>0008ZC</v>
      </c>
      <c r="B420" s="1" t="s">
        <v>2151</v>
      </c>
      <c r="C420" s="1" t="s">
        <v>2152</v>
      </c>
      <c r="D420" s="1"/>
      <c r="E420" s="1">
        <v>3536</v>
      </c>
      <c r="F420" s="1" t="s">
        <v>28</v>
      </c>
      <c r="G420" s="1" t="s">
        <v>2153</v>
      </c>
      <c r="H420" s="1">
        <v>4655</v>
      </c>
      <c r="I420" s="1">
        <v>6</v>
      </c>
      <c r="J420" s="1" t="s">
        <v>2154</v>
      </c>
      <c r="K420" s="1" t="s">
        <v>152</v>
      </c>
      <c r="L420" s="1" t="s">
        <v>1143</v>
      </c>
      <c r="M420" s="1" t="s">
        <v>2155</v>
      </c>
      <c r="N420" s="2">
        <v>36892</v>
      </c>
      <c r="O420" s="1"/>
      <c r="P420" s="2">
        <v>40683</v>
      </c>
      <c r="Q420" s="1" t="s">
        <v>34</v>
      </c>
      <c r="R420" s="1"/>
      <c r="S420" s="1" t="s">
        <v>35</v>
      </c>
      <c r="T420" s="1">
        <v>44.7885931950536</v>
      </c>
      <c r="U420" s="1">
        <v>-73.135551810264502</v>
      </c>
      <c r="V420" s="1" t="s">
        <v>2156</v>
      </c>
      <c r="W420" s="1"/>
      <c r="X420" s="1" t="s">
        <v>37</v>
      </c>
      <c r="Y420" s="1" t="s">
        <v>1200</v>
      </c>
      <c r="Z420" s="1">
        <v>5478</v>
      </c>
    </row>
    <row r="421" spans="1:26" ht="28">
      <c r="A421" s="1" t="str">
        <f>"0008ZC"</f>
        <v>0008ZC</v>
      </c>
      <c r="B421" s="1" t="s">
        <v>2151</v>
      </c>
      <c r="C421" s="1" t="s">
        <v>2152</v>
      </c>
      <c r="D421" s="1"/>
      <c r="E421" s="1">
        <v>3536</v>
      </c>
      <c r="F421" s="1" t="s">
        <v>28</v>
      </c>
      <c r="G421" s="1" t="s">
        <v>2157</v>
      </c>
      <c r="H421" s="1">
        <v>4709</v>
      </c>
      <c r="I421" s="1">
        <v>0</v>
      </c>
      <c r="J421" s="1" t="s">
        <v>2158</v>
      </c>
      <c r="K421" s="1" t="s">
        <v>152</v>
      </c>
      <c r="L421" s="1" t="s">
        <v>1137</v>
      </c>
      <c r="M421" s="1"/>
      <c r="N421" s="2">
        <v>36892</v>
      </c>
      <c r="O421" s="2">
        <v>42155</v>
      </c>
      <c r="P421" s="2">
        <v>40302</v>
      </c>
      <c r="Q421" s="1" t="s">
        <v>34</v>
      </c>
      <c r="R421" s="1"/>
      <c r="S421" s="1" t="s">
        <v>35</v>
      </c>
      <c r="T421" s="1">
        <v>44.918098200000003</v>
      </c>
      <c r="U421" s="1">
        <v>-73.1242977</v>
      </c>
      <c r="V421" s="1" t="s">
        <v>159</v>
      </c>
      <c r="W421" s="1"/>
      <c r="X421" s="1" t="s">
        <v>37</v>
      </c>
      <c r="Y421" s="1" t="s">
        <v>1140</v>
      </c>
      <c r="Z421" s="1">
        <v>5488</v>
      </c>
    </row>
    <row r="422" spans="1:26" ht="42">
      <c r="A422" s="1" t="str">
        <f>"0008ZF"</f>
        <v>0008ZF</v>
      </c>
      <c r="B422" s="1" t="s">
        <v>2159</v>
      </c>
      <c r="C422" s="1" t="s">
        <v>2160</v>
      </c>
      <c r="D422" s="1" t="str">
        <f>"8024533418"</f>
        <v>8024533418</v>
      </c>
      <c r="E422" s="1">
        <v>3538</v>
      </c>
      <c r="F422" s="1" t="s">
        <v>28</v>
      </c>
      <c r="G422" s="1" t="s">
        <v>2161</v>
      </c>
      <c r="H422" s="1">
        <v>4659</v>
      </c>
      <c r="I422" s="1">
        <v>5</v>
      </c>
      <c r="J422" s="1" t="s">
        <v>2162</v>
      </c>
      <c r="K422" s="1" t="s">
        <v>333</v>
      </c>
      <c r="L422" s="1" t="s">
        <v>876</v>
      </c>
      <c r="M422" s="1" t="s">
        <v>2163</v>
      </c>
      <c r="N422" s="2">
        <v>36892</v>
      </c>
      <c r="O422" s="1"/>
      <c r="P422" s="2">
        <v>38161</v>
      </c>
      <c r="Q422" s="1" t="s">
        <v>34</v>
      </c>
      <c r="R422" s="1"/>
      <c r="S422" s="1" t="s">
        <v>35</v>
      </c>
      <c r="T422" s="1">
        <v>44.108926099999998</v>
      </c>
      <c r="U422" s="1">
        <v>-73.076436399999906</v>
      </c>
      <c r="V422" s="1" t="s">
        <v>2164</v>
      </c>
      <c r="W422" s="1"/>
      <c r="X422" s="1" t="s">
        <v>37</v>
      </c>
      <c r="Y422" s="1" t="s">
        <v>879</v>
      </c>
      <c r="Z422" s="1">
        <v>5443</v>
      </c>
    </row>
    <row r="423" spans="1:26" ht="42">
      <c r="A423" s="1" t="str">
        <f>"0008ZN"</f>
        <v>0008ZN</v>
      </c>
      <c r="B423" s="1" t="s">
        <v>2165</v>
      </c>
      <c r="C423" s="1" t="s">
        <v>2166</v>
      </c>
      <c r="D423" s="1" t="str">
        <f>"8023659829"</f>
        <v>8023659829</v>
      </c>
      <c r="E423" s="1">
        <v>3544</v>
      </c>
      <c r="F423" s="1" t="s">
        <v>28</v>
      </c>
      <c r="G423" s="1" t="s">
        <v>2167</v>
      </c>
      <c r="H423" s="1"/>
      <c r="I423" s="1">
        <v>14</v>
      </c>
      <c r="J423" s="1" t="s">
        <v>2168</v>
      </c>
      <c r="K423" s="1" t="s">
        <v>144</v>
      </c>
      <c r="L423" s="1" t="s">
        <v>2169</v>
      </c>
      <c r="M423" s="1" t="s">
        <v>2170</v>
      </c>
      <c r="N423" s="2">
        <v>42100</v>
      </c>
      <c r="O423" s="1"/>
      <c r="P423" s="1"/>
      <c r="Q423" s="1" t="s">
        <v>34</v>
      </c>
      <c r="R423" s="1"/>
      <c r="S423" s="1" t="s">
        <v>35</v>
      </c>
      <c r="T423" s="1">
        <v>42.996451999999998</v>
      </c>
      <c r="U423" s="1">
        <v>-72.637908899999999</v>
      </c>
      <c r="V423" s="1" t="s">
        <v>2171</v>
      </c>
      <c r="W423" s="1"/>
      <c r="X423" s="1" t="s">
        <v>37</v>
      </c>
      <c r="Y423" s="1" t="s">
        <v>2172</v>
      </c>
      <c r="Z423" s="1">
        <v>5345</v>
      </c>
    </row>
    <row r="424" spans="1:26" ht="42">
      <c r="A424" s="1" t="str">
        <f>"0008ZN"</f>
        <v>0008ZN</v>
      </c>
      <c r="B424" s="1" t="s">
        <v>2165</v>
      </c>
      <c r="C424" s="1" t="s">
        <v>2166</v>
      </c>
      <c r="D424" s="1" t="str">
        <f>"8023659829"</f>
        <v>8023659829</v>
      </c>
      <c r="E424" s="1">
        <v>3544</v>
      </c>
      <c r="F424" s="1" t="s">
        <v>28</v>
      </c>
      <c r="G424" s="1" t="s">
        <v>2173</v>
      </c>
      <c r="H424" s="1"/>
      <c r="I424" s="1">
        <v>25</v>
      </c>
      <c r="J424" s="1" t="s">
        <v>2174</v>
      </c>
      <c r="K424" s="1" t="s">
        <v>144</v>
      </c>
      <c r="L424" s="1" t="s">
        <v>586</v>
      </c>
      <c r="M424" s="1" t="s">
        <v>2175</v>
      </c>
      <c r="N424" s="2">
        <v>42914</v>
      </c>
      <c r="O424" s="1"/>
      <c r="P424" s="1"/>
      <c r="Q424" s="1" t="s">
        <v>34</v>
      </c>
      <c r="R424" s="1"/>
      <c r="S424" s="1" t="s">
        <v>35</v>
      </c>
      <c r="T424" s="1">
        <v>43.075985000000003</v>
      </c>
      <c r="U424" s="1">
        <v>-72.738418899999999</v>
      </c>
      <c r="V424" s="1" t="s">
        <v>2176</v>
      </c>
      <c r="W424" s="1"/>
      <c r="X424" s="1" t="s">
        <v>37</v>
      </c>
      <c r="Y424" s="1" t="s">
        <v>587</v>
      </c>
      <c r="Z424" s="1">
        <v>5343</v>
      </c>
    </row>
    <row r="425" spans="1:26" ht="42">
      <c r="A425" s="1" t="str">
        <f>"00090B"</f>
        <v>00090B</v>
      </c>
      <c r="B425" s="1" t="s">
        <v>2177</v>
      </c>
      <c r="C425" s="1" t="s">
        <v>2178</v>
      </c>
      <c r="D425" s="1" t="str">
        <f>"8022799722"</f>
        <v>8022799722</v>
      </c>
      <c r="E425" s="1">
        <v>3566</v>
      </c>
      <c r="F425" s="1" t="s">
        <v>28</v>
      </c>
      <c r="G425" s="1" t="s">
        <v>2179</v>
      </c>
      <c r="H425" s="1">
        <v>4693</v>
      </c>
      <c r="I425" s="1">
        <v>2</v>
      </c>
      <c r="J425" s="1" t="s">
        <v>2180</v>
      </c>
      <c r="K425" s="1" t="s">
        <v>31</v>
      </c>
      <c r="L425" s="1" t="s">
        <v>1293</v>
      </c>
      <c r="M425" s="1" t="s">
        <v>2181</v>
      </c>
      <c r="N425" s="2">
        <v>36892</v>
      </c>
      <c r="O425" s="1"/>
      <c r="P425" s="1"/>
      <c r="Q425" s="1" t="s">
        <v>34</v>
      </c>
      <c r="R425" s="1"/>
      <c r="S425" s="1" t="s">
        <v>35</v>
      </c>
      <c r="T425" s="1">
        <v>44.344971100000002</v>
      </c>
      <c r="U425" s="1">
        <v>-72.5886383</v>
      </c>
      <c r="V425" s="1" t="s">
        <v>2182</v>
      </c>
      <c r="W425" s="1"/>
      <c r="X425" s="1" t="s">
        <v>37</v>
      </c>
      <c r="Y425" s="1" t="s">
        <v>2183</v>
      </c>
      <c r="Z425" s="1">
        <v>5682</v>
      </c>
    </row>
    <row r="426" spans="1:26" ht="42">
      <c r="A426" s="1" t="str">
        <f>"00090F"</f>
        <v>00090F</v>
      </c>
      <c r="B426" s="1" t="s">
        <v>2184</v>
      </c>
      <c r="C426" s="1" t="s">
        <v>2185</v>
      </c>
      <c r="D426" s="1" t="str">
        <f>"8024532792"</f>
        <v>8024532792</v>
      </c>
      <c r="E426" s="1">
        <v>3569</v>
      </c>
      <c r="F426" s="1" t="s">
        <v>28</v>
      </c>
      <c r="G426" s="1" t="s">
        <v>2186</v>
      </c>
      <c r="H426" s="1">
        <v>4696</v>
      </c>
      <c r="I426" s="1">
        <v>6</v>
      </c>
      <c r="J426" s="1" t="s">
        <v>2187</v>
      </c>
      <c r="K426" s="1" t="s">
        <v>333</v>
      </c>
      <c r="L426" s="1" t="s">
        <v>2188</v>
      </c>
      <c r="M426" s="1" t="s">
        <v>2189</v>
      </c>
      <c r="N426" s="2">
        <v>36892</v>
      </c>
      <c r="O426" s="1"/>
      <c r="P426" s="2">
        <v>38960</v>
      </c>
      <c r="Q426" s="1" t="s">
        <v>34</v>
      </c>
      <c r="R426" s="1"/>
      <c r="S426" s="1" t="s">
        <v>35</v>
      </c>
      <c r="T426" s="1">
        <v>44.168807999999999</v>
      </c>
      <c r="U426" s="1">
        <v>-73.011650000000003</v>
      </c>
      <c r="V426" s="1" t="s">
        <v>2190</v>
      </c>
      <c r="W426" s="1"/>
      <c r="X426" s="1" t="s">
        <v>37</v>
      </c>
      <c r="Y426" s="1" t="s">
        <v>879</v>
      </c>
      <c r="Z426" s="1">
        <v>5443</v>
      </c>
    </row>
    <row r="427" spans="1:26" ht="42">
      <c r="A427" s="1" t="str">
        <f>"000918"</f>
        <v>000918</v>
      </c>
      <c r="B427" s="1" t="s">
        <v>2191</v>
      </c>
      <c r="C427" s="1" t="s">
        <v>2192</v>
      </c>
      <c r="D427" s="1" t="str">
        <f>"8023430442"</f>
        <v>8023430442</v>
      </c>
      <c r="E427" s="1">
        <v>3645</v>
      </c>
      <c r="F427" s="1" t="s">
        <v>28</v>
      </c>
      <c r="G427" s="1" t="s">
        <v>2193</v>
      </c>
      <c r="H427" s="1">
        <v>4820</v>
      </c>
      <c r="I427" s="1">
        <v>2</v>
      </c>
      <c r="J427" s="1" t="s">
        <v>2194</v>
      </c>
      <c r="K427" s="1" t="s">
        <v>43</v>
      </c>
      <c r="L427" s="1" t="s">
        <v>778</v>
      </c>
      <c r="M427" s="1" t="s">
        <v>2195</v>
      </c>
      <c r="N427" s="2">
        <v>36892</v>
      </c>
      <c r="O427" s="1"/>
      <c r="P427" s="2">
        <v>41389</v>
      </c>
      <c r="Q427" s="1" t="s">
        <v>34</v>
      </c>
      <c r="R427" s="1"/>
      <c r="S427" s="1" t="s">
        <v>35</v>
      </c>
      <c r="T427" s="1"/>
      <c r="U427" s="1"/>
      <c r="V427" s="1" t="s">
        <v>2196</v>
      </c>
      <c r="W427" s="1"/>
      <c r="X427" s="1" t="s">
        <v>37</v>
      </c>
      <c r="Y427" s="1" t="s">
        <v>781</v>
      </c>
      <c r="Z427" s="1">
        <v>5446</v>
      </c>
    </row>
    <row r="428" spans="1:26" ht="42">
      <c r="A428" s="1" t="str">
        <f>"00091B"</f>
        <v>00091B</v>
      </c>
      <c r="B428" s="1" t="s">
        <v>2197</v>
      </c>
      <c r="C428" s="1" t="s">
        <v>2198</v>
      </c>
      <c r="D428" s="1" t="str">
        <f>"8024541239"</f>
        <v>8024541239</v>
      </c>
      <c r="E428" s="1">
        <v>3655</v>
      </c>
      <c r="F428" s="1" t="s">
        <v>28</v>
      </c>
      <c r="G428" s="1" t="s">
        <v>2199</v>
      </c>
      <c r="H428" s="1">
        <v>4840</v>
      </c>
      <c r="I428" s="1">
        <v>1</v>
      </c>
      <c r="J428" s="1" t="s">
        <v>2200</v>
      </c>
      <c r="K428" s="1" t="s">
        <v>31</v>
      </c>
      <c r="L428" s="1" t="s">
        <v>884</v>
      </c>
      <c r="M428" s="1" t="s">
        <v>2201</v>
      </c>
      <c r="N428" s="2">
        <v>36892</v>
      </c>
      <c r="O428" s="1"/>
      <c r="P428" s="2">
        <v>42144</v>
      </c>
      <c r="Q428" s="1" t="s">
        <v>34</v>
      </c>
      <c r="R428" s="1"/>
      <c r="S428" s="1" t="s">
        <v>35</v>
      </c>
      <c r="T428" s="1">
        <v>44.233086</v>
      </c>
      <c r="U428" s="1">
        <v>-72.407294999999905</v>
      </c>
      <c r="V428" s="1" t="s">
        <v>2202</v>
      </c>
      <c r="W428" s="1"/>
      <c r="X428" s="1" t="s">
        <v>37</v>
      </c>
      <c r="Y428" s="1" t="s">
        <v>887</v>
      </c>
      <c r="Z428" s="1">
        <v>5667</v>
      </c>
    </row>
    <row r="429" spans="1:26" ht="42">
      <c r="A429" s="1" t="str">
        <f>"00091P"</f>
        <v>00091P</v>
      </c>
      <c r="B429" s="1" t="s">
        <v>2203</v>
      </c>
      <c r="C429" s="1" t="s">
        <v>2204</v>
      </c>
      <c r="D429" s="1" t="str">
        <f>"8027654060"</f>
        <v>8027654060</v>
      </c>
      <c r="E429" s="1">
        <v>3742</v>
      </c>
      <c r="F429" s="1" t="s">
        <v>28</v>
      </c>
      <c r="G429" s="1" t="s">
        <v>2205</v>
      </c>
      <c r="H429" s="1">
        <v>4964</v>
      </c>
      <c r="I429" s="1">
        <v>1</v>
      </c>
      <c r="J429" s="1" t="s">
        <v>2206</v>
      </c>
      <c r="K429" s="1" t="s">
        <v>68</v>
      </c>
      <c r="L429" s="1" t="s">
        <v>634</v>
      </c>
      <c r="M429" s="1" t="s">
        <v>2207</v>
      </c>
      <c r="N429" s="2">
        <v>36892</v>
      </c>
      <c r="O429" s="1"/>
      <c r="P429" s="2">
        <v>38922</v>
      </c>
      <c r="Q429" s="1" t="s">
        <v>34</v>
      </c>
      <c r="R429" s="1"/>
      <c r="S429" s="1" t="s">
        <v>35</v>
      </c>
      <c r="T429" s="1">
        <v>43.8237776</v>
      </c>
      <c r="U429" s="1">
        <v>-72.333352599999998</v>
      </c>
      <c r="V429" s="1" t="s">
        <v>2208</v>
      </c>
      <c r="W429" s="1"/>
      <c r="X429" s="1" t="s">
        <v>37</v>
      </c>
      <c r="Y429" s="1" t="s">
        <v>636</v>
      </c>
      <c r="Z429" s="1">
        <v>5070</v>
      </c>
    </row>
    <row r="430" spans="1:26" ht="42">
      <c r="A430" s="1" t="str">
        <f>"00092C"</f>
        <v>00092C</v>
      </c>
      <c r="B430" s="1" t="s">
        <v>2209</v>
      </c>
      <c r="C430" s="1" t="s">
        <v>2210</v>
      </c>
      <c r="D430" s="1" t="str">
        <f>"8028606035"</f>
        <v>8028606035</v>
      </c>
      <c r="E430" s="1">
        <v>3767</v>
      </c>
      <c r="F430" s="1" t="s">
        <v>28</v>
      </c>
      <c r="G430" s="1" t="s">
        <v>2211</v>
      </c>
      <c r="H430" s="1">
        <v>4996</v>
      </c>
      <c r="I430" s="1">
        <v>3</v>
      </c>
      <c r="J430" s="1">
        <v>1</v>
      </c>
      <c r="K430" s="1" t="s">
        <v>43</v>
      </c>
      <c r="L430" s="1" t="s">
        <v>44</v>
      </c>
      <c r="M430" s="1" t="s">
        <v>2212</v>
      </c>
      <c r="N430" s="2">
        <v>36892</v>
      </c>
      <c r="O430" s="1"/>
      <c r="P430" s="2">
        <v>42571</v>
      </c>
      <c r="Q430" s="1" t="s">
        <v>34</v>
      </c>
      <c r="R430" s="1"/>
      <c r="S430" s="1" t="s">
        <v>35</v>
      </c>
      <c r="T430" s="1">
        <v>44.495421</v>
      </c>
      <c r="U430" s="1">
        <v>-73.237592000000006</v>
      </c>
      <c r="V430" s="1" t="s">
        <v>2213</v>
      </c>
      <c r="W430" s="1"/>
      <c r="X430" s="1" t="s">
        <v>37</v>
      </c>
      <c r="Y430" s="1" t="s">
        <v>46</v>
      </c>
      <c r="Z430" s="1">
        <v>5401</v>
      </c>
    </row>
    <row r="431" spans="1:26" ht="42">
      <c r="A431" s="1" t="str">
        <f>"00092G"</f>
        <v>00092G</v>
      </c>
      <c r="B431" s="1" t="s">
        <v>2214</v>
      </c>
      <c r="C431" s="1" t="s">
        <v>2215</v>
      </c>
      <c r="D431" s="1" t="str">
        <f>"8029853918"</f>
        <v>8029853918</v>
      </c>
      <c r="E431" s="1">
        <v>3775</v>
      </c>
      <c r="F431" s="1" t="s">
        <v>28</v>
      </c>
      <c r="G431" s="1" t="s">
        <v>2216</v>
      </c>
      <c r="H431" s="1">
        <v>5016</v>
      </c>
      <c r="I431" s="1">
        <v>2</v>
      </c>
      <c r="J431" s="1" t="s">
        <v>2217</v>
      </c>
      <c r="K431" s="1" t="s">
        <v>43</v>
      </c>
      <c r="L431" s="1" t="s">
        <v>723</v>
      </c>
      <c r="M431" s="1" t="s">
        <v>2218</v>
      </c>
      <c r="N431" s="2">
        <v>36892</v>
      </c>
      <c r="O431" s="1"/>
      <c r="P431" s="1"/>
      <c r="Q431" s="1" t="s">
        <v>34</v>
      </c>
      <c r="R431" s="1"/>
      <c r="S431" s="1" t="s">
        <v>35</v>
      </c>
      <c r="T431" s="1">
        <v>44.366343999999998</v>
      </c>
      <c r="U431" s="1">
        <v>-73.217518999999896</v>
      </c>
      <c r="V431" s="1" t="s">
        <v>2219</v>
      </c>
      <c r="W431" s="1"/>
      <c r="X431" s="1" t="s">
        <v>37</v>
      </c>
      <c r="Y431" s="1" t="s">
        <v>725</v>
      </c>
      <c r="Z431" s="1">
        <v>5482</v>
      </c>
    </row>
    <row r="432" spans="1:26" ht="42">
      <c r="A432" s="1" t="str">
        <f>"00092M"</f>
        <v>00092M</v>
      </c>
      <c r="B432" s="1" t="s">
        <v>2220</v>
      </c>
      <c r="C432" s="1" t="s">
        <v>2221</v>
      </c>
      <c r="D432" s="1" t="str">
        <f>"8029220714"</f>
        <v>8029220714</v>
      </c>
      <c r="E432" s="1">
        <v>3779</v>
      </c>
      <c r="F432" s="1" t="s">
        <v>28</v>
      </c>
      <c r="G432" s="1" t="s">
        <v>2222</v>
      </c>
      <c r="H432" s="1"/>
      <c r="I432" s="1">
        <v>4</v>
      </c>
      <c r="J432" s="1" t="s">
        <v>2223</v>
      </c>
      <c r="K432" s="1" t="s">
        <v>43</v>
      </c>
      <c r="L432" s="1" t="s">
        <v>348</v>
      </c>
      <c r="M432" s="1" t="s">
        <v>2224</v>
      </c>
      <c r="N432" s="2">
        <v>41050</v>
      </c>
      <c r="O432" s="1"/>
      <c r="P432" s="2">
        <v>42556</v>
      </c>
      <c r="Q432" s="1" t="s">
        <v>34</v>
      </c>
      <c r="R432" s="1"/>
      <c r="S432" s="1" t="s">
        <v>35</v>
      </c>
      <c r="T432" s="1"/>
      <c r="U432" s="1"/>
      <c r="V432" s="1" t="s">
        <v>2225</v>
      </c>
      <c r="W432" s="1"/>
      <c r="X432" s="1" t="s">
        <v>37</v>
      </c>
      <c r="Y432" s="1" t="s">
        <v>351</v>
      </c>
      <c r="Z432" s="1">
        <v>0</v>
      </c>
    </row>
    <row r="433" spans="1:26" ht="42">
      <c r="A433" s="1" t="str">
        <f>"00092M"</f>
        <v>00092M</v>
      </c>
      <c r="B433" s="1" t="s">
        <v>2220</v>
      </c>
      <c r="C433" s="1" t="s">
        <v>2221</v>
      </c>
      <c r="D433" s="1" t="str">
        <f>"8029220714"</f>
        <v>8029220714</v>
      </c>
      <c r="E433" s="1">
        <v>3779</v>
      </c>
      <c r="F433" s="1" t="s">
        <v>28</v>
      </c>
      <c r="G433" s="1" t="s">
        <v>2226</v>
      </c>
      <c r="H433" s="1"/>
      <c r="I433" s="1">
        <v>4</v>
      </c>
      <c r="J433" s="1" t="s">
        <v>2227</v>
      </c>
      <c r="K433" s="1" t="s">
        <v>43</v>
      </c>
      <c r="L433" s="1" t="s">
        <v>728</v>
      </c>
      <c r="M433" s="1" t="s">
        <v>2228</v>
      </c>
      <c r="N433" s="2">
        <v>41050</v>
      </c>
      <c r="O433" s="1"/>
      <c r="P433" s="1"/>
      <c r="Q433" s="1" t="s">
        <v>34</v>
      </c>
      <c r="R433" s="1"/>
      <c r="S433" s="1" t="s">
        <v>35</v>
      </c>
      <c r="T433" s="1"/>
      <c r="U433" s="1"/>
      <c r="V433" s="1" t="s">
        <v>2229</v>
      </c>
      <c r="W433" s="1"/>
      <c r="X433" s="1" t="s">
        <v>37</v>
      </c>
      <c r="Y433" s="1" t="s">
        <v>736</v>
      </c>
      <c r="Z433" s="1">
        <v>0</v>
      </c>
    </row>
    <row r="434" spans="1:26" ht="42">
      <c r="A434" s="1" t="str">
        <f>"00092M"</f>
        <v>00092M</v>
      </c>
      <c r="B434" s="1" t="s">
        <v>2220</v>
      </c>
      <c r="C434" s="1" t="s">
        <v>2221</v>
      </c>
      <c r="D434" s="1" t="str">
        <f>"8029220714"</f>
        <v>8029220714</v>
      </c>
      <c r="E434" s="1">
        <v>3779</v>
      </c>
      <c r="F434" s="1" t="s">
        <v>28</v>
      </c>
      <c r="G434" s="1" t="s">
        <v>2230</v>
      </c>
      <c r="H434" s="1"/>
      <c r="I434" s="1">
        <v>3</v>
      </c>
      <c r="J434" s="1" t="s">
        <v>2231</v>
      </c>
      <c r="K434" s="1" t="s">
        <v>43</v>
      </c>
      <c r="L434" s="1" t="s">
        <v>728</v>
      </c>
      <c r="M434" s="1" t="s">
        <v>2232</v>
      </c>
      <c r="N434" s="2">
        <v>42165</v>
      </c>
      <c r="O434" s="1"/>
      <c r="P434" s="1"/>
      <c r="Q434" s="1" t="s">
        <v>34</v>
      </c>
      <c r="R434" s="1"/>
      <c r="S434" s="1" t="s">
        <v>35</v>
      </c>
      <c r="T434" s="1">
        <v>44.292058699999998</v>
      </c>
      <c r="U434" s="1">
        <v>-73.238101799999896</v>
      </c>
      <c r="V434" s="1" t="s">
        <v>2233</v>
      </c>
      <c r="W434" s="1"/>
      <c r="X434" s="1" t="s">
        <v>37</v>
      </c>
      <c r="Y434" s="1" t="s">
        <v>736</v>
      </c>
      <c r="Z434" s="1">
        <v>5445</v>
      </c>
    </row>
    <row r="435" spans="1:26" ht="42">
      <c r="A435" s="1" t="str">
        <f>"00092M"</f>
        <v>00092M</v>
      </c>
      <c r="B435" s="1" t="s">
        <v>2220</v>
      </c>
      <c r="C435" s="1" t="s">
        <v>2221</v>
      </c>
      <c r="D435" s="1" t="str">
        <f>"8029220714"</f>
        <v>8029220714</v>
      </c>
      <c r="E435" s="1">
        <v>3779</v>
      </c>
      <c r="F435" s="1" t="s">
        <v>28</v>
      </c>
      <c r="G435" s="1" t="s">
        <v>2234</v>
      </c>
      <c r="H435" s="1"/>
      <c r="I435" s="1">
        <v>4</v>
      </c>
      <c r="J435" s="1" t="s">
        <v>2235</v>
      </c>
      <c r="K435" s="1" t="s">
        <v>43</v>
      </c>
      <c r="L435" s="1" t="s">
        <v>723</v>
      </c>
      <c r="M435" s="1" t="s">
        <v>2236</v>
      </c>
      <c r="N435" s="2">
        <v>42165</v>
      </c>
      <c r="O435" s="1"/>
      <c r="P435" s="1"/>
      <c r="Q435" s="1" t="s">
        <v>34</v>
      </c>
      <c r="R435" s="1"/>
      <c r="S435" s="1" t="s">
        <v>35</v>
      </c>
      <c r="T435" s="1">
        <v>44.393768000000001</v>
      </c>
      <c r="U435" s="1">
        <v>-73.175231999999994</v>
      </c>
      <c r="V435" s="1" t="s">
        <v>2237</v>
      </c>
      <c r="W435" s="1"/>
      <c r="X435" s="1" t="s">
        <v>37</v>
      </c>
      <c r="Y435" s="1" t="s">
        <v>725</v>
      </c>
      <c r="Z435" s="1">
        <v>5482</v>
      </c>
    </row>
    <row r="436" spans="1:26" ht="42">
      <c r="A436" s="1" t="str">
        <f>"00092M"</f>
        <v>00092M</v>
      </c>
      <c r="B436" s="1" t="s">
        <v>2220</v>
      </c>
      <c r="C436" s="1" t="s">
        <v>2221</v>
      </c>
      <c r="D436" s="1" t="str">
        <f>"8029220714"</f>
        <v>8029220714</v>
      </c>
      <c r="E436" s="1">
        <v>3779</v>
      </c>
      <c r="F436" s="1" t="s">
        <v>28</v>
      </c>
      <c r="G436" s="1" t="s">
        <v>2238</v>
      </c>
      <c r="H436" s="1"/>
      <c r="I436" s="1">
        <v>0</v>
      </c>
      <c r="J436" s="1" t="s">
        <v>2239</v>
      </c>
      <c r="K436" s="1" t="s">
        <v>43</v>
      </c>
      <c r="L436" s="1" t="s">
        <v>44</v>
      </c>
      <c r="M436" s="1" t="s">
        <v>2240</v>
      </c>
      <c r="N436" s="2">
        <v>42165</v>
      </c>
      <c r="O436" s="1"/>
      <c r="P436" s="1"/>
      <c r="Q436" s="1" t="s">
        <v>34</v>
      </c>
      <c r="R436" s="1"/>
      <c r="S436" s="1" t="s">
        <v>35</v>
      </c>
      <c r="T436" s="1">
        <v>44.487513999999997</v>
      </c>
      <c r="U436" s="1">
        <v>-73.222746000000001</v>
      </c>
      <c r="V436" s="1" t="s">
        <v>2241</v>
      </c>
      <c r="W436" s="1"/>
      <c r="X436" s="1" t="s">
        <v>37</v>
      </c>
      <c r="Y436" s="1" t="s">
        <v>46</v>
      </c>
      <c r="Z436" s="1">
        <v>5401</v>
      </c>
    </row>
    <row r="437" spans="1:26" ht="42">
      <c r="A437" s="1" t="str">
        <f>"00092Q"</f>
        <v>00092Q</v>
      </c>
      <c r="B437" s="1" t="s">
        <v>2242</v>
      </c>
      <c r="C437" s="1" t="s">
        <v>2243</v>
      </c>
      <c r="D437" s="1" t="str">
        <f>"9732393434"</f>
        <v>9732393434</v>
      </c>
      <c r="E437" s="1">
        <v>3782</v>
      </c>
      <c r="F437" s="1" t="s">
        <v>28</v>
      </c>
      <c r="G437" s="1" t="s">
        <v>2244</v>
      </c>
      <c r="H437" s="1">
        <v>5024</v>
      </c>
      <c r="I437" s="1">
        <v>6</v>
      </c>
      <c r="J437" s="1" t="s">
        <v>2245</v>
      </c>
      <c r="K437" s="1" t="s">
        <v>333</v>
      </c>
      <c r="L437" s="1" t="s">
        <v>923</v>
      </c>
      <c r="M437" s="1" t="s">
        <v>2246</v>
      </c>
      <c r="N437" s="2">
        <v>36892</v>
      </c>
      <c r="O437" s="1"/>
      <c r="P437" s="1"/>
      <c r="Q437" s="1" t="s">
        <v>34</v>
      </c>
      <c r="R437" s="1"/>
      <c r="S437" s="1" t="s">
        <v>35</v>
      </c>
      <c r="T437" s="1">
        <v>44.115854900000002</v>
      </c>
      <c r="U437" s="1">
        <v>-73.293609599999996</v>
      </c>
      <c r="V437" s="1" t="s">
        <v>2247</v>
      </c>
      <c r="W437" s="1"/>
      <c r="X437" s="1" t="s">
        <v>37</v>
      </c>
      <c r="Y437" s="1" t="s">
        <v>333</v>
      </c>
      <c r="Z437" s="1">
        <v>0</v>
      </c>
    </row>
    <row r="438" spans="1:26" ht="42">
      <c r="A438" s="1" t="str">
        <f>"00092Q"</f>
        <v>00092Q</v>
      </c>
      <c r="B438" s="1" t="s">
        <v>2242</v>
      </c>
      <c r="C438" s="1" t="s">
        <v>2243</v>
      </c>
      <c r="D438" s="1" t="str">
        <f>"9732393434"</f>
        <v>9732393434</v>
      </c>
      <c r="E438" s="1">
        <v>3782</v>
      </c>
      <c r="F438" s="1" t="s">
        <v>28</v>
      </c>
      <c r="G438" s="1" t="s">
        <v>2248</v>
      </c>
      <c r="H438" s="1">
        <v>5025</v>
      </c>
      <c r="I438" s="1">
        <v>6</v>
      </c>
      <c r="J438" s="1" t="s">
        <v>2249</v>
      </c>
      <c r="K438" s="1" t="s">
        <v>333</v>
      </c>
      <c r="L438" s="1" t="s">
        <v>876</v>
      </c>
      <c r="M438" s="1" t="s">
        <v>2250</v>
      </c>
      <c r="N438" s="2">
        <v>36892</v>
      </c>
      <c r="O438" s="1"/>
      <c r="P438" s="2">
        <v>39331</v>
      </c>
      <c r="Q438" s="1" t="s">
        <v>34</v>
      </c>
      <c r="R438" s="1"/>
      <c r="S438" s="1" t="s">
        <v>35</v>
      </c>
      <c r="T438" s="1">
        <v>44.167563999999999</v>
      </c>
      <c r="U438" s="1">
        <v>-73.116577000000007</v>
      </c>
      <c r="V438" s="1" t="s">
        <v>2251</v>
      </c>
      <c r="W438" s="1"/>
      <c r="X438" s="1" t="s">
        <v>37</v>
      </c>
      <c r="Y438" s="1" t="s">
        <v>879</v>
      </c>
      <c r="Z438" s="1">
        <v>5443</v>
      </c>
    </row>
    <row r="439" spans="1:26" ht="42">
      <c r="A439" s="1" t="str">
        <f>"00092Q"</f>
        <v>00092Q</v>
      </c>
      <c r="B439" s="1" t="s">
        <v>2242</v>
      </c>
      <c r="C439" s="1" t="s">
        <v>2243</v>
      </c>
      <c r="D439" s="1" t="str">
        <f>"9732393434"</f>
        <v>9732393434</v>
      </c>
      <c r="E439" s="1">
        <v>3782</v>
      </c>
      <c r="F439" s="1" t="s">
        <v>28</v>
      </c>
      <c r="G439" s="1" t="s">
        <v>2252</v>
      </c>
      <c r="H439" s="1">
        <v>5026</v>
      </c>
      <c r="I439" s="1">
        <v>14</v>
      </c>
      <c r="J439" s="1" t="s">
        <v>2253</v>
      </c>
      <c r="K439" s="1" t="s">
        <v>333</v>
      </c>
      <c r="L439" s="1" t="s">
        <v>684</v>
      </c>
      <c r="M439" s="1" t="s">
        <v>2250</v>
      </c>
      <c r="N439" s="2">
        <v>36892</v>
      </c>
      <c r="O439" s="1"/>
      <c r="P439" s="1"/>
      <c r="Q439" s="1" t="s">
        <v>34</v>
      </c>
      <c r="R439" s="1"/>
      <c r="S439" s="1" t="s">
        <v>35</v>
      </c>
      <c r="T439" s="1"/>
      <c r="U439" s="1"/>
      <c r="V439" s="1" t="s">
        <v>2254</v>
      </c>
      <c r="W439" s="1"/>
      <c r="X439" s="1" t="s">
        <v>37</v>
      </c>
      <c r="Y439" s="1" t="s">
        <v>464</v>
      </c>
      <c r="Z439" s="1">
        <v>0</v>
      </c>
    </row>
    <row r="440" spans="1:26" ht="42">
      <c r="A440" s="1" t="str">
        <f>"00092Q"</f>
        <v>00092Q</v>
      </c>
      <c r="B440" s="1" t="s">
        <v>2242</v>
      </c>
      <c r="C440" s="1" t="s">
        <v>2243</v>
      </c>
      <c r="D440" s="1" t="str">
        <f>"9732393434"</f>
        <v>9732393434</v>
      </c>
      <c r="E440" s="1">
        <v>3782</v>
      </c>
      <c r="F440" s="1" t="s">
        <v>28</v>
      </c>
      <c r="G440" s="1" t="s">
        <v>2255</v>
      </c>
      <c r="H440" s="1">
        <v>5027</v>
      </c>
      <c r="I440" s="1">
        <v>8</v>
      </c>
      <c r="J440" s="1" t="s">
        <v>2256</v>
      </c>
      <c r="K440" s="1" t="s">
        <v>333</v>
      </c>
      <c r="L440" s="1" t="s">
        <v>457</v>
      </c>
      <c r="M440" s="1" t="s">
        <v>2246</v>
      </c>
      <c r="N440" s="2">
        <v>36892</v>
      </c>
      <c r="O440" s="1"/>
      <c r="P440" s="2">
        <v>39331</v>
      </c>
      <c r="Q440" s="1" t="s">
        <v>34</v>
      </c>
      <c r="R440" s="1"/>
      <c r="S440" s="1" t="s">
        <v>35</v>
      </c>
      <c r="T440" s="1">
        <v>44.015337100000004</v>
      </c>
      <c r="U440" s="1">
        <v>-73.167339999999896</v>
      </c>
      <c r="V440" s="1" t="s">
        <v>2257</v>
      </c>
      <c r="W440" s="1"/>
      <c r="X440" s="1" t="s">
        <v>37</v>
      </c>
      <c r="Y440" s="1" t="s">
        <v>460</v>
      </c>
      <c r="Z440" s="1">
        <v>5753</v>
      </c>
    </row>
    <row r="441" spans="1:26" ht="42">
      <c r="A441" s="1" t="str">
        <f>"00092V"</f>
        <v>00092V</v>
      </c>
      <c r="B441" s="1" t="s">
        <v>2258</v>
      </c>
      <c r="C441" s="1" t="s">
        <v>2259</v>
      </c>
      <c r="D441" s="1" t="str">
        <f>"8022763808"</f>
        <v>8022763808</v>
      </c>
      <c r="E441" s="1">
        <v>3784</v>
      </c>
      <c r="F441" s="1" t="s">
        <v>28</v>
      </c>
      <c r="G441" s="1" t="s">
        <v>2260</v>
      </c>
      <c r="H441" s="1">
        <v>5319</v>
      </c>
      <c r="I441" s="1">
        <v>0</v>
      </c>
      <c r="J441" s="1" t="s">
        <v>2261</v>
      </c>
      <c r="K441" s="1" t="s">
        <v>68</v>
      </c>
      <c r="L441" s="1" t="s">
        <v>1383</v>
      </c>
      <c r="M441" s="1" t="s">
        <v>158</v>
      </c>
      <c r="N441" s="2">
        <v>36892</v>
      </c>
      <c r="O441" s="2">
        <v>43249</v>
      </c>
      <c r="P441" s="2">
        <v>39945</v>
      </c>
      <c r="Q441" s="1" t="s">
        <v>34</v>
      </c>
      <c r="R441" s="1"/>
      <c r="S441" s="1" t="s">
        <v>35</v>
      </c>
      <c r="T441" s="1">
        <v>43.974659000000003</v>
      </c>
      <c r="U441" s="1">
        <v>-72.595405999999997</v>
      </c>
      <c r="V441" s="1" t="s">
        <v>2262</v>
      </c>
      <c r="W441" s="1"/>
      <c r="X441" s="1" t="s">
        <v>37</v>
      </c>
      <c r="Y441" s="1" t="s">
        <v>1384</v>
      </c>
      <c r="Z441" s="1">
        <v>5060</v>
      </c>
    </row>
    <row r="442" spans="1:26" ht="42">
      <c r="A442" s="1" t="str">
        <f>"00092V"</f>
        <v>00092V</v>
      </c>
      <c r="B442" s="1" t="s">
        <v>2258</v>
      </c>
      <c r="C442" s="1" t="s">
        <v>2259</v>
      </c>
      <c r="D442" s="1" t="str">
        <f>"8022763808"</f>
        <v>8022763808</v>
      </c>
      <c r="E442" s="1">
        <v>3784</v>
      </c>
      <c r="F442" s="1" t="s">
        <v>28</v>
      </c>
      <c r="G442" s="1" t="s">
        <v>2263</v>
      </c>
      <c r="H442" s="1"/>
      <c r="I442" s="1">
        <v>0</v>
      </c>
      <c r="J442" s="1" t="s">
        <v>2264</v>
      </c>
      <c r="K442" s="1" t="s">
        <v>68</v>
      </c>
      <c r="L442" s="1" t="s">
        <v>2265</v>
      </c>
      <c r="M442" s="1" t="s">
        <v>2266</v>
      </c>
      <c r="N442" s="2">
        <v>40704</v>
      </c>
      <c r="O442" s="2">
        <v>43249</v>
      </c>
      <c r="P442" s="1"/>
      <c r="Q442" s="1" t="s">
        <v>34</v>
      </c>
      <c r="R442" s="1"/>
      <c r="S442" s="1" t="s">
        <v>35</v>
      </c>
      <c r="T442" s="1"/>
      <c r="U442" s="1"/>
      <c r="V442" s="1" t="s">
        <v>2267</v>
      </c>
      <c r="W442" s="1"/>
      <c r="X442" s="1" t="s">
        <v>37</v>
      </c>
      <c r="Y442" s="1" t="s">
        <v>2268</v>
      </c>
      <c r="Z442" s="1">
        <v>5036</v>
      </c>
    </row>
    <row r="443" spans="1:26" ht="42">
      <c r="A443" s="1" t="str">
        <f>"00092V"</f>
        <v>00092V</v>
      </c>
      <c r="B443" s="1" t="s">
        <v>2258</v>
      </c>
      <c r="C443" s="1" t="s">
        <v>2259</v>
      </c>
      <c r="D443" s="1" t="str">
        <f>"8022763808"</f>
        <v>8022763808</v>
      </c>
      <c r="E443" s="1">
        <v>3784</v>
      </c>
      <c r="F443" s="1" t="s">
        <v>28</v>
      </c>
      <c r="G443" s="1" t="s">
        <v>2269</v>
      </c>
      <c r="H443" s="1"/>
      <c r="I443" s="1">
        <v>18</v>
      </c>
      <c r="J443" s="1" t="s">
        <v>2270</v>
      </c>
      <c r="K443" s="1" t="s">
        <v>68</v>
      </c>
      <c r="L443" s="1" t="s">
        <v>2265</v>
      </c>
      <c r="M443" s="1" t="s">
        <v>2271</v>
      </c>
      <c r="N443" s="2">
        <v>42172</v>
      </c>
      <c r="O443" s="1"/>
      <c r="P443" s="2">
        <v>42972</v>
      </c>
      <c r="Q443" s="1" t="s">
        <v>34</v>
      </c>
      <c r="R443" s="1"/>
      <c r="S443" s="1" t="s">
        <v>35</v>
      </c>
      <c r="T443" s="1">
        <v>43.990638635767802</v>
      </c>
      <c r="U443" s="1">
        <v>-72.575790267546793</v>
      </c>
      <c r="V443" s="1" t="s">
        <v>2272</v>
      </c>
      <c r="W443" s="1"/>
      <c r="X443" s="1" t="s">
        <v>37</v>
      </c>
      <c r="Y443" s="1" t="s">
        <v>2268</v>
      </c>
      <c r="Z443" s="1">
        <v>5036</v>
      </c>
    </row>
    <row r="444" spans="1:26" ht="42">
      <c r="A444" s="1" t="str">
        <f>"00092Y"</f>
        <v>00092Y</v>
      </c>
      <c r="B444" s="1" t="s">
        <v>2273</v>
      </c>
      <c r="C444" s="1" t="s">
        <v>2274</v>
      </c>
      <c r="D444" s="1" t="str">
        <f>"8024483945"</f>
        <v>8024483945</v>
      </c>
      <c r="E444" s="1">
        <v>3823</v>
      </c>
      <c r="F444" s="1" t="s">
        <v>28</v>
      </c>
      <c r="G444" s="1" t="s">
        <v>2275</v>
      </c>
      <c r="H444" s="1">
        <v>5080</v>
      </c>
      <c r="I444" s="1">
        <v>2</v>
      </c>
      <c r="J444" s="1" t="s">
        <v>2276</v>
      </c>
      <c r="K444" s="1" t="s">
        <v>43</v>
      </c>
      <c r="L444" s="1" t="s">
        <v>723</v>
      </c>
      <c r="M444" s="1" t="s">
        <v>2277</v>
      </c>
      <c r="N444" s="2">
        <v>36892</v>
      </c>
      <c r="O444" s="1"/>
      <c r="P444" s="1"/>
      <c r="Q444" s="1" t="s">
        <v>34</v>
      </c>
      <c r="R444" s="1"/>
      <c r="S444" s="1" t="s">
        <v>35</v>
      </c>
      <c r="T444" s="1">
        <v>44.652489900845303</v>
      </c>
      <c r="U444" s="1">
        <v>-72.899372577667194</v>
      </c>
      <c r="V444" s="1" t="s">
        <v>2278</v>
      </c>
      <c r="W444" s="1"/>
      <c r="X444" s="1" t="s">
        <v>37</v>
      </c>
      <c r="Y444" s="1" t="s">
        <v>725</v>
      </c>
      <c r="Z444" s="1">
        <v>5482</v>
      </c>
    </row>
    <row r="445" spans="1:26" ht="42">
      <c r="A445" s="1" t="str">
        <f>"000930"</f>
        <v>000930</v>
      </c>
      <c r="B445" s="1" t="s">
        <v>2279</v>
      </c>
      <c r="C445" s="1" t="s">
        <v>2280</v>
      </c>
      <c r="D445" s="1" t="str">
        <f>"8024847438"</f>
        <v>8024847438</v>
      </c>
      <c r="E445" s="1">
        <v>3790</v>
      </c>
      <c r="F445" s="1" t="s">
        <v>28</v>
      </c>
      <c r="G445" s="1" t="s">
        <v>2281</v>
      </c>
      <c r="H445" s="1">
        <v>5036</v>
      </c>
      <c r="I445" s="1">
        <v>2</v>
      </c>
      <c r="J445" s="1" t="s">
        <v>2282</v>
      </c>
      <c r="K445" s="1" t="s">
        <v>77</v>
      </c>
      <c r="L445" s="1" t="s">
        <v>1028</v>
      </c>
      <c r="M445" s="1" t="s">
        <v>2283</v>
      </c>
      <c r="N445" s="2">
        <v>36892</v>
      </c>
      <c r="O445" s="1"/>
      <c r="P445" s="1"/>
      <c r="Q445" s="1" t="s">
        <v>34</v>
      </c>
      <c r="R445" s="1"/>
      <c r="S445" s="1" t="s">
        <v>35</v>
      </c>
      <c r="T445" s="1">
        <v>43.503574</v>
      </c>
      <c r="U445" s="1">
        <v>-72.481368999999901</v>
      </c>
      <c r="V445" s="1" t="s">
        <v>2284</v>
      </c>
      <c r="W445" s="1"/>
      <c r="X445" s="1" t="s">
        <v>37</v>
      </c>
      <c r="Y445" s="1" t="s">
        <v>1030</v>
      </c>
      <c r="Z445" s="1">
        <v>5089</v>
      </c>
    </row>
    <row r="446" spans="1:26" ht="42">
      <c r="A446" s="1" t="str">
        <f>"000934"</f>
        <v>000934</v>
      </c>
      <c r="B446" s="1" t="s">
        <v>2285</v>
      </c>
      <c r="C446" s="1" t="s">
        <v>2286</v>
      </c>
      <c r="D446" s="1" t="str">
        <f>"8024346131"</f>
        <v>8024346131</v>
      </c>
      <c r="E446" s="1">
        <v>3794</v>
      </c>
      <c r="F446" s="1" t="s">
        <v>28</v>
      </c>
      <c r="G446" s="1" t="s">
        <v>2287</v>
      </c>
      <c r="H446" s="1">
        <v>5041</v>
      </c>
      <c r="I446" s="1">
        <v>2</v>
      </c>
      <c r="J446" s="1" t="s">
        <v>2288</v>
      </c>
      <c r="K446" s="1" t="s">
        <v>43</v>
      </c>
      <c r="L446" s="1" t="s">
        <v>51</v>
      </c>
      <c r="M446" s="1" t="s">
        <v>2289</v>
      </c>
      <c r="N446" s="2">
        <v>36892</v>
      </c>
      <c r="O446" s="1"/>
      <c r="P446" s="2">
        <v>39191</v>
      </c>
      <c r="Q446" s="1" t="s">
        <v>34</v>
      </c>
      <c r="R446" s="1"/>
      <c r="S446" s="1" t="s">
        <v>35</v>
      </c>
      <c r="T446" s="1">
        <v>44.371324409456797</v>
      </c>
      <c r="U446" s="1">
        <v>-72.946386337280202</v>
      </c>
      <c r="V446" s="1" t="s">
        <v>2290</v>
      </c>
      <c r="W446" s="1"/>
      <c r="X446" s="1" t="s">
        <v>37</v>
      </c>
      <c r="Y446" s="1" t="s">
        <v>54</v>
      </c>
      <c r="Z446" s="1">
        <v>5477</v>
      </c>
    </row>
    <row r="447" spans="1:26" ht="42">
      <c r="A447" s="1" t="str">
        <f>"000935"</f>
        <v>000935</v>
      </c>
      <c r="B447" s="1" t="s">
        <v>2291</v>
      </c>
      <c r="C447" s="1" t="s">
        <v>2292</v>
      </c>
      <c r="D447" s="1" t="str">
        <f>"8025392111"</f>
        <v>8025392111</v>
      </c>
      <c r="E447" s="1">
        <v>3795</v>
      </c>
      <c r="F447" s="1" t="s">
        <v>28</v>
      </c>
      <c r="G447" s="1" t="s">
        <v>2293</v>
      </c>
      <c r="H447" s="1">
        <v>5043</v>
      </c>
      <c r="I447" s="1">
        <v>3</v>
      </c>
      <c r="J447" s="1" t="s">
        <v>2294</v>
      </c>
      <c r="K447" s="1" t="s">
        <v>43</v>
      </c>
      <c r="L447" s="1" t="s">
        <v>728</v>
      </c>
      <c r="M447" s="1" t="s">
        <v>2295</v>
      </c>
      <c r="N447" s="2">
        <v>36892</v>
      </c>
      <c r="O447" s="1"/>
      <c r="P447" s="2">
        <v>42627</v>
      </c>
      <c r="Q447" s="1" t="s">
        <v>34</v>
      </c>
      <c r="R447" s="1"/>
      <c r="S447" s="1" t="s">
        <v>35</v>
      </c>
      <c r="T447" s="1">
        <v>44.284467580829897</v>
      </c>
      <c r="U447" s="1">
        <v>-73.256428241729694</v>
      </c>
      <c r="V447" s="1" t="s">
        <v>2296</v>
      </c>
      <c r="W447" s="1"/>
      <c r="X447" s="1" t="s">
        <v>37</v>
      </c>
      <c r="Y447" s="1" t="s">
        <v>736</v>
      </c>
      <c r="Z447" s="1">
        <v>5445</v>
      </c>
    </row>
    <row r="448" spans="1:26" ht="42">
      <c r="A448" s="1" t="str">
        <f>"000936"</f>
        <v>000936</v>
      </c>
      <c r="B448" s="1" t="s">
        <v>2297</v>
      </c>
      <c r="C448" s="1" t="s">
        <v>2298</v>
      </c>
      <c r="D448" s="1" t="str">
        <f>"8027662646"</f>
        <v>8027662646</v>
      </c>
      <c r="E448" s="1">
        <v>3797</v>
      </c>
      <c r="F448" s="1" t="s">
        <v>28</v>
      </c>
      <c r="G448" s="1" t="s">
        <v>2299</v>
      </c>
      <c r="H448" s="1">
        <v>5045</v>
      </c>
      <c r="I448" s="1">
        <v>4</v>
      </c>
      <c r="J448" s="1" t="s">
        <v>2300</v>
      </c>
      <c r="K448" s="1" t="s">
        <v>527</v>
      </c>
      <c r="L448" s="1" t="s">
        <v>532</v>
      </c>
      <c r="M448" s="1" t="s">
        <v>2301</v>
      </c>
      <c r="N448" s="2">
        <v>36892</v>
      </c>
      <c r="O448" s="1"/>
      <c r="P448" s="1"/>
      <c r="Q448" s="1" t="s">
        <v>34</v>
      </c>
      <c r="R448" s="1"/>
      <c r="S448" s="1" t="s">
        <v>35</v>
      </c>
      <c r="T448" s="1">
        <v>44.9774478</v>
      </c>
      <c r="U448" s="1">
        <v>-72.070205599999994</v>
      </c>
      <c r="V448" s="1" t="s">
        <v>2302</v>
      </c>
      <c r="W448" s="1"/>
      <c r="X448" s="1" t="s">
        <v>37</v>
      </c>
      <c r="Y448" s="1" t="s">
        <v>2303</v>
      </c>
      <c r="Z448" s="1">
        <v>5829</v>
      </c>
    </row>
    <row r="449" spans="1:26" ht="42">
      <c r="A449" s="1" t="str">
        <f>"00093C"</f>
        <v>00093C</v>
      </c>
      <c r="B449" s="1" t="s">
        <v>2304</v>
      </c>
      <c r="C449" s="1" t="s">
        <v>2305</v>
      </c>
      <c r="D449" s="1" t="str">
        <f>"8023723291"</f>
        <v>8023723291</v>
      </c>
      <c r="E449" s="1">
        <v>3807</v>
      </c>
      <c r="F449" s="1" t="s">
        <v>28</v>
      </c>
      <c r="G449" s="1" t="s">
        <v>2306</v>
      </c>
      <c r="H449" s="1">
        <v>5058</v>
      </c>
      <c r="I449" s="1">
        <v>2</v>
      </c>
      <c r="J449" s="1" t="s">
        <v>2307</v>
      </c>
      <c r="K449" s="1" t="s">
        <v>428</v>
      </c>
      <c r="L449" s="1" t="s">
        <v>1416</v>
      </c>
      <c r="M449" s="1" t="s">
        <v>2308</v>
      </c>
      <c r="N449" s="2">
        <v>36892</v>
      </c>
      <c r="O449" s="1"/>
      <c r="P449" s="2">
        <v>39296</v>
      </c>
      <c r="Q449" s="1" t="s">
        <v>34</v>
      </c>
      <c r="R449" s="1"/>
      <c r="S449" s="1" t="s">
        <v>35</v>
      </c>
      <c r="T449" s="1">
        <v>44.693510477115403</v>
      </c>
      <c r="U449" s="1">
        <v>-73.329690098762498</v>
      </c>
      <c r="V449" s="1" t="s">
        <v>2309</v>
      </c>
      <c r="W449" s="1"/>
      <c r="X449" s="1" t="s">
        <v>37</v>
      </c>
      <c r="Y449" s="1" t="s">
        <v>428</v>
      </c>
      <c r="Z449" s="1">
        <v>5458</v>
      </c>
    </row>
    <row r="450" spans="1:26" ht="42">
      <c r="A450" s="1" t="str">
        <f>"000942"</f>
        <v>000942</v>
      </c>
      <c r="B450" s="1" t="s">
        <v>2310</v>
      </c>
      <c r="C450" s="1" t="s">
        <v>2311</v>
      </c>
      <c r="D450" s="1" t="str">
        <f>"8023654181"</f>
        <v>8023654181</v>
      </c>
      <c r="E450" s="1">
        <v>3843</v>
      </c>
      <c r="F450" s="1" t="s">
        <v>28</v>
      </c>
      <c r="G450" s="1" t="s">
        <v>2312</v>
      </c>
      <c r="H450" s="1">
        <v>5101</v>
      </c>
      <c r="I450" s="1">
        <v>2</v>
      </c>
      <c r="J450" s="1" t="s">
        <v>2313</v>
      </c>
      <c r="K450" s="1" t="s">
        <v>144</v>
      </c>
      <c r="L450" s="1" t="s">
        <v>356</v>
      </c>
      <c r="M450" s="1" t="s">
        <v>2314</v>
      </c>
      <c r="N450" s="2">
        <v>36892</v>
      </c>
      <c r="O450" s="2">
        <v>43251</v>
      </c>
      <c r="P450" s="1"/>
      <c r="Q450" s="1" t="s">
        <v>34</v>
      </c>
      <c r="R450" s="1"/>
      <c r="S450" s="1" t="s">
        <v>35</v>
      </c>
      <c r="T450" s="1">
        <v>43.000262900000003</v>
      </c>
      <c r="U450" s="1">
        <v>-72.686118999999906</v>
      </c>
      <c r="V450" s="1" t="s">
        <v>2315</v>
      </c>
      <c r="W450" s="1"/>
      <c r="X450" s="1" t="s">
        <v>37</v>
      </c>
      <c r="Y450" s="1" t="s">
        <v>1370</v>
      </c>
      <c r="Z450" s="1">
        <v>5345</v>
      </c>
    </row>
    <row r="451" spans="1:26" ht="42">
      <c r="A451" s="1" t="str">
        <f>"000942"</f>
        <v>000942</v>
      </c>
      <c r="B451" s="1" t="s">
        <v>2310</v>
      </c>
      <c r="C451" s="1" t="s">
        <v>2311</v>
      </c>
      <c r="D451" s="1" t="str">
        <f>"8023654181"</f>
        <v>8023654181</v>
      </c>
      <c r="E451" s="1">
        <v>3843</v>
      </c>
      <c r="F451" s="1" t="s">
        <v>28</v>
      </c>
      <c r="G451" s="1" t="s">
        <v>2316</v>
      </c>
      <c r="H451" s="1"/>
      <c r="I451" s="1">
        <v>1</v>
      </c>
      <c r="J451" s="1" t="s">
        <v>2317</v>
      </c>
      <c r="K451" s="1" t="s">
        <v>144</v>
      </c>
      <c r="L451" s="1" t="s">
        <v>356</v>
      </c>
      <c r="M451" s="1" t="s">
        <v>2314</v>
      </c>
      <c r="N451" s="2">
        <v>43251</v>
      </c>
      <c r="O451" s="1"/>
      <c r="P451" s="1"/>
      <c r="Q451" s="1" t="s">
        <v>34</v>
      </c>
      <c r="R451" s="1"/>
      <c r="S451" s="1" t="s">
        <v>35</v>
      </c>
      <c r="T451" s="1">
        <v>42.956161000000002</v>
      </c>
      <c r="U451" s="1">
        <v>-72.660210000000006</v>
      </c>
      <c r="V451" s="1" t="s">
        <v>2318</v>
      </c>
      <c r="W451" s="1"/>
      <c r="X451" s="1" t="s">
        <v>37</v>
      </c>
      <c r="Y451" s="1" t="s">
        <v>1370</v>
      </c>
      <c r="Z451" s="1">
        <v>5345</v>
      </c>
    </row>
    <row r="452" spans="1:26" ht="42">
      <c r="A452" s="1" t="str">
        <f>"00094K"</f>
        <v>00094K</v>
      </c>
      <c r="B452" s="1" t="s">
        <v>2319</v>
      </c>
      <c r="C452" s="1" t="s">
        <v>2320</v>
      </c>
      <c r="D452" s="1" t="str">
        <f>"8026725215"</f>
        <v>8026725215</v>
      </c>
      <c r="E452" s="1">
        <v>4018</v>
      </c>
      <c r="F452" s="1" t="s">
        <v>28</v>
      </c>
      <c r="G452" s="1" t="s">
        <v>2321</v>
      </c>
      <c r="H452" s="1">
        <v>5336</v>
      </c>
      <c r="I452" s="1">
        <v>7</v>
      </c>
      <c r="J452" s="1" t="s">
        <v>2322</v>
      </c>
      <c r="K452" s="1" t="s">
        <v>77</v>
      </c>
      <c r="L452" s="1" t="s">
        <v>2323</v>
      </c>
      <c r="M452" s="1" t="s">
        <v>2324</v>
      </c>
      <c r="N452" s="2">
        <v>36892</v>
      </c>
      <c r="O452" s="1"/>
      <c r="P452" s="2">
        <v>43006</v>
      </c>
      <c r="Q452" s="1" t="s">
        <v>34</v>
      </c>
      <c r="R452" s="1"/>
      <c r="S452" s="1" t="s">
        <v>35</v>
      </c>
      <c r="T452" s="1">
        <v>43.606374991041299</v>
      </c>
      <c r="U452" s="1">
        <v>-72.634778022766099</v>
      </c>
      <c r="V452" s="1" t="s">
        <v>2325</v>
      </c>
      <c r="W452" s="1"/>
      <c r="X452" s="1" t="s">
        <v>37</v>
      </c>
      <c r="Y452" s="1" t="s">
        <v>2326</v>
      </c>
      <c r="Z452" s="1">
        <v>5034</v>
      </c>
    </row>
    <row r="453" spans="1:26" ht="42">
      <c r="A453" s="1" t="str">
        <f>"00094P"</f>
        <v>00094P</v>
      </c>
      <c r="B453" s="1" t="s">
        <v>2327</v>
      </c>
      <c r="C453" s="1" t="s">
        <v>2328</v>
      </c>
      <c r="D453" s="1" t="str">
        <f>"8022570478"</f>
        <v>8022570478</v>
      </c>
      <c r="E453" s="1">
        <v>3882</v>
      </c>
      <c r="F453" s="1" t="s">
        <v>28</v>
      </c>
      <c r="G453" s="1" t="s">
        <v>2329</v>
      </c>
      <c r="H453" s="1">
        <v>5156</v>
      </c>
      <c r="I453" s="1">
        <v>1</v>
      </c>
      <c r="J453" s="1" t="s">
        <v>2330</v>
      </c>
      <c r="K453" s="1" t="s">
        <v>144</v>
      </c>
      <c r="L453" s="1" t="s">
        <v>492</v>
      </c>
      <c r="M453" s="1" t="s">
        <v>2331</v>
      </c>
      <c r="N453" s="2">
        <v>36892</v>
      </c>
      <c r="O453" s="1"/>
      <c r="P453" s="1"/>
      <c r="Q453" s="1" t="s">
        <v>34</v>
      </c>
      <c r="R453" s="1"/>
      <c r="S453" s="1" t="s">
        <v>35</v>
      </c>
      <c r="T453" s="1">
        <v>42.852032999999999</v>
      </c>
      <c r="U453" s="1">
        <v>-72.591914999999901</v>
      </c>
      <c r="V453" s="1" t="s">
        <v>2332</v>
      </c>
      <c r="W453" s="1"/>
      <c r="X453" s="1" t="s">
        <v>37</v>
      </c>
      <c r="Y453" s="1" t="s">
        <v>619</v>
      </c>
      <c r="Z453" s="1">
        <v>5301</v>
      </c>
    </row>
    <row r="454" spans="1:26" ht="42">
      <c r="A454" s="1" t="str">
        <f>"000950"</f>
        <v>000950</v>
      </c>
      <c r="B454" s="1" t="s">
        <v>2333</v>
      </c>
      <c r="C454" s="1" t="s">
        <v>2334</v>
      </c>
      <c r="D454" s="1" t="str">
        <f>"8022352561"</f>
        <v>8022352561</v>
      </c>
      <c r="E454" s="1">
        <v>3893</v>
      </c>
      <c r="F454" s="1" t="s">
        <v>28</v>
      </c>
      <c r="G454" s="1" t="s">
        <v>2335</v>
      </c>
      <c r="H454" s="1">
        <v>5172</v>
      </c>
      <c r="I454" s="1">
        <v>2</v>
      </c>
      <c r="J454" s="1" t="s">
        <v>2336</v>
      </c>
      <c r="K454" s="1" t="s">
        <v>135</v>
      </c>
      <c r="L454" s="1" t="s">
        <v>2337</v>
      </c>
      <c r="M454" s="1" t="s">
        <v>2338</v>
      </c>
      <c r="N454" s="2">
        <v>36892</v>
      </c>
      <c r="O454" s="1"/>
      <c r="P454" s="2">
        <v>39631</v>
      </c>
      <c r="Q454" s="1" t="s">
        <v>34</v>
      </c>
      <c r="R454" s="1"/>
      <c r="S454" s="1" t="s">
        <v>35</v>
      </c>
      <c r="T454" s="1">
        <v>43.482157999999998</v>
      </c>
      <c r="U454" s="1">
        <v>-73.117147999999901</v>
      </c>
      <c r="V454" s="1" t="s">
        <v>2339</v>
      </c>
      <c r="W454" s="1"/>
      <c r="X454" s="1" t="s">
        <v>37</v>
      </c>
      <c r="Y454" s="1" t="s">
        <v>2340</v>
      </c>
      <c r="Z454" s="1">
        <v>5757</v>
      </c>
    </row>
    <row r="455" spans="1:26" ht="42">
      <c r="A455" s="1" t="str">
        <f>"000951"</f>
        <v>000951</v>
      </c>
      <c r="B455" s="1" t="s">
        <v>2341</v>
      </c>
      <c r="C455" s="1" t="s">
        <v>2342</v>
      </c>
      <c r="D455" s="1" t="str">
        <f>"8022235776"</f>
        <v>8022235776</v>
      </c>
      <c r="E455" s="1">
        <v>3894</v>
      </c>
      <c r="F455" s="1" t="s">
        <v>28</v>
      </c>
      <c r="G455" s="1" t="s">
        <v>2343</v>
      </c>
      <c r="H455" s="1">
        <v>5173</v>
      </c>
      <c r="I455" s="1">
        <v>2</v>
      </c>
      <c r="J455" s="1" t="s">
        <v>2344</v>
      </c>
      <c r="K455" s="1" t="s">
        <v>31</v>
      </c>
      <c r="L455" s="1" t="s">
        <v>2345</v>
      </c>
      <c r="M455" s="1" t="s">
        <v>2346</v>
      </c>
      <c r="N455" s="2">
        <v>36892</v>
      </c>
      <c r="O455" s="1"/>
      <c r="P455" s="2">
        <v>39734</v>
      </c>
      <c r="Q455" s="1" t="s">
        <v>34</v>
      </c>
      <c r="R455" s="1"/>
      <c r="S455" s="1" t="s">
        <v>35</v>
      </c>
      <c r="T455" s="1">
        <v>44.351928999999998</v>
      </c>
      <c r="U455" s="1">
        <v>-72.601082000000005</v>
      </c>
      <c r="V455" s="1" t="s">
        <v>2347</v>
      </c>
      <c r="W455" s="1"/>
      <c r="X455" s="1" t="s">
        <v>37</v>
      </c>
      <c r="Y455" s="1" t="s">
        <v>2348</v>
      </c>
      <c r="Z455" s="1">
        <v>5602</v>
      </c>
    </row>
    <row r="456" spans="1:26" ht="42">
      <c r="A456" s="1" t="str">
        <f>"000954"</f>
        <v>000954</v>
      </c>
      <c r="B456" s="1" t="s">
        <v>2349</v>
      </c>
      <c r="C456" s="1" t="s">
        <v>2350</v>
      </c>
      <c r="D456" s="1" t="str">
        <f>"8022446693"</f>
        <v>8022446693</v>
      </c>
      <c r="E456" s="1">
        <v>3978</v>
      </c>
      <c r="F456" s="1" t="s">
        <v>28</v>
      </c>
      <c r="G456" s="1" t="s">
        <v>2351</v>
      </c>
      <c r="H456" s="1">
        <v>5271</v>
      </c>
      <c r="I456" s="1">
        <v>0</v>
      </c>
      <c r="J456" s="1" t="s">
        <v>2352</v>
      </c>
      <c r="K456" s="1" t="s">
        <v>31</v>
      </c>
      <c r="L456" s="1" t="s">
        <v>120</v>
      </c>
      <c r="M456" s="1" t="s">
        <v>2353</v>
      </c>
      <c r="N456" s="2">
        <v>36892</v>
      </c>
      <c r="O456" s="1"/>
      <c r="P456" s="2">
        <v>42146</v>
      </c>
      <c r="Q456" s="1" t="s">
        <v>34</v>
      </c>
      <c r="R456" s="1"/>
      <c r="S456" s="1" t="s">
        <v>35</v>
      </c>
      <c r="T456" s="1">
        <v>44.344043900000003</v>
      </c>
      <c r="U456" s="1">
        <v>-72.747008999999906</v>
      </c>
      <c r="V456" s="1" t="s">
        <v>2354</v>
      </c>
      <c r="W456" s="1"/>
      <c r="X456" s="1" t="s">
        <v>37</v>
      </c>
      <c r="Y456" s="1" t="s">
        <v>1313</v>
      </c>
      <c r="Z456" s="1" t="s">
        <v>2355</v>
      </c>
    </row>
    <row r="457" spans="1:26" ht="42">
      <c r="A457" s="1" t="str">
        <f>"000955"</f>
        <v>000955</v>
      </c>
      <c r="B457" s="1" t="s">
        <v>2356</v>
      </c>
      <c r="C457" s="1" t="s">
        <v>2357</v>
      </c>
      <c r="D457" s="1" t="str">
        <f>"8024395340"</f>
        <v>8024395340</v>
      </c>
      <c r="E457" s="1">
        <v>3898</v>
      </c>
      <c r="F457" s="1" t="s">
        <v>28</v>
      </c>
      <c r="G457" s="1" t="s">
        <v>2358</v>
      </c>
      <c r="H457" s="1">
        <v>5177</v>
      </c>
      <c r="I457" s="1">
        <v>1</v>
      </c>
      <c r="J457" s="1" t="s">
        <v>2359</v>
      </c>
      <c r="K457" s="1" t="s">
        <v>68</v>
      </c>
      <c r="L457" s="1" t="s">
        <v>2360</v>
      </c>
      <c r="M457" s="1" t="s">
        <v>2361</v>
      </c>
      <c r="N457" s="2">
        <v>36892</v>
      </c>
      <c r="O457" s="1"/>
      <c r="P457" s="1"/>
      <c r="Q457" s="1" t="s">
        <v>34</v>
      </c>
      <c r="R457" s="1"/>
      <c r="S457" s="1" t="s">
        <v>35</v>
      </c>
      <c r="T457" s="1">
        <v>44.139924699999902</v>
      </c>
      <c r="U457" s="1">
        <v>-72.345855900000004</v>
      </c>
      <c r="V457" s="1" t="s">
        <v>2362</v>
      </c>
      <c r="W457" s="1"/>
      <c r="X457" s="1" t="s">
        <v>37</v>
      </c>
      <c r="Y457" s="1" t="s">
        <v>68</v>
      </c>
      <c r="Z457" s="1">
        <v>5086</v>
      </c>
    </row>
    <row r="458" spans="1:26" ht="42">
      <c r="A458" s="1" t="str">
        <f>"000955"</f>
        <v>000955</v>
      </c>
      <c r="B458" s="1" t="s">
        <v>2356</v>
      </c>
      <c r="C458" s="1" t="s">
        <v>2357</v>
      </c>
      <c r="D458" s="1" t="str">
        <f>"8024395340"</f>
        <v>8024395340</v>
      </c>
      <c r="E458" s="1">
        <v>3898</v>
      </c>
      <c r="F458" s="1" t="s">
        <v>28</v>
      </c>
      <c r="G458" s="1" t="s">
        <v>2363</v>
      </c>
      <c r="H458" s="1">
        <v>5178</v>
      </c>
      <c r="I458" s="1">
        <v>1</v>
      </c>
      <c r="J458" s="1" t="s">
        <v>2364</v>
      </c>
      <c r="K458" s="1" t="s">
        <v>68</v>
      </c>
      <c r="L458" s="1" t="s">
        <v>2111</v>
      </c>
      <c r="M458" s="1" t="s">
        <v>158</v>
      </c>
      <c r="N458" s="2">
        <v>36892</v>
      </c>
      <c r="O458" s="1"/>
      <c r="P458" s="1"/>
      <c r="Q458" s="1" t="s">
        <v>34</v>
      </c>
      <c r="R458" s="1"/>
      <c r="S458" s="1" t="s">
        <v>35</v>
      </c>
      <c r="T458" s="1">
        <v>44.061680488118597</v>
      </c>
      <c r="U458" s="1">
        <v>-72.249064296483994</v>
      </c>
      <c r="V458" s="1" t="s">
        <v>159</v>
      </c>
      <c r="W458" s="1"/>
      <c r="X458" s="1" t="s">
        <v>37</v>
      </c>
      <c r="Y458" s="1" t="s">
        <v>2114</v>
      </c>
      <c r="Z458" s="1">
        <v>5039</v>
      </c>
    </row>
    <row r="459" spans="1:26" ht="42">
      <c r="A459" s="1" t="str">
        <f>"00095G"</f>
        <v>00095G</v>
      </c>
      <c r="B459" s="1" t="s">
        <v>2365</v>
      </c>
      <c r="C459" s="1" t="s">
        <v>2366</v>
      </c>
      <c r="D459" s="1" t="str">
        <f>"8026351707"</f>
        <v>8026351707</v>
      </c>
      <c r="E459" s="1">
        <v>3908</v>
      </c>
      <c r="F459" s="1" t="s">
        <v>28</v>
      </c>
      <c r="G459" s="1" t="s">
        <v>2367</v>
      </c>
      <c r="H459" s="1">
        <v>5188</v>
      </c>
      <c r="I459" s="1">
        <v>5</v>
      </c>
      <c r="J459" s="1" t="s">
        <v>2368</v>
      </c>
      <c r="K459" s="1" t="s">
        <v>170</v>
      </c>
      <c r="L459" s="1" t="s">
        <v>2369</v>
      </c>
      <c r="M459" s="1" t="s">
        <v>2370</v>
      </c>
      <c r="N459" s="2">
        <v>36892</v>
      </c>
      <c r="O459" s="1"/>
      <c r="P459" s="2">
        <v>39687</v>
      </c>
      <c r="Q459" s="1" t="s">
        <v>34</v>
      </c>
      <c r="R459" s="1"/>
      <c r="S459" s="1" t="s">
        <v>35</v>
      </c>
      <c r="T459" s="1">
        <v>44.752380000000002</v>
      </c>
      <c r="U459" s="1">
        <v>-72.583460000000002</v>
      </c>
      <c r="V459" s="1" t="s">
        <v>2371</v>
      </c>
      <c r="W459" s="1"/>
      <c r="X459" s="1" t="s">
        <v>37</v>
      </c>
      <c r="Y459" s="1" t="s">
        <v>2372</v>
      </c>
      <c r="Z459" s="1">
        <v>0</v>
      </c>
    </row>
    <row r="460" spans="1:26" ht="42">
      <c r="A460" s="1" t="str">
        <f>"00095J"</f>
        <v>00095J</v>
      </c>
      <c r="B460" s="1" t="s">
        <v>2373</v>
      </c>
      <c r="C460" s="1" t="s">
        <v>2374</v>
      </c>
      <c r="D460" s="1" t="str">
        <f>"8029852215"</f>
        <v>8029852215</v>
      </c>
      <c r="E460" s="1">
        <v>3910</v>
      </c>
      <c r="F460" s="1" t="s">
        <v>28</v>
      </c>
      <c r="G460" s="1" t="s">
        <v>2375</v>
      </c>
      <c r="H460" s="1">
        <v>5190</v>
      </c>
      <c r="I460" s="1">
        <v>5</v>
      </c>
      <c r="J460" s="1" t="s">
        <v>2376</v>
      </c>
      <c r="K460" s="1" t="s">
        <v>43</v>
      </c>
      <c r="L460" s="1" t="s">
        <v>723</v>
      </c>
      <c r="M460" s="1" t="s">
        <v>2377</v>
      </c>
      <c r="N460" s="2">
        <v>36892</v>
      </c>
      <c r="O460" s="1"/>
      <c r="P460" s="2">
        <v>42556</v>
      </c>
      <c r="Q460" s="1" t="s">
        <v>34</v>
      </c>
      <c r="R460" s="1"/>
      <c r="S460" s="1" t="s">
        <v>35</v>
      </c>
      <c r="T460" s="1"/>
      <c r="U460" s="1"/>
      <c r="V460" s="1" t="s">
        <v>159</v>
      </c>
      <c r="W460" s="1"/>
      <c r="X460" s="1" t="s">
        <v>37</v>
      </c>
      <c r="Y460" s="1" t="s">
        <v>725</v>
      </c>
      <c r="Z460" s="1">
        <v>5482</v>
      </c>
    </row>
    <row r="461" spans="1:26" ht="42">
      <c r="A461" s="1" t="str">
        <f>"00095M"</f>
        <v>00095M</v>
      </c>
      <c r="B461" s="1" t="s">
        <v>2378</v>
      </c>
      <c r="C461" s="1" t="s">
        <v>2379</v>
      </c>
      <c r="D461" s="1" t="str">
        <f>"8023668131"</f>
        <v>8023668131</v>
      </c>
      <c r="E461" s="1">
        <v>3912</v>
      </c>
      <c r="F461" s="1" t="s">
        <v>28</v>
      </c>
      <c r="G461" s="1" t="s">
        <v>2380</v>
      </c>
      <c r="H461" s="1">
        <v>5192</v>
      </c>
      <c r="I461" s="1">
        <v>3</v>
      </c>
      <c r="J461" s="1" t="s">
        <v>2381</v>
      </c>
      <c r="K461" s="1" t="s">
        <v>187</v>
      </c>
      <c r="L461" s="1" t="s">
        <v>392</v>
      </c>
      <c r="M461" s="1" t="s">
        <v>2382</v>
      </c>
      <c r="N461" s="2">
        <v>36892</v>
      </c>
      <c r="O461" s="1"/>
      <c r="P461" s="1"/>
      <c r="Q461" s="1" t="s">
        <v>34</v>
      </c>
      <c r="R461" s="1"/>
      <c r="S461" s="1" t="s">
        <v>35</v>
      </c>
      <c r="T461" s="1">
        <v>43.195696851361603</v>
      </c>
      <c r="U461" s="1">
        <v>-73.077149391174302</v>
      </c>
      <c r="V461" s="1" t="s">
        <v>2383</v>
      </c>
      <c r="W461" s="1"/>
      <c r="X461" s="1" t="s">
        <v>37</v>
      </c>
      <c r="Y461" s="1" t="s">
        <v>395</v>
      </c>
      <c r="Z461" s="1">
        <v>5254</v>
      </c>
    </row>
    <row r="462" spans="1:26" ht="42">
      <c r="A462" s="1" t="str">
        <f>"00095W"</f>
        <v>00095W</v>
      </c>
      <c r="B462" s="1" t="s">
        <v>2384</v>
      </c>
      <c r="C462" s="1" t="s">
        <v>2385</v>
      </c>
      <c r="D462" s="1" t="str">
        <f>"8024252500"</f>
        <v>8024252500</v>
      </c>
      <c r="E462" s="1">
        <v>3917</v>
      </c>
      <c r="F462" s="1" t="s">
        <v>28</v>
      </c>
      <c r="G462" s="1" t="s">
        <v>2386</v>
      </c>
      <c r="H462" s="1">
        <v>5199</v>
      </c>
      <c r="I462" s="1">
        <v>6</v>
      </c>
      <c r="J462" s="1" t="s">
        <v>2387</v>
      </c>
      <c r="K462" s="1" t="s">
        <v>43</v>
      </c>
      <c r="L462" s="1" t="s">
        <v>728</v>
      </c>
      <c r="M462" s="1" t="s">
        <v>2388</v>
      </c>
      <c r="N462" s="2">
        <v>36892</v>
      </c>
      <c r="O462" s="1"/>
      <c r="P462" s="1"/>
      <c r="Q462" s="1" t="s">
        <v>34</v>
      </c>
      <c r="R462" s="1"/>
      <c r="S462" s="1" t="s">
        <v>35</v>
      </c>
      <c r="T462" s="1">
        <v>44.273215999999998</v>
      </c>
      <c r="U462" s="1">
        <v>-73.249381999999898</v>
      </c>
      <c r="V462" s="1" t="s">
        <v>2389</v>
      </c>
      <c r="W462" s="1"/>
      <c r="X462" s="1" t="s">
        <v>37</v>
      </c>
      <c r="Y462" s="1" t="s">
        <v>736</v>
      </c>
      <c r="Z462" s="1">
        <v>5445</v>
      </c>
    </row>
    <row r="463" spans="1:26" ht="42">
      <c r="A463" s="1" t="str">
        <f>"00096W"</f>
        <v>00096W</v>
      </c>
      <c r="B463" s="1" t="s">
        <v>2390</v>
      </c>
      <c r="C463" s="1" t="s">
        <v>2391</v>
      </c>
      <c r="D463" s="1" t="str">
        <f>"8024345004"</f>
        <v>8024345004</v>
      </c>
      <c r="E463" s="1">
        <v>3959</v>
      </c>
      <c r="F463" s="1" t="s">
        <v>28</v>
      </c>
      <c r="G463" s="1" t="s">
        <v>2392</v>
      </c>
      <c r="H463" s="1">
        <v>5246</v>
      </c>
      <c r="I463" s="1">
        <v>1</v>
      </c>
      <c r="J463" s="1" t="s">
        <v>2393</v>
      </c>
      <c r="K463" s="1" t="s">
        <v>43</v>
      </c>
      <c r="L463" s="1" t="s">
        <v>2394</v>
      </c>
      <c r="M463" s="1" t="s">
        <v>2395</v>
      </c>
      <c r="N463" s="2">
        <v>36892</v>
      </c>
      <c r="O463" s="1"/>
      <c r="P463" s="1"/>
      <c r="Q463" s="1" t="s">
        <v>34</v>
      </c>
      <c r="R463" s="1"/>
      <c r="S463" s="1" t="s">
        <v>35</v>
      </c>
      <c r="T463" s="1">
        <v>44.312592700000003</v>
      </c>
      <c r="U463" s="1">
        <v>-72.950031099999904</v>
      </c>
      <c r="V463" s="1" t="s">
        <v>2396</v>
      </c>
      <c r="W463" s="1"/>
      <c r="X463" s="1" t="s">
        <v>37</v>
      </c>
      <c r="Y463" s="1" t="s">
        <v>2397</v>
      </c>
      <c r="Z463" s="1">
        <v>5462</v>
      </c>
    </row>
    <row r="464" spans="1:26" ht="42">
      <c r="A464" s="1" t="str">
        <f>"000970"</f>
        <v>000970</v>
      </c>
      <c r="B464" s="1" t="s">
        <v>2398</v>
      </c>
      <c r="C464" s="1" t="s">
        <v>2399</v>
      </c>
      <c r="D464" s="1" t="str">
        <f>"8024467041"</f>
        <v>8024467041</v>
      </c>
      <c r="E464" s="1">
        <v>3968</v>
      </c>
      <c r="F464" s="1" t="s">
        <v>28</v>
      </c>
      <c r="G464" s="1" t="s">
        <v>2400</v>
      </c>
      <c r="H464" s="1">
        <v>5258</v>
      </c>
      <c r="I464" s="1">
        <v>3</v>
      </c>
      <c r="J464" s="1" t="s">
        <v>2401</v>
      </c>
      <c r="K464" s="1" t="s">
        <v>135</v>
      </c>
      <c r="L464" s="1" t="s">
        <v>2119</v>
      </c>
      <c r="M464" s="1" t="s">
        <v>2402</v>
      </c>
      <c r="N464" s="2">
        <v>36892</v>
      </c>
      <c r="O464" s="1"/>
      <c r="P464" s="1"/>
      <c r="Q464" s="1" t="s">
        <v>34</v>
      </c>
      <c r="R464" s="1"/>
      <c r="S464" s="1" t="s">
        <v>35</v>
      </c>
      <c r="T464" s="1">
        <v>43.480293000000003</v>
      </c>
      <c r="U464" s="1">
        <v>-72.973685999999901</v>
      </c>
      <c r="V464" s="1" t="s">
        <v>2403</v>
      </c>
      <c r="W464" s="1"/>
      <c r="X464" s="1" t="s">
        <v>37</v>
      </c>
      <c r="Y464" s="1" t="s">
        <v>2122</v>
      </c>
      <c r="Z464" s="1">
        <v>5773</v>
      </c>
    </row>
    <row r="465" spans="1:26" ht="42">
      <c r="A465" s="1" t="str">
        <f>"00097C"</f>
        <v>00097C</v>
      </c>
      <c r="B465" s="1" t="s">
        <v>2404</v>
      </c>
      <c r="C465" s="1" t="s">
        <v>2405</v>
      </c>
      <c r="D465" s="1" t="str">
        <f>"8024967174"</f>
        <v>8024967174</v>
      </c>
      <c r="E465" s="1">
        <v>4029</v>
      </c>
      <c r="F465" s="1" t="s">
        <v>28</v>
      </c>
      <c r="G465" s="1" t="s">
        <v>2406</v>
      </c>
      <c r="H465" s="1">
        <v>5350</v>
      </c>
      <c r="I465" s="1">
        <v>0</v>
      </c>
      <c r="J465" s="1" t="s">
        <v>2407</v>
      </c>
      <c r="K465" s="1" t="s">
        <v>31</v>
      </c>
      <c r="L465" s="1" t="s">
        <v>94</v>
      </c>
      <c r="M465" s="1" t="s">
        <v>2408</v>
      </c>
      <c r="N465" s="2">
        <v>36892</v>
      </c>
      <c r="O465" s="1"/>
      <c r="P465" s="2">
        <v>41485</v>
      </c>
      <c r="Q465" s="1" t="s">
        <v>34</v>
      </c>
      <c r="R465" s="1"/>
      <c r="S465" s="1" t="s">
        <v>35</v>
      </c>
      <c r="T465" s="1">
        <v>44.181480000000001</v>
      </c>
      <c r="U465" s="1">
        <v>-72.8349299999999</v>
      </c>
      <c r="V465" s="1" t="s">
        <v>2409</v>
      </c>
      <c r="W465" s="1"/>
      <c r="X465" s="1" t="s">
        <v>37</v>
      </c>
      <c r="Y465" s="1" t="s">
        <v>96</v>
      </c>
      <c r="Z465" s="1">
        <v>5673</v>
      </c>
    </row>
    <row r="466" spans="1:26" ht="42">
      <c r="A466" s="1" t="str">
        <f>"00097D"</f>
        <v>00097D</v>
      </c>
      <c r="B466" s="1" t="s">
        <v>2410</v>
      </c>
      <c r="C466" s="1" t="s">
        <v>2411</v>
      </c>
      <c r="D466" s="1" t="str">
        <f>"8023771920"</f>
        <v>8023771920</v>
      </c>
      <c r="E466" s="1">
        <v>4030</v>
      </c>
      <c r="F466" s="1" t="s">
        <v>28</v>
      </c>
      <c r="G466" s="1" t="s">
        <v>2412</v>
      </c>
      <c r="H466" s="1"/>
      <c r="I466" s="1">
        <v>3</v>
      </c>
      <c r="J466" s="1" t="s">
        <v>2413</v>
      </c>
      <c r="K466" s="1" t="s">
        <v>333</v>
      </c>
      <c r="L466" s="1" t="s">
        <v>807</v>
      </c>
      <c r="M466" s="1"/>
      <c r="N466" s="2">
        <v>40641</v>
      </c>
      <c r="O466" s="1"/>
      <c r="P466" s="1"/>
      <c r="Q466" s="1" t="s">
        <v>34</v>
      </c>
      <c r="R466" s="1"/>
      <c r="S466" s="1" t="s">
        <v>35</v>
      </c>
      <c r="T466" s="1">
        <v>44.259415699999998</v>
      </c>
      <c r="U466" s="1">
        <v>-73.091506100000004</v>
      </c>
      <c r="V466" s="1" t="s">
        <v>2414</v>
      </c>
      <c r="W466" s="1"/>
      <c r="X466" s="1" t="s">
        <v>37</v>
      </c>
      <c r="Y466" s="1" t="s">
        <v>879</v>
      </c>
      <c r="Z466" s="1">
        <v>5443</v>
      </c>
    </row>
    <row r="467" spans="1:26" ht="42">
      <c r="A467" s="1" t="str">
        <f>"00097F"</f>
        <v>00097F</v>
      </c>
      <c r="B467" s="1" t="s">
        <v>2415</v>
      </c>
      <c r="C467" s="1" t="s">
        <v>2416</v>
      </c>
      <c r="D467" s="1" t="str">
        <f>"8023386572"</f>
        <v>8023386572</v>
      </c>
      <c r="E467" s="1">
        <v>4031</v>
      </c>
      <c r="F467" s="1" t="s">
        <v>28</v>
      </c>
      <c r="G467" s="1" t="s">
        <v>2417</v>
      </c>
      <c r="H467" s="1"/>
      <c r="I467" s="1">
        <v>1</v>
      </c>
      <c r="J467" s="1" t="s">
        <v>2418</v>
      </c>
      <c r="K467" s="1" t="s">
        <v>43</v>
      </c>
      <c r="L467" s="1" t="s">
        <v>364</v>
      </c>
      <c r="M467" s="1" t="s">
        <v>2419</v>
      </c>
      <c r="N467" s="2">
        <v>42634</v>
      </c>
      <c r="O467" s="1"/>
      <c r="P467" s="1"/>
      <c r="Q467" s="1" t="s">
        <v>34</v>
      </c>
      <c r="R467" s="1"/>
      <c r="S467" s="1" t="s">
        <v>35</v>
      </c>
      <c r="T467" s="1">
        <v>44.5108903</v>
      </c>
      <c r="U467" s="1">
        <v>-72.962342799999902</v>
      </c>
      <c r="V467" s="1" t="s">
        <v>2420</v>
      </c>
      <c r="W467" s="1"/>
      <c r="X467" s="1" t="s">
        <v>37</v>
      </c>
      <c r="Y467" s="1" t="s">
        <v>367</v>
      </c>
      <c r="Z467" s="1">
        <v>5465</v>
      </c>
    </row>
    <row r="468" spans="1:26" ht="42">
      <c r="A468" s="1" t="str">
        <f>"00097Z"</f>
        <v>00097Z</v>
      </c>
      <c r="B468" s="1" t="s">
        <v>2421</v>
      </c>
      <c r="C468" s="1" t="s">
        <v>2422</v>
      </c>
      <c r="D468" s="1" t="str">
        <f>"8022234201"</f>
        <v>8022234201</v>
      </c>
      <c r="E468" s="1">
        <v>4047</v>
      </c>
      <c r="F468" s="1" t="s">
        <v>28</v>
      </c>
      <c r="G468" s="1" t="s">
        <v>2423</v>
      </c>
      <c r="H468" s="1">
        <v>5371</v>
      </c>
      <c r="I468" s="1">
        <v>1</v>
      </c>
      <c r="J468" s="1" t="s">
        <v>470</v>
      </c>
      <c r="K468" s="1" t="s">
        <v>31</v>
      </c>
      <c r="L468" s="1" t="s">
        <v>747</v>
      </c>
      <c r="M468" s="1" t="s">
        <v>1909</v>
      </c>
      <c r="N468" s="2">
        <v>36892</v>
      </c>
      <c r="O468" s="2">
        <v>42795</v>
      </c>
      <c r="P468" s="2">
        <v>42145</v>
      </c>
      <c r="Q468" s="1" t="s">
        <v>34</v>
      </c>
      <c r="R468" s="1"/>
      <c r="S468" s="1" t="s">
        <v>35</v>
      </c>
      <c r="T468" s="1">
        <v>44.391057811770303</v>
      </c>
      <c r="U468" s="1">
        <v>-72.572156488895402</v>
      </c>
      <c r="V468" s="1" t="s">
        <v>2424</v>
      </c>
      <c r="W468" s="1"/>
      <c r="X468" s="1" t="s">
        <v>37</v>
      </c>
      <c r="Y468" s="1" t="s">
        <v>750</v>
      </c>
      <c r="Z468" s="1">
        <v>5682</v>
      </c>
    </row>
    <row r="469" spans="1:26" ht="42">
      <c r="A469" s="1" t="str">
        <f>"00097Z"</f>
        <v>00097Z</v>
      </c>
      <c r="B469" s="1" t="s">
        <v>2421</v>
      </c>
      <c r="C469" s="1" t="s">
        <v>2422</v>
      </c>
      <c r="D469" s="1" t="str">
        <f>"8022234201"</f>
        <v>8022234201</v>
      </c>
      <c r="E469" s="1">
        <v>4047</v>
      </c>
      <c r="F469" s="1" t="s">
        <v>28</v>
      </c>
      <c r="G469" s="1" t="s">
        <v>2425</v>
      </c>
      <c r="H469" s="1"/>
      <c r="I469" s="1">
        <v>2</v>
      </c>
      <c r="J469" s="1" t="s">
        <v>2426</v>
      </c>
      <c r="K469" s="1" t="s">
        <v>135</v>
      </c>
      <c r="L469" s="1" t="s">
        <v>1241</v>
      </c>
      <c r="M469" s="1" t="s">
        <v>2427</v>
      </c>
      <c r="N469" s="2">
        <v>40660</v>
      </c>
      <c r="O469" s="2">
        <v>42795</v>
      </c>
      <c r="P469" s="1"/>
      <c r="Q469" s="1" t="s">
        <v>34</v>
      </c>
      <c r="R469" s="1"/>
      <c r="S469" s="1" t="s">
        <v>35</v>
      </c>
      <c r="T469" s="1">
        <v>43.822800786546097</v>
      </c>
      <c r="U469" s="1">
        <v>-73.111497759819002</v>
      </c>
      <c r="V469" s="1" t="s">
        <v>2428</v>
      </c>
      <c r="W469" s="1"/>
      <c r="X469" s="1" t="s">
        <v>37</v>
      </c>
      <c r="Y469" s="1" t="s">
        <v>1244</v>
      </c>
      <c r="Z469" s="1">
        <v>5733</v>
      </c>
    </row>
    <row r="470" spans="1:26" ht="42">
      <c r="A470" s="1" t="str">
        <f>"00097Z"</f>
        <v>00097Z</v>
      </c>
      <c r="B470" s="1" t="s">
        <v>2421</v>
      </c>
      <c r="C470" s="1" t="s">
        <v>2422</v>
      </c>
      <c r="D470" s="1" t="str">
        <f>"8022234201"</f>
        <v>8022234201</v>
      </c>
      <c r="E470" s="1">
        <v>4047</v>
      </c>
      <c r="F470" s="1" t="s">
        <v>28</v>
      </c>
      <c r="G470" s="1" t="s">
        <v>2429</v>
      </c>
      <c r="H470" s="1"/>
      <c r="I470" s="1">
        <v>2</v>
      </c>
      <c r="J470" s="1">
        <v>1</v>
      </c>
      <c r="K470" s="1" t="s">
        <v>31</v>
      </c>
      <c r="L470" s="1" t="s">
        <v>1303</v>
      </c>
      <c r="M470" s="1" t="s">
        <v>2430</v>
      </c>
      <c r="N470" s="2">
        <v>42887</v>
      </c>
      <c r="O470" s="1"/>
      <c r="P470" s="1"/>
      <c r="Q470" s="1" t="s">
        <v>34</v>
      </c>
      <c r="R470" s="1"/>
      <c r="S470" s="1" t="s">
        <v>35</v>
      </c>
      <c r="T470" s="1">
        <v>44.297043000000002</v>
      </c>
      <c r="U470" s="1">
        <v>-72.477463</v>
      </c>
      <c r="V470" s="1" t="s">
        <v>2431</v>
      </c>
      <c r="W470" s="1"/>
      <c r="X470" s="1" t="s">
        <v>37</v>
      </c>
      <c r="Y470" s="1" t="s">
        <v>1306</v>
      </c>
      <c r="Z470" s="1">
        <v>5651</v>
      </c>
    </row>
    <row r="471" spans="1:26" ht="42">
      <c r="A471" s="1" t="str">
        <f>"000980"</f>
        <v>000980</v>
      </c>
      <c r="B471" s="1" t="s">
        <v>2432</v>
      </c>
      <c r="C471" s="1" t="s">
        <v>2433</v>
      </c>
      <c r="D471" s="1" t="str">
        <f>"8029334411"</f>
        <v>8029334411</v>
      </c>
      <c r="E471" s="1">
        <v>4048</v>
      </c>
      <c r="F471" s="1" t="s">
        <v>28</v>
      </c>
      <c r="G471" s="1" t="s">
        <v>2434</v>
      </c>
      <c r="H471" s="1">
        <v>5372</v>
      </c>
      <c r="I471" s="1">
        <v>0</v>
      </c>
      <c r="J471" s="1" t="s">
        <v>2435</v>
      </c>
      <c r="K471" s="1" t="s">
        <v>152</v>
      </c>
      <c r="L471" s="1" t="s">
        <v>1514</v>
      </c>
      <c r="M471" s="1" t="s">
        <v>2435</v>
      </c>
      <c r="N471" s="2">
        <v>36892</v>
      </c>
      <c r="O471" s="1"/>
      <c r="P471" s="1"/>
      <c r="Q471" s="1" t="s">
        <v>34</v>
      </c>
      <c r="R471" s="1"/>
      <c r="S471" s="1" t="s">
        <v>35</v>
      </c>
      <c r="T471" s="1">
        <v>44.921855999999998</v>
      </c>
      <c r="U471" s="1">
        <v>-72.948989999999895</v>
      </c>
      <c r="V471" s="1" t="s">
        <v>2436</v>
      </c>
      <c r="W471" s="1"/>
      <c r="X471" s="1" t="s">
        <v>37</v>
      </c>
      <c r="Y471" s="1" t="s">
        <v>1509</v>
      </c>
      <c r="Z471" s="1">
        <v>5457</v>
      </c>
    </row>
    <row r="472" spans="1:26" ht="42">
      <c r="A472" s="1" t="str">
        <f>"000980"</f>
        <v>000980</v>
      </c>
      <c r="B472" s="1" t="s">
        <v>2432</v>
      </c>
      <c r="C472" s="1" t="s">
        <v>2433</v>
      </c>
      <c r="D472" s="1" t="str">
        <f>"8029334411"</f>
        <v>8029334411</v>
      </c>
      <c r="E472" s="1">
        <v>4048</v>
      </c>
      <c r="F472" s="1" t="s">
        <v>28</v>
      </c>
      <c r="G472" s="1" t="s">
        <v>2437</v>
      </c>
      <c r="H472" s="1"/>
      <c r="I472" s="1">
        <v>5</v>
      </c>
      <c r="J472" s="1" t="s">
        <v>2438</v>
      </c>
      <c r="K472" s="1" t="s">
        <v>152</v>
      </c>
      <c r="L472" s="1"/>
      <c r="M472" s="1" t="s">
        <v>2439</v>
      </c>
      <c r="N472" s="2">
        <v>42529</v>
      </c>
      <c r="O472" s="1"/>
      <c r="P472" s="1"/>
      <c r="Q472" s="1" t="s">
        <v>34</v>
      </c>
      <c r="R472" s="1"/>
      <c r="S472" s="1" t="s">
        <v>35</v>
      </c>
      <c r="T472" s="1">
        <v>44.936318999999997</v>
      </c>
      <c r="U472" s="1">
        <v>-72.797325999999998</v>
      </c>
      <c r="V472" s="1" t="s">
        <v>2440</v>
      </c>
      <c r="W472" s="1"/>
      <c r="X472" s="1" t="s">
        <v>37</v>
      </c>
      <c r="Y472" s="1" t="s">
        <v>1489</v>
      </c>
      <c r="Z472" s="1">
        <v>5450</v>
      </c>
    </row>
    <row r="473" spans="1:26" ht="42">
      <c r="A473" s="1" t="str">
        <f>"000982"</f>
        <v>000982</v>
      </c>
      <c r="B473" s="1" t="s">
        <v>2441</v>
      </c>
      <c r="C473" s="1" t="s">
        <v>2442</v>
      </c>
      <c r="D473" s="1" t="str">
        <f>"8028499884"</f>
        <v>8028499884</v>
      </c>
      <c r="E473" s="1">
        <v>4050</v>
      </c>
      <c r="F473" s="1" t="s">
        <v>28</v>
      </c>
      <c r="G473" s="1" t="s">
        <v>2443</v>
      </c>
      <c r="H473" s="1">
        <v>5374</v>
      </c>
      <c r="I473" s="1">
        <v>30</v>
      </c>
      <c r="J473" s="1" t="s">
        <v>410</v>
      </c>
      <c r="K473" s="1" t="s">
        <v>152</v>
      </c>
      <c r="L473" s="1" t="s">
        <v>1048</v>
      </c>
      <c r="M473" s="1" t="s">
        <v>2444</v>
      </c>
      <c r="N473" s="2">
        <v>36892</v>
      </c>
      <c r="O473" s="1"/>
      <c r="P473" s="2">
        <v>42494</v>
      </c>
      <c r="Q473" s="1" t="s">
        <v>34</v>
      </c>
      <c r="R473" s="1"/>
      <c r="S473" s="1" t="s">
        <v>35</v>
      </c>
      <c r="T473" s="1">
        <v>44.669210999999997</v>
      </c>
      <c r="U473" s="1">
        <v>-72.987432999999996</v>
      </c>
      <c r="V473" s="1" t="s">
        <v>2445</v>
      </c>
      <c r="W473" s="1"/>
      <c r="X473" s="1" t="s">
        <v>37</v>
      </c>
      <c r="Y473" s="1" t="s">
        <v>1051</v>
      </c>
      <c r="Z473" s="1">
        <v>5454</v>
      </c>
    </row>
    <row r="474" spans="1:26" ht="42">
      <c r="A474" s="1" t="str">
        <f>"000982"</f>
        <v>000982</v>
      </c>
      <c r="B474" s="1" t="s">
        <v>2441</v>
      </c>
      <c r="C474" s="1" t="s">
        <v>2442</v>
      </c>
      <c r="D474" s="1" t="str">
        <f>"8028499884"</f>
        <v>8028499884</v>
      </c>
      <c r="E474" s="1">
        <v>4050</v>
      </c>
      <c r="F474" s="1" t="s">
        <v>28</v>
      </c>
      <c r="G474" s="1" t="s">
        <v>2446</v>
      </c>
      <c r="H474" s="1"/>
      <c r="I474" s="1">
        <v>2</v>
      </c>
      <c r="J474" s="1" t="s">
        <v>2447</v>
      </c>
      <c r="K474" s="1" t="s">
        <v>43</v>
      </c>
      <c r="L474" s="1" t="s">
        <v>778</v>
      </c>
      <c r="M474" s="1" t="s">
        <v>2448</v>
      </c>
      <c r="N474" s="2">
        <v>40649</v>
      </c>
      <c r="O474" s="1"/>
      <c r="P474" s="1"/>
      <c r="Q474" s="1" t="s">
        <v>34</v>
      </c>
      <c r="R474" s="1"/>
      <c r="S474" s="1" t="s">
        <v>35</v>
      </c>
      <c r="T474" s="1">
        <v>44.541499999999999</v>
      </c>
      <c r="U474" s="1">
        <v>-73.252375000000001</v>
      </c>
      <c r="V474" s="1" t="s">
        <v>2449</v>
      </c>
      <c r="W474" s="1"/>
      <c r="X474" s="1" t="s">
        <v>37</v>
      </c>
      <c r="Y474" s="1" t="s">
        <v>781</v>
      </c>
      <c r="Z474" s="1">
        <v>5446</v>
      </c>
    </row>
    <row r="475" spans="1:26" ht="42">
      <c r="A475" s="1" t="str">
        <f>"000982"</f>
        <v>000982</v>
      </c>
      <c r="B475" s="1" t="s">
        <v>2441</v>
      </c>
      <c r="C475" s="1" t="s">
        <v>2442</v>
      </c>
      <c r="D475" s="1" t="str">
        <f>"8028499884"</f>
        <v>8028499884</v>
      </c>
      <c r="E475" s="1">
        <v>4050</v>
      </c>
      <c r="F475" s="1" t="s">
        <v>28</v>
      </c>
      <c r="G475" s="1" t="s">
        <v>2450</v>
      </c>
      <c r="H475" s="1"/>
      <c r="I475" s="1">
        <v>4</v>
      </c>
      <c r="J475" s="1" t="s">
        <v>2451</v>
      </c>
      <c r="K475" s="1" t="s">
        <v>152</v>
      </c>
      <c r="L475" s="1" t="s">
        <v>1048</v>
      </c>
      <c r="M475" s="1" t="s">
        <v>2452</v>
      </c>
      <c r="N475" s="2">
        <v>41463</v>
      </c>
      <c r="O475" s="1"/>
      <c r="P475" s="1"/>
      <c r="Q475" s="1" t="s">
        <v>34</v>
      </c>
      <c r="R475" s="1"/>
      <c r="S475" s="1" t="s">
        <v>35</v>
      </c>
      <c r="T475" s="1">
        <v>44.742058</v>
      </c>
      <c r="U475" s="1">
        <v>-73.049242000000007</v>
      </c>
      <c r="V475" s="1" t="s">
        <v>2453</v>
      </c>
      <c r="W475" s="1"/>
      <c r="X475" s="1" t="s">
        <v>37</v>
      </c>
      <c r="Y475" s="1" t="s">
        <v>1051</v>
      </c>
      <c r="Z475" s="1">
        <v>5454</v>
      </c>
    </row>
    <row r="476" spans="1:26" ht="42">
      <c r="A476" s="1" t="str">
        <f>"000982"</f>
        <v>000982</v>
      </c>
      <c r="B476" s="1" t="s">
        <v>2441</v>
      </c>
      <c r="C476" s="1" t="s">
        <v>2442</v>
      </c>
      <c r="D476" s="1" t="str">
        <f>"8028499884"</f>
        <v>8028499884</v>
      </c>
      <c r="E476" s="1">
        <v>4050</v>
      </c>
      <c r="F476" s="1" t="s">
        <v>28</v>
      </c>
      <c r="G476" s="1" t="s">
        <v>2454</v>
      </c>
      <c r="H476" s="1"/>
      <c r="I476" s="1">
        <v>3</v>
      </c>
      <c r="J476" s="1" t="s">
        <v>2455</v>
      </c>
      <c r="K476" s="1" t="s">
        <v>43</v>
      </c>
      <c r="L476" s="1" t="s">
        <v>112</v>
      </c>
      <c r="M476" s="1" t="s">
        <v>2456</v>
      </c>
      <c r="N476" s="2">
        <v>41463</v>
      </c>
      <c r="O476" s="1"/>
      <c r="P476" s="1"/>
      <c r="Q476" s="1" t="s">
        <v>34</v>
      </c>
      <c r="R476" s="1"/>
      <c r="S476" s="1" t="s">
        <v>35</v>
      </c>
      <c r="T476" s="1">
        <v>44.626142000000002</v>
      </c>
      <c r="U476" s="1">
        <v>-72.889222000000004</v>
      </c>
      <c r="V476" s="1" t="s">
        <v>2457</v>
      </c>
      <c r="W476" s="1"/>
      <c r="X476" s="1" t="s">
        <v>37</v>
      </c>
      <c r="Y476" s="1" t="s">
        <v>115</v>
      </c>
      <c r="Z476" s="1">
        <v>5489</v>
      </c>
    </row>
    <row r="477" spans="1:26" ht="42">
      <c r="A477" s="1" t="str">
        <f>"000982"</f>
        <v>000982</v>
      </c>
      <c r="B477" s="1" t="s">
        <v>2441</v>
      </c>
      <c r="C477" s="1" t="s">
        <v>2442</v>
      </c>
      <c r="D477" s="1" t="str">
        <f>"8028499884"</f>
        <v>8028499884</v>
      </c>
      <c r="E477" s="1">
        <v>4050</v>
      </c>
      <c r="F477" s="1" t="s">
        <v>28</v>
      </c>
      <c r="G477" s="1" t="s">
        <v>2458</v>
      </c>
      <c r="H477" s="1"/>
      <c r="I477" s="1">
        <v>10</v>
      </c>
      <c r="J477" s="1" t="s">
        <v>2459</v>
      </c>
      <c r="K477" s="1" t="s">
        <v>43</v>
      </c>
      <c r="L477" s="1" t="s">
        <v>317</v>
      </c>
      <c r="M477" s="1" t="s">
        <v>2460</v>
      </c>
      <c r="N477" s="2">
        <v>41463</v>
      </c>
      <c r="O477" s="1"/>
      <c r="P477" s="1"/>
      <c r="Q477" s="1" t="s">
        <v>34</v>
      </c>
      <c r="R477" s="1"/>
      <c r="S477" s="1" t="s">
        <v>35</v>
      </c>
      <c r="T477" s="1">
        <v>44.636699999999998</v>
      </c>
      <c r="U477" s="1">
        <v>-73.015243999999996</v>
      </c>
      <c r="V477" s="1" t="s">
        <v>2461</v>
      </c>
      <c r="W477" s="1"/>
      <c r="X477" s="1" t="s">
        <v>37</v>
      </c>
      <c r="Y477" s="1" t="s">
        <v>320</v>
      </c>
      <c r="Z477" s="1">
        <v>5494</v>
      </c>
    </row>
    <row r="478" spans="1:26" ht="28">
      <c r="A478" s="1" t="str">
        <f>"000985"</f>
        <v>000985</v>
      </c>
      <c r="B478" s="1" t="s">
        <v>2462</v>
      </c>
      <c r="C478" s="1" t="s">
        <v>2463</v>
      </c>
      <c r="D478" s="1"/>
      <c r="E478" s="1">
        <v>4053</v>
      </c>
      <c r="F478" s="1" t="s">
        <v>28</v>
      </c>
      <c r="G478" s="1" t="s">
        <v>2464</v>
      </c>
      <c r="H478" s="1">
        <v>5378</v>
      </c>
      <c r="I478" s="1">
        <v>2</v>
      </c>
      <c r="J478" s="1" t="s">
        <v>2465</v>
      </c>
      <c r="K478" s="1" t="s">
        <v>59</v>
      </c>
      <c r="L478" s="1" t="s">
        <v>2466</v>
      </c>
      <c r="M478" s="1" t="s">
        <v>2467</v>
      </c>
      <c r="N478" s="2">
        <v>36892</v>
      </c>
      <c r="O478" s="1"/>
      <c r="P478" s="2">
        <v>41146</v>
      </c>
      <c r="Q478" s="1" t="s">
        <v>34</v>
      </c>
      <c r="R478" s="1"/>
      <c r="S478" s="1" t="s">
        <v>35</v>
      </c>
      <c r="T478" s="1">
        <v>44.490147</v>
      </c>
      <c r="U478" s="1">
        <v>-72.032218999999998</v>
      </c>
      <c r="V478" s="1" t="s">
        <v>2468</v>
      </c>
      <c r="W478" s="1"/>
      <c r="X478" s="1" t="s">
        <v>37</v>
      </c>
      <c r="Y478" s="1" t="s">
        <v>2469</v>
      </c>
      <c r="Z478" s="1">
        <v>5819</v>
      </c>
    </row>
    <row r="479" spans="1:26" ht="42">
      <c r="A479" s="1" t="str">
        <f>"000988"</f>
        <v>000988</v>
      </c>
      <c r="B479" s="1" t="s">
        <v>2470</v>
      </c>
      <c r="C479" s="1" t="s">
        <v>2471</v>
      </c>
      <c r="D479" s="1" t="str">
        <f>"8026585573"</f>
        <v>8026585573</v>
      </c>
      <c r="E479" s="1">
        <v>4056</v>
      </c>
      <c r="F479" s="1" t="s">
        <v>28</v>
      </c>
      <c r="G479" s="1" t="s">
        <v>2472</v>
      </c>
      <c r="H479" s="1">
        <v>5381</v>
      </c>
      <c r="I479" s="1">
        <v>2</v>
      </c>
      <c r="J479" s="1" t="s">
        <v>2473</v>
      </c>
      <c r="K479" s="1" t="s">
        <v>43</v>
      </c>
      <c r="L479" s="1" t="s">
        <v>44</v>
      </c>
      <c r="M479" s="1" t="s">
        <v>2474</v>
      </c>
      <c r="N479" s="2">
        <v>36892</v>
      </c>
      <c r="O479" s="1"/>
      <c r="P479" s="1"/>
      <c r="Q479" s="1" t="s">
        <v>34</v>
      </c>
      <c r="R479" s="1"/>
      <c r="S479" s="1" t="s">
        <v>35</v>
      </c>
      <c r="T479" s="1">
        <v>44.467039999999997</v>
      </c>
      <c r="U479" s="1">
        <v>-73.211548999999906</v>
      </c>
      <c r="V479" s="1" t="s">
        <v>2475</v>
      </c>
      <c r="W479" s="1"/>
      <c r="X479" s="1" t="s">
        <v>37</v>
      </c>
      <c r="Y479" s="1" t="s">
        <v>46</v>
      </c>
      <c r="Z479" s="1">
        <v>5401</v>
      </c>
    </row>
    <row r="480" spans="1:26" ht="42">
      <c r="A480" s="1" t="str">
        <f>"000989"</f>
        <v>000989</v>
      </c>
      <c r="B480" s="1" t="s">
        <v>2476</v>
      </c>
      <c r="C480" s="1" t="s">
        <v>2477</v>
      </c>
      <c r="D480" s="1" t="str">
        <f>"8023339667"</f>
        <v>8023339667</v>
      </c>
      <c r="E480" s="1">
        <v>4057</v>
      </c>
      <c r="F480" s="1" t="s">
        <v>28</v>
      </c>
      <c r="G480" s="1" t="s">
        <v>2478</v>
      </c>
      <c r="H480" s="1">
        <v>5382</v>
      </c>
      <c r="I480" s="1">
        <v>4</v>
      </c>
      <c r="J480" s="1" t="s">
        <v>2479</v>
      </c>
      <c r="K480" s="1" t="s">
        <v>68</v>
      </c>
      <c r="L480" s="1" t="s">
        <v>69</v>
      </c>
      <c r="M480" s="1" t="s">
        <v>2480</v>
      </c>
      <c r="N480" s="2">
        <v>36892</v>
      </c>
      <c r="O480" s="1"/>
      <c r="P480" s="2">
        <v>40703</v>
      </c>
      <c r="Q480" s="1" t="s">
        <v>34</v>
      </c>
      <c r="R480" s="1"/>
      <c r="S480" s="1" t="s">
        <v>35</v>
      </c>
      <c r="T480" s="1">
        <v>43.842226400000001</v>
      </c>
      <c r="U480" s="1">
        <v>-72.184208399999903</v>
      </c>
      <c r="V480" s="1" t="s">
        <v>2481</v>
      </c>
      <c r="W480" s="1"/>
      <c r="X480" s="1" t="s">
        <v>37</v>
      </c>
      <c r="Y480" s="1" t="s">
        <v>2482</v>
      </c>
      <c r="Z480" s="1">
        <v>5454</v>
      </c>
    </row>
    <row r="481" spans="1:26" ht="42">
      <c r="A481" s="1" t="str">
        <f>"000989"</f>
        <v>000989</v>
      </c>
      <c r="B481" s="1" t="s">
        <v>2476</v>
      </c>
      <c r="C481" s="1" t="s">
        <v>2477</v>
      </c>
      <c r="D481" s="1" t="str">
        <f>"8023339667"</f>
        <v>8023339667</v>
      </c>
      <c r="E481" s="1">
        <v>4057</v>
      </c>
      <c r="F481" s="1" t="s">
        <v>28</v>
      </c>
      <c r="G481" s="1" t="s">
        <v>2483</v>
      </c>
      <c r="H481" s="1"/>
      <c r="I481" s="1">
        <v>2</v>
      </c>
      <c r="J481" s="1" t="s">
        <v>2484</v>
      </c>
      <c r="K481" s="1" t="s">
        <v>68</v>
      </c>
      <c r="L481" s="1" t="s">
        <v>69</v>
      </c>
      <c r="M481" s="1" t="s">
        <v>2484</v>
      </c>
      <c r="N481" s="2">
        <v>40664</v>
      </c>
      <c r="O481" s="1"/>
      <c r="P481" s="2">
        <v>40703</v>
      </c>
      <c r="Q481" s="1" t="s">
        <v>34</v>
      </c>
      <c r="R481" s="1"/>
      <c r="S481" s="1" t="s">
        <v>35</v>
      </c>
      <c r="T481" s="1"/>
      <c r="U481" s="1"/>
      <c r="V481" s="1" t="s">
        <v>2485</v>
      </c>
      <c r="W481" s="1"/>
      <c r="X481" s="1" t="s">
        <v>37</v>
      </c>
      <c r="Y481" s="1" t="s">
        <v>502</v>
      </c>
      <c r="Z481" s="1">
        <v>0</v>
      </c>
    </row>
    <row r="482" spans="1:26" ht="42">
      <c r="A482" s="1" t="str">
        <f>"000989"</f>
        <v>000989</v>
      </c>
      <c r="B482" s="1" t="s">
        <v>2476</v>
      </c>
      <c r="C482" s="1" t="s">
        <v>2477</v>
      </c>
      <c r="D482" s="1" t="str">
        <f>"8023339667"</f>
        <v>8023339667</v>
      </c>
      <c r="E482" s="1">
        <v>4057</v>
      </c>
      <c r="F482" s="1" t="s">
        <v>28</v>
      </c>
      <c r="G482" s="1" t="s">
        <v>2486</v>
      </c>
      <c r="H482" s="1"/>
      <c r="I482" s="1">
        <v>0</v>
      </c>
      <c r="J482" s="1" t="s">
        <v>2487</v>
      </c>
      <c r="K482" s="1" t="s">
        <v>77</v>
      </c>
      <c r="L482" s="1" t="s">
        <v>1391</v>
      </c>
      <c r="M482" s="1" t="s">
        <v>2488</v>
      </c>
      <c r="N482" s="2">
        <v>41030</v>
      </c>
      <c r="O482" s="1"/>
      <c r="P482" s="2">
        <v>40703</v>
      </c>
      <c r="Q482" s="1" t="s">
        <v>105</v>
      </c>
      <c r="R482" s="1"/>
      <c r="S482" s="1" t="s">
        <v>35</v>
      </c>
      <c r="T482" s="1"/>
      <c r="U482" s="1"/>
      <c r="V482" s="1" t="s">
        <v>2489</v>
      </c>
      <c r="W482" s="1"/>
      <c r="X482" s="1" t="s">
        <v>37</v>
      </c>
      <c r="Y482" s="1" t="s">
        <v>1392</v>
      </c>
      <c r="Z482" s="1">
        <v>0</v>
      </c>
    </row>
    <row r="483" spans="1:26" ht="42">
      <c r="A483" s="1" t="str">
        <f>"00098G"</f>
        <v>00098G</v>
      </c>
      <c r="B483" s="1" t="s">
        <v>2490</v>
      </c>
      <c r="C483" s="1" t="s">
        <v>2491</v>
      </c>
      <c r="D483" s="1" t="str">
        <f>"8027750389"</f>
        <v>8027750389</v>
      </c>
      <c r="E483" s="1">
        <v>4064</v>
      </c>
      <c r="F483" s="1" t="s">
        <v>28</v>
      </c>
      <c r="G483" s="1" t="s">
        <v>2492</v>
      </c>
      <c r="H483" s="1"/>
      <c r="I483" s="1">
        <v>2</v>
      </c>
      <c r="J483" s="1" t="s">
        <v>2493</v>
      </c>
      <c r="K483" s="1" t="s">
        <v>135</v>
      </c>
      <c r="L483" s="1" t="s">
        <v>195</v>
      </c>
      <c r="M483" s="1" t="s">
        <v>2494</v>
      </c>
      <c r="N483" s="2">
        <v>42167</v>
      </c>
      <c r="O483" s="1"/>
      <c r="P483" s="1"/>
      <c r="Q483" s="1" t="s">
        <v>34</v>
      </c>
      <c r="R483" s="1"/>
      <c r="S483" s="1" t="s">
        <v>35</v>
      </c>
      <c r="T483" s="1"/>
      <c r="U483" s="1"/>
      <c r="V483" s="1" t="s">
        <v>158</v>
      </c>
      <c r="W483" s="1"/>
      <c r="X483" s="1" t="s">
        <v>37</v>
      </c>
      <c r="Y483" s="1" t="s">
        <v>195</v>
      </c>
      <c r="Z483" s="1">
        <v>5701</v>
      </c>
    </row>
    <row r="484" spans="1:26" ht="42">
      <c r="A484" s="1" t="str">
        <f>"00098M"</f>
        <v>00098M</v>
      </c>
      <c r="B484" s="1" t="s">
        <v>2495</v>
      </c>
      <c r="C484" s="1" t="s">
        <v>2496</v>
      </c>
      <c r="D484" s="1" t="str">
        <f>"8024856942"</f>
        <v>8024856942</v>
      </c>
      <c r="E484" s="1">
        <v>4071</v>
      </c>
      <c r="F484" s="1" t="s">
        <v>28</v>
      </c>
      <c r="G484" s="1" t="s">
        <v>2497</v>
      </c>
      <c r="H484" s="1">
        <v>5396</v>
      </c>
      <c r="I484" s="1">
        <v>2</v>
      </c>
      <c r="J484" s="1" t="s">
        <v>2498</v>
      </c>
      <c r="K484" s="1" t="s">
        <v>31</v>
      </c>
      <c r="L484" s="1" t="s">
        <v>702</v>
      </c>
      <c r="M484" s="1" t="s">
        <v>2499</v>
      </c>
      <c r="N484" s="2">
        <v>36892</v>
      </c>
      <c r="O484" s="1"/>
      <c r="P484" s="1"/>
      <c r="Q484" s="1" t="s">
        <v>34</v>
      </c>
      <c r="R484" s="1"/>
      <c r="S484" s="1" t="s">
        <v>35</v>
      </c>
      <c r="T484" s="1">
        <v>44.144037367062602</v>
      </c>
      <c r="U484" s="1">
        <v>-72.655860185623098</v>
      </c>
      <c r="V484" s="1" t="s">
        <v>2500</v>
      </c>
      <c r="W484" s="1"/>
      <c r="X484" s="1" t="s">
        <v>37</v>
      </c>
      <c r="Y484" s="1" t="s">
        <v>2501</v>
      </c>
      <c r="Z484" s="1">
        <v>5664</v>
      </c>
    </row>
    <row r="485" spans="1:26" ht="42">
      <c r="A485" s="1" t="str">
        <f>"00098Q"</f>
        <v>00098Q</v>
      </c>
      <c r="B485" s="1" t="s">
        <v>2502</v>
      </c>
      <c r="C485" s="1" t="s">
        <v>2503</v>
      </c>
      <c r="D485" s="1" t="str">
        <f>"8022359429"</f>
        <v>8022359429</v>
      </c>
      <c r="E485" s="1">
        <v>4075</v>
      </c>
      <c r="F485" s="1" t="s">
        <v>28</v>
      </c>
      <c r="G485" s="1" t="s">
        <v>2504</v>
      </c>
      <c r="H485" s="1">
        <v>5400</v>
      </c>
      <c r="I485" s="1">
        <v>1</v>
      </c>
      <c r="J485" s="1" t="s">
        <v>2505</v>
      </c>
      <c r="K485" s="1" t="s">
        <v>135</v>
      </c>
      <c r="L485" s="1" t="s">
        <v>2337</v>
      </c>
      <c r="M485" s="1" t="s">
        <v>2506</v>
      </c>
      <c r="N485" s="2">
        <v>36892</v>
      </c>
      <c r="O485" s="1"/>
      <c r="P485" s="1"/>
      <c r="Q485" s="1" t="s">
        <v>34</v>
      </c>
      <c r="R485" s="1"/>
      <c r="S485" s="1" t="s">
        <v>35</v>
      </c>
      <c r="T485" s="1">
        <v>43.485558999999903</v>
      </c>
      <c r="U485" s="1">
        <v>-73.1233138999999</v>
      </c>
      <c r="V485" s="1" t="s">
        <v>2507</v>
      </c>
      <c r="W485" s="1"/>
      <c r="X485" s="1" t="s">
        <v>37</v>
      </c>
      <c r="Y485" s="1" t="s">
        <v>2340</v>
      </c>
      <c r="Z485" s="1">
        <v>5757</v>
      </c>
    </row>
    <row r="486" spans="1:26" ht="42">
      <c r="A486" s="1" t="str">
        <f>"00098X"</f>
        <v>00098X</v>
      </c>
      <c r="B486" s="1" t="s">
        <v>2508</v>
      </c>
      <c r="C486" s="1" t="s">
        <v>2509</v>
      </c>
      <c r="D486" s="1" t="str">
        <f>"8024462985"</f>
        <v>8024462985</v>
      </c>
      <c r="E486" s="1">
        <v>4078</v>
      </c>
      <c r="F486" s="1" t="s">
        <v>28</v>
      </c>
      <c r="G486" s="1" t="s">
        <v>2510</v>
      </c>
      <c r="H486" s="1">
        <v>5403</v>
      </c>
      <c r="I486" s="1">
        <v>0</v>
      </c>
      <c r="J486" s="1" t="s">
        <v>2511</v>
      </c>
      <c r="K486" s="1" t="s">
        <v>135</v>
      </c>
      <c r="L486" s="1" t="s">
        <v>2119</v>
      </c>
      <c r="M486" s="1" t="s">
        <v>2512</v>
      </c>
      <c r="N486" s="2">
        <v>36892</v>
      </c>
      <c r="O486" s="1"/>
      <c r="P486" s="1"/>
      <c r="Q486" s="1" t="s">
        <v>34</v>
      </c>
      <c r="R486" s="1"/>
      <c r="S486" s="1" t="s">
        <v>35</v>
      </c>
      <c r="T486" s="1">
        <v>43.416187000000001</v>
      </c>
      <c r="U486" s="1">
        <v>-72.988556000000003</v>
      </c>
      <c r="V486" s="1" t="s">
        <v>2513</v>
      </c>
      <c r="W486" s="1"/>
      <c r="X486" s="1" t="s">
        <v>37</v>
      </c>
      <c r="Y486" s="1" t="s">
        <v>2122</v>
      </c>
      <c r="Z486" s="1">
        <v>5773</v>
      </c>
    </row>
    <row r="487" spans="1:26" ht="42">
      <c r="A487" s="1" t="str">
        <f>"00098X"</f>
        <v>00098X</v>
      </c>
      <c r="B487" s="1" t="s">
        <v>2508</v>
      </c>
      <c r="C487" s="1" t="s">
        <v>2509</v>
      </c>
      <c r="D487" s="1" t="str">
        <f>"8024462985"</f>
        <v>8024462985</v>
      </c>
      <c r="E487" s="1">
        <v>4078</v>
      </c>
      <c r="F487" s="1" t="s">
        <v>28</v>
      </c>
      <c r="G487" s="1" t="s">
        <v>2514</v>
      </c>
      <c r="H487" s="1"/>
      <c r="I487" s="1">
        <v>1</v>
      </c>
      <c r="J487" s="1" t="s">
        <v>2515</v>
      </c>
      <c r="K487" s="1" t="s">
        <v>135</v>
      </c>
      <c r="L487" s="1" t="s">
        <v>2516</v>
      </c>
      <c r="M487" s="1" t="s">
        <v>2517</v>
      </c>
      <c r="N487" s="2">
        <v>42921</v>
      </c>
      <c r="O487" s="1"/>
      <c r="P487" s="1"/>
      <c r="Q487" s="1" t="s">
        <v>34</v>
      </c>
      <c r="R487" s="1"/>
      <c r="S487" s="1" t="s">
        <v>35</v>
      </c>
      <c r="T487" s="1"/>
      <c r="U487" s="1"/>
      <c r="V487" s="1" t="s">
        <v>2518</v>
      </c>
      <c r="W487" s="1"/>
      <c r="X487" s="1" t="s">
        <v>37</v>
      </c>
      <c r="Y487" s="1" t="s">
        <v>135</v>
      </c>
      <c r="Z487" s="1">
        <v>5701</v>
      </c>
    </row>
    <row r="488" spans="1:26" ht="42">
      <c r="A488" s="1" t="str">
        <f>"00098X"</f>
        <v>00098X</v>
      </c>
      <c r="B488" s="1" t="s">
        <v>2508</v>
      </c>
      <c r="C488" s="1" t="s">
        <v>2509</v>
      </c>
      <c r="D488" s="1" t="str">
        <f>"8024462985"</f>
        <v>8024462985</v>
      </c>
      <c r="E488" s="1">
        <v>4078</v>
      </c>
      <c r="F488" s="1" t="s">
        <v>28</v>
      </c>
      <c r="G488" s="1" t="s">
        <v>2519</v>
      </c>
      <c r="H488" s="1"/>
      <c r="I488" s="1">
        <v>1</v>
      </c>
      <c r="J488" s="1" t="s">
        <v>2520</v>
      </c>
      <c r="K488" s="1" t="s">
        <v>135</v>
      </c>
      <c r="L488" s="1" t="s">
        <v>1231</v>
      </c>
      <c r="M488" s="1" t="s">
        <v>2521</v>
      </c>
      <c r="N488" s="2">
        <v>42921</v>
      </c>
      <c r="O488" s="1"/>
      <c r="P488" s="1"/>
      <c r="Q488" s="1" t="s">
        <v>34</v>
      </c>
      <c r="R488" s="1"/>
      <c r="S488" s="1" t="s">
        <v>35</v>
      </c>
      <c r="T488" s="1"/>
      <c r="U488" s="1"/>
      <c r="V488" s="1" t="s">
        <v>2522</v>
      </c>
      <c r="W488" s="1"/>
      <c r="X488" s="1" t="s">
        <v>37</v>
      </c>
      <c r="Y488" s="1" t="s">
        <v>1238</v>
      </c>
      <c r="Z488" s="1">
        <v>5763</v>
      </c>
    </row>
    <row r="489" spans="1:26" ht="42">
      <c r="A489" s="1" t="str">
        <f>"00098Y"</f>
        <v>00098Y</v>
      </c>
      <c r="B489" s="1" t="s">
        <v>2523</v>
      </c>
      <c r="C489" s="1" t="s">
        <v>2524</v>
      </c>
      <c r="D489" s="1" t="str">
        <f>"8023092492"</f>
        <v>8023092492</v>
      </c>
      <c r="E489" s="1">
        <v>4079</v>
      </c>
      <c r="F489" s="1" t="s">
        <v>28</v>
      </c>
      <c r="G489" s="1" t="s">
        <v>2525</v>
      </c>
      <c r="H489" s="1">
        <v>5404</v>
      </c>
      <c r="I489" s="1">
        <v>1</v>
      </c>
      <c r="J489" s="1" t="s">
        <v>2526</v>
      </c>
      <c r="K489" s="1" t="s">
        <v>43</v>
      </c>
      <c r="L489" s="1" t="s">
        <v>86</v>
      </c>
      <c r="M489" s="1" t="s">
        <v>2527</v>
      </c>
      <c r="N489" s="2">
        <v>36892</v>
      </c>
      <c r="O489" s="1"/>
      <c r="P489" s="2">
        <v>41442</v>
      </c>
      <c r="Q489" s="1" t="s">
        <v>34</v>
      </c>
      <c r="R489" s="1"/>
      <c r="S489" s="1" t="s">
        <v>35</v>
      </c>
      <c r="T489" s="1">
        <v>44.614682405570903</v>
      </c>
      <c r="U489" s="1">
        <v>-73.201711177825899</v>
      </c>
      <c r="V489" s="1" t="s">
        <v>2528</v>
      </c>
      <c r="W489" s="1"/>
      <c r="X489" s="1" t="s">
        <v>37</v>
      </c>
      <c r="Y489" s="1" t="s">
        <v>89</v>
      </c>
      <c r="Z489" s="1">
        <v>5468</v>
      </c>
    </row>
    <row r="490" spans="1:26" ht="42">
      <c r="A490" s="1" t="str">
        <f>"00098Y"</f>
        <v>00098Y</v>
      </c>
      <c r="B490" s="1" t="s">
        <v>2523</v>
      </c>
      <c r="C490" s="1" t="s">
        <v>2524</v>
      </c>
      <c r="D490" s="1" t="str">
        <f>"8023092492"</f>
        <v>8023092492</v>
      </c>
      <c r="E490" s="1">
        <v>4079</v>
      </c>
      <c r="F490" s="1" t="s">
        <v>28</v>
      </c>
      <c r="G490" s="1" t="s">
        <v>2529</v>
      </c>
      <c r="H490" s="1"/>
      <c r="I490" s="1">
        <v>1</v>
      </c>
      <c r="J490" s="1" t="s">
        <v>2530</v>
      </c>
      <c r="K490" s="1" t="s">
        <v>43</v>
      </c>
      <c r="L490" s="1" t="s">
        <v>86</v>
      </c>
      <c r="M490" s="1" t="s">
        <v>2527</v>
      </c>
      <c r="N490" s="2">
        <v>41370</v>
      </c>
      <c r="O490" s="1"/>
      <c r="P490" s="2">
        <v>41442</v>
      </c>
      <c r="Q490" s="1" t="s">
        <v>34</v>
      </c>
      <c r="R490" s="1"/>
      <c r="S490" s="1" t="s">
        <v>35</v>
      </c>
      <c r="T490" s="1">
        <v>44.597222000000002</v>
      </c>
      <c r="U490" s="1">
        <v>-73.160278000000005</v>
      </c>
      <c r="V490" s="1" t="s">
        <v>2531</v>
      </c>
      <c r="W490" s="1"/>
      <c r="X490" s="1" t="s">
        <v>37</v>
      </c>
      <c r="Y490" s="1" t="s">
        <v>2532</v>
      </c>
      <c r="Z490" s="1">
        <v>0</v>
      </c>
    </row>
    <row r="491" spans="1:26" ht="42">
      <c r="A491" s="1" t="str">
        <f>"00099C"</f>
        <v>00099C</v>
      </c>
      <c r="B491" s="1" t="s">
        <v>2533</v>
      </c>
      <c r="C491" s="1" t="s">
        <v>2534</v>
      </c>
      <c r="D491" s="1" t="str">
        <f>"8027485596"</f>
        <v>8027485596</v>
      </c>
      <c r="E491" s="1">
        <v>4097</v>
      </c>
      <c r="F491" s="1" t="s">
        <v>28</v>
      </c>
      <c r="G491" s="1" t="s">
        <v>2535</v>
      </c>
      <c r="H491" s="1">
        <v>5424</v>
      </c>
      <c r="I491" s="1">
        <v>2</v>
      </c>
      <c r="J491" s="1" t="s">
        <v>2536</v>
      </c>
      <c r="K491" s="1" t="s">
        <v>59</v>
      </c>
      <c r="L491" s="1" t="s">
        <v>2466</v>
      </c>
      <c r="M491" s="1" t="s">
        <v>2537</v>
      </c>
      <c r="N491" s="2">
        <v>39934</v>
      </c>
      <c r="O491" s="1"/>
      <c r="P491" s="1"/>
      <c r="Q491" s="1" t="s">
        <v>34</v>
      </c>
      <c r="R491" s="1"/>
      <c r="S491" s="1" t="s">
        <v>35</v>
      </c>
      <c r="T491" s="1">
        <v>44.393332999999998</v>
      </c>
      <c r="U491" s="1">
        <v>-72.035758999999899</v>
      </c>
      <c r="V491" s="1" t="s">
        <v>2538</v>
      </c>
      <c r="W491" s="1"/>
      <c r="X491" s="1" t="s">
        <v>37</v>
      </c>
      <c r="Y491" s="1" t="s">
        <v>2469</v>
      </c>
      <c r="Z491" s="1">
        <v>5819</v>
      </c>
    </row>
    <row r="492" spans="1:26" ht="42">
      <c r="A492" s="1" t="str">
        <f>"00099M"</f>
        <v>00099M</v>
      </c>
      <c r="B492" s="1" t="s">
        <v>2539</v>
      </c>
      <c r="C492" s="1" t="s">
        <v>2540</v>
      </c>
      <c r="D492" s="1" t="str">
        <f>"8024257700"</f>
        <v>8024257700</v>
      </c>
      <c r="E492" s="1">
        <v>4107</v>
      </c>
      <c r="F492" s="1" t="s">
        <v>28</v>
      </c>
      <c r="G492" s="1" t="s">
        <v>2541</v>
      </c>
      <c r="H492" s="1">
        <v>5435</v>
      </c>
      <c r="I492" s="1">
        <v>3</v>
      </c>
      <c r="J492" s="1" t="s">
        <v>2542</v>
      </c>
      <c r="K492" s="1" t="s">
        <v>43</v>
      </c>
      <c r="L492" s="1" t="s">
        <v>728</v>
      </c>
      <c r="M492" s="1" t="s">
        <v>2543</v>
      </c>
      <c r="N492" s="2">
        <v>36892</v>
      </c>
      <c r="O492" s="1"/>
      <c r="P492" s="1"/>
      <c r="Q492" s="1" t="s">
        <v>34</v>
      </c>
      <c r="R492" s="1"/>
      <c r="S492" s="1" t="s">
        <v>35</v>
      </c>
      <c r="T492" s="1">
        <v>44.327838999999997</v>
      </c>
      <c r="U492" s="1">
        <v>-73.172423999999907</v>
      </c>
      <c r="V492" s="1" t="s">
        <v>2544</v>
      </c>
      <c r="W492" s="1"/>
      <c r="X492" s="1" t="s">
        <v>37</v>
      </c>
      <c r="Y492" s="1" t="s">
        <v>736</v>
      </c>
      <c r="Z492" s="1">
        <v>5445</v>
      </c>
    </row>
    <row r="493" spans="1:26" ht="42">
      <c r="A493" s="1" t="str">
        <f>"0009A0"</f>
        <v>0009A0</v>
      </c>
      <c r="B493" s="1" t="s">
        <v>2545</v>
      </c>
      <c r="C493" s="1" t="s">
        <v>2546</v>
      </c>
      <c r="D493" s="1" t="str">
        <f>"8025454316"</f>
        <v>8025454316</v>
      </c>
      <c r="E493" s="1">
        <v>4116</v>
      </c>
      <c r="F493" s="1" t="s">
        <v>28</v>
      </c>
      <c r="G493" s="1" t="s">
        <v>2547</v>
      </c>
      <c r="H493" s="1">
        <v>5446</v>
      </c>
      <c r="I493" s="1">
        <v>1</v>
      </c>
      <c r="J493" s="1" t="s">
        <v>2548</v>
      </c>
      <c r="K493" s="1" t="s">
        <v>333</v>
      </c>
      <c r="L493" s="1" t="s">
        <v>684</v>
      </c>
      <c r="M493" s="1" t="s">
        <v>2549</v>
      </c>
      <c r="N493" s="2">
        <v>36892</v>
      </c>
      <c r="O493" s="1"/>
      <c r="P493" s="1"/>
      <c r="Q493" s="1" t="s">
        <v>34</v>
      </c>
      <c r="R493" s="1"/>
      <c r="S493" s="1" t="s">
        <v>35</v>
      </c>
      <c r="T493" s="1">
        <v>44.077587000000001</v>
      </c>
      <c r="U493" s="1">
        <v>-73.194510999999906</v>
      </c>
      <c r="V493" s="1" t="s">
        <v>2550</v>
      </c>
      <c r="W493" s="1"/>
      <c r="X493" s="1" t="s">
        <v>37</v>
      </c>
      <c r="Y493" s="1" t="s">
        <v>464</v>
      </c>
      <c r="Z493" s="1">
        <v>5472</v>
      </c>
    </row>
    <row r="494" spans="1:26" ht="42">
      <c r="A494" s="1" t="str">
        <f>"0009A3"</f>
        <v>0009A3</v>
      </c>
      <c r="B494" s="1" t="s">
        <v>2551</v>
      </c>
      <c r="C494" s="1" t="s">
        <v>2552</v>
      </c>
      <c r="D494" s="1" t="str">
        <f>"8024723711"</f>
        <v>8024723711</v>
      </c>
      <c r="E494" s="1">
        <v>4127</v>
      </c>
      <c r="F494" s="1" t="s">
        <v>28</v>
      </c>
      <c r="G494" s="1" t="s">
        <v>2553</v>
      </c>
      <c r="H494" s="1">
        <v>5457</v>
      </c>
      <c r="I494" s="1">
        <v>1</v>
      </c>
      <c r="J494" s="1" t="s">
        <v>2554</v>
      </c>
      <c r="K494" s="1" t="s">
        <v>59</v>
      </c>
      <c r="L494" s="1" t="s">
        <v>1796</v>
      </c>
      <c r="M494" s="1" t="s">
        <v>2555</v>
      </c>
      <c r="N494" s="2">
        <v>36892</v>
      </c>
      <c r="O494" s="1"/>
      <c r="P494" s="1"/>
      <c r="Q494" s="1" t="s">
        <v>34</v>
      </c>
      <c r="R494" s="1"/>
      <c r="S494" s="1" t="s">
        <v>35</v>
      </c>
      <c r="T494" s="1">
        <v>44.476596999999998</v>
      </c>
      <c r="U494" s="1">
        <v>-72.317840999999902</v>
      </c>
      <c r="V494" s="1" t="s">
        <v>2556</v>
      </c>
      <c r="W494" s="1"/>
      <c r="X494" s="1" t="s">
        <v>37</v>
      </c>
      <c r="Y494" s="1" t="s">
        <v>1799</v>
      </c>
      <c r="Z494" s="1">
        <v>5843</v>
      </c>
    </row>
    <row r="495" spans="1:26" ht="42">
      <c r="A495" s="1" t="str">
        <f>"0009A4"</f>
        <v>0009A4</v>
      </c>
      <c r="B495" s="1" t="s">
        <v>2557</v>
      </c>
      <c r="C495" s="1" t="s">
        <v>2558</v>
      </c>
      <c r="D495" s="1" t="str">
        <f>"8027548483"</f>
        <v>8027548483</v>
      </c>
      <c r="E495" s="1">
        <v>4128</v>
      </c>
      <c r="F495" s="1" t="s">
        <v>28</v>
      </c>
      <c r="G495" s="1" t="s">
        <v>2559</v>
      </c>
      <c r="H495" s="1">
        <v>5458</v>
      </c>
      <c r="I495" s="1">
        <v>2</v>
      </c>
      <c r="J495" s="1" t="s">
        <v>2560</v>
      </c>
      <c r="K495" s="1" t="s">
        <v>527</v>
      </c>
      <c r="L495" s="1" t="s">
        <v>2561</v>
      </c>
      <c r="M495" s="1" t="s">
        <v>2562</v>
      </c>
      <c r="N495" s="2">
        <v>36892</v>
      </c>
      <c r="O495" s="1"/>
      <c r="P495" s="1"/>
      <c r="Q495" s="1" t="s">
        <v>34</v>
      </c>
      <c r="R495" s="1"/>
      <c r="S495" s="1" t="s">
        <v>35</v>
      </c>
      <c r="T495" s="1">
        <v>44.789462</v>
      </c>
      <c r="U495" s="1">
        <v>-72.279749999999893</v>
      </c>
      <c r="V495" s="1" t="s">
        <v>2563</v>
      </c>
      <c r="W495" s="1"/>
      <c r="X495" s="1" t="s">
        <v>37</v>
      </c>
      <c r="Y495" s="1" t="s">
        <v>2564</v>
      </c>
      <c r="Z495" s="1">
        <v>5845</v>
      </c>
    </row>
    <row r="496" spans="1:26" ht="42">
      <c r="A496" s="1" t="str">
        <f>"000ADG"</f>
        <v>000ADG</v>
      </c>
      <c r="B496" s="1" t="s">
        <v>2565</v>
      </c>
      <c r="C496" s="1" t="s">
        <v>2566</v>
      </c>
      <c r="D496" s="1" t="str">
        <f>"8024573347"</f>
        <v>8024573347</v>
      </c>
      <c r="E496" s="1">
        <v>4136</v>
      </c>
      <c r="F496" s="1" t="s">
        <v>28</v>
      </c>
      <c r="G496" s="1" t="s">
        <v>2567</v>
      </c>
      <c r="H496" s="1"/>
      <c r="I496" s="1">
        <v>2</v>
      </c>
      <c r="J496" s="1" t="s">
        <v>261</v>
      </c>
      <c r="K496" s="1" t="s">
        <v>77</v>
      </c>
      <c r="L496" s="1" t="s">
        <v>403</v>
      </c>
      <c r="M496" s="1" t="s">
        <v>2568</v>
      </c>
      <c r="N496" s="2">
        <v>40287</v>
      </c>
      <c r="O496" s="1"/>
      <c r="P496" s="2">
        <v>42909</v>
      </c>
      <c r="Q496" s="1" t="s">
        <v>34</v>
      </c>
      <c r="R496" s="1"/>
      <c r="S496" s="1" t="s">
        <v>35</v>
      </c>
      <c r="T496" s="1">
        <v>43.652265999999997</v>
      </c>
      <c r="U496" s="1">
        <v>-72.545480900000001</v>
      </c>
      <c r="V496" s="1" t="s">
        <v>2569</v>
      </c>
      <c r="W496" s="1"/>
      <c r="X496" s="1" t="s">
        <v>37</v>
      </c>
      <c r="Y496" s="1" t="s">
        <v>406</v>
      </c>
      <c r="Z496" s="1">
        <v>5091</v>
      </c>
    </row>
    <row r="497" spans="1:26" ht="42">
      <c r="A497" s="1" t="str">
        <f>"000ADP"</f>
        <v>000ADP</v>
      </c>
      <c r="B497" s="1" t="s">
        <v>2570</v>
      </c>
      <c r="C497" s="1" t="s">
        <v>2571</v>
      </c>
      <c r="D497" s="1" t="str">
        <f>"8605142211"</f>
        <v>8605142211</v>
      </c>
      <c r="E497" s="1">
        <v>4139</v>
      </c>
      <c r="F497" s="1" t="s">
        <v>28</v>
      </c>
      <c r="G497" s="1" t="s">
        <v>2572</v>
      </c>
      <c r="H497" s="1"/>
      <c r="I497" s="1">
        <v>9</v>
      </c>
      <c r="J497" s="1" t="s">
        <v>2573</v>
      </c>
      <c r="K497" s="1" t="s">
        <v>333</v>
      </c>
      <c r="L497" s="1" t="s">
        <v>923</v>
      </c>
      <c r="M497" s="1" t="s">
        <v>2574</v>
      </c>
      <c r="N497" s="2">
        <v>40269</v>
      </c>
      <c r="O497" s="1"/>
      <c r="P497" s="1"/>
      <c r="Q497" s="1" t="s">
        <v>34</v>
      </c>
      <c r="R497" s="1"/>
      <c r="S497" s="1" t="s">
        <v>35</v>
      </c>
      <c r="T497" s="1"/>
      <c r="U497" s="1"/>
      <c r="V497" s="1" t="s">
        <v>2575</v>
      </c>
      <c r="W497" s="1"/>
      <c r="X497" s="1" t="s">
        <v>37</v>
      </c>
      <c r="Y497" s="1" t="s">
        <v>333</v>
      </c>
      <c r="Z497" s="1">
        <v>5491</v>
      </c>
    </row>
    <row r="498" spans="1:26" ht="42">
      <c r="A498" s="1" t="str">
        <f>"000ADP"</f>
        <v>000ADP</v>
      </c>
      <c r="B498" s="1" t="s">
        <v>2570</v>
      </c>
      <c r="C498" s="1" t="s">
        <v>2571</v>
      </c>
      <c r="D498" s="1" t="str">
        <f>"8605142211"</f>
        <v>8605142211</v>
      </c>
      <c r="E498" s="1">
        <v>4139</v>
      </c>
      <c r="F498" s="1" t="s">
        <v>28</v>
      </c>
      <c r="G498" s="1" t="s">
        <v>2576</v>
      </c>
      <c r="H498" s="1"/>
      <c r="I498" s="1">
        <v>8</v>
      </c>
      <c r="J498" s="1" t="s">
        <v>2577</v>
      </c>
      <c r="K498" s="1" t="s">
        <v>333</v>
      </c>
      <c r="L498" s="1" t="s">
        <v>2578</v>
      </c>
      <c r="M498" s="1" t="s">
        <v>2579</v>
      </c>
      <c r="N498" s="2">
        <v>42948</v>
      </c>
      <c r="O498" s="1"/>
      <c r="P498" s="1"/>
      <c r="Q498" s="1" t="s">
        <v>34</v>
      </c>
      <c r="R498" s="1"/>
      <c r="S498" s="1" t="s">
        <v>35</v>
      </c>
      <c r="T498" s="1"/>
      <c r="U498" s="1"/>
      <c r="V498" s="1" t="s">
        <v>2580</v>
      </c>
      <c r="W498" s="1"/>
      <c r="X498" s="1" t="s">
        <v>37</v>
      </c>
      <c r="Y498" s="1" t="s">
        <v>2581</v>
      </c>
      <c r="Z498" s="1">
        <v>5733</v>
      </c>
    </row>
    <row r="499" spans="1:26" ht="42">
      <c r="A499" s="1" t="str">
        <f>"000ADQ"</f>
        <v>000ADQ</v>
      </c>
      <c r="B499" s="1" t="s">
        <v>2582</v>
      </c>
      <c r="C499" s="1" t="s">
        <v>2583</v>
      </c>
      <c r="D499" s="1" t="str">
        <f>"8602873804"</f>
        <v>8602873804</v>
      </c>
      <c r="E499" s="1">
        <v>4140</v>
      </c>
      <c r="F499" s="1" t="s">
        <v>28</v>
      </c>
      <c r="G499" s="1" t="s">
        <v>2584</v>
      </c>
      <c r="H499" s="1"/>
      <c r="I499" s="1">
        <v>13</v>
      </c>
      <c r="J499" s="1" t="s">
        <v>2573</v>
      </c>
      <c r="K499" s="1" t="s">
        <v>43</v>
      </c>
      <c r="L499" s="1" t="s">
        <v>728</v>
      </c>
      <c r="M499" s="1" t="s">
        <v>2585</v>
      </c>
      <c r="N499" s="2">
        <v>40317</v>
      </c>
      <c r="O499" s="1"/>
      <c r="P499" s="2">
        <v>42626</v>
      </c>
      <c r="Q499" s="1" t="s">
        <v>34</v>
      </c>
      <c r="R499" s="1"/>
      <c r="S499" s="1" t="s">
        <v>35</v>
      </c>
      <c r="T499" s="1">
        <v>44.299683000000002</v>
      </c>
      <c r="U499" s="1">
        <v>-73.289786999999905</v>
      </c>
      <c r="V499" s="1" t="s">
        <v>2586</v>
      </c>
      <c r="W499" s="1"/>
      <c r="X499" s="1" t="s">
        <v>37</v>
      </c>
      <c r="Y499" s="1" t="s">
        <v>736</v>
      </c>
      <c r="Z499" s="1">
        <v>5445</v>
      </c>
    </row>
    <row r="500" spans="1:26" ht="42">
      <c r="A500" s="1" t="str">
        <f>"000ADW"</f>
        <v>000ADW</v>
      </c>
      <c r="B500" s="1" t="s">
        <v>2587</v>
      </c>
      <c r="C500" s="1" t="s">
        <v>2588</v>
      </c>
      <c r="D500" s="1" t="str">
        <f>"8022237475"</f>
        <v>8022237475</v>
      </c>
      <c r="E500" s="1">
        <v>4142</v>
      </c>
      <c r="F500" s="1" t="s">
        <v>28</v>
      </c>
      <c r="G500" s="1" t="s">
        <v>2589</v>
      </c>
      <c r="H500" s="1"/>
      <c r="I500" s="1">
        <v>4</v>
      </c>
      <c r="J500" s="1" t="s">
        <v>2590</v>
      </c>
      <c r="K500" s="1" t="s">
        <v>31</v>
      </c>
      <c r="L500" s="1" t="s">
        <v>786</v>
      </c>
      <c r="M500" s="1" t="s">
        <v>2591</v>
      </c>
      <c r="N500" s="2">
        <v>40265</v>
      </c>
      <c r="O500" s="1"/>
      <c r="P500" s="1"/>
      <c r="Q500" s="1" t="s">
        <v>34</v>
      </c>
      <c r="R500" s="1"/>
      <c r="S500" s="1" t="s">
        <v>35</v>
      </c>
      <c r="T500" s="1">
        <v>44.229018363785698</v>
      </c>
      <c r="U500" s="1">
        <v>-72.607730627059894</v>
      </c>
      <c r="V500" s="1" t="s">
        <v>2592</v>
      </c>
      <c r="W500" s="1"/>
      <c r="X500" s="1" t="s">
        <v>37</v>
      </c>
      <c r="Y500" s="1" t="s">
        <v>1300</v>
      </c>
      <c r="Z500" s="1">
        <v>5602</v>
      </c>
    </row>
    <row r="501" spans="1:26" ht="42">
      <c r="A501" s="1" t="str">
        <f>"000ADW"</f>
        <v>000ADW</v>
      </c>
      <c r="B501" s="1" t="s">
        <v>2587</v>
      </c>
      <c r="C501" s="1" t="s">
        <v>2588</v>
      </c>
      <c r="D501" s="1" t="str">
        <f>"8022237475"</f>
        <v>8022237475</v>
      </c>
      <c r="E501" s="1">
        <v>4142</v>
      </c>
      <c r="F501" s="1" t="s">
        <v>28</v>
      </c>
      <c r="G501" s="1" t="s">
        <v>2593</v>
      </c>
      <c r="H501" s="1"/>
      <c r="I501" s="1">
        <v>4</v>
      </c>
      <c r="J501" s="1" t="s">
        <v>2594</v>
      </c>
      <c r="K501" s="1" t="s">
        <v>31</v>
      </c>
      <c r="L501" s="1" t="s">
        <v>747</v>
      </c>
      <c r="M501" s="1" t="s">
        <v>2595</v>
      </c>
      <c r="N501" s="2">
        <v>41376</v>
      </c>
      <c r="O501" s="1"/>
      <c r="P501" s="2">
        <v>41379</v>
      </c>
      <c r="Q501" s="1" t="s">
        <v>34</v>
      </c>
      <c r="R501" s="1"/>
      <c r="S501" s="1" t="s">
        <v>35</v>
      </c>
      <c r="T501" s="1">
        <v>44.372953000000003</v>
      </c>
      <c r="U501" s="1">
        <v>-72.547172999999901</v>
      </c>
      <c r="V501" s="1" t="s">
        <v>2596</v>
      </c>
      <c r="W501" s="1"/>
      <c r="X501" s="1" t="s">
        <v>37</v>
      </c>
      <c r="Y501" s="1" t="s">
        <v>750</v>
      </c>
      <c r="Z501" s="1">
        <v>5682</v>
      </c>
    </row>
    <row r="502" spans="1:26" ht="42">
      <c r="A502" s="1" t="str">
        <f>"000AGP"</f>
        <v>000AGP</v>
      </c>
      <c r="B502" s="1" t="s">
        <v>2597</v>
      </c>
      <c r="C502" s="1" t="s">
        <v>2598</v>
      </c>
      <c r="D502" s="1" t="str">
        <f>"8022879103"</f>
        <v>8022879103</v>
      </c>
      <c r="E502" s="1">
        <v>4147</v>
      </c>
      <c r="F502" s="1" t="s">
        <v>28</v>
      </c>
      <c r="G502" s="1" t="s">
        <v>2599</v>
      </c>
      <c r="H502" s="1"/>
      <c r="I502" s="1">
        <v>2</v>
      </c>
      <c r="J502" s="1" t="s">
        <v>2600</v>
      </c>
      <c r="K502" s="1" t="s">
        <v>135</v>
      </c>
      <c r="L502" s="1" t="s">
        <v>136</v>
      </c>
      <c r="M502" s="1" t="s">
        <v>2601</v>
      </c>
      <c r="N502" s="2">
        <v>40330</v>
      </c>
      <c r="O502" s="1"/>
      <c r="P502" s="1"/>
      <c r="Q502" s="1" t="s">
        <v>34</v>
      </c>
      <c r="R502" s="1"/>
      <c r="S502" s="1" t="s">
        <v>35</v>
      </c>
      <c r="T502" s="1">
        <v>43.592792099999997</v>
      </c>
      <c r="U502" s="1">
        <v>-73.232010699999904</v>
      </c>
      <c r="V502" s="1" t="s">
        <v>2602</v>
      </c>
      <c r="W502" s="1"/>
      <c r="X502" s="1" t="s">
        <v>37</v>
      </c>
      <c r="Y502" s="1" t="s">
        <v>139</v>
      </c>
      <c r="Z502" s="1">
        <v>5764</v>
      </c>
    </row>
    <row r="503" spans="1:26" ht="42">
      <c r="A503" s="1" t="str">
        <f>"000AGZ"</f>
        <v>000AGZ</v>
      </c>
      <c r="B503" s="1" t="s">
        <v>2603</v>
      </c>
      <c r="C503" s="1" t="s">
        <v>2604</v>
      </c>
      <c r="D503" s="1" t="str">
        <f>"8028975346"</f>
        <v>8028975346</v>
      </c>
      <c r="E503" s="1">
        <v>4150</v>
      </c>
      <c r="F503" s="1" t="s">
        <v>28</v>
      </c>
      <c r="G503" s="1" t="s">
        <v>2605</v>
      </c>
      <c r="H503" s="1"/>
      <c r="I503" s="1">
        <v>2</v>
      </c>
      <c r="J503" s="1" t="s">
        <v>2606</v>
      </c>
      <c r="K503" s="1" t="s">
        <v>333</v>
      </c>
      <c r="L503" s="1" t="s">
        <v>484</v>
      </c>
      <c r="M503" s="1" t="s">
        <v>2607</v>
      </c>
      <c r="N503" s="2">
        <v>40272</v>
      </c>
      <c r="O503" s="1"/>
      <c r="P503" s="1"/>
      <c r="Q503" s="1" t="s">
        <v>34</v>
      </c>
      <c r="R503" s="1"/>
      <c r="S503" s="1" t="s">
        <v>35</v>
      </c>
      <c r="T503" s="1">
        <v>43.884871199999999</v>
      </c>
      <c r="U503" s="1">
        <v>-73.248967699999895</v>
      </c>
      <c r="V503" s="1" t="s">
        <v>2608</v>
      </c>
      <c r="W503" s="1"/>
      <c r="X503" s="1" t="s">
        <v>37</v>
      </c>
      <c r="Y503" s="1" t="s">
        <v>951</v>
      </c>
      <c r="Z503" s="1" t="s">
        <v>2609</v>
      </c>
    </row>
    <row r="504" spans="1:26" ht="42">
      <c r="A504" s="1" t="str">
        <f>"000AH4"</f>
        <v>000AH4</v>
      </c>
      <c r="B504" s="1" t="s">
        <v>2610</v>
      </c>
      <c r="C504" s="1" t="s">
        <v>2611</v>
      </c>
      <c r="D504" s="1" t="str">
        <f>"8028858787"</f>
        <v>8028858787</v>
      </c>
      <c r="E504" s="1">
        <v>4151</v>
      </c>
      <c r="F504" s="1" t="s">
        <v>28</v>
      </c>
      <c r="G504" s="1" t="s">
        <v>2612</v>
      </c>
      <c r="H504" s="1"/>
      <c r="I504" s="1">
        <v>5</v>
      </c>
      <c r="J504" s="1" t="s">
        <v>2613</v>
      </c>
      <c r="K504" s="1" t="s">
        <v>77</v>
      </c>
      <c r="L504" s="1" t="s">
        <v>372</v>
      </c>
      <c r="M504" s="1" t="s">
        <v>2614</v>
      </c>
      <c r="N504" s="2">
        <v>39904</v>
      </c>
      <c r="O504" s="1"/>
      <c r="P504" s="2">
        <v>42235</v>
      </c>
      <c r="Q504" s="1" t="s">
        <v>34</v>
      </c>
      <c r="R504" s="1"/>
      <c r="S504" s="1" t="s">
        <v>35</v>
      </c>
      <c r="T504" s="1">
        <v>43.292677106740904</v>
      </c>
      <c r="U504" s="1">
        <v>-72.406843900680499</v>
      </c>
      <c r="V504" s="1" t="s">
        <v>2615</v>
      </c>
      <c r="W504" s="1"/>
      <c r="X504" s="1" t="s">
        <v>37</v>
      </c>
      <c r="Y504" s="1" t="s">
        <v>375</v>
      </c>
      <c r="Z504" s="1">
        <v>5156</v>
      </c>
    </row>
    <row r="505" spans="1:26" ht="42">
      <c r="A505" s="1" t="str">
        <f>"000AH7"</f>
        <v>000AH7</v>
      </c>
      <c r="B505" s="1" t="s">
        <v>2616</v>
      </c>
      <c r="C505" s="1" t="s">
        <v>2617</v>
      </c>
      <c r="D505" s="1" t="str">
        <f>"8802236011"</f>
        <v>8802236011</v>
      </c>
      <c r="E505" s="1">
        <v>4152</v>
      </c>
      <c r="F505" s="1" t="s">
        <v>28</v>
      </c>
      <c r="G505" s="1" t="s">
        <v>2618</v>
      </c>
      <c r="H505" s="1"/>
      <c r="I505" s="1">
        <v>2</v>
      </c>
      <c r="J505" s="1" t="s">
        <v>2619</v>
      </c>
      <c r="K505" s="1" t="s">
        <v>31</v>
      </c>
      <c r="L505" s="1" t="s">
        <v>786</v>
      </c>
      <c r="M505" s="1" t="s">
        <v>2620</v>
      </c>
      <c r="N505" s="2">
        <v>40309</v>
      </c>
      <c r="O505" s="1"/>
      <c r="P505" s="2">
        <v>41842</v>
      </c>
      <c r="Q505" s="1" t="s">
        <v>34</v>
      </c>
      <c r="R505" s="1"/>
      <c r="S505" s="1" t="s">
        <v>35</v>
      </c>
      <c r="T505" s="1">
        <v>44.233611000000003</v>
      </c>
      <c r="U505" s="1">
        <v>-72.656110999999996</v>
      </c>
      <c r="V505" s="1" t="s">
        <v>2621</v>
      </c>
      <c r="W505" s="1"/>
      <c r="X505" s="1" t="s">
        <v>37</v>
      </c>
      <c r="Y505" s="1" t="s">
        <v>1300</v>
      </c>
      <c r="Z505" s="1">
        <v>5602</v>
      </c>
    </row>
    <row r="506" spans="1:26" ht="42">
      <c r="A506" s="1" t="str">
        <f>"000AHD"</f>
        <v>000AHD</v>
      </c>
      <c r="B506" s="1" t="s">
        <v>2622</v>
      </c>
      <c r="C506" s="1" t="s">
        <v>2623</v>
      </c>
      <c r="D506" s="1" t="str">
        <f>"8023680086"</f>
        <v>8023680086</v>
      </c>
      <c r="E506" s="1">
        <v>4154</v>
      </c>
      <c r="F506" s="1" t="s">
        <v>28</v>
      </c>
      <c r="G506" s="1" t="s">
        <v>2624</v>
      </c>
      <c r="H506" s="1"/>
      <c r="I506" s="1">
        <v>2</v>
      </c>
      <c r="J506" s="1" t="s">
        <v>2625</v>
      </c>
      <c r="K506" s="1" t="s">
        <v>144</v>
      </c>
      <c r="L506" s="1" t="s">
        <v>2626</v>
      </c>
      <c r="M506" s="1" t="s">
        <v>2627</v>
      </c>
      <c r="N506" s="2">
        <v>40330</v>
      </c>
      <c r="O506" s="1"/>
      <c r="P506" s="1"/>
      <c r="Q506" s="1" t="s">
        <v>34</v>
      </c>
      <c r="R506" s="1"/>
      <c r="S506" s="1" t="s">
        <v>35</v>
      </c>
      <c r="T506" s="1">
        <v>42.779698624117103</v>
      </c>
      <c r="U506" s="1">
        <v>-72.756426930427494</v>
      </c>
      <c r="V506" s="1" t="s">
        <v>2628</v>
      </c>
      <c r="W506" s="1"/>
      <c r="X506" s="1" t="s">
        <v>37</v>
      </c>
      <c r="Y506" s="1" t="s">
        <v>2629</v>
      </c>
      <c r="Z506" s="1" t="s">
        <v>2630</v>
      </c>
    </row>
    <row r="507" spans="1:26" ht="42">
      <c r="A507" s="1" t="str">
        <f>"000AJ0"</f>
        <v>000AJ0</v>
      </c>
      <c r="B507" s="1" t="s">
        <v>2631</v>
      </c>
      <c r="C507" s="1" t="s">
        <v>2632</v>
      </c>
      <c r="D507" s="1" t="str">
        <f>"8024362784"</f>
        <v>8024362784</v>
      </c>
      <c r="E507" s="1">
        <v>4159</v>
      </c>
      <c r="F507" s="1" t="s">
        <v>28</v>
      </c>
      <c r="G507" s="1" t="s">
        <v>2633</v>
      </c>
      <c r="H507" s="1"/>
      <c r="I507" s="1">
        <v>2</v>
      </c>
      <c r="J507" s="1" t="s">
        <v>2634</v>
      </c>
      <c r="K507" s="1" t="s">
        <v>77</v>
      </c>
      <c r="L507" s="1" t="s">
        <v>507</v>
      </c>
      <c r="M507" s="1" t="s">
        <v>2635</v>
      </c>
      <c r="N507" s="2">
        <v>40320</v>
      </c>
      <c r="O507" s="1"/>
      <c r="P507" s="2">
        <v>42951</v>
      </c>
      <c r="Q507" s="1" t="s">
        <v>34</v>
      </c>
      <c r="R507" s="1"/>
      <c r="S507" s="1" t="s">
        <v>35</v>
      </c>
      <c r="T507" s="1">
        <v>43.567230000000002</v>
      </c>
      <c r="U507" s="1">
        <v>-72.446082999999902</v>
      </c>
      <c r="V507" s="1" t="s">
        <v>2636</v>
      </c>
      <c r="W507" s="1"/>
      <c r="X507" s="1" t="s">
        <v>37</v>
      </c>
      <c r="Y507" s="1" t="s">
        <v>510</v>
      </c>
      <c r="Z507" s="1">
        <v>5048</v>
      </c>
    </row>
    <row r="508" spans="1:26" ht="42">
      <c r="A508" s="1" t="str">
        <f>"000AJ2"</f>
        <v>000AJ2</v>
      </c>
      <c r="B508" s="1" t="s">
        <v>2637</v>
      </c>
      <c r="C508" s="1" t="s">
        <v>2638</v>
      </c>
      <c r="D508" s="1" t="str">
        <f>"8022763712"</f>
        <v>8022763712</v>
      </c>
      <c r="E508" s="1">
        <v>4161</v>
      </c>
      <c r="F508" s="1" t="s">
        <v>28</v>
      </c>
      <c r="G508" s="1" t="s">
        <v>2639</v>
      </c>
      <c r="H508" s="1"/>
      <c r="I508" s="1">
        <v>2</v>
      </c>
      <c r="J508" s="1" t="s">
        <v>2640</v>
      </c>
      <c r="K508" s="1" t="s">
        <v>68</v>
      </c>
      <c r="L508" s="1" t="s">
        <v>2265</v>
      </c>
      <c r="M508" s="1" t="s">
        <v>2641</v>
      </c>
      <c r="N508" s="2">
        <v>40337</v>
      </c>
      <c r="O508" s="1"/>
      <c r="P508" s="2">
        <v>42208</v>
      </c>
      <c r="Q508" s="1" t="s">
        <v>34</v>
      </c>
      <c r="R508" s="1"/>
      <c r="S508" s="1" t="s">
        <v>35</v>
      </c>
      <c r="T508" s="1">
        <v>44.075768500000002</v>
      </c>
      <c r="U508" s="1">
        <v>-72.618565799999999</v>
      </c>
      <c r="V508" s="1" t="s">
        <v>2642</v>
      </c>
      <c r="W508" s="1"/>
      <c r="X508" s="1" t="s">
        <v>37</v>
      </c>
      <c r="Y508" s="1" t="s">
        <v>2268</v>
      </c>
      <c r="Z508" s="1">
        <v>5036</v>
      </c>
    </row>
    <row r="509" spans="1:26" ht="42">
      <c r="A509" s="1" t="str">
        <f>"000AJ3"</f>
        <v>000AJ3</v>
      </c>
      <c r="B509" s="1" t="s">
        <v>2643</v>
      </c>
      <c r="C509" s="1" t="s">
        <v>2644</v>
      </c>
      <c r="D509" s="1" t="str">
        <f>"8028751717"</f>
        <v>8028751717</v>
      </c>
      <c r="E509" s="1">
        <v>4162</v>
      </c>
      <c r="F509" s="1" t="s">
        <v>28</v>
      </c>
      <c r="G509" s="1" t="s">
        <v>2645</v>
      </c>
      <c r="H509" s="1"/>
      <c r="I509" s="1">
        <v>2</v>
      </c>
      <c r="J509" s="1" t="s">
        <v>2646</v>
      </c>
      <c r="K509" s="1" t="s">
        <v>77</v>
      </c>
      <c r="L509" s="1" t="s">
        <v>2647</v>
      </c>
      <c r="M509" s="1" t="s">
        <v>2648</v>
      </c>
      <c r="N509" s="2">
        <v>40323</v>
      </c>
      <c r="O509" s="1"/>
      <c r="P509" s="2">
        <v>42944</v>
      </c>
      <c r="Q509" s="1" t="s">
        <v>34</v>
      </c>
      <c r="R509" s="1"/>
      <c r="S509" s="1" t="s">
        <v>35</v>
      </c>
      <c r="T509" s="1">
        <v>43.261799920148697</v>
      </c>
      <c r="U509" s="1">
        <v>-72.655978202819796</v>
      </c>
      <c r="V509" s="1" t="s">
        <v>2649</v>
      </c>
      <c r="W509" s="1"/>
      <c r="X509" s="1" t="s">
        <v>37</v>
      </c>
      <c r="Y509" s="1" t="s">
        <v>2650</v>
      </c>
      <c r="Z509" s="1">
        <v>5143</v>
      </c>
    </row>
    <row r="510" spans="1:26" ht="42">
      <c r="A510" s="1" t="str">
        <f>"000AJJ"</f>
        <v>000AJJ</v>
      </c>
      <c r="B510" s="1" t="s">
        <v>2651</v>
      </c>
      <c r="C510" s="1" t="s">
        <v>2652</v>
      </c>
      <c r="D510" s="1" t="str">
        <f>"8027668162"</f>
        <v>8027668162</v>
      </c>
      <c r="E510" s="1">
        <v>4164</v>
      </c>
      <c r="F510" s="1" t="s">
        <v>28</v>
      </c>
      <c r="G510" s="1" t="s">
        <v>2653</v>
      </c>
      <c r="H510" s="1"/>
      <c r="I510" s="1">
        <v>1</v>
      </c>
      <c r="J510" s="1" t="s">
        <v>2654</v>
      </c>
      <c r="K510" s="1" t="s">
        <v>527</v>
      </c>
      <c r="L510" s="1" t="s">
        <v>532</v>
      </c>
      <c r="M510" s="1" t="s">
        <v>2655</v>
      </c>
      <c r="N510" s="2">
        <v>40337</v>
      </c>
      <c r="O510" s="1"/>
      <c r="P510" s="1"/>
      <c r="Q510" s="1" t="s">
        <v>34</v>
      </c>
      <c r="R510" s="1"/>
      <c r="S510" s="1" t="s">
        <v>35</v>
      </c>
      <c r="T510" s="1">
        <v>44.926335999999999</v>
      </c>
      <c r="U510" s="1">
        <v>-72.149924999999996</v>
      </c>
      <c r="V510" s="1" t="s">
        <v>2656</v>
      </c>
      <c r="W510" s="1"/>
      <c r="X510" s="1" t="s">
        <v>37</v>
      </c>
      <c r="Y510" s="1" t="s">
        <v>535</v>
      </c>
      <c r="Z510" s="1">
        <v>5855</v>
      </c>
    </row>
    <row r="511" spans="1:26" ht="42">
      <c r="A511" s="1" t="str">
        <f>"000AJM"</f>
        <v>000AJM</v>
      </c>
      <c r="B511" s="1" t="s">
        <v>2657</v>
      </c>
      <c r="C511" s="1" t="s">
        <v>2658</v>
      </c>
      <c r="D511" s="1" t="str">
        <f>"8026448818"</f>
        <v>8026448818</v>
      </c>
      <c r="E511" s="1">
        <v>4165</v>
      </c>
      <c r="F511" s="1" t="s">
        <v>28</v>
      </c>
      <c r="G511" s="1" t="s">
        <v>2659</v>
      </c>
      <c r="H511" s="1"/>
      <c r="I511" s="1">
        <v>1</v>
      </c>
      <c r="J511" s="1" t="s">
        <v>2660</v>
      </c>
      <c r="K511" s="1" t="s">
        <v>170</v>
      </c>
      <c r="L511" s="1" t="s">
        <v>2661</v>
      </c>
      <c r="M511" s="1" t="s">
        <v>2662</v>
      </c>
      <c r="N511" s="2">
        <v>40298</v>
      </c>
      <c r="O511" s="1"/>
      <c r="P511" s="1"/>
      <c r="Q511" s="1" t="s">
        <v>34</v>
      </c>
      <c r="R511" s="1"/>
      <c r="S511" s="1" t="s">
        <v>35</v>
      </c>
      <c r="T511" s="1">
        <v>44.692131000000003</v>
      </c>
      <c r="U511" s="1">
        <v>-72.827393000000001</v>
      </c>
      <c r="V511" s="1" t="s">
        <v>2663</v>
      </c>
      <c r="W511" s="1"/>
      <c r="X511" s="1" t="s">
        <v>37</v>
      </c>
      <c r="Y511" s="1" t="s">
        <v>2664</v>
      </c>
      <c r="Z511" s="1">
        <v>5464</v>
      </c>
    </row>
    <row r="512" spans="1:26" ht="42">
      <c r="A512" s="1" t="str">
        <f>"000AK2"</f>
        <v>000AK2</v>
      </c>
      <c r="B512" s="1" t="s">
        <v>2665</v>
      </c>
      <c r="C512" s="1" t="s">
        <v>2666</v>
      </c>
      <c r="D512" s="1" t="str">
        <f>"8006483591"</f>
        <v>8006483591</v>
      </c>
      <c r="E512" s="1">
        <v>4168</v>
      </c>
      <c r="F512" s="1" t="s">
        <v>28</v>
      </c>
      <c r="G512" s="1" t="s">
        <v>2667</v>
      </c>
      <c r="H512" s="1"/>
      <c r="I512" s="1">
        <v>1</v>
      </c>
      <c r="J512" s="1" t="s">
        <v>2665</v>
      </c>
      <c r="K512" s="1" t="s">
        <v>527</v>
      </c>
      <c r="L512" s="1" t="s">
        <v>2668</v>
      </c>
      <c r="M512" s="1" t="s">
        <v>2665</v>
      </c>
      <c r="N512" s="2">
        <v>40297</v>
      </c>
      <c r="O512" s="1"/>
      <c r="P512" s="2">
        <v>42996</v>
      </c>
      <c r="Q512" s="1" t="s">
        <v>34</v>
      </c>
      <c r="R512" s="1"/>
      <c r="S512" s="1" t="s">
        <v>35</v>
      </c>
      <c r="T512" s="1">
        <v>44.654491617414401</v>
      </c>
      <c r="U512" s="1">
        <v>-72.377752047059403</v>
      </c>
      <c r="V512" s="1" t="s">
        <v>2669</v>
      </c>
      <c r="W512" s="1"/>
      <c r="X512" s="1" t="s">
        <v>37</v>
      </c>
      <c r="Y512" s="1" t="s">
        <v>2670</v>
      </c>
      <c r="Z512" s="1">
        <v>5827</v>
      </c>
    </row>
    <row r="513" spans="1:26" ht="42">
      <c r="A513" s="1" t="str">
        <f>"000AK3"</f>
        <v>000AK3</v>
      </c>
      <c r="B513" s="1" t="s">
        <v>2671</v>
      </c>
      <c r="C513" s="1" t="s">
        <v>2672</v>
      </c>
      <c r="D513" s="1" t="str">
        <f>"8024768025"</f>
        <v>8024768025</v>
      </c>
      <c r="E513" s="1">
        <v>4169</v>
      </c>
      <c r="F513" s="1" t="s">
        <v>28</v>
      </c>
      <c r="G513" s="1" t="s">
        <v>2673</v>
      </c>
      <c r="H513" s="1"/>
      <c r="I513" s="1">
        <v>6</v>
      </c>
      <c r="J513" s="1" t="s">
        <v>2674</v>
      </c>
      <c r="K513" s="1" t="s">
        <v>31</v>
      </c>
      <c r="L513" s="1" t="s">
        <v>716</v>
      </c>
      <c r="M513" s="1" t="s">
        <v>2675</v>
      </c>
      <c r="N513" s="2">
        <v>40337</v>
      </c>
      <c r="O513" s="1"/>
      <c r="P513" s="2">
        <v>42515</v>
      </c>
      <c r="Q513" s="1" t="s">
        <v>34</v>
      </c>
      <c r="R513" s="1"/>
      <c r="S513" s="1" t="s">
        <v>35</v>
      </c>
      <c r="T513" s="1">
        <v>44.201918900000003</v>
      </c>
      <c r="U513" s="1">
        <v>-72.434942999999905</v>
      </c>
      <c r="V513" s="1" t="s">
        <v>2676</v>
      </c>
      <c r="W513" s="1"/>
      <c r="X513" s="1" t="s">
        <v>37</v>
      </c>
      <c r="Y513" s="1" t="s">
        <v>237</v>
      </c>
      <c r="Z513" s="1">
        <v>5641</v>
      </c>
    </row>
    <row r="514" spans="1:26" ht="42">
      <c r="A514" s="1" t="str">
        <f>"000AK3"</f>
        <v>000AK3</v>
      </c>
      <c r="B514" s="1" t="s">
        <v>2671</v>
      </c>
      <c r="C514" s="1" t="s">
        <v>2672</v>
      </c>
      <c r="D514" s="1" t="str">
        <f>"8024768025"</f>
        <v>8024768025</v>
      </c>
      <c r="E514" s="1">
        <v>4169</v>
      </c>
      <c r="F514" s="1" t="s">
        <v>28</v>
      </c>
      <c r="G514" s="1" t="s">
        <v>2677</v>
      </c>
      <c r="H514" s="1"/>
      <c r="I514" s="1">
        <v>6</v>
      </c>
      <c r="J514" s="1" t="s">
        <v>2678</v>
      </c>
      <c r="K514" s="1" t="s">
        <v>31</v>
      </c>
      <c r="L514" s="1" t="s">
        <v>884</v>
      </c>
      <c r="M514" s="1" t="s">
        <v>2679</v>
      </c>
      <c r="N514" s="2">
        <v>41832</v>
      </c>
      <c r="O514" s="1"/>
      <c r="P514" s="1"/>
      <c r="Q514" s="1" t="s">
        <v>34</v>
      </c>
      <c r="R514" s="1"/>
      <c r="S514" s="1" t="s">
        <v>35</v>
      </c>
      <c r="T514" s="1">
        <v>44.235309999999998</v>
      </c>
      <c r="U514" s="1">
        <v>-72.432045000000002</v>
      </c>
      <c r="V514" s="1" t="s">
        <v>2680</v>
      </c>
      <c r="W514" s="1"/>
      <c r="X514" s="1" t="s">
        <v>37</v>
      </c>
      <c r="Y514" s="1" t="s">
        <v>887</v>
      </c>
      <c r="Z514" s="1">
        <v>5667</v>
      </c>
    </row>
    <row r="515" spans="1:26" ht="42">
      <c r="A515" s="1" t="str">
        <f>"000APA"</f>
        <v>000APA</v>
      </c>
      <c r="B515" s="1" t="s">
        <v>2681</v>
      </c>
      <c r="C515" s="1" t="s">
        <v>2682</v>
      </c>
      <c r="D515" s="1" t="str">
        <f>"8022362322"</f>
        <v>8022362322</v>
      </c>
      <c r="E515" s="1">
        <v>4170</v>
      </c>
      <c r="F515" s="1" t="s">
        <v>28</v>
      </c>
      <c r="G515" s="1" t="s">
        <v>2683</v>
      </c>
      <c r="H515" s="1"/>
      <c r="I515" s="1">
        <v>4</v>
      </c>
      <c r="J515" s="1" t="s">
        <v>470</v>
      </c>
      <c r="K515" s="1" t="s">
        <v>333</v>
      </c>
      <c r="L515" s="1" t="s">
        <v>949</v>
      </c>
      <c r="M515" s="1" t="s">
        <v>1909</v>
      </c>
      <c r="N515" s="2">
        <v>40346</v>
      </c>
      <c r="O515" s="1"/>
      <c r="P515" s="1"/>
      <c r="Q515" s="1" t="s">
        <v>34</v>
      </c>
      <c r="R515" s="1"/>
      <c r="S515" s="1" t="s">
        <v>35</v>
      </c>
      <c r="T515" s="1">
        <v>43.888126</v>
      </c>
      <c r="U515" s="1">
        <v>-73.218490999999901</v>
      </c>
      <c r="V515" s="1" t="s">
        <v>2684</v>
      </c>
      <c r="W515" s="1"/>
      <c r="X515" s="1" t="s">
        <v>37</v>
      </c>
      <c r="Y515" s="1" t="s">
        <v>951</v>
      </c>
      <c r="Z515" s="1">
        <v>5778</v>
      </c>
    </row>
    <row r="516" spans="1:26" ht="42">
      <c r="A516" s="1" t="str">
        <f>"000APP"</f>
        <v>000APP</v>
      </c>
      <c r="B516" s="1" t="s">
        <v>2685</v>
      </c>
      <c r="C516" s="1" t="s">
        <v>2686</v>
      </c>
      <c r="D516" s="1" t="str">
        <f>"8023829080"</f>
        <v>8023829080</v>
      </c>
      <c r="E516" s="1">
        <v>4181</v>
      </c>
      <c r="F516" s="1" t="s">
        <v>28</v>
      </c>
      <c r="G516" s="1" t="s">
        <v>2687</v>
      </c>
      <c r="H516" s="1"/>
      <c r="I516" s="1">
        <v>2</v>
      </c>
      <c r="J516" s="1" t="s">
        <v>2688</v>
      </c>
      <c r="K516" s="1" t="s">
        <v>333</v>
      </c>
      <c r="L516" s="1" t="s">
        <v>457</v>
      </c>
      <c r="M516" s="1" t="s">
        <v>2689</v>
      </c>
      <c r="N516" s="2">
        <v>40346</v>
      </c>
      <c r="O516" s="1"/>
      <c r="P516" s="1"/>
      <c r="Q516" s="1" t="s">
        <v>34</v>
      </c>
      <c r="R516" s="1"/>
      <c r="S516" s="1" t="s">
        <v>35</v>
      </c>
      <c r="T516" s="1">
        <v>43.984098899999999</v>
      </c>
      <c r="U516" s="1">
        <v>-73.211066200000005</v>
      </c>
      <c r="V516" s="1" t="s">
        <v>2690</v>
      </c>
      <c r="W516" s="1"/>
      <c r="X516" s="1" t="s">
        <v>37</v>
      </c>
      <c r="Y516" s="1" t="s">
        <v>460</v>
      </c>
      <c r="Z516" s="1">
        <v>5753</v>
      </c>
    </row>
    <row r="517" spans="1:26" ht="42">
      <c r="A517" s="1" t="str">
        <f>"000AQP"</f>
        <v>000AQP</v>
      </c>
      <c r="B517" s="1" t="s">
        <v>2691</v>
      </c>
      <c r="C517" s="1" t="s">
        <v>2692</v>
      </c>
      <c r="D517" s="1" t="str">
        <f>"8028992497"</f>
        <v>8028992497</v>
      </c>
      <c r="E517" s="1">
        <v>4192</v>
      </c>
      <c r="F517" s="1" t="s">
        <v>28</v>
      </c>
      <c r="G517" s="1" t="s">
        <v>2693</v>
      </c>
      <c r="H517" s="1"/>
      <c r="I517" s="1">
        <v>2</v>
      </c>
      <c r="J517" s="1" t="s">
        <v>2694</v>
      </c>
      <c r="K517" s="1" t="s">
        <v>43</v>
      </c>
      <c r="L517" s="1" t="s">
        <v>178</v>
      </c>
      <c r="M517" s="1" t="s">
        <v>2695</v>
      </c>
      <c r="N517" s="2">
        <v>40354</v>
      </c>
      <c r="O517" s="1"/>
      <c r="P517" s="1"/>
      <c r="Q517" s="1" t="s">
        <v>34</v>
      </c>
      <c r="R517" s="1"/>
      <c r="S517" s="1" t="s">
        <v>35</v>
      </c>
      <c r="T517" s="1"/>
      <c r="U517" s="1"/>
      <c r="V517" s="1" t="s">
        <v>2696</v>
      </c>
      <c r="W517" s="1"/>
      <c r="X517" s="1" t="s">
        <v>37</v>
      </c>
      <c r="Y517" s="1" t="s">
        <v>367</v>
      </c>
      <c r="Z517" s="1">
        <v>0</v>
      </c>
    </row>
    <row r="518" spans="1:26" ht="42">
      <c r="A518" s="1" t="str">
        <f>"000AQZ"</f>
        <v>000AQZ</v>
      </c>
      <c r="B518" s="1" t="s">
        <v>2697</v>
      </c>
      <c r="C518" s="1" t="s">
        <v>2698</v>
      </c>
      <c r="D518" s="1" t="str">
        <f>"8028599615"</f>
        <v>8028599615</v>
      </c>
      <c r="E518" s="1">
        <v>4197</v>
      </c>
      <c r="F518" s="1" t="s">
        <v>28</v>
      </c>
      <c r="G518" s="1" t="s">
        <v>2699</v>
      </c>
      <c r="H518" s="1"/>
      <c r="I518" s="1">
        <v>3</v>
      </c>
      <c r="J518" s="1" t="s">
        <v>2700</v>
      </c>
      <c r="K518" s="1" t="s">
        <v>43</v>
      </c>
      <c r="L518" s="1" t="s">
        <v>723</v>
      </c>
      <c r="M518" s="1" t="s">
        <v>2701</v>
      </c>
      <c r="N518" s="2">
        <v>40330</v>
      </c>
      <c r="O518" s="1"/>
      <c r="P518" s="2">
        <v>42626</v>
      </c>
      <c r="Q518" s="1" t="s">
        <v>34</v>
      </c>
      <c r="R518" s="1"/>
      <c r="S518" s="1" t="s">
        <v>35</v>
      </c>
      <c r="T518" s="1">
        <v>44.408211000000001</v>
      </c>
      <c r="U518" s="1">
        <v>-73.191947999999996</v>
      </c>
      <c r="V518" s="1" t="s">
        <v>2702</v>
      </c>
      <c r="W518" s="1"/>
      <c r="X518" s="1" t="s">
        <v>37</v>
      </c>
      <c r="Y518" s="1" t="s">
        <v>725</v>
      </c>
      <c r="Z518" s="1">
        <v>5482</v>
      </c>
    </row>
    <row r="519" spans="1:26" ht="42">
      <c r="A519" s="1" t="str">
        <f>"000AVZ"</f>
        <v>000AVZ</v>
      </c>
      <c r="B519" s="1" t="s">
        <v>2703</v>
      </c>
      <c r="C519" s="1" t="s">
        <v>2704</v>
      </c>
      <c r="D519" s="1" t="str">
        <f>"8022380364"</f>
        <v>8022380364</v>
      </c>
      <c r="E519" s="1">
        <v>4201</v>
      </c>
      <c r="F519" s="1" t="s">
        <v>28</v>
      </c>
      <c r="G519" s="1" t="s">
        <v>2705</v>
      </c>
      <c r="H519" s="1"/>
      <c r="I519" s="1">
        <v>2</v>
      </c>
      <c r="J519" s="1" t="s">
        <v>2706</v>
      </c>
      <c r="K519" s="1" t="s">
        <v>333</v>
      </c>
      <c r="L519" s="1" t="s">
        <v>807</v>
      </c>
      <c r="M519" s="1" t="s">
        <v>2707</v>
      </c>
      <c r="N519" s="2">
        <v>40360</v>
      </c>
      <c r="O519" s="1"/>
      <c r="P519" s="1"/>
      <c r="Q519" s="1" t="s">
        <v>34</v>
      </c>
      <c r="R519" s="1"/>
      <c r="S519" s="1" t="s">
        <v>35</v>
      </c>
      <c r="T519" s="1">
        <v>44.267792</v>
      </c>
      <c r="U519" s="1">
        <v>-73.168403999999995</v>
      </c>
      <c r="V519" s="1" t="s">
        <v>2708</v>
      </c>
      <c r="W519" s="1"/>
      <c r="X519" s="1" t="s">
        <v>37</v>
      </c>
      <c r="Y519" s="1" t="s">
        <v>1791</v>
      </c>
      <c r="Z519" s="1">
        <v>0</v>
      </c>
    </row>
    <row r="520" spans="1:26" ht="42">
      <c r="A520" s="1" t="str">
        <f>"000AW0"</f>
        <v>000AW0</v>
      </c>
      <c r="B520" s="1" t="s">
        <v>2709</v>
      </c>
      <c r="C520" s="1" t="s">
        <v>2710</v>
      </c>
      <c r="D520" s="1" t="str">
        <f>"8024222814"</f>
        <v>8024222814</v>
      </c>
      <c r="E520" s="1">
        <v>4202</v>
      </c>
      <c r="F520" s="1" t="s">
        <v>28</v>
      </c>
      <c r="G520" s="1" t="s">
        <v>2711</v>
      </c>
      <c r="H520" s="1"/>
      <c r="I520" s="1">
        <v>4</v>
      </c>
      <c r="J520" s="1" t="s">
        <v>2712</v>
      </c>
      <c r="K520" s="1" t="s">
        <v>135</v>
      </c>
      <c r="L520" s="1" t="s">
        <v>2713</v>
      </c>
      <c r="M520" s="1" t="s">
        <v>2714</v>
      </c>
      <c r="N520" s="2">
        <v>40330</v>
      </c>
      <c r="O520" s="1"/>
      <c r="P520" s="2">
        <v>43007</v>
      </c>
      <c r="Q520" s="1" t="s">
        <v>34</v>
      </c>
      <c r="R520" s="1"/>
      <c r="S520" s="1" t="s">
        <v>35</v>
      </c>
      <c r="T520" s="1">
        <v>43.679962000000003</v>
      </c>
      <c r="U520" s="1">
        <v>-72.784378000000004</v>
      </c>
      <c r="V520" s="1" t="s">
        <v>2715</v>
      </c>
      <c r="W520" s="1"/>
      <c r="X520" s="1" t="s">
        <v>37</v>
      </c>
      <c r="Y520" s="1" t="s">
        <v>2716</v>
      </c>
      <c r="Z520" s="1">
        <v>5751</v>
      </c>
    </row>
    <row r="521" spans="1:26" ht="42">
      <c r="A521" s="1" t="str">
        <f>"000AW0"</f>
        <v>000AW0</v>
      </c>
      <c r="B521" s="1" t="s">
        <v>2709</v>
      </c>
      <c r="C521" s="1" t="s">
        <v>2710</v>
      </c>
      <c r="D521" s="1" t="str">
        <f>"8024222814"</f>
        <v>8024222814</v>
      </c>
      <c r="E521" s="1">
        <v>4202</v>
      </c>
      <c r="F521" s="1" t="s">
        <v>28</v>
      </c>
      <c r="G521" s="1" t="s">
        <v>2717</v>
      </c>
      <c r="H521" s="1"/>
      <c r="I521" s="1">
        <v>3</v>
      </c>
      <c r="J521" s="1" t="s">
        <v>2718</v>
      </c>
      <c r="K521" s="1" t="s">
        <v>135</v>
      </c>
      <c r="L521" s="1" t="s">
        <v>2713</v>
      </c>
      <c r="M521" s="1" t="s">
        <v>2719</v>
      </c>
      <c r="N521" s="2">
        <v>41380</v>
      </c>
      <c r="O521" s="1"/>
      <c r="P521" s="2">
        <v>43007</v>
      </c>
      <c r="Q521" s="1" t="s">
        <v>34</v>
      </c>
      <c r="R521" s="1"/>
      <c r="S521" s="1" t="s">
        <v>35</v>
      </c>
      <c r="T521" s="1">
        <v>43.655570999999902</v>
      </c>
      <c r="U521" s="1">
        <v>-72.771523000000002</v>
      </c>
      <c r="V521" s="1" t="s">
        <v>2720</v>
      </c>
      <c r="W521" s="1"/>
      <c r="X521" s="1" t="s">
        <v>37</v>
      </c>
      <c r="Y521" s="1" t="s">
        <v>2716</v>
      </c>
      <c r="Z521" s="1">
        <v>5751</v>
      </c>
    </row>
    <row r="522" spans="1:26" ht="42">
      <c r="A522" s="1" t="str">
        <f>"000AW0"</f>
        <v>000AW0</v>
      </c>
      <c r="B522" s="1" t="s">
        <v>2709</v>
      </c>
      <c r="C522" s="1" t="s">
        <v>2710</v>
      </c>
      <c r="D522" s="1" t="str">
        <f>"8024222814"</f>
        <v>8024222814</v>
      </c>
      <c r="E522" s="1">
        <v>4202</v>
      </c>
      <c r="F522" s="1" t="s">
        <v>28</v>
      </c>
      <c r="G522" s="1" t="s">
        <v>2721</v>
      </c>
      <c r="H522" s="1"/>
      <c r="I522" s="1">
        <v>4</v>
      </c>
      <c r="J522" s="1" t="s">
        <v>2722</v>
      </c>
      <c r="K522" s="1" t="s">
        <v>159</v>
      </c>
      <c r="L522" s="1"/>
      <c r="M522" s="1" t="s">
        <v>2723</v>
      </c>
      <c r="N522" s="2">
        <v>42921</v>
      </c>
      <c r="O522" s="1"/>
      <c r="P522" s="2">
        <v>43007</v>
      </c>
      <c r="Q522" s="1" t="s">
        <v>34</v>
      </c>
      <c r="R522" s="1"/>
      <c r="S522" s="1" t="s">
        <v>35</v>
      </c>
      <c r="T522" s="1"/>
      <c r="U522" s="1"/>
      <c r="V522" s="1" t="s">
        <v>2724</v>
      </c>
      <c r="W522" s="1"/>
      <c r="X522" s="1" t="s">
        <v>37</v>
      </c>
      <c r="Y522" s="1" t="s">
        <v>2725</v>
      </c>
      <c r="Z522" s="1">
        <v>5772</v>
      </c>
    </row>
    <row r="523" spans="1:26" ht="42">
      <c r="A523" s="1" t="str">
        <f>"000AW0"</f>
        <v>000AW0</v>
      </c>
      <c r="B523" s="1" t="s">
        <v>2709</v>
      </c>
      <c r="C523" s="1" t="s">
        <v>2710</v>
      </c>
      <c r="D523" s="1" t="str">
        <f>"8024222814"</f>
        <v>8024222814</v>
      </c>
      <c r="E523" s="1">
        <v>4202</v>
      </c>
      <c r="F523" s="1" t="s">
        <v>28</v>
      </c>
      <c r="G523" s="1" t="s">
        <v>2726</v>
      </c>
      <c r="H523" s="1"/>
      <c r="I523" s="1">
        <v>7</v>
      </c>
      <c r="J523" s="1" t="s">
        <v>2727</v>
      </c>
      <c r="K523" s="1" t="s">
        <v>159</v>
      </c>
      <c r="L523" s="1"/>
      <c r="M523" s="1" t="s">
        <v>2728</v>
      </c>
      <c r="N523" s="2">
        <v>42921</v>
      </c>
      <c r="O523" s="1"/>
      <c r="P523" s="2">
        <v>43007</v>
      </c>
      <c r="Q523" s="1" t="s">
        <v>34</v>
      </c>
      <c r="R523" s="1"/>
      <c r="S523" s="1" t="s">
        <v>35</v>
      </c>
      <c r="T523" s="1"/>
      <c r="U523" s="1"/>
      <c r="V523" s="1" t="s">
        <v>2729</v>
      </c>
      <c r="W523" s="1"/>
      <c r="X523" s="1" t="s">
        <v>37</v>
      </c>
      <c r="Y523" s="1" t="s">
        <v>2730</v>
      </c>
      <c r="Z523" s="1">
        <v>5032</v>
      </c>
    </row>
    <row r="524" spans="1:26" ht="42">
      <c r="A524" s="1" t="str">
        <f>"000AW0"</f>
        <v>000AW0</v>
      </c>
      <c r="B524" s="1" t="s">
        <v>2709</v>
      </c>
      <c r="C524" s="1" t="s">
        <v>2710</v>
      </c>
      <c r="D524" s="1" t="str">
        <f>"8024222814"</f>
        <v>8024222814</v>
      </c>
      <c r="E524" s="1">
        <v>4202</v>
      </c>
      <c r="F524" s="1" t="s">
        <v>28</v>
      </c>
      <c r="G524" s="1" t="s">
        <v>2731</v>
      </c>
      <c r="H524" s="1"/>
      <c r="I524" s="1">
        <v>1</v>
      </c>
      <c r="J524" s="1" t="s">
        <v>2732</v>
      </c>
      <c r="K524" s="1" t="s">
        <v>135</v>
      </c>
      <c r="L524" s="1" t="s">
        <v>2713</v>
      </c>
      <c r="M524" s="1" t="s">
        <v>2733</v>
      </c>
      <c r="N524" s="2">
        <v>42921</v>
      </c>
      <c r="O524" s="1"/>
      <c r="P524" s="2">
        <v>43007</v>
      </c>
      <c r="Q524" s="1" t="s">
        <v>34</v>
      </c>
      <c r="R524" s="1"/>
      <c r="S524" s="1" t="s">
        <v>35</v>
      </c>
      <c r="T524" s="1"/>
      <c r="U524" s="1"/>
      <c r="V524" s="1" t="s">
        <v>2734</v>
      </c>
      <c r="W524" s="1"/>
      <c r="X524" s="1" t="s">
        <v>37</v>
      </c>
      <c r="Y524" s="1" t="s">
        <v>2716</v>
      </c>
      <c r="Z524" s="1">
        <v>5751</v>
      </c>
    </row>
    <row r="525" spans="1:26" ht="42">
      <c r="A525" s="1" t="str">
        <f>"000AW8"</f>
        <v>000AW8</v>
      </c>
      <c r="B525" s="1" t="s">
        <v>2735</v>
      </c>
      <c r="C525" s="1" t="s">
        <v>2736</v>
      </c>
      <c r="D525" s="1" t="str">
        <f>"8029993833"</f>
        <v>8029993833</v>
      </c>
      <c r="E525" s="1">
        <v>4209</v>
      </c>
      <c r="F525" s="1" t="s">
        <v>28</v>
      </c>
      <c r="G525" s="1" t="s">
        <v>2737</v>
      </c>
      <c r="H525" s="1"/>
      <c r="I525" s="1">
        <v>2</v>
      </c>
      <c r="J525" s="1" t="s">
        <v>2738</v>
      </c>
      <c r="K525" s="1" t="s">
        <v>43</v>
      </c>
      <c r="L525" s="1" t="s">
        <v>112</v>
      </c>
      <c r="M525" s="1" t="s">
        <v>2739</v>
      </c>
      <c r="N525" s="2">
        <v>40332</v>
      </c>
      <c r="O525" s="1"/>
      <c r="P525" s="2">
        <v>40673</v>
      </c>
      <c r="Q525" s="1" t="s">
        <v>34</v>
      </c>
      <c r="R525" s="1"/>
      <c r="S525" s="1" t="s">
        <v>35</v>
      </c>
      <c r="T525" s="1">
        <v>44.522012099999998</v>
      </c>
      <c r="U525" s="1">
        <v>-72.894691099999903</v>
      </c>
      <c r="V525" s="1" t="s">
        <v>2740</v>
      </c>
      <c r="W525" s="1"/>
      <c r="X525" s="1" t="s">
        <v>37</v>
      </c>
      <c r="Y525" s="1" t="s">
        <v>1342</v>
      </c>
      <c r="Z525" s="1">
        <v>0</v>
      </c>
    </row>
    <row r="526" spans="1:26" ht="42">
      <c r="A526" s="1" t="str">
        <f>"000AW8"</f>
        <v>000AW8</v>
      </c>
      <c r="B526" s="1" t="s">
        <v>2735</v>
      </c>
      <c r="C526" s="1" t="s">
        <v>2736</v>
      </c>
      <c r="D526" s="1" t="str">
        <f>"8029993833"</f>
        <v>8029993833</v>
      </c>
      <c r="E526" s="1">
        <v>4209</v>
      </c>
      <c r="F526" s="1" t="s">
        <v>28</v>
      </c>
      <c r="G526" s="1" t="s">
        <v>2741</v>
      </c>
      <c r="H526" s="1"/>
      <c r="I526" s="1">
        <v>4</v>
      </c>
      <c r="J526" s="1" t="s">
        <v>2742</v>
      </c>
      <c r="K526" s="1" t="s">
        <v>43</v>
      </c>
      <c r="L526" s="1" t="s">
        <v>112</v>
      </c>
      <c r="M526" s="1" t="s">
        <v>2743</v>
      </c>
      <c r="N526" s="2">
        <v>41415</v>
      </c>
      <c r="O526" s="1"/>
      <c r="P526" s="1"/>
      <c r="Q526" s="1" t="s">
        <v>34</v>
      </c>
      <c r="R526" s="1"/>
      <c r="S526" s="1" t="s">
        <v>35</v>
      </c>
      <c r="T526" s="1">
        <v>44.588069900000001</v>
      </c>
      <c r="U526" s="1">
        <v>-72.865164999999905</v>
      </c>
      <c r="V526" s="1" t="s">
        <v>2744</v>
      </c>
      <c r="W526" s="1"/>
      <c r="X526" s="1" t="s">
        <v>37</v>
      </c>
      <c r="Y526" s="1" t="s">
        <v>115</v>
      </c>
      <c r="Z526" s="1">
        <v>0</v>
      </c>
    </row>
    <row r="527" spans="1:26" ht="42">
      <c r="A527" s="1" t="str">
        <f>"000AW9"</f>
        <v>000AW9</v>
      </c>
      <c r="B527" s="1" t="s">
        <v>2745</v>
      </c>
      <c r="C527" s="1" t="s">
        <v>2746</v>
      </c>
      <c r="D527" s="1" t="str">
        <f>"8024824279"</f>
        <v>8024824279</v>
      </c>
      <c r="E527" s="1">
        <v>4210</v>
      </c>
      <c r="F527" s="1" t="s">
        <v>28</v>
      </c>
      <c r="G527" s="1" t="s">
        <v>2747</v>
      </c>
      <c r="H527" s="1"/>
      <c r="I527" s="1">
        <v>4</v>
      </c>
      <c r="J527" s="1" t="s">
        <v>2748</v>
      </c>
      <c r="K527" s="1" t="s">
        <v>43</v>
      </c>
      <c r="L527" s="1" t="s">
        <v>348</v>
      </c>
      <c r="M527" s="1" t="s">
        <v>2749</v>
      </c>
      <c r="N527" s="2">
        <v>40347</v>
      </c>
      <c r="O527" s="1"/>
      <c r="P527" s="2">
        <v>41466</v>
      </c>
      <c r="Q527" s="1" t="s">
        <v>34</v>
      </c>
      <c r="R527" s="1"/>
      <c r="S527" s="1" t="s">
        <v>35</v>
      </c>
      <c r="T527" s="1">
        <v>44.287936999999999</v>
      </c>
      <c r="U527" s="1">
        <v>-73.127616999999901</v>
      </c>
      <c r="V527" s="1" t="s">
        <v>1786</v>
      </c>
      <c r="W527" s="1"/>
      <c r="X527" s="1" t="s">
        <v>37</v>
      </c>
      <c r="Y527" s="1" t="s">
        <v>351</v>
      </c>
      <c r="Z527" s="1">
        <v>5461</v>
      </c>
    </row>
    <row r="528" spans="1:26" ht="42">
      <c r="A528" s="1" t="str">
        <f>"000AWC"</f>
        <v>000AWC</v>
      </c>
      <c r="B528" s="1" t="s">
        <v>2750</v>
      </c>
      <c r="C528" s="1" t="s">
        <v>2751</v>
      </c>
      <c r="D528" s="1" t="str">
        <f>"8028861237"</f>
        <v>8028861237</v>
      </c>
      <c r="E528" s="1">
        <v>4213</v>
      </c>
      <c r="F528" s="1" t="s">
        <v>28</v>
      </c>
      <c r="G528" s="1" t="s">
        <v>2752</v>
      </c>
      <c r="H528" s="1"/>
      <c r="I528" s="1">
        <v>1</v>
      </c>
      <c r="J528" s="1" t="s">
        <v>2753</v>
      </c>
      <c r="K528" s="1" t="s">
        <v>77</v>
      </c>
      <c r="L528" s="1" t="s">
        <v>372</v>
      </c>
      <c r="M528" s="1" t="s">
        <v>2754</v>
      </c>
      <c r="N528" s="2">
        <v>42209</v>
      </c>
      <c r="O528" s="1"/>
      <c r="P528" s="1"/>
      <c r="Q528" s="1" t="s">
        <v>34</v>
      </c>
      <c r="R528" s="1"/>
      <c r="S528" s="1" t="s">
        <v>35</v>
      </c>
      <c r="T528" s="1">
        <v>43.332408999999998</v>
      </c>
      <c r="U528" s="1">
        <v>-72.518523999999999</v>
      </c>
      <c r="V528" s="1" t="s">
        <v>2755</v>
      </c>
      <c r="W528" s="1"/>
      <c r="X528" s="1" t="s">
        <v>37</v>
      </c>
      <c r="Y528" s="1" t="s">
        <v>2756</v>
      </c>
      <c r="Z528" s="1">
        <v>5150</v>
      </c>
    </row>
    <row r="529" spans="1:26" ht="42">
      <c r="A529" s="1" t="str">
        <f>"000AWC"</f>
        <v>000AWC</v>
      </c>
      <c r="B529" s="1" t="s">
        <v>2750</v>
      </c>
      <c r="C529" s="1" t="s">
        <v>2751</v>
      </c>
      <c r="D529" s="1" t="str">
        <f>"8028861237"</f>
        <v>8028861237</v>
      </c>
      <c r="E529" s="1">
        <v>4213</v>
      </c>
      <c r="F529" s="1" t="s">
        <v>28</v>
      </c>
      <c r="G529" s="1" t="s">
        <v>2757</v>
      </c>
      <c r="H529" s="1"/>
      <c r="I529" s="1">
        <v>1</v>
      </c>
      <c r="J529" s="1" t="s">
        <v>2758</v>
      </c>
      <c r="K529" s="1" t="s">
        <v>77</v>
      </c>
      <c r="L529" s="1" t="s">
        <v>2647</v>
      </c>
      <c r="M529" s="1" t="s">
        <v>2759</v>
      </c>
      <c r="N529" s="2">
        <v>42209</v>
      </c>
      <c r="O529" s="1"/>
      <c r="P529" s="1"/>
      <c r="Q529" s="1" t="s">
        <v>34</v>
      </c>
      <c r="R529" s="1"/>
      <c r="S529" s="1" t="s">
        <v>35</v>
      </c>
      <c r="T529" s="1">
        <v>43.283137099999998</v>
      </c>
      <c r="U529" s="1">
        <v>-72.565479299999893</v>
      </c>
      <c r="V529" s="1" t="s">
        <v>2760</v>
      </c>
      <c r="W529" s="1"/>
      <c r="X529" s="1" t="s">
        <v>37</v>
      </c>
      <c r="Y529" s="1" t="s">
        <v>2650</v>
      </c>
      <c r="Z529" s="1">
        <v>5143</v>
      </c>
    </row>
    <row r="530" spans="1:26" ht="42">
      <c r="A530" s="1" t="str">
        <f>"000AX0"</f>
        <v>000AX0</v>
      </c>
      <c r="B530" s="1" t="s">
        <v>2761</v>
      </c>
      <c r="C530" s="1" t="s">
        <v>2762</v>
      </c>
      <c r="D530" s="1" t="str">
        <f>"8024175131"</f>
        <v>8024175131</v>
      </c>
      <c r="E530" s="1">
        <v>4219</v>
      </c>
      <c r="F530" s="1" t="s">
        <v>28</v>
      </c>
      <c r="G530" s="1" t="s">
        <v>2763</v>
      </c>
      <c r="H530" s="1"/>
      <c r="I530" s="1">
        <v>3</v>
      </c>
      <c r="J530" s="1" t="s">
        <v>2764</v>
      </c>
      <c r="K530" s="1" t="s">
        <v>135</v>
      </c>
      <c r="L530" s="1" t="s">
        <v>2765</v>
      </c>
      <c r="M530" s="1" t="s">
        <v>2766</v>
      </c>
      <c r="N530" s="2">
        <v>40355</v>
      </c>
      <c r="O530" s="1"/>
      <c r="P530" s="1"/>
      <c r="Q530" s="1" t="s">
        <v>34</v>
      </c>
      <c r="R530" s="1"/>
      <c r="S530" s="1" t="s">
        <v>35</v>
      </c>
      <c r="T530" s="1">
        <v>43.757750999999999</v>
      </c>
      <c r="U530" s="1">
        <v>-72.997558999999995</v>
      </c>
      <c r="V530" s="1" t="s">
        <v>2767</v>
      </c>
      <c r="W530" s="1"/>
      <c r="X530" s="1" t="s">
        <v>37</v>
      </c>
      <c r="Y530" s="1" t="s">
        <v>2768</v>
      </c>
      <c r="Z530" s="1">
        <v>5763</v>
      </c>
    </row>
    <row r="531" spans="1:26" ht="42">
      <c r="A531" s="1" t="str">
        <f>"000AY0"</f>
        <v>000AY0</v>
      </c>
      <c r="B531" s="1" t="s">
        <v>2769</v>
      </c>
      <c r="C531" s="1" t="s">
        <v>2770</v>
      </c>
      <c r="D531" s="1" t="str">
        <f>"8026583322"</f>
        <v>8026583322</v>
      </c>
      <c r="E531" s="1">
        <v>4230</v>
      </c>
      <c r="F531" s="1" t="s">
        <v>28</v>
      </c>
      <c r="G531" s="1" t="s">
        <v>2771</v>
      </c>
      <c r="H531" s="1"/>
      <c r="I531" s="1">
        <v>4</v>
      </c>
      <c r="J531" s="1" t="s">
        <v>2772</v>
      </c>
      <c r="K531" s="1" t="s">
        <v>43</v>
      </c>
      <c r="L531" s="1" t="s">
        <v>44</v>
      </c>
      <c r="M531" s="1" t="s">
        <v>2773</v>
      </c>
      <c r="N531" s="2">
        <v>40330</v>
      </c>
      <c r="O531" s="1"/>
      <c r="P531" s="2">
        <v>42640</v>
      </c>
      <c r="Q531" s="1" t="s">
        <v>34</v>
      </c>
      <c r="R531" s="1"/>
      <c r="S531" s="1" t="s">
        <v>35</v>
      </c>
      <c r="T531" s="1">
        <v>44.484108900000003</v>
      </c>
      <c r="U531" s="1">
        <v>-73.211641999999898</v>
      </c>
      <c r="V531" s="1" t="s">
        <v>2774</v>
      </c>
      <c r="W531" s="1"/>
      <c r="X531" s="1" t="s">
        <v>37</v>
      </c>
      <c r="Y531" s="1" t="s">
        <v>46</v>
      </c>
      <c r="Z531" s="1">
        <v>5401</v>
      </c>
    </row>
    <row r="532" spans="1:26" ht="42">
      <c r="A532" s="1" t="str">
        <f>"000AZ8"</f>
        <v>000AZ8</v>
      </c>
      <c r="B532" s="1" t="s">
        <v>2775</v>
      </c>
      <c r="C532" s="1" t="s">
        <v>2776</v>
      </c>
      <c r="D532" s="1" t="str">
        <f>"8022386160"</f>
        <v>8022386160</v>
      </c>
      <c r="E532" s="1">
        <v>4234</v>
      </c>
      <c r="F532" s="1" t="s">
        <v>28</v>
      </c>
      <c r="G532" s="1" t="s">
        <v>2777</v>
      </c>
      <c r="H532" s="1"/>
      <c r="I532" s="1">
        <v>7</v>
      </c>
      <c r="J532" s="1" t="s">
        <v>2778</v>
      </c>
      <c r="K532" s="1" t="s">
        <v>152</v>
      </c>
      <c r="L532" s="1" t="s">
        <v>1137</v>
      </c>
      <c r="M532" s="1" t="s">
        <v>2779</v>
      </c>
      <c r="N532" s="2">
        <v>41842</v>
      </c>
      <c r="O532" s="1"/>
      <c r="P532" s="1"/>
      <c r="Q532" s="1" t="s">
        <v>34</v>
      </c>
      <c r="R532" s="1"/>
      <c r="S532" s="1" t="s">
        <v>35</v>
      </c>
      <c r="T532" s="1">
        <v>44.984694999999903</v>
      </c>
      <c r="U532" s="1">
        <v>-73.063003999999907</v>
      </c>
      <c r="V532" s="1" t="s">
        <v>2780</v>
      </c>
      <c r="W532" s="1"/>
      <c r="X532" s="1" t="s">
        <v>37</v>
      </c>
      <c r="Y532" s="1" t="s">
        <v>1140</v>
      </c>
      <c r="Z532" s="1">
        <v>5488</v>
      </c>
    </row>
    <row r="533" spans="1:26" ht="42">
      <c r="A533" s="1" t="str">
        <f>"000BXY"</f>
        <v>000BXY</v>
      </c>
      <c r="B533" s="1" t="s">
        <v>2781</v>
      </c>
      <c r="C533" s="1" t="s">
        <v>2782</v>
      </c>
      <c r="D533" s="1" t="str">
        <f>"8024547747"</f>
        <v>8024547747</v>
      </c>
      <c r="E533" s="1">
        <v>4947</v>
      </c>
      <c r="F533" s="1" t="s">
        <v>28</v>
      </c>
      <c r="G533" s="1" t="s">
        <v>2783</v>
      </c>
      <c r="H533" s="1"/>
      <c r="I533" s="1">
        <v>2</v>
      </c>
      <c r="J533" s="1">
        <v>1</v>
      </c>
      <c r="K533" s="1" t="s">
        <v>31</v>
      </c>
      <c r="L533" s="1" t="s">
        <v>164</v>
      </c>
      <c r="M533" s="1" t="s">
        <v>2784</v>
      </c>
      <c r="N533" s="2">
        <v>42473</v>
      </c>
      <c r="O533" s="1"/>
      <c r="P533" s="1"/>
      <c r="Q533" s="1" t="s">
        <v>34</v>
      </c>
      <c r="R533" s="1"/>
      <c r="S533" s="1" t="s">
        <v>35</v>
      </c>
      <c r="T533" s="1">
        <v>44.279063999999998</v>
      </c>
      <c r="U533" s="1">
        <v>-72.3909989</v>
      </c>
      <c r="V533" s="1" t="s">
        <v>2785</v>
      </c>
      <c r="W533" s="1"/>
      <c r="X533" s="1" t="s">
        <v>37</v>
      </c>
      <c r="Y533" s="1" t="s">
        <v>167</v>
      </c>
      <c r="Z533" s="1">
        <v>5667</v>
      </c>
    </row>
    <row r="534" spans="1:26" ht="42">
      <c r="A534" s="1" t="str">
        <f>"000DVZ"</f>
        <v>000DVZ</v>
      </c>
      <c r="B534" s="1" t="s">
        <v>2786</v>
      </c>
      <c r="C534" s="1" t="s">
        <v>2787</v>
      </c>
      <c r="D534" s="1" t="str">
        <f>"8027637981"</f>
        <v>8027637981</v>
      </c>
      <c r="E534" s="1">
        <v>5205</v>
      </c>
      <c r="F534" s="1" t="s">
        <v>28</v>
      </c>
      <c r="G534" s="1" t="s">
        <v>2788</v>
      </c>
      <c r="H534" s="1"/>
      <c r="I534" s="1">
        <v>3</v>
      </c>
      <c r="J534" s="1" t="s">
        <v>2789</v>
      </c>
      <c r="K534" s="1" t="s">
        <v>77</v>
      </c>
      <c r="L534" s="1" t="s">
        <v>1391</v>
      </c>
      <c r="M534" s="1" t="s">
        <v>2790</v>
      </c>
      <c r="N534" s="2">
        <v>42930</v>
      </c>
      <c r="O534" s="1"/>
      <c r="P534" s="1"/>
      <c r="Q534" s="1" t="s">
        <v>34</v>
      </c>
      <c r="R534" s="1"/>
      <c r="S534" s="1" t="s">
        <v>35</v>
      </c>
      <c r="T534" s="1">
        <v>43.8484263</v>
      </c>
      <c r="U534" s="1">
        <v>-72.524596500000001</v>
      </c>
      <c r="V534" s="1" t="s">
        <v>2791</v>
      </c>
      <c r="W534" s="1"/>
      <c r="X534" s="1" t="s">
        <v>37</v>
      </c>
      <c r="Y534" s="1" t="s">
        <v>1398</v>
      </c>
      <c r="Z534" s="1">
        <v>5068</v>
      </c>
    </row>
    <row r="535" spans="1:26" ht="42">
      <c r="A535" s="1" t="str">
        <f>"000FPB"</f>
        <v>000FPB</v>
      </c>
      <c r="B535" s="1" t="s">
        <v>2792</v>
      </c>
      <c r="C535" s="1" t="s">
        <v>2793</v>
      </c>
      <c r="D535" s="1" t="str">
        <f>"8024568802"</f>
        <v>8024568802</v>
      </c>
      <c r="E535" s="1">
        <v>5166</v>
      </c>
      <c r="F535" s="1" t="s">
        <v>28</v>
      </c>
      <c r="G535" s="1" t="s">
        <v>2794</v>
      </c>
      <c r="H535" s="1"/>
      <c r="I535" s="1">
        <v>1</v>
      </c>
      <c r="J535" s="1">
        <v>1</v>
      </c>
      <c r="K535" s="1" t="s">
        <v>31</v>
      </c>
      <c r="L535" s="1" t="s">
        <v>1071</v>
      </c>
      <c r="M535" s="1" t="s">
        <v>2795</v>
      </c>
      <c r="N535" s="2">
        <v>42888</v>
      </c>
      <c r="O535" s="1"/>
      <c r="P535" s="1"/>
      <c r="Q535" s="1" t="s">
        <v>34</v>
      </c>
      <c r="R535" s="1"/>
      <c r="S535" s="1" t="s">
        <v>35</v>
      </c>
      <c r="T535" s="1">
        <v>44.345291000000003</v>
      </c>
      <c r="U535" s="1">
        <v>-72.426986999999997</v>
      </c>
      <c r="V535" s="1" t="s">
        <v>2796</v>
      </c>
      <c r="W535" s="1"/>
      <c r="X535" s="1" t="s">
        <v>37</v>
      </c>
      <c r="Y535" s="1" t="s">
        <v>1074</v>
      </c>
      <c r="Z535" s="1">
        <v>5667</v>
      </c>
    </row>
    <row r="536" spans="1:26" ht="42">
      <c r="A536" s="1" t="str">
        <f>"000G98"</f>
        <v>000G98</v>
      </c>
      <c r="B536" s="1" t="s">
        <v>2797</v>
      </c>
      <c r="C536" s="1" t="s">
        <v>2798</v>
      </c>
      <c r="D536" s="1" t="str">
        <f>"8022233312"</f>
        <v>8022233312</v>
      </c>
      <c r="E536" s="1">
        <v>4236</v>
      </c>
      <c r="F536" s="1" t="s">
        <v>28</v>
      </c>
      <c r="G536" s="1" t="s">
        <v>2799</v>
      </c>
      <c r="H536" s="1"/>
      <c r="I536" s="1">
        <v>2</v>
      </c>
      <c r="J536" s="1" t="s">
        <v>470</v>
      </c>
      <c r="K536" s="1" t="s">
        <v>31</v>
      </c>
      <c r="L536" s="1" t="s">
        <v>747</v>
      </c>
      <c r="M536" s="1" t="s">
        <v>2800</v>
      </c>
      <c r="N536" s="2">
        <v>40329</v>
      </c>
      <c r="O536" s="1"/>
      <c r="P536" s="2">
        <v>42146</v>
      </c>
      <c r="Q536" s="1" t="s">
        <v>34</v>
      </c>
      <c r="R536" s="1"/>
      <c r="S536" s="1" t="s">
        <v>35</v>
      </c>
      <c r="T536" s="1">
        <v>44.375042000000001</v>
      </c>
      <c r="U536" s="1">
        <v>-72.582199000000003</v>
      </c>
      <c r="V536" s="1" t="s">
        <v>2801</v>
      </c>
      <c r="W536" s="1"/>
      <c r="X536" s="1" t="s">
        <v>37</v>
      </c>
      <c r="Y536" s="1" t="s">
        <v>2802</v>
      </c>
      <c r="Z536" s="1">
        <v>5682</v>
      </c>
    </row>
    <row r="537" spans="1:26" ht="42">
      <c r="A537" s="1" t="str">
        <f>"000G9A"</f>
        <v>000G9A</v>
      </c>
      <c r="B537" s="1" t="s">
        <v>2803</v>
      </c>
      <c r="C537" s="1" t="s">
        <v>2804</v>
      </c>
      <c r="D537" s="1" t="str">
        <f>"8022959865"</f>
        <v>8022959865</v>
      </c>
      <c r="E537" s="1">
        <v>4238</v>
      </c>
      <c r="F537" s="1" t="s">
        <v>28</v>
      </c>
      <c r="G537" s="1" t="s">
        <v>2805</v>
      </c>
      <c r="H537" s="1"/>
      <c r="I537" s="1">
        <v>1</v>
      </c>
      <c r="J537" s="1" t="s">
        <v>2806</v>
      </c>
      <c r="K537" s="1" t="s">
        <v>77</v>
      </c>
      <c r="L537" s="1" t="s">
        <v>507</v>
      </c>
      <c r="M537" s="1" t="s">
        <v>2807</v>
      </c>
      <c r="N537" s="2">
        <v>40550</v>
      </c>
      <c r="O537" s="1"/>
      <c r="P537" s="2">
        <v>42951</v>
      </c>
      <c r="Q537" s="1" t="s">
        <v>34</v>
      </c>
      <c r="R537" s="1"/>
      <c r="S537" s="1" t="s">
        <v>35</v>
      </c>
      <c r="T537" s="1">
        <v>43.597008000000002</v>
      </c>
      <c r="U537" s="1">
        <v>-72.379065999999895</v>
      </c>
      <c r="V537" s="1" t="s">
        <v>2808</v>
      </c>
      <c r="W537" s="1"/>
      <c r="X537" s="1" t="s">
        <v>37</v>
      </c>
      <c r="Y537" s="1" t="s">
        <v>510</v>
      </c>
      <c r="Z537" s="1">
        <v>5048</v>
      </c>
    </row>
    <row r="538" spans="1:26" ht="42">
      <c r="A538" s="1" t="str">
        <f>"000G9K"</f>
        <v>000G9K</v>
      </c>
      <c r="B538" s="1" t="s">
        <v>2809</v>
      </c>
      <c r="C538" s="1" t="s">
        <v>2810</v>
      </c>
      <c r="D538" s="1" t="str">
        <f>"8022592311"</f>
        <v>8022592311</v>
      </c>
      <c r="E538" s="1">
        <v>4246</v>
      </c>
      <c r="F538" s="1" t="s">
        <v>28</v>
      </c>
      <c r="G538" s="1" t="s">
        <v>2811</v>
      </c>
      <c r="H538" s="1"/>
      <c r="I538" s="1">
        <v>3</v>
      </c>
      <c r="J538" s="1" t="s">
        <v>2812</v>
      </c>
      <c r="K538" s="1" t="s">
        <v>135</v>
      </c>
      <c r="L538" s="1" t="s">
        <v>1923</v>
      </c>
      <c r="M538" s="1" t="s">
        <v>2813</v>
      </c>
      <c r="N538" s="2">
        <v>40423</v>
      </c>
      <c r="O538" s="1"/>
      <c r="P538" s="2">
        <v>42179</v>
      </c>
      <c r="Q538" s="1" t="s">
        <v>34</v>
      </c>
      <c r="R538" s="1"/>
      <c r="S538" s="1" t="s">
        <v>35</v>
      </c>
      <c r="T538" s="1">
        <v>43.430950000000003</v>
      </c>
      <c r="U538" s="1">
        <v>-72.787769999999995</v>
      </c>
      <c r="V538" s="1" t="s">
        <v>2814</v>
      </c>
      <c r="W538" s="1"/>
      <c r="X538" s="1" t="s">
        <v>37</v>
      </c>
      <c r="Y538" s="1" t="s">
        <v>1926</v>
      </c>
      <c r="Z538" s="1">
        <v>0</v>
      </c>
    </row>
    <row r="539" spans="1:26" ht="42">
      <c r="A539" s="1" t="str">
        <f>"000GAC"</f>
        <v>000GAC</v>
      </c>
      <c r="B539" s="1" t="s">
        <v>2815</v>
      </c>
      <c r="C539" s="1" t="s">
        <v>2816</v>
      </c>
      <c r="D539" s="1" t="str">
        <f>"8023634640"</f>
        <v>8023634640</v>
      </c>
      <c r="E539" s="1">
        <v>4261</v>
      </c>
      <c r="F539" s="1" t="s">
        <v>28</v>
      </c>
      <c r="G539" s="1" t="s">
        <v>2817</v>
      </c>
      <c r="H539" s="1"/>
      <c r="I539" s="1">
        <v>3</v>
      </c>
      <c r="J539" s="1" t="s">
        <v>2818</v>
      </c>
      <c r="K539" s="1" t="s">
        <v>428</v>
      </c>
      <c r="L539" s="1" t="s">
        <v>1680</v>
      </c>
      <c r="M539" s="1" t="s">
        <v>2818</v>
      </c>
      <c r="N539" s="2">
        <v>42174</v>
      </c>
      <c r="O539" s="1"/>
      <c r="P539" s="1"/>
      <c r="Q539" s="1" t="s">
        <v>34</v>
      </c>
      <c r="R539" s="1"/>
      <c r="S539" s="1" t="s">
        <v>35</v>
      </c>
      <c r="T539" s="1">
        <v>44.8808942</v>
      </c>
      <c r="U539" s="1">
        <v>-73.336473899999902</v>
      </c>
      <c r="V539" s="1" t="s">
        <v>2819</v>
      </c>
      <c r="W539" s="1"/>
      <c r="X539" s="1" t="s">
        <v>37</v>
      </c>
      <c r="Y539" s="1" t="s">
        <v>1692</v>
      </c>
      <c r="Z539" s="1">
        <v>5463</v>
      </c>
    </row>
    <row r="540" spans="1:26" ht="42">
      <c r="A540" s="1" t="str">
        <f>"000GAC"</f>
        <v>000GAC</v>
      </c>
      <c r="B540" s="1" t="s">
        <v>2815</v>
      </c>
      <c r="C540" s="1" t="s">
        <v>2816</v>
      </c>
      <c r="D540" s="1" t="str">
        <f>"8023634640"</f>
        <v>8023634640</v>
      </c>
      <c r="E540" s="1">
        <v>4261</v>
      </c>
      <c r="F540" s="1" t="s">
        <v>28</v>
      </c>
      <c r="G540" s="1" t="s">
        <v>2820</v>
      </c>
      <c r="H540" s="1"/>
      <c r="I540" s="1">
        <v>3</v>
      </c>
      <c r="J540" s="1" t="s">
        <v>2821</v>
      </c>
      <c r="K540" s="1" t="s">
        <v>428</v>
      </c>
      <c r="L540" s="1" t="s">
        <v>1680</v>
      </c>
      <c r="M540" s="1" t="s">
        <v>2822</v>
      </c>
      <c r="N540" s="2">
        <v>42174</v>
      </c>
      <c r="O540" s="1"/>
      <c r="P540" s="1"/>
      <c r="Q540" s="1" t="s">
        <v>34</v>
      </c>
      <c r="R540" s="1"/>
      <c r="S540" s="1" t="s">
        <v>35</v>
      </c>
      <c r="T540" s="1">
        <v>44.8612447</v>
      </c>
      <c r="U540" s="1">
        <v>-73.3481057999999</v>
      </c>
      <c r="V540" s="1" t="s">
        <v>2823</v>
      </c>
      <c r="W540" s="1"/>
      <c r="X540" s="1" t="s">
        <v>37</v>
      </c>
      <c r="Y540" s="1" t="s">
        <v>2824</v>
      </c>
      <c r="Z540" s="1">
        <v>5463</v>
      </c>
    </row>
    <row r="541" spans="1:26" ht="42">
      <c r="A541" s="1" t="str">
        <f>"000GAD"</f>
        <v>000GAD</v>
      </c>
      <c r="B541" s="1" t="s">
        <v>2825</v>
      </c>
      <c r="C541" s="1" t="s">
        <v>2826</v>
      </c>
      <c r="D541" s="1" t="str">
        <f>"8027386383"</f>
        <v>8027386383</v>
      </c>
      <c r="E541" s="1">
        <v>4262</v>
      </c>
      <c r="F541" s="1" t="s">
        <v>28</v>
      </c>
      <c r="G541" s="1" t="s">
        <v>2827</v>
      </c>
      <c r="H541" s="1"/>
      <c r="I541" s="1">
        <v>1</v>
      </c>
      <c r="J541" s="1" t="s">
        <v>2828</v>
      </c>
      <c r="K541" s="1" t="s">
        <v>77</v>
      </c>
      <c r="L541" s="1" t="s">
        <v>507</v>
      </c>
      <c r="M541" s="1" t="s">
        <v>2829</v>
      </c>
      <c r="N541" s="2">
        <v>40410</v>
      </c>
      <c r="O541" s="1"/>
      <c r="P541" s="2">
        <v>40745</v>
      </c>
      <c r="Q541" s="1" t="s">
        <v>34</v>
      </c>
      <c r="R541" s="1"/>
      <c r="S541" s="1" t="s">
        <v>35</v>
      </c>
      <c r="T541" s="1"/>
      <c r="U541" s="1"/>
      <c r="V541" s="1" t="s">
        <v>2830</v>
      </c>
      <c r="W541" s="1"/>
      <c r="X541" s="1" t="s">
        <v>37</v>
      </c>
      <c r="Y541" s="1" t="s">
        <v>510</v>
      </c>
      <c r="Z541" s="1">
        <v>5048</v>
      </c>
    </row>
    <row r="542" spans="1:26" ht="42">
      <c r="A542" s="1" t="str">
        <f>"000GAF"</f>
        <v>000GAF</v>
      </c>
      <c r="B542" s="1" t="s">
        <v>2831</v>
      </c>
      <c r="C542" s="1" t="s">
        <v>2832</v>
      </c>
      <c r="D542" s="1" t="str">
        <f>"8029284663"</f>
        <v>8029284663</v>
      </c>
      <c r="E542" s="1">
        <v>4263</v>
      </c>
      <c r="F542" s="1" t="s">
        <v>28</v>
      </c>
      <c r="G542" s="1" t="s">
        <v>2833</v>
      </c>
      <c r="H542" s="1"/>
      <c r="I542" s="1">
        <v>2</v>
      </c>
      <c r="J542" s="1" t="s">
        <v>2834</v>
      </c>
      <c r="K542" s="1" t="s">
        <v>428</v>
      </c>
      <c r="L542" s="1" t="s">
        <v>1680</v>
      </c>
      <c r="M542" s="1" t="s">
        <v>2835</v>
      </c>
      <c r="N542" s="2">
        <v>40557</v>
      </c>
      <c r="O542" s="1"/>
      <c r="P542" s="1"/>
      <c r="Q542" s="1" t="s">
        <v>34</v>
      </c>
      <c r="R542" s="1"/>
      <c r="S542" s="1" t="s">
        <v>35</v>
      </c>
      <c r="T542" s="1">
        <v>44.874726299999999</v>
      </c>
      <c r="U542" s="1">
        <v>-73.328924099999995</v>
      </c>
      <c r="V542" s="1" t="s">
        <v>2836</v>
      </c>
      <c r="W542" s="1"/>
      <c r="X542" s="1" t="s">
        <v>37</v>
      </c>
      <c r="Y542" s="1" t="s">
        <v>1692</v>
      </c>
      <c r="Z542" s="1">
        <v>5463</v>
      </c>
    </row>
    <row r="543" spans="1:26" ht="42">
      <c r="A543" s="1" t="str">
        <f>"000GBD"</f>
        <v>000GBD</v>
      </c>
      <c r="B543" s="1" t="s">
        <v>2837</v>
      </c>
      <c r="C543" s="1" t="s">
        <v>2838</v>
      </c>
      <c r="D543" s="1" t="str">
        <f>"8028692588"</f>
        <v>8028692588</v>
      </c>
      <c r="E543" s="1">
        <v>4268</v>
      </c>
      <c r="F543" s="1" t="s">
        <v>28</v>
      </c>
      <c r="G543" s="1" t="s">
        <v>2839</v>
      </c>
      <c r="H543" s="1"/>
      <c r="I543" s="1">
        <v>2</v>
      </c>
      <c r="J543" s="1" t="s">
        <v>2840</v>
      </c>
      <c r="K543" s="1" t="s">
        <v>144</v>
      </c>
      <c r="L543" s="1" t="s">
        <v>1945</v>
      </c>
      <c r="M543" s="1" t="s">
        <v>2841</v>
      </c>
      <c r="N543" s="2">
        <v>40352</v>
      </c>
      <c r="O543" s="1"/>
      <c r="P543" s="2">
        <v>42858</v>
      </c>
      <c r="Q543" s="1" t="s">
        <v>34</v>
      </c>
      <c r="R543" s="1"/>
      <c r="S543" s="1" t="s">
        <v>35</v>
      </c>
      <c r="T543" s="1">
        <v>43.1431154482677</v>
      </c>
      <c r="U543" s="1">
        <v>-72.505212575197206</v>
      </c>
      <c r="V543" s="1" t="s">
        <v>2842</v>
      </c>
      <c r="W543" s="1"/>
      <c r="X543" s="1" t="s">
        <v>37</v>
      </c>
      <c r="Y543" s="1" t="s">
        <v>2843</v>
      </c>
      <c r="Z543" s="1">
        <v>5154</v>
      </c>
    </row>
    <row r="544" spans="1:26" ht="42">
      <c r="A544" s="1" t="str">
        <f>"000GC8"</f>
        <v>000GC8</v>
      </c>
      <c r="B544" s="1" t="s">
        <v>2844</v>
      </c>
      <c r="C544" s="1" t="s">
        <v>2845</v>
      </c>
      <c r="D544" s="1" t="str">
        <f>"8024313712"</f>
        <v>8024313712</v>
      </c>
      <c r="E544" s="1">
        <v>4275</v>
      </c>
      <c r="F544" s="1" t="s">
        <v>28</v>
      </c>
      <c r="G544" s="1" t="s">
        <v>2846</v>
      </c>
      <c r="H544" s="1"/>
      <c r="I544" s="1">
        <v>32</v>
      </c>
      <c r="J544" s="1" t="s">
        <v>2847</v>
      </c>
      <c r="K544" s="1" t="s">
        <v>68</v>
      </c>
      <c r="L544" s="1" t="s">
        <v>250</v>
      </c>
      <c r="M544" s="1" t="s">
        <v>2848</v>
      </c>
      <c r="N544" s="2">
        <v>40583</v>
      </c>
      <c r="O544" s="1"/>
      <c r="P544" s="2">
        <v>42128</v>
      </c>
      <c r="Q544" s="1" t="s">
        <v>1208</v>
      </c>
      <c r="R544" s="1"/>
      <c r="S544" s="1" t="s">
        <v>35</v>
      </c>
      <c r="T544" s="1">
        <v>43.992569199999998</v>
      </c>
      <c r="U544" s="1">
        <v>-73.348098199999896</v>
      </c>
      <c r="V544" s="1" t="s">
        <v>2849</v>
      </c>
      <c r="W544" s="1"/>
      <c r="X544" s="1" t="s">
        <v>37</v>
      </c>
      <c r="Y544" s="1" t="s">
        <v>253</v>
      </c>
      <c r="Z544" s="1">
        <v>5060</v>
      </c>
    </row>
    <row r="545" spans="1:26" ht="42">
      <c r="A545" s="1" t="str">
        <f>"000GC8"</f>
        <v>000GC8</v>
      </c>
      <c r="B545" s="1" t="s">
        <v>2844</v>
      </c>
      <c r="C545" s="1" t="s">
        <v>2845</v>
      </c>
      <c r="D545" s="1" t="str">
        <f>"8024313712"</f>
        <v>8024313712</v>
      </c>
      <c r="E545" s="1">
        <v>4275</v>
      </c>
      <c r="F545" s="1" t="s">
        <v>28</v>
      </c>
      <c r="G545" s="1" t="s">
        <v>2850</v>
      </c>
      <c r="H545" s="1"/>
      <c r="I545" s="1">
        <v>20</v>
      </c>
      <c r="J545" s="1" t="s">
        <v>2851</v>
      </c>
      <c r="K545" s="1" t="s">
        <v>68</v>
      </c>
      <c r="L545" s="1" t="s">
        <v>2852</v>
      </c>
      <c r="M545" s="1"/>
      <c r="N545" s="2">
        <v>40299</v>
      </c>
      <c r="O545" s="2">
        <v>43221</v>
      </c>
      <c r="P545" s="2">
        <v>41393</v>
      </c>
      <c r="Q545" s="1" t="s">
        <v>1208</v>
      </c>
      <c r="R545" s="1"/>
      <c r="S545" s="1" t="s">
        <v>35</v>
      </c>
      <c r="T545" s="1">
        <v>43.9269739</v>
      </c>
      <c r="U545" s="1">
        <v>-72.534550499999995</v>
      </c>
      <c r="V545" s="1" t="s">
        <v>2853</v>
      </c>
      <c r="W545" s="1"/>
      <c r="X545" s="1" t="s">
        <v>37</v>
      </c>
      <c r="Y545" s="1" t="s">
        <v>2854</v>
      </c>
      <c r="Z545" s="1">
        <v>0</v>
      </c>
    </row>
    <row r="546" spans="1:26" ht="42">
      <c r="A546" s="1" t="str">
        <f>"000GC8"</f>
        <v>000GC8</v>
      </c>
      <c r="B546" s="1" t="s">
        <v>2844</v>
      </c>
      <c r="C546" s="1" t="s">
        <v>2845</v>
      </c>
      <c r="D546" s="1" t="str">
        <f>"8024313712"</f>
        <v>8024313712</v>
      </c>
      <c r="E546" s="1">
        <v>4275</v>
      </c>
      <c r="F546" s="1" t="s">
        <v>28</v>
      </c>
      <c r="G546" s="1" t="s">
        <v>2855</v>
      </c>
      <c r="H546" s="1"/>
      <c r="I546" s="1">
        <v>32</v>
      </c>
      <c r="J546" s="1" t="s">
        <v>2856</v>
      </c>
      <c r="K546" s="1" t="s">
        <v>68</v>
      </c>
      <c r="L546" s="1" t="s">
        <v>250</v>
      </c>
      <c r="M546" s="1" t="s">
        <v>2857</v>
      </c>
      <c r="N546" s="2">
        <v>43229</v>
      </c>
      <c r="O546" s="1"/>
      <c r="P546" s="1"/>
      <c r="Q546" s="1" t="s">
        <v>34</v>
      </c>
      <c r="R546" s="1"/>
      <c r="S546" s="1" t="s">
        <v>35</v>
      </c>
      <c r="T546" s="1">
        <v>43.980899999999998</v>
      </c>
      <c r="U546" s="1">
        <v>-72.747999999999905</v>
      </c>
      <c r="V546" s="1"/>
      <c r="W546" s="1"/>
      <c r="X546" s="1" t="s">
        <v>37</v>
      </c>
      <c r="Y546" s="1"/>
      <c r="Z546" s="1"/>
    </row>
    <row r="547" spans="1:26" ht="42">
      <c r="A547" s="1" t="str">
        <f>"000GC8"</f>
        <v>000GC8</v>
      </c>
      <c r="B547" s="1" t="s">
        <v>2844</v>
      </c>
      <c r="C547" s="1" t="s">
        <v>2845</v>
      </c>
      <c r="D547" s="1" t="str">
        <f>"8024313712"</f>
        <v>8024313712</v>
      </c>
      <c r="E547" s="1">
        <v>4275</v>
      </c>
      <c r="F547" s="1" t="s">
        <v>28</v>
      </c>
      <c r="G547" s="1" t="s">
        <v>2858</v>
      </c>
      <c r="H547" s="1"/>
      <c r="I547" s="1">
        <v>32</v>
      </c>
      <c r="J547" s="1" t="s">
        <v>2859</v>
      </c>
      <c r="K547" s="1" t="s">
        <v>68</v>
      </c>
      <c r="L547" s="1" t="s">
        <v>250</v>
      </c>
      <c r="M547" s="1" t="s">
        <v>2857</v>
      </c>
      <c r="N547" s="2">
        <v>43229</v>
      </c>
      <c r="O547" s="1"/>
      <c r="P547" s="1"/>
      <c r="Q547" s="1" t="s">
        <v>34</v>
      </c>
      <c r="R547" s="1"/>
      <c r="S547" s="1" t="s">
        <v>35</v>
      </c>
      <c r="T547" s="1">
        <v>44.012</v>
      </c>
      <c r="U547" s="1">
        <v>-72.754099999999994</v>
      </c>
      <c r="V547" s="1"/>
      <c r="W547" s="1"/>
      <c r="X547" s="1" t="s">
        <v>37</v>
      </c>
      <c r="Y547" s="1"/>
      <c r="Z547" s="1"/>
    </row>
    <row r="548" spans="1:26" ht="42">
      <c r="A548" s="1" t="str">
        <f>"000GC8"</f>
        <v>000GC8</v>
      </c>
      <c r="B548" s="1" t="s">
        <v>2844</v>
      </c>
      <c r="C548" s="1" t="s">
        <v>2845</v>
      </c>
      <c r="D548" s="1" t="str">
        <f>"8024313712"</f>
        <v>8024313712</v>
      </c>
      <c r="E548" s="1">
        <v>4275</v>
      </c>
      <c r="F548" s="1" t="s">
        <v>28</v>
      </c>
      <c r="G548" s="1" t="s">
        <v>2860</v>
      </c>
      <c r="H548" s="1"/>
      <c r="I548" s="1">
        <v>32</v>
      </c>
      <c r="J548" s="1" t="s">
        <v>2861</v>
      </c>
      <c r="K548" s="1" t="s">
        <v>68</v>
      </c>
      <c r="L548" s="1" t="s">
        <v>1383</v>
      </c>
      <c r="M548" s="1" t="s">
        <v>2862</v>
      </c>
      <c r="N548" s="2">
        <v>43229</v>
      </c>
      <c r="O548" s="1"/>
      <c r="P548" s="1"/>
      <c r="Q548" s="1" t="s">
        <v>34</v>
      </c>
      <c r="R548" s="1"/>
      <c r="S548" s="1" t="s">
        <v>35</v>
      </c>
      <c r="T548" s="1">
        <v>43.938800000000001</v>
      </c>
      <c r="U548" s="1">
        <v>-72.662000000000006</v>
      </c>
      <c r="V548" s="1"/>
      <c r="W548" s="1"/>
      <c r="X548" s="1" t="s">
        <v>37</v>
      </c>
      <c r="Y548" s="1"/>
      <c r="Z548" s="1"/>
    </row>
    <row r="549" spans="1:26" ht="42">
      <c r="A549" s="1" t="str">
        <f>"000GC8"</f>
        <v>000GC8</v>
      </c>
      <c r="B549" s="1" t="s">
        <v>2844</v>
      </c>
      <c r="C549" s="1" t="s">
        <v>2845</v>
      </c>
      <c r="D549" s="1" t="str">
        <f>"8024313712"</f>
        <v>8024313712</v>
      </c>
      <c r="E549" s="1">
        <v>4275</v>
      </c>
      <c r="F549" s="1" t="s">
        <v>28</v>
      </c>
      <c r="G549" s="1" t="s">
        <v>2863</v>
      </c>
      <c r="H549" s="1"/>
      <c r="I549" s="1">
        <v>32</v>
      </c>
      <c r="J549" s="1" t="s">
        <v>2864</v>
      </c>
      <c r="K549" s="1" t="s">
        <v>68</v>
      </c>
      <c r="L549" s="1" t="s">
        <v>1383</v>
      </c>
      <c r="M549" s="1"/>
      <c r="N549" s="2">
        <v>43229</v>
      </c>
      <c r="O549" s="1"/>
      <c r="P549" s="1"/>
      <c r="Q549" s="1" t="s">
        <v>34</v>
      </c>
      <c r="R549" s="1"/>
      <c r="S549" s="1" t="s">
        <v>35</v>
      </c>
      <c r="T549" s="1">
        <v>43.963999999999999</v>
      </c>
      <c r="U549" s="1">
        <v>-72.660799999999995</v>
      </c>
      <c r="V549" s="1"/>
      <c r="W549" s="1"/>
      <c r="X549" s="1" t="s">
        <v>37</v>
      </c>
      <c r="Y549" s="1"/>
      <c r="Z549" s="1"/>
    </row>
    <row r="550" spans="1:26" ht="42">
      <c r="A550" s="1" t="str">
        <f>"000GC8"</f>
        <v>000GC8</v>
      </c>
      <c r="B550" s="1" t="s">
        <v>2844</v>
      </c>
      <c r="C550" s="1" t="s">
        <v>2845</v>
      </c>
      <c r="D550" s="1" t="str">
        <f>"8024313712"</f>
        <v>8024313712</v>
      </c>
      <c r="E550" s="1">
        <v>4275</v>
      </c>
      <c r="F550" s="1" t="s">
        <v>28</v>
      </c>
      <c r="G550" s="1" t="s">
        <v>2865</v>
      </c>
      <c r="H550" s="1"/>
      <c r="I550" s="1">
        <v>32</v>
      </c>
      <c r="J550" s="1" t="s">
        <v>2866</v>
      </c>
      <c r="K550" s="1" t="s">
        <v>77</v>
      </c>
      <c r="L550" s="1" t="s">
        <v>1391</v>
      </c>
      <c r="M550" s="1" t="s">
        <v>2866</v>
      </c>
      <c r="N550" s="2">
        <v>43230</v>
      </c>
      <c r="O550" s="1"/>
      <c r="P550" s="1"/>
      <c r="Q550" s="1" t="s">
        <v>34</v>
      </c>
      <c r="R550" s="1"/>
      <c r="S550" s="1" t="s">
        <v>35</v>
      </c>
      <c r="T550" s="1">
        <v>43.853700000000003</v>
      </c>
      <c r="U550" s="1">
        <v>-72.589200000000005</v>
      </c>
      <c r="V550" s="1"/>
      <c r="W550" s="1"/>
      <c r="X550" s="1" t="s">
        <v>37</v>
      </c>
      <c r="Y550" s="1"/>
      <c r="Z550" s="1"/>
    </row>
    <row r="551" spans="1:26" ht="42">
      <c r="A551" s="1" t="str">
        <f>"000GC8"</f>
        <v>000GC8</v>
      </c>
      <c r="B551" s="1" t="s">
        <v>2844</v>
      </c>
      <c r="C551" s="1" t="s">
        <v>2845</v>
      </c>
      <c r="D551" s="1" t="str">
        <f>"8024313712"</f>
        <v>8024313712</v>
      </c>
      <c r="E551" s="1">
        <v>4275</v>
      </c>
      <c r="F551" s="1" t="s">
        <v>28</v>
      </c>
      <c r="G551" s="1" t="s">
        <v>2867</v>
      </c>
      <c r="H551" s="1"/>
      <c r="I551" s="1">
        <v>32</v>
      </c>
      <c r="J551" s="1" t="s">
        <v>2868</v>
      </c>
      <c r="K551" s="1" t="s">
        <v>68</v>
      </c>
      <c r="L551" s="1" t="s">
        <v>1383</v>
      </c>
      <c r="M551" s="1" t="s">
        <v>2869</v>
      </c>
      <c r="N551" s="2">
        <v>43230</v>
      </c>
      <c r="O551" s="1"/>
      <c r="P551" s="1"/>
      <c r="Q551" s="1" t="s">
        <v>34</v>
      </c>
      <c r="R551" s="1"/>
      <c r="S551" s="1" t="s">
        <v>35</v>
      </c>
      <c r="T551" s="1">
        <v>43.900799999999997</v>
      </c>
      <c r="U551" s="1">
        <v>-72.584699999999998</v>
      </c>
      <c r="V551" s="1"/>
      <c r="W551" s="1"/>
      <c r="X551" s="1" t="s">
        <v>37</v>
      </c>
      <c r="Y551" s="1"/>
      <c r="Z551" s="1"/>
    </row>
    <row r="552" spans="1:26" ht="42">
      <c r="A552" s="1" t="str">
        <f>"000GC8"</f>
        <v>000GC8</v>
      </c>
      <c r="B552" s="1" t="s">
        <v>2844</v>
      </c>
      <c r="C552" s="1" t="s">
        <v>2845</v>
      </c>
      <c r="D552" s="1" t="str">
        <f>"8024313712"</f>
        <v>8024313712</v>
      </c>
      <c r="E552" s="1">
        <v>4275</v>
      </c>
      <c r="F552" s="1" t="s">
        <v>28</v>
      </c>
      <c r="G552" s="1" t="s">
        <v>2870</v>
      </c>
      <c r="H552" s="1"/>
      <c r="I552" s="1">
        <v>12</v>
      </c>
      <c r="J552" s="1" t="s">
        <v>2871</v>
      </c>
      <c r="K552" s="1" t="s">
        <v>68</v>
      </c>
      <c r="L552" s="1" t="s">
        <v>250</v>
      </c>
      <c r="M552" s="1" t="s">
        <v>2872</v>
      </c>
      <c r="N552" s="2">
        <v>43229</v>
      </c>
      <c r="O552" s="1"/>
      <c r="P552" s="1"/>
      <c r="Q552" s="1" t="s">
        <v>34</v>
      </c>
      <c r="R552" s="1"/>
      <c r="S552" s="1" t="s">
        <v>35</v>
      </c>
      <c r="T552" s="1">
        <v>43.976500000000001</v>
      </c>
      <c r="U552" s="1">
        <v>-72.6771999999999</v>
      </c>
      <c r="V552" s="1"/>
      <c r="W552" s="1"/>
      <c r="X552" s="1" t="s">
        <v>37</v>
      </c>
      <c r="Y552" s="1"/>
      <c r="Z552" s="1"/>
    </row>
    <row r="553" spans="1:26" ht="42">
      <c r="A553" s="1" t="str">
        <f>"000GC8"</f>
        <v>000GC8</v>
      </c>
      <c r="B553" s="1" t="s">
        <v>2844</v>
      </c>
      <c r="C553" s="1" t="s">
        <v>2845</v>
      </c>
      <c r="D553" s="1" t="str">
        <f>"8024313712"</f>
        <v>8024313712</v>
      </c>
      <c r="E553" s="1">
        <v>4275</v>
      </c>
      <c r="F553" s="1" t="s">
        <v>28</v>
      </c>
      <c r="G553" s="1" t="s">
        <v>2873</v>
      </c>
      <c r="H553" s="1"/>
      <c r="I553" s="1">
        <v>32</v>
      </c>
      <c r="J553" s="1" t="s">
        <v>2874</v>
      </c>
      <c r="K553" s="1" t="s">
        <v>68</v>
      </c>
      <c r="L553" s="1" t="s">
        <v>2852</v>
      </c>
      <c r="M553" s="1" t="s">
        <v>2875</v>
      </c>
      <c r="N553" s="2">
        <v>43230</v>
      </c>
      <c r="O553" s="1"/>
      <c r="P553" s="1"/>
      <c r="Q553" s="1" t="s">
        <v>34</v>
      </c>
      <c r="R553" s="1"/>
      <c r="S553" s="1" t="s">
        <v>35</v>
      </c>
      <c r="T553" s="1">
        <v>43.912242900000003</v>
      </c>
      <c r="U553" s="1">
        <v>-72.431174100000007</v>
      </c>
      <c r="V553" s="1" t="s">
        <v>2876</v>
      </c>
      <c r="W553" s="1"/>
      <c r="X553" s="1" t="s">
        <v>37</v>
      </c>
      <c r="Y553" s="1" t="s">
        <v>2854</v>
      </c>
      <c r="Z553" s="1">
        <v>5077</v>
      </c>
    </row>
    <row r="554" spans="1:26" ht="42">
      <c r="A554" s="1" t="str">
        <f>"000GC8"</f>
        <v>000GC8</v>
      </c>
      <c r="B554" s="1" t="s">
        <v>2844</v>
      </c>
      <c r="C554" s="1" t="s">
        <v>2845</v>
      </c>
      <c r="D554" s="1" t="str">
        <f>"8024313712"</f>
        <v>8024313712</v>
      </c>
      <c r="E554" s="1">
        <v>4275</v>
      </c>
      <c r="F554" s="1" t="s">
        <v>28</v>
      </c>
      <c r="G554" s="1" t="s">
        <v>2877</v>
      </c>
      <c r="H554" s="1"/>
      <c r="I554" s="1">
        <v>32</v>
      </c>
      <c r="J554" s="1" t="s">
        <v>2878</v>
      </c>
      <c r="K554" s="1" t="s">
        <v>77</v>
      </c>
      <c r="L554" s="1" t="s">
        <v>2879</v>
      </c>
      <c r="M554" s="1" t="s">
        <v>2880</v>
      </c>
      <c r="N554" s="2">
        <v>43230</v>
      </c>
      <c r="O554" s="1"/>
      <c r="P554" s="1"/>
      <c r="Q554" s="1" t="s">
        <v>34</v>
      </c>
      <c r="R554" s="1"/>
      <c r="S554" s="1" t="s">
        <v>35</v>
      </c>
      <c r="T554" s="1">
        <v>43.807299999999998</v>
      </c>
      <c r="U554" s="1">
        <v>-72.635599999999997</v>
      </c>
      <c r="V554" s="1"/>
      <c r="W554" s="1"/>
      <c r="X554" s="1" t="s">
        <v>37</v>
      </c>
      <c r="Y554" s="1"/>
      <c r="Z554" s="1"/>
    </row>
    <row r="555" spans="1:26" ht="42">
      <c r="A555" s="1" t="str">
        <f>"000GC8"</f>
        <v>000GC8</v>
      </c>
      <c r="B555" s="1" t="s">
        <v>2844</v>
      </c>
      <c r="C555" s="1" t="s">
        <v>2845</v>
      </c>
      <c r="D555" s="1" t="str">
        <f>"8024313712"</f>
        <v>8024313712</v>
      </c>
      <c r="E555" s="1">
        <v>4275</v>
      </c>
      <c r="F555" s="1" t="s">
        <v>28</v>
      </c>
      <c r="G555" s="1" t="s">
        <v>2881</v>
      </c>
      <c r="H555" s="1"/>
      <c r="I555" s="1">
        <v>32</v>
      </c>
      <c r="J555" s="1" t="s">
        <v>2882</v>
      </c>
      <c r="K555" s="1" t="s">
        <v>68</v>
      </c>
      <c r="L555" s="1" t="s">
        <v>2852</v>
      </c>
      <c r="M555" s="1" t="s">
        <v>2883</v>
      </c>
      <c r="N555" s="2">
        <v>43230</v>
      </c>
      <c r="O555" s="1"/>
      <c r="P555" s="1"/>
      <c r="Q555" s="1" t="s">
        <v>34</v>
      </c>
      <c r="R555" s="1"/>
      <c r="S555" s="1" t="s">
        <v>35</v>
      </c>
      <c r="T555" s="1">
        <v>43.869700000000002</v>
      </c>
      <c r="U555" s="1">
        <v>-72.497299999999996</v>
      </c>
      <c r="V555" s="1"/>
      <c r="W555" s="1"/>
      <c r="X555" s="1" t="s">
        <v>37</v>
      </c>
      <c r="Y555" s="1"/>
      <c r="Z555" s="1"/>
    </row>
    <row r="556" spans="1:26" ht="42">
      <c r="A556" s="1" t="str">
        <f>"000GC8"</f>
        <v>000GC8</v>
      </c>
      <c r="B556" s="1" t="s">
        <v>2844</v>
      </c>
      <c r="C556" s="1" t="s">
        <v>2845</v>
      </c>
      <c r="D556" s="1" t="str">
        <f>"8024313712"</f>
        <v>8024313712</v>
      </c>
      <c r="E556" s="1">
        <v>4275</v>
      </c>
      <c r="F556" s="1" t="s">
        <v>28</v>
      </c>
      <c r="G556" s="1" t="s">
        <v>2884</v>
      </c>
      <c r="H556" s="1"/>
      <c r="I556" s="1">
        <v>32</v>
      </c>
      <c r="J556" s="1" t="s">
        <v>2885</v>
      </c>
      <c r="K556" s="1" t="s">
        <v>77</v>
      </c>
      <c r="L556" s="1" t="s">
        <v>1391</v>
      </c>
      <c r="M556" s="1" t="s">
        <v>2886</v>
      </c>
      <c r="N556" s="2">
        <v>43230</v>
      </c>
      <c r="O556" s="1"/>
      <c r="P556" s="1"/>
      <c r="Q556" s="1" t="s">
        <v>34</v>
      </c>
      <c r="R556" s="1"/>
      <c r="S556" s="1" t="s">
        <v>35</v>
      </c>
      <c r="T556" s="1">
        <v>43.842399999999998</v>
      </c>
      <c r="U556" s="1">
        <v>-72.556600000000003</v>
      </c>
      <c r="V556" s="1"/>
      <c r="W556" s="1"/>
      <c r="X556" s="1" t="s">
        <v>37</v>
      </c>
      <c r="Y556" s="1"/>
      <c r="Z556" s="1"/>
    </row>
    <row r="557" spans="1:26" ht="42">
      <c r="A557" s="1" t="str">
        <f>"000GC8"</f>
        <v>000GC8</v>
      </c>
      <c r="B557" s="1" t="s">
        <v>2844</v>
      </c>
      <c r="C557" s="1" t="s">
        <v>2845</v>
      </c>
      <c r="D557" s="1" t="str">
        <f>"8024313712"</f>
        <v>8024313712</v>
      </c>
      <c r="E557" s="1">
        <v>4275</v>
      </c>
      <c r="F557" s="1" t="s">
        <v>28</v>
      </c>
      <c r="G557" s="1" t="s">
        <v>2887</v>
      </c>
      <c r="H557" s="1"/>
      <c r="I557" s="1">
        <v>32</v>
      </c>
      <c r="J557" s="1" t="s">
        <v>2888</v>
      </c>
      <c r="K557" s="1" t="s">
        <v>68</v>
      </c>
      <c r="L557" s="1" t="s">
        <v>2852</v>
      </c>
      <c r="M557" s="1" t="s">
        <v>2889</v>
      </c>
      <c r="N557" s="2">
        <v>43230</v>
      </c>
      <c r="O557" s="1"/>
      <c r="P557" s="1"/>
      <c r="Q557" s="1" t="s">
        <v>34</v>
      </c>
      <c r="R557" s="1"/>
      <c r="S557" s="1" t="s">
        <v>35</v>
      </c>
      <c r="T557" s="1">
        <v>43.925600000000003</v>
      </c>
      <c r="U557" s="1">
        <v>-72.466200000000001</v>
      </c>
      <c r="V557" s="1"/>
      <c r="W557" s="1"/>
      <c r="X557" s="1" t="s">
        <v>37</v>
      </c>
      <c r="Y557" s="1"/>
      <c r="Z557" s="1"/>
    </row>
    <row r="558" spans="1:26" ht="42">
      <c r="A558" s="1" t="str">
        <f>"000GC8"</f>
        <v>000GC8</v>
      </c>
      <c r="B558" s="1" t="s">
        <v>2844</v>
      </c>
      <c r="C558" s="1" t="s">
        <v>2845</v>
      </c>
      <c r="D558" s="1" t="str">
        <f>"8024313712"</f>
        <v>8024313712</v>
      </c>
      <c r="E558" s="1">
        <v>4275</v>
      </c>
      <c r="F558" s="1" t="s">
        <v>28</v>
      </c>
      <c r="G558" s="1" t="s">
        <v>2890</v>
      </c>
      <c r="H558" s="1"/>
      <c r="I558" s="1">
        <v>32</v>
      </c>
      <c r="J558" s="1" t="s">
        <v>2891</v>
      </c>
      <c r="K558" s="1" t="s">
        <v>68</v>
      </c>
      <c r="L558" s="1" t="s">
        <v>1383</v>
      </c>
      <c r="M558" s="1" t="s">
        <v>2862</v>
      </c>
      <c r="N558" s="2">
        <v>43229</v>
      </c>
      <c r="O558" s="1"/>
      <c r="P558" s="1"/>
      <c r="Q558" s="1" t="s">
        <v>34</v>
      </c>
      <c r="R558" s="1"/>
      <c r="S558" s="1" t="s">
        <v>35</v>
      </c>
      <c r="T558" s="1">
        <v>43.946599999999997</v>
      </c>
      <c r="U558" s="1">
        <v>-72.632799999999904</v>
      </c>
      <c r="V558" s="1"/>
      <c r="W558" s="1"/>
      <c r="X558" s="1" t="s">
        <v>37</v>
      </c>
      <c r="Y558" s="1"/>
      <c r="Z558" s="1"/>
    </row>
    <row r="559" spans="1:26" ht="42">
      <c r="A559" s="1" t="str">
        <f>"000GC8"</f>
        <v>000GC8</v>
      </c>
      <c r="B559" s="1" t="s">
        <v>2844</v>
      </c>
      <c r="C559" s="1" t="s">
        <v>2845</v>
      </c>
      <c r="D559" s="1" t="str">
        <f>"8024313712"</f>
        <v>8024313712</v>
      </c>
      <c r="E559" s="1">
        <v>4275</v>
      </c>
      <c r="F559" s="1" t="s">
        <v>28</v>
      </c>
      <c r="G559" s="1" t="s">
        <v>2892</v>
      </c>
      <c r="H559" s="1"/>
      <c r="I559" s="1">
        <v>0</v>
      </c>
      <c r="J559" s="1" t="s">
        <v>2893</v>
      </c>
      <c r="K559" s="1" t="s">
        <v>68</v>
      </c>
      <c r="L559" s="1" t="s">
        <v>1383</v>
      </c>
      <c r="M559" s="1" t="s">
        <v>2862</v>
      </c>
      <c r="N559" s="2">
        <v>43229</v>
      </c>
      <c r="O559" s="1"/>
      <c r="P559" s="1"/>
      <c r="Q559" s="1" t="s">
        <v>1208</v>
      </c>
      <c r="R559" s="1"/>
      <c r="S559" s="1" t="s">
        <v>35</v>
      </c>
      <c r="T559" s="1">
        <v>43.941899999999997</v>
      </c>
      <c r="U559" s="1">
        <v>-72.628399999999999</v>
      </c>
      <c r="V559" s="1"/>
      <c r="W559" s="1"/>
      <c r="X559" s="1" t="s">
        <v>37</v>
      </c>
      <c r="Y559" s="1"/>
      <c r="Z559" s="1"/>
    </row>
    <row r="560" spans="1:26" ht="42">
      <c r="A560" s="1" t="str">
        <f>"000GC8"</f>
        <v>000GC8</v>
      </c>
      <c r="B560" s="1" t="s">
        <v>2844</v>
      </c>
      <c r="C560" s="1" t="s">
        <v>2845</v>
      </c>
      <c r="D560" s="1" t="str">
        <f>"8024313712"</f>
        <v>8024313712</v>
      </c>
      <c r="E560" s="1">
        <v>4275</v>
      </c>
      <c r="F560" s="1" t="s">
        <v>28</v>
      </c>
      <c r="G560" s="1" t="s">
        <v>2894</v>
      </c>
      <c r="H560" s="1"/>
      <c r="I560" s="1">
        <v>32</v>
      </c>
      <c r="J560" s="1" t="s">
        <v>2895</v>
      </c>
      <c r="K560" s="1" t="s">
        <v>68</v>
      </c>
      <c r="L560" s="1" t="s">
        <v>1383</v>
      </c>
      <c r="M560" s="1" t="s">
        <v>2862</v>
      </c>
      <c r="N560" s="2">
        <v>43229</v>
      </c>
      <c r="O560" s="1"/>
      <c r="P560" s="1"/>
      <c r="Q560" s="1" t="s">
        <v>34</v>
      </c>
      <c r="R560" s="1"/>
      <c r="S560" s="1" t="s">
        <v>35</v>
      </c>
      <c r="T560" s="1">
        <v>43.909300000000002</v>
      </c>
      <c r="U560" s="1">
        <v>-72.648499999999999</v>
      </c>
      <c r="V560" s="1"/>
      <c r="W560" s="1"/>
      <c r="X560" s="1" t="s">
        <v>37</v>
      </c>
      <c r="Y560" s="1"/>
      <c r="Z560" s="1"/>
    </row>
    <row r="561" spans="1:26" ht="42">
      <c r="A561" s="1" t="str">
        <f>"000GC8"</f>
        <v>000GC8</v>
      </c>
      <c r="B561" s="1" t="s">
        <v>2844</v>
      </c>
      <c r="C561" s="1" t="s">
        <v>2845</v>
      </c>
      <c r="D561" s="1" t="str">
        <f>"8024313712"</f>
        <v>8024313712</v>
      </c>
      <c r="E561" s="1">
        <v>4275</v>
      </c>
      <c r="F561" s="1" t="s">
        <v>28</v>
      </c>
      <c r="G561" s="1" t="s">
        <v>2896</v>
      </c>
      <c r="H561" s="1"/>
      <c r="I561" s="1">
        <v>32</v>
      </c>
      <c r="J561" s="1" t="s">
        <v>2897</v>
      </c>
      <c r="K561" s="1" t="s">
        <v>68</v>
      </c>
      <c r="L561" s="1" t="s">
        <v>1383</v>
      </c>
      <c r="M561" s="1" t="s">
        <v>2898</v>
      </c>
      <c r="N561" s="2">
        <v>43229</v>
      </c>
      <c r="O561" s="1"/>
      <c r="P561" s="1"/>
      <c r="Q561" s="1" t="s">
        <v>34</v>
      </c>
      <c r="R561" s="1"/>
      <c r="S561" s="1" t="s">
        <v>35</v>
      </c>
      <c r="T561" s="1">
        <v>43.943600000000004</v>
      </c>
      <c r="U561" s="1">
        <v>-72.555000000000007</v>
      </c>
      <c r="V561" s="1"/>
      <c r="W561" s="1"/>
      <c r="X561" s="1" t="s">
        <v>37</v>
      </c>
      <c r="Y561" s="1"/>
      <c r="Z561" s="1"/>
    </row>
    <row r="562" spans="1:26" ht="42">
      <c r="A562" s="1" t="str">
        <f>"000GC8"</f>
        <v>000GC8</v>
      </c>
      <c r="B562" s="1" t="s">
        <v>2844</v>
      </c>
      <c r="C562" s="1" t="s">
        <v>2845</v>
      </c>
      <c r="D562" s="1" t="str">
        <f>"8024313712"</f>
        <v>8024313712</v>
      </c>
      <c r="E562" s="1">
        <v>4275</v>
      </c>
      <c r="F562" s="1" t="s">
        <v>28</v>
      </c>
      <c r="G562" s="1" t="s">
        <v>2899</v>
      </c>
      <c r="H562" s="1"/>
      <c r="I562" s="1">
        <v>32</v>
      </c>
      <c r="J562" s="1" t="s">
        <v>2900</v>
      </c>
      <c r="K562" s="1" t="s">
        <v>77</v>
      </c>
      <c r="L562" s="1" t="s">
        <v>2879</v>
      </c>
      <c r="M562" s="1" t="s">
        <v>2900</v>
      </c>
      <c r="N562" s="2">
        <v>43229</v>
      </c>
      <c r="O562" s="1"/>
      <c r="P562" s="1"/>
      <c r="Q562" s="1" t="s">
        <v>34</v>
      </c>
      <c r="R562" s="1"/>
      <c r="S562" s="1" t="s">
        <v>35</v>
      </c>
      <c r="T562" s="1">
        <v>43.881700000000002</v>
      </c>
      <c r="U562" s="1">
        <v>-72.580699999999894</v>
      </c>
      <c r="V562" s="1"/>
      <c r="W562" s="1"/>
      <c r="X562" s="1" t="s">
        <v>37</v>
      </c>
      <c r="Y562" s="1" t="s">
        <v>2901</v>
      </c>
      <c r="Z562" s="1">
        <v>0</v>
      </c>
    </row>
    <row r="563" spans="1:26" ht="42">
      <c r="A563" s="1" t="str">
        <f>"000GC8"</f>
        <v>000GC8</v>
      </c>
      <c r="B563" s="1" t="s">
        <v>2844</v>
      </c>
      <c r="C563" s="1" t="s">
        <v>2845</v>
      </c>
      <c r="D563" s="1" t="str">
        <f>"8024313712"</f>
        <v>8024313712</v>
      </c>
      <c r="E563" s="1">
        <v>4275</v>
      </c>
      <c r="F563" s="1" t="s">
        <v>28</v>
      </c>
      <c r="G563" s="1" t="s">
        <v>2902</v>
      </c>
      <c r="H563" s="1"/>
      <c r="I563" s="1">
        <v>32</v>
      </c>
      <c r="J563" s="1" t="s">
        <v>2903</v>
      </c>
      <c r="K563" s="1" t="s">
        <v>77</v>
      </c>
      <c r="L563" s="1" t="s">
        <v>1391</v>
      </c>
      <c r="M563" s="1" t="s">
        <v>2903</v>
      </c>
      <c r="N563" s="2">
        <v>43229</v>
      </c>
      <c r="O563" s="1"/>
      <c r="P563" s="1"/>
      <c r="Q563" s="1" t="s">
        <v>34</v>
      </c>
      <c r="R563" s="1"/>
      <c r="S563" s="1" t="s">
        <v>35</v>
      </c>
      <c r="T563" s="1">
        <v>43.8245</v>
      </c>
      <c r="U563" s="1">
        <v>-72.575599999999994</v>
      </c>
      <c r="V563" s="1"/>
      <c r="W563" s="1"/>
      <c r="X563" s="1" t="s">
        <v>37</v>
      </c>
      <c r="Y563" s="1"/>
      <c r="Z563" s="1"/>
    </row>
    <row r="564" spans="1:26" ht="42">
      <c r="A564" s="1" t="str">
        <f>"000GC8"</f>
        <v>000GC8</v>
      </c>
      <c r="B564" s="1" t="s">
        <v>2844</v>
      </c>
      <c r="C564" s="1" t="s">
        <v>2845</v>
      </c>
      <c r="D564" s="1" t="str">
        <f>"8024313712"</f>
        <v>8024313712</v>
      </c>
      <c r="E564" s="1">
        <v>4275</v>
      </c>
      <c r="F564" s="1" t="s">
        <v>28</v>
      </c>
      <c r="G564" s="1" t="s">
        <v>2904</v>
      </c>
      <c r="H564" s="1"/>
      <c r="I564" s="1">
        <v>32</v>
      </c>
      <c r="J564" s="1" t="s">
        <v>2905</v>
      </c>
      <c r="K564" s="1" t="s">
        <v>68</v>
      </c>
      <c r="L564" s="1" t="s">
        <v>250</v>
      </c>
      <c r="M564" s="1" t="s">
        <v>2906</v>
      </c>
      <c r="N564" s="2">
        <v>43229</v>
      </c>
      <c r="O564" s="1"/>
      <c r="P564" s="1"/>
      <c r="Q564" s="1" t="s">
        <v>34</v>
      </c>
      <c r="R564" s="1"/>
      <c r="S564" s="1" t="s">
        <v>35</v>
      </c>
      <c r="T564" s="1">
        <v>43.972000000000001</v>
      </c>
      <c r="U564" s="1">
        <v>-72.688999999999893</v>
      </c>
      <c r="V564" s="1"/>
      <c r="W564" s="1"/>
      <c r="X564" s="1" t="s">
        <v>37</v>
      </c>
      <c r="Y564" s="1"/>
      <c r="Z564" s="1"/>
    </row>
    <row r="565" spans="1:26" ht="42">
      <c r="A565" s="1" t="str">
        <f>"000GC8"</f>
        <v>000GC8</v>
      </c>
      <c r="B565" s="1" t="s">
        <v>2844</v>
      </c>
      <c r="C565" s="1" t="s">
        <v>2845</v>
      </c>
      <c r="D565" s="1" t="str">
        <f>"8024313712"</f>
        <v>8024313712</v>
      </c>
      <c r="E565" s="1">
        <v>4275</v>
      </c>
      <c r="F565" s="1" t="s">
        <v>28</v>
      </c>
      <c r="G565" s="1" t="s">
        <v>2907</v>
      </c>
      <c r="H565" s="1"/>
      <c r="I565" s="1">
        <v>32</v>
      </c>
      <c r="J565" s="1" t="s">
        <v>2908</v>
      </c>
      <c r="K565" s="1" t="s">
        <v>68</v>
      </c>
      <c r="L565" s="1" t="s">
        <v>1383</v>
      </c>
      <c r="M565" s="1" t="s">
        <v>2905</v>
      </c>
      <c r="N565" s="2">
        <v>43229</v>
      </c>
      <c r="O565" s="1"/>
      <c r="P565" s="1"/>
      <c r="Q565" s="1" t="s">
        <v>34</v>
      </c>
      <c r="R565" s="1"/>
      <c r="S565" s="1" t="s">
        <v>35</v>
      </c>
      <c r="T565" s="1">
        <v>43.9846</v>
      </c>
      <c r="U565" s="1">
        <v>-72.662300000000002</v>
      </c>
      <c r="V565" s="1"/>
      <c r="W565" s="1"/>
      <c r="X565" s="1" t="s">
        <v>37</v>
      </c>
      <c r="Y565" s="1"/>
      <c r="Z565" s="1"/>
    </row>
    <row r="566" spans="1:26" ht="42">
      <c r="A566" s="1" t="str">
        <f>"000GC8"</f>
        <v>000GC8</v>
      </c>
      <c r="B566" s="1" t="s">
        <v>2844</v>
      </c>
      <c r="C566" s="1" t="s">
        <v>2845</v>
      </c>
      <c r="D566" s="1" t="str">
        <f>"8024313712"</f>
        <v>8024313712</v>
      </c>
      <c r="E566" s="1">
        <v>4275</v>
      </c>
      <c r="F566" s="1" t="s">
        <v>28</v>
      </c>
      <c r="G566" s="1" t="s">
        <v>2909</v>
      </c>
      <c r="H566" s="1"/>
      <c r="I566" s="1">
        <v>32</v>
      </c>
      <c r="J566" s="1" t="s">
        <v>2910</v>
      </c>
      <c r="K566" s="1" t="s">
        <v>68</v>
      </c>
      <c r="L566" s="1" t="s">
        <v>1383</v>
      </c>
      <c r="M566" s="1"/>
      <c r="N566" s="2">
        <v>43229</v>
      </c>
      <c r="O566" s="1"/>
      <c r="P566" s="1"/>
      <c r="Q566" s="1" t="s">
        <v>34</v>
      </c>
      <c r="R566" s="1"/>
      <c r="S566" s="1" t="s">
        <v>35</v>
      </c>
      <c r="T566" s="1">
        <v>43.980800000000002</v>
      </c>
      <c r="U566" s="1">
        <v>-72.652600000000007</v>
      </c>
      <c r="V566" s="1"/>
      <c r="W566" s="1"/>
      <c r="X566" s="1" t="s">
        <v>37</v>
      </c>
      <c r="Y566" s="1"/>
      <c r="Z566" s="1"/>
    </row>
    <row r="567" spans="1:26" ht="42">
      <c r="A567" s="1" t="str">
        <f>"000GC8"</f>
        <v>000GC8</v>
      </c>
      <c r="B567" s="1" t="s">
        <v>2844</v>
      </c>
      <c r="C567" s="1" t="s">
        <v>2845</v>
      </c>
      <c r="D567" s="1" t="str">
        <f>"8024313712"</f>
        <v>8024313712</v>
      </c>
      <c r="E567" s="1">
        <v>4275</v>
      </c>
      <c r="F567" s="1" t="s">
        <v>28</v>
      </c>
      <c r="G567" s="1" t="s">
        <v>2911</v>
      </c>
      <c r="H567" s="1"/>
      <c r="I567" s="1">
        <v>12</v>
      </c>
      <c r="J567" s="1" t="s">
        <v>2912</v>
      </c>
      <c r="K567" s="1" t="s">
        <v>68</v>
      </c>
      <c r="L567" s="1" t="s">
        <v>1383</v>
      </c>
      <c r="M567" s="1" t="s">
        <v>2872</v>
      </c>
      <c r="N567" s="2">
        <v>43229</v>
      </c>
      <c r="O567" s="1"/>
      <c r="P567" s="1"/>
      <c r="Q567" s="1" t="s">
        <v>34</v>
      </c>
      <c r="R567" s="1"/>
      <c r="S567" s="1" t="s">
        <v>35</v>
      </c>
      <c r="T567" s="1">
        <v>43.967199999999998</v>
      </c>
      <c r="U567" s="1">
        <v>-72.651999999999902</v>
      </c>
      <c r="V567" s="1"/>
      <c r="W567" s="1"/>
      <c r="X567" s="1" t="s">
        <v>37</v>
      </c>
      <c r="Y567" s="1"/>
      <c r="Z567" s="1"/>
    </row>
    <row r="568" spans="1:26" ht="42">
      <c r="A568" s="1" t="str">
        <f>"000GC8"</f>
        <v>000GC8</v>
      </c>
      <c r="B568" s="1" t="s">
        <v>2844</v>
      </c>
      <c r="C568" s="1" t="s">
        <v>2845</v>
      </c>
      <c r="D568" s="1" t="str">
        <f>"8024313712"</f>
        <v>8024313712</v>
      </c>
      <c r="E568" s="1">
        <v>4275</v>
      </c>
      <c r="F568" s="1" t="s">
        <v>28</v>
      </c>
      <c r="G568" s="1" t="s">
        <v>2913</v>
      </c>
      <c r="H568" s="1"/>
      <c r="I568" s="1">
        <v>32</v>
      </c>
      <c r="J568" s="1" t="s">
        <v>2914</v>
      </c>
      <c r="K568" s="1" t="s">
        <v>68</v>
      </c>
      <c r="L568" s="1" t="s">
        <v>2265</v>
      </c>
      <c r="M568" s="1" t="s">
        <v>2915</v>
      </c>
      <c r="N568" s="2">
        <v>43229</v>
      </c>
      <c r="O568" s="1"/>
      <c r="P568" s="1"/>
      <c r="Q568" s="1" t="s">
        <v>34</v>
      </c>
      <c r="R568" s="1"/>
      <c r="S568" s="1" t="s">
        <v>35</v>
      </c>
      <c r="T568" s="1">
        <v>43.990400000000001</v>
      </c>
      <c r="U568" s="1">
        <v>-72.603799999999893</v>
      </c>
      <c r="V568" s="1"/>
      <c r="W568" s="1"/>
      <c r="X568" s="1" t="s">
        <v>37</v>
      </c>
      <c r="Y568" s="1"/>
      <c r="Z568" s="1"/>
    </row>
    <row r="569" spans="1:26" ht="42">
      <c r="A569" s="1" t="str">
        <f>"000GC8"</f>
        <v>000GC8</v>
      </c>
      <c r="B569" s="1" t="s">
        <v>2844</v>
      </c>
      <c r="C569" s="1" t="s">
        <v>2845</v>
      </c>
      <c r="D569" s="1" t="str">
        <f>"8024313712"</f>
        <v>8024313712</v>
      </c>
      <c r="E569" s="1">
        <v>4275</v>
      </c>
      <c r="F569" s="1" t="s">
        <v>28</v>
      </c>
      <c r="G569" s="1" t="s">
        <v>2916</v>
      </c>
      <c r="H569" s="1"/>
      <c r="I569" s="1">
        <v>32</v>
      </c>
      <c r="J569" s="1" t="s">
        <v>410</v>
      </c>
      <c r="K569" s="1" t="s">
        <v>68</v>
      </c>
      <c r="L569" s="1" t="s">
        <v>2852</v>
      </c>
      <c r="M569" s="1" t="s">
        <v>2917</v>
      </c>
      <c r="N569" s="2">
        <v>43229</v>
      </c>
      <c r="O569" s="1"/>
      <c r="P569" s="1"/>
      <c r="Q569" s="1" t="s">
        <v>34</v>
      </c>
      <c r="R569" s="1"/>
      <c r="S569" s="1" t="s">
        <v>35</v>
      </c>
      <c r="T569" s="1">
        <v>43.873261799999902</v>
      </c>
      <c r="U569" s="1">
        <v>-72.559553600000001</v>
      </c>
      <c r="V569" s="1" t="s">
        <v>2918</v>
      </c>
      <c r="W569" s="1"/>
      <c r="X569" s="1" t="s">
        <v>37</v>
      </c>
      <c r="Y569" s="1" t="s">
        <v>2854</v>
      </c>
      <c r="Z569" s="1">
        <v>5077</v>
      </c>
    </row>
    <row r="570" spans="1:26" ht="42">
      <c r="A570" s="1" t="str">
        <f>"000GX6"</f>
        <v>000GX6</v>
      </c>
      <c r="B570" s="1" t="s">
        <v>2919</v>
      </c>
      <c r="C570" s="1" t="s">
        <v>2920</v>
      </c>
      <c r="D570" s="1" t="str">
        <f>"8028796771"</f>
        <v>8028796771</v>
      </c>
      <c r="E570" s="1">
        <v>4288</v>
      </c>
      <c r="F570" s="1" t="s">
        <v>28</v>
      </c>
      <c r="G570" s="1" t="s">
        <v>2921</v>
      </c>
      <c r="H570" s="1"/>
      <c r="I570" s="1">
        <v>4</v>
      </c>
      <c r="J570" s="1" t="s">
        <v>2922</v>
      </c>
      <c r="K570" s="1" t="s">
        <v>43</v>
      </c>
      <c r="L570" s="1" t="s">
        <v>178</v>
      </c>
      <c r="M570" s="1" t="s">
        <v>2923</v>
      </c>
      <c r="N570" s="2">
        <v>40660</v>
      </c>
      <c r="O570" s="1"/>
      <c r="P570" s="1"/>
      <c r="Q570" s="1" t="s">
        <v>34</v>
      </c>
      <c r="R570" s="1"/>
      <c r="S570" s="1" t="s">
        <v>35</v>
      </c>
      <c r="T570" s="1">
        <v>44.514288999999998</v>
      </c>
      <c r="U570" s="1">
        <v>-73.080940999999996</v>
      </c>
      <c r="V570" s="1" t="s">
        <v>2924</v>
      </c>
      <c r="W570" s="1"/>
      <c r="X570" s="1" t="s">
        <v>37</v>
      </c>
      <c r="Y570" s="1" t="s">
        <v>2925</v>
      </c>
      <c r="Z570" s="1">
        <v>5452</v>
      </c>
    </row>
    <row r="571" spans="1:26" ht="42">
      <c r="A571" s="1" t="str">
        <f>"000GX9"</f>
        <v>000GX9</v>
      </c>
      <c r="B571" s="1" t="s">
        <v>2926</v>
      </c>
      <c r="C571" s="1" t="s">
        <v>2927</v>
      </c>
      <c r="D571" s="1" t="str">
        <f>"8028785901"</f>
        <v>8028785901</v>
      </c>
      <c r="E571" s="1">
        <v>4291</v>
      </c>
      <c r="F571" s="1" t="s">
        <v>28</v>
      </c>
      <c r="G571" s="1" t="s">
        <v>2928</v>
      </c>
      <c r="H571" s="1"/>
      <c r="I571" s="1">
        <v>5</v>
      </c>
      <c r="J571" s="1" t="s">
        <v>2929</v>
      </c>
      <c r="K571" s="1" t="s">
        <v>43</v>
      </c>
      <c r="L571" s="1" t="s">
        <v>1077</v>
      </c>
      <c r="M571" s="1" t="s">
        <v>2930</v>
      </c>
      <c r="N571" s="2">
        <v>40671</v>
      </c>
      <c r="O571" s="1"/>
      <c r="P571" s="2">
        <v>42619</v>
      </c>
      <c r="Q571" s="1" t="s">
        <v>34</v>
      </c>
      <c r="R571" s="1"/>
      <c r="S571" s="1" t="s">
        <v>35</v>
      </c>
      <c r="T571" s="1">
        <v>44.407243665863902</v>
      </c>
      <c r="U571" s="1">
        <v>-73.090689182281494</v>
      </c>
      <c r="V571" s="1" t="s">
        <v>2931</v>
      </c>
      <c r="W571" s="1"/>
      <c r="X571" s="1" t="s">
        <v>37</v>
      </c>
      <c r="Y571" s="1" t="s">
        <v>1080</v>
      </c>
      <c r="Z571" s="1">
        <v>5495</v>
      </c>
    </row>
    <row r="572" spans="1:26" ht="42">
      <c r="A572" s="1" t="str">
        <f>"000GY1"</f>
        <v>000GY1</v>
      </c>
      <c r="B572" s="1" t="s">
        <v>2932</v>
      </c>
      <c r="C572" s="1" t="s">
        <v>2933</v>
      </c>
      <c r="D572" s="1" t="str">
        <f>"8023704078"</f>
        <v>8023704078</v>
      </c>
      <c r="E572" s="1">
        <v>4293</v>
      </c>
      <c r="F572" s="1" t="s">
        <v>28</v>
      </c>
      <c r="G572" s="1" t="s">
        <v>2934</v>
      </c>
      <c r="H572" s="1"/>
      <c r="I572" s="1">
        <v>1</v>
      </c>
      <c r="J572" s="1" t="s">
        <v>2935</v>
      </c>
      <c r="K572" s="1" t="s">
        <v>152</v>
      </c>
      <c r="L572" s="1" t="s">
        <v>1048</v>
      </c>
      <c r="M572" s="1" t="s">
        <v>2936</v>
      </c>
      <c r="N572" s="2">
        <v>40694</v>
      </c>
      <c r="O572" s="1"/>
      <c r="P572" s="1"/>
      <c r="Q572" s="1" t="s">
        <v>34</v>
      </c>
      <c r="R572" s="1"/>
      <c r="S572" s="1" t="s">
        <v>35</v>
      </c>
      <c r="T572" s="1">
        <v>44.705368999999997</v>
      </c>
      <c r="U572" s="1">
        <v>-73.010660999999999</v>
      </c>
      <c r="V572" s="1" t="s">
        <v>2937</v>
      </c>
      <c r="W572" s="1"/>
      <c r="X572" s="1" t="s">
        <v>37</v>
      </c>
      <c r="Y572" s="1" t="s">
        <v>1051</v>
      </c>
      <c r="Z572" s="1">
        <v>5454</v>
      </c>
    </row>
    <row r="573" spans="1:26" ht="42">
      <c r="A573" s="1" t="str">
        <f>"000GY2"</f>
        <v>000GY2</v>
      </c>
      <c r="B573" s="1" t="s">
        <v>2938</v>
      </c>
      <c r="C573" s="1" t="s">
        <v>2939</v>
      </c>
      <c r="D573" s="1" t="str">
        <f>"8022230245"</f>
        <v>8022230245</v>
      </c>
      <c r="E573" s="1">
        <v>4294</v>
      </c>
      <c r="F573" s="1" t="s">
        <v>28</v>
      </c>
      <c r="G573" s="1" t="s">
        <v>2940</v>
      </c>
      <c r="H573" s="1"/>
      <c r="I573" s="1">
        <v>1</v>
      </c>
      <c r="J573" s="1" t="s">
        <v>470</v>
      </c>
      <c r="K573" s="1" t="s">
        <v>31</v>
      </c>
      <c r="L573" s="1" t="s">
        <v>786</v>
      </c>
      <c r="M573" s="1" t="s">
        <v>1909</v>
      </c>
      <c r="N573" s="2">
        <v>40665</v>
      </c>
      <c r="O573" s="1"/>
      <c r="P573" s="1"/>
      <c r="Q573" s="1" t="s">
        <v>34</v>
      </c>
      <c r="R573" s="1"/>
      <c r="S573" s="1" t="s">
        <v>35</v>
      </c>
      <c r="T573" s="1">
        <v>44.189442</v>
      </c>
      <c r="U573" s="1">
        <v>-72.570838999999907</v>
      </c>
      <c r="V573" s="1" t="s">
        <v>2941</v>
      </c>
      <c r="W573" s="1"/>
      <c r="X573" s="1" t="s">
        <v>37</v>
      </c>
      <c r="Y573" s="1" t="s">
        <v>237</v>
      </c>
      <c r="Z573" s="1">
        <v>5641</v>
      </c>
    </row>
    <row r="574" spans="1:26" ht="42">
      <c r="A574" s="1" t="str">
        <f>"000GY9"</f>
        <v>000GY9</v>
      </c>
      <c r="B574" s="1" t="s">
        <v>2942</v>
      </c>
      <c r="C574" s="1" t="s">
        <v>2943</v>
      </c>
      <c r="D574" s="1" t="str">
        <f>"8027828244"</f>
        <v>8027828244</v>
      </c>
      <c r="E574" s="1">
        <v>4301</v>
      </c>
      <c r="F574" s="1" t="s">
        <v>28</v>
      </c>
      <c r="G574" s="1" t="s">
        <v>2944</v>
      </c>
      <c r="H574" s="1"/>
      <c r="I574" s="1">
        <v>3</v>
      </c>
      <c r="J574" s="1" t="s">
        <v>2945</v>
      </c>
      <c r="K574" s="1" t="s">
        <v>152</v>
      </c>
      <c r="L574" s="1" t="s">
        <v>1057</v>
      </c>
      <c r="M574" s="1" t="s">
        <v>2946</v>
      </c>
      <c r="N574" s="2">
        <v>40686</v>
      </c>
      <c r="O574" s="1"/>
      <c r="P574" s="1"/>
      <c r="Q574" s="1" t="s">
        <v>34</v>
      </c>
      <c r="R574" s="1"/>
      <c r="S574" s="1" t="s">
        <v>35</v>
      </c>
      <c r="T574" s="1">
        <v>45.013951949747998</v>
      </c>
      <c r="U574" s="1">
        <v>-73.048685789108205</v>
      </c>
      <c r="V574" s="1" t="s">
        <v>2947</v>
      </c>
      <c r="W574" s="1"/>
      <c r="X574" s="1" t="s">
        <v>37</v>
      </c>
      <c r="Y574" s="1" t="s">
        <v>1140</v>
      </c>
      <c r="Z574" s="1" t="s">
        <v>2948</v>
      </c>
    </row>
    <row r="575" spans="1:26" ht="42">
      <c r="A575" s="1" t="str">
        <f>"000GYP"</f>
        <v>000GYP</v>
      </c>
      <c r="B575" s="1" t="s">
        <v>2949</v>
      </c>
      <c r="C575" s="1" t="s">
        <v>2950</v>
      </c>
      <c r="D575" s="1" t="str">
        <f>"8028995139"</f>
        <v>8028995139</v>
      </c>
      <c r="E575" s="1">
        <v>4306</v>
      </c>
      <c r="F575" s="1" t="s">
        <v>28</v>
      </c>
      <c r="G575" s="1" t="s">
        <v>2951</v>
      </c>
      <c r="H575" s="1"/>
      <c r="I575" s="1">
        <v>3</v>
      </c>
      <c r="J575" s="1" t="s">
        <v>2952</v>
      </c>
      <c r="K575" s="1" t="s">
        <v>43</v>
      </c>
      <c r="L575" s="1" t="s">
        <v>317</v>
      </c>
      <c r="M575" s="1" t="s">
        <v>2953</v>
      </c>
      <c r="N575" s="2">
        <v>40708</v>
      </c>
      <c r="O575" s="1"/>
      <c r="P575" s="2">
        <v>41143</v>
      </c>
      <c r="Q575" s="1" t="s">
        <v>34</v>
      </c>
      <c r="R575" s="1"/>
      <c r="S575" s="1" t="s">
        <v>35</v>
      </c>
      <c r="T575" s="1">
        <v>44.610831179428097</v>
      </c>
      <c r="U575" s="1">
        <v>-72.941652238368903</v>
      </c>
      <c r="V575" s="1" t="s">
        <v>2954</v>
      </c>
      <c r="W575" s="1"/>
      <c r="X575" s="1" t="s">
        <v>37</v>
      </c>
      <c r="Y575" s="1" t="s">
        <v>115</v>
      </c>
      <c r="Z575" s="1">
        <v>5489</v>
      </c>
    </row>
    <row r="576" spans="1:26" ht="42">
      <c r="A576" s="1" t="str">
        <f>"000H3B"</f>
        <v>000H3B</v>
      </c>
      <c r="B576" s="1" t="s">
        <v>2955</v>
      </c>
      <c r="C576" s="1" t="s">
        <v>2956</v>
      </c>
      <c r="D576" s="1" t="str">
        <f>"8023734001"</f>
        <v>8023734001</v>
      </c>
      <c r="E576" s="1">
        <v>4319</v>
      </c>
      <c r="F576" s="1" t="s">
        <v>28</v>
      </c>
      <c r="G576" s="1" t="s">
        <v>2957</v>
      </c>
      <c r="H576" s="1"/>
      <c r="I576" s="1">
        <v>16</v>
      </c>
      <c r="J576" s="1" t="s">
        <v>2958</v>
      </c>
      <c r="K576" s="1" t="s">
        <v>43</v>
      </c>
      <c r="L576" s="1" t="s">
        <v>1077</v>
      </c>
      <c r="M576" s="1" t="s">
        <v>2959</v>
      </c>
      <c r="N576" s="2">
        <v>40712</v>
      </c>
      <c r="O576" s="1"/>
      <c r="P576" s="2">
        <v>42571</v>
      </c>
      <c r="Q576" s="1" t="s">
        <v>34</v>
      </c>
      <c r="R576" s="1"/>
      <c r="S576" s="1" t="s">
        <v>35</v>
      </c>
      <c r="T576" s="1">
        <v>44.461471499999902</v>
      </c>
      <c r="U576" s="1">
        <v>-73.091596199999998</v>
      </c>
      <c r="V576" s="1" t="s">
        <v>2960</v>
      </c>
      <c r="W576" s="1"/>
      <c r="X576" s="1" t="s">
        <v>37</v>
      </c>
      <c r="Y576" s="1" t="s">
        <v>1080</v>
      </c>
      <c r="Z576" s="1">
        <v>0</v>
      </c>
    </row>
    <row r="577" spans="1:26" ht="42">
      <c r="A577" s="1" t="str">
        <f>"000H3C"</f>
        <v>000H3C</v>
      </c>
      <c r="B577" s="1" t="s">
        <v>2961</v>
      </c>
      <c r="C577" s="1" t="s">
        <v>2962</v>
      </c>
      <c r="D577" s="1" t="str">
        <f>"8024471194"</f>
        <v>8024471194</v>
      </c>
      <c r="E577" s="1">
        <v>4320</v>
      </c>
      <c r="F577" s="1" t="s">
        <v>28</v>
      </c>
      <c r="G577" s="1" t="s">
        <v>2963</v>
      </c>
      <c r="H577" s="1"/>
      <c r="I577" s="1">
        <v>3</v>
      </c>
      <c r="J577" s="1" t="s">
        <v>2964</v>
      </c>
      <c r="K577" s="1" t="s">
        <v>187</v>
      </c>
      <c r="L577" s="1" t="s">
        <v>188</v>
      </c>
      <c r="M577" s="1" t="s">
        <v>2965</v>
      </c>
      <c r="N577" s="2">
        <v>40714</v>
      </c>
      <c r="O577" s="1"/>
      <c r="P577" s="1"/>
      <c r="Q577" s="1" t="s">
        <v>34</v>
      </c>
      <c r="R577" s="1"/>
      <c r="S577" s="1" t="s">
        <v>35</v>
      </c>
      <c r="T577" s="1">
        <v>42.829493599999999</v>
      </c>
      <c r="U577" s="1">
        <v>-73.216868500000004</v>
      </c>
      <c r="V577" s="1" t="s">
        <v>2966</v>
      </c>
      <c r="W577" s="1"/>
      <c r="X577" s="1" t="s">
        <v>37</v>
      </c>
      <c r="Y577" s="1" t="s">
        <v>187</v>
      </c>
      <c r="Z577" s="1">
        <v>5201</v>
      </c>
    </row>
    <row r="578" spans="1:26" ht="42">
      <c r="A578" s="1" t="str">
        <f>"000H3G"</f>
        <v>000H3G</v>
      </c>
      <c r="B578" s="1" t="s">
        <v>2967</v>
      </c>
      <c r="C578" s="1" t="s">
        <v>2968</v>
      </c>
      <c r="D578" s="1" t="str">
        <f>"8028812471"</f>
        <v>8028812471</v>
      </c>
      <c r="E578" s="1">
        <v>4323</v>
      </c>
      <c r="F578" s="1" t="s">
        <v>28</v>
      </c>
      <c r="G578" s="1" t="s">
        <v>2969</v>
      </c>
      <c r="H578" s="1"/>
      <c r="I578" s="1">
        <v>1</v>
      </c>
      <c r="J578" s="1" t="s">
        <v>470</v>
      </c>
      <c r="K578" s="1" t="s">
        <v>43</v>
      </c>
      <c r="L578" s="1" t="s">
        <v>44</v>
      </c>
      <c r="M578" s="1" t="s">
        <v>2970</v>
      </c>
      <c r="N578" s="2">
        <v>40702</v>
      </c>
      <c r="O578" s="1"/>
      <c r="P578" s="2">
        <v>42619</v>
      </c>
      <c r="Q578" s="1" t="s">
        <v>34</v>
      </c>
      <c r="R578" s="1"/>
      <c r="S578" s="1" t="s">
        <v>35</v>
      </c>
      <c r="T578" s="1">
        <v>44.466518999999998</v>
      </c>
      <c r="U578" s="1">
        <v>-73.210171000000003</v>
      </c>
      <c r="V578" s="1" t="s">
        <v>2971</v>
      </c>
      <c r="W578" s="1"/>
      <c r="X578" s="1" t="s">
        <v>37</v>
      </c>
      <c r="Y578" s="1" t="s">
        <v>46</v>
      </c>
      <c r="Z578" s="1">
        <v>5401</v>
      </c>
    </row>
    <row r="579" spans="1:26" ht="42">
      <c r="A579" s="1" t="str">
        <f>"000H3W"</f>
        <v>000H3W</v>
      </c>
      <c r="B579" s="1" t="s">
        <v>2972</v>
      </c>
      <c r="C579" s="1" t="s">
        <v>2973</v>
      </c>
      <c r="D579" s="1" t="str">
        <f>"8026813322"</f>
        <v>8026813322</v>
      </c>
      <c r="E579" s="1">
        <v>4327</v>
      </c>
      <c r="F579" s="1" t="s">
        <v>28</v>
      </c>
      <c r="G579" s="1" t="s">
        <v>2974</v>
      </c>
      <c r="H579" s="1"/>
      <c r="I579" s="1">
        <v>6</v>
      </c>
      <c r="J579" s="1" t="s">
        <v>2975</v>
      </c>
      <c r="K579" s="1" t="s">
        <v>187</v>
      </c>
      <c r="L579" s="1" t="s">
        <v>285</v>
      </c>
      <c r="M579" s="1" t="s">
        <v>2976</v>
      </c>
      <c r="N579" s="2">
        <v>42187</v>
      </c>
      <c r="O579" s="1"/>
      <c r="P579" s="1"/>
      <c r="Q579" s="1" t="s">
        <v>34</v>
      </c>
      <c r="R579" s="1"/>
      <c r="S579" s="1" t="s">
        <v>35</v>
      </c>
      <c r="T579" s="1">
        <v>43.182538100000002</v>
      </c>
      <c r="U579" s="1">
        <v>-73.070580699999994</v>
      </c>
      <c r="V579" s="1" t="s">
        <v>2977</v>
      </c>
      <c r="W579" s="1"/>
      <c r="X579" s="1" t="s">
        <v>37</v>
      </c>
      <c r="Y579" s="1" t="s">
        <v>288</v>
      </c>
      <c r="Z579" s="1">
        <v>5250</v>
      </c>
    </row>
    <row r="580" spans="1:26" ht="42">
      <c r="A580" s="1" t="str">
        <f>"000H3W"</f>
        <v>000H3W</v>
      </c>
      <c r="B580" s="1" t="s">
        <v>2972</v>
      </c>
      <c r="C580" s="1" t="s">
        <v>2973</v>
      </c>
      <c r="D580" s="1" t="str">
        <f>"8026813322"</f>
        <v>8026813322</v>
      </c>
      <c r="E580" s="1">
        <v>4327</v>
      </c>
      <c r="F580" s="1" t="s">
        <v>28</v>
      </c>
      <c r="G580" s="1" t="s">
        <v>2978</v>
      </c>
      <c r="H580" s="1"/>
      <c r="I580" s="1">
        <v>5</v>
      </c>
      <c r="J580" s="1" t="s">
        <v>1980</v>
      </c>
      <c r="K580" s="1" t="s">
        <v>187</v>
      </c>
      <c r="L580" s="1" t="s">
        <v>285</v>
      </c>
      <c r="M580" s="1" t="s">
        <v>2976</v>
      </c>
      <c r="N580" s="2">
        <v>42187</v>
      </c>
      <c r="O580" s="1"/>
      <c r="P580" s="1"/>
      <c r="Q580" s="1" t="s">
        <v>34</v>
      </c>
      <c r="R580" s="1"/>
      <c r="S580" s="1" t="s">
        <v>35</v>
      </c>
      <c r="T580" s="1">
        <v>43.1802305</v>
      </c>
      <c r="U580" s="1">
        <v>-73.212881299999907</v>
      </c>
      <c r="V580" s="1" t="s">
        <v>2979</v>
      </c>
      <c r="W580" s="1"/>
      <c r="X580" s="1" t="s">
        <v>37</v>
      </c>
      <c r="Y580" s="1" t="s">
        <v>288</v>
      </c>
      <c r="Z580" s="1">
        <v>5250</v>
      </c>
    </row>
    <row r="581" spans="1:26" ht="42">
      <c r="A581" s="1" t="str">
        <f>"000H3W"</f>
        <v>000H3W</v>
      </c>
      <c r="B581" s="1" t="s">
        <v>2972</v>
      </c>
      <c r="C581" s="1" t="s">
        <v>2973</v>
      </c>
      <c r="D581" s="1" t="str">
        <f>"8026813322"</f>
        <v>8026813322</v>
      </c>
      <c r="E581" s="1">
        <v>4327</v>
      </c>
      <c r="F581" s="1" t="s">
        <v>28</v>
      </c>
      <c r="G581" s="1" t="s">
        <v>2980</v>
      </c>
      <c r="H581" s="1"/>
      <c r="I581" s="1">
        <v>0</v>
      </c>
      <c r="J581" s="1" t="s">
        <v>2981</v>
      </c>
      <c r="K581" s="1" t="s">
        <v>187</v>
      </c>
      <c r="L581" s="1" t="s">
        <v>2982</v>
      </c>
      <c r="M581" s="1" t="s">
        <v>2983</v>
      </c>
      <c r="N581" s="2">
        <v>42551</v>
      </c>
      <c r="O581" s="1"/>
      <c r="P581" s="1"/>
      <c r="Q581" s="1" t="s">
        <v>34</v>
      </c>
      <c r="R581" s="1"/>
      <c r="S581" s="1" t="s">
        <v>35</v>
      </c>
      <c r="T581" s="1">
        <v>43.082920000000001</v>
      </c>
      <c r="U581" s="1">
        <v>-73.126693999999901</v>
      </c>
      <c r="V581" s="1" t="s">
        <v>2984</v>
      </c>
      <c r="W581" s="1"/>
      <c r="X581" s="1" t="s">
        <v>37</v>
      </c>
      <c r="Y581" s="1" t="s">
        <v>1980</v>
      </c>
      <c r="Z581" s="1">
        <v>5250</v>
      </c>
    </row>
    <row r="582" spans="1:26" ht="42">
      <c r="A582" s="1" t="str">
        <f>"000H40"</f>
        <v>000H40</v>
      </c>
      <c r="B582" s="1" t="s">
        <v>2985</v>
      </c>
      <c r="C582" s="1" t="s">
        <v>2986</v>
      </c>
      <c r="D582" s="1" t="str">
        <f>"8606586280"</f>
        <v>8606586280</v>
      </c>
      <c r="E582" s="1">
        <v>4330</v>
      </c>
      <c r="F582" s="1" t="s">
        <v>28</v>
      </c>
      <c r="G582" s="1" t="s">
        <v>2987</v>
      </c>
      <c r="H582" s="1"/>
      <c r="I582" s="1">
        <v>1</v>
      </c>
      <c r="J582" s="1" t="s">
        <v>2988</v>
      </c>
      <c r="K582" s="1" t="s">
        <v>77</v>
      </c>
      <c r="L582" s="1"/>
      <c r="M582" s="1" t="s">
        <v>2989</v>
      </c>
      <c r="N582" s="2">
        <v>40721</v>
      </c>
      <c r="O582" s="1"/>
      <c r="P582" s="2">
        <v>42205</v>
      </c>
      <c r="Q582" s="1" t="s">
        <v>34</v>
      </c>
      <c r="R582" s="1"/>
      <c r="S582" s="1" t="s">
        <v>35</v>
      </c>
      <c r="T582" s="1">
        <v>43.900497663870603</v>
      </c>
      <c r="U582" s="1">
        <v>-72.264541983604403</v>
      </c>
      <c r="V582" s="1" t="s">
        <v>2990</v>
      </c>
      <c r="W582" s="1"/>
      <c r="X582" s="1" t="s">
        <v>37</v>
      </c>
      <c r="Y582" s="1" t="s">
        <v>2991</v>
      </c>
      <c r="Z582" s="1">
        <v>5037</v>
      </c>
    </row>
    <row r="583" spans="1:26" ht="42">
      <c r="A583" s="1" t="str">
        <f>"000H41"</f>
        <v>000H41</v>
      </c>
      <c r="B583" s="1" t="s">
        <v>2992</v>
      </c>
      <c r="C583" s="1" t="s">
        <v>2993</v>
      </c>
      <c r="D583" s="1" t="str">
        <f>"8027446566"</f>
        <v>8027446566</v>
      </c>
      <c r="E583" s="1">
        <v>4331</v>
      </c>
      <c r="F583" s="1" t="s">
        <v>28</v>
      </c>
      <c r="G583" s="1" t="s">
        <v>2994</v>
      </c>
      <c r="H583" s="1"/>
      <c r="I583" s="1">
        <v>1</v>
      </c>
      <c r="J583" s="1" t="s">
        <v>2995</v>
      </c>
      <c r="K583" s="1" t="s">
        <v>527</v>
      </c>
      <c r="L583" s="1" t="s">
        <v>2996</v>
      </c>
      <c r="M583" s="1" t="s">
        <v>2997</v>
      </c>
      <c r="N583" s="2">
        <v>40725</v>
      </c>
      <c r="O583" s="1"/>
      <c r="P583" s="1"/>
      <c r="Q583" s="1" t="s">
        <v>34</v>
      </c>
      <c r="R583" s="1"/>
      <c r="S583" s="1" t="s">
        <v>35</v>
      </c>
      <c r="T583" s="1">
        <v>44.817207000000003</v>
      </c>
      <c r="U583" s="1">
        <v>-72.377036999999902</v>
      </c>
      <c r="V583" s="1" t="s">
        <v>2998</v>
      </c>
      <c r="W583" s="1"/>
      <c r="X583" s="1" t="s">
        <v>37</v>
      </c>
      <c r="Y583" s="1" t="s">
        <v>2999</v>
      </c>
      <c r="Z583" s="1">
        <v>5847</v>
      </c>
    </row>
    <row r="584" spans="1:26" ht="42">
      <c r="A584" s="1" t="str">
        <f>"000H43"</f>
        <v>000H43</v>
      </c>
      <c r="B584" s="1" t="s">
        <v>3000</v>
      </c>
      <c r="C584" s="1" t="s">
        <v>3001</v>
      </c>
      <c r="D584" s="1" t="str">
        <f>"8022474046"</f>
        <v>8022474046</v>
      </c>
      <c r="E584" s="1">
        <v>4333</v>
      </c>
      <c r="F584" s="1" t="s">
        <v>28</v>
      </c>
      <c r="G584" s="1" t="s">
        <v>3002</v>
      </c>
      <c r="H584" s="1"/>
      <c r="I584" s="1">
        <v>1</v>
      </c>
      <c r="J584" s="1" t="s">
        <v>3003</v>
      </c>
      <c r="K584" s="1" t="s">
        <v>135</v>
      </c>
      <c r="L584" s="1" t="s">
        <v>1241</v>
      </c>
      <c r="M584" s="1" t="s">
        <v>3004</v>
      </c>
      <c r="N584" s="2">
        <v>40664</v>
      </c>
      <c r="O584" s="1"/>
      <c r="P584" s="1"/>
      <c r="Q584" s="1" t="s">
        <v>34</v>
      </c>
      <c r="R584" s="1"/>
      <c r="S584" s="1" t="s">
        <v>35</v>
      </c>
      <c r="T584" s="1">
        <v>43.831176900000003</v>
      </c>
      <c r="U584" s="1">
        <v>-73.084554999999995</v>
      </c>
      <c r="V584" s="1" t="s">
        <v>3005</v>
      </c>
      <c r="W584" s="1"/>
      <c r="X584" s="1" t="s">
        <v>37</v>
      </c>
      <c r="Y584" s="1" t="s">
        <v>1244</v>
      </c>
      <c r="Z584" s="1">
        <v>5733</v>
      </c>
    </row>
    <row r="585" spans="1:26" ht="42">
      <c r="A585" s="1" t="str">
        <f>"000H4W"</f>
        <v>000H4W</v>
      </c>
      <c r="B585" s="1" t="s">
        <v>3006</v>
      </c>
      <c r="C585" s="1" t="s">
        <v>3007</v>
      </c>
      <c r="D585" s="1" t="str">
        <f>"8028648274"</f>
        <v>8028648274</v>
      </c>
      <c r="E585" s="1">
        <v>4337</v>
      </c>
      <c r="F585" s="1" t="s">
        <v>28</v>
      </c>
      <c r="G585" s="1" t="s">
        <v>3008</v>
      </c>
      <c r="H585" s="1"/>
      <c r="I585" s="1">
        <v>1</v>
      </c>
      <c r="J585" s="1" t="s">
        <v>261</v>
      </c>
      <c r="K585" s="1" t="s">
        <v>43</v>
      </c>
      <c r="L585" s="1" t="s">
        <v>44</v>
      </c>
      <c r="M585" s="1" t="s">
        <v>3009</v>
      </c>
      <c r="N585" s="2">
        <v>40746</v>
      </c>
      <c r="O585" s="1"/>
      <c r="P585" s="1"/>
      <c r="Q585" s="1" t="s">
        <v>34</v>
      </c>
      <c r="R585" s="1"/>
      <c r="S585" s="1" t="s">
        <v>35</v>
      </c>
      <c r="T585" s="1">
        <v>44.484691300000001</v>
      </c>
      <c r="U585" s="1">
        <v>-73.206536999999997</v>
      </c>
      <c r="V585" s="1" t="s">
        <v>3010</v>
      </c>
      <c r="W585" s="1"/>
      <c r="X585" s="1" t="s">
        <v>37</v>
      </c>
      <c r="Y585" s="1" t="s">
        <v>46</v>
      </c>
      <c r="Z585" s="1">
        <v>5401</v>
      </c>
    </row>
    <row r="586" spans="1:26" ht="42">
      <c r="A586" s="1" t="str">
        <f>"000H4Y"</f>
        <v>000H4Y</v>
      </c>
      <c r="B586" s="1" t="s">
        <v>3011</v>
      </c>
      <c r="C586" s="1" t="s">
        <v>3012</v>
      </c>
      <c r="D586" s="1" t="str">
        <f>"8028628637"</f>
        <v>8028628637</v>
      </c>
      <c r="E586" s="1">
        <v>4339</v>
      </c>
      <c r="F586" s="1" t="s">
        <v>28</v>
      </c>
      <c r="G586" s="1" t="s">
        <v>3013</v>
      </c>
      <c r="H586" s="1"/>
      <c r="I586" s="1">
        <v>10</v>
      </c>
      <c r="J586" s="1" t="s">
        <v>3014</v>
      </c>
      <c r="K586" s="1" t="s">
        <v>43</v>
      </c>
      <c r="L586" s="1" t="s">
        <v>348</v>
      </c>
      <c r="M586" s="1" t="s">
        <v>3015</v>
      </c>
      <c r="N586" s="2">
        <v>40729</v>
      </c>
      <c r="O586" s="1"/>
      <c r="P586" s="1"/>
      <c r="Q586" s="1" t="s">
        <v>34</v>
      </c>
      <c r="R586" s="1"/>
      <c r="S586" s="1" t="s">
        <v>35</v>
      </c>
      <c r="T586" s="1">
        <v>44.367252399999998</v>
      </c>
      <c r="U586" s="1">
        <v>-73.049948099999995</v>
      </c>
      <c r="V586" s="1" t="s">
        <v>3016</v>
      </c>
      <c r="W586" s="1"/>
      <c r="X586" s="1" t="s">
        <v>37</v>
      </c>
      <c r="Y586" s="1" t="s">
        <v>351</v>
      </c>
      <c r="Z586" s="1">
        <v>5461</v>
      </c>
    </row>
    <row r="587" spans="1:26" ht="42">
      <c r="A587" s="1" t="str">
        <f>"000H51"</f>
        <v>000H51</v>
      </c>
      <c r="B587" s="1" t="s">
        <v>3017</v>
      </c>
      <c r="C587" s="1" t="s">
        <v>3018</v>
      </c>
      <c r="D587" s="1" t="str">
        <f>"8029336549"</f>
        <v>8029336549</v>
      </c>
      <c r="E587" s="1">
        <v>4342</v>
      </c>
      <c r="F587" s="1" t="s">
        <v>28</v>
      </c>
      <c r="G587" s="1" t="s">
        <v>3019</v>
      </c>
      <c r="H587" s="1"/>
      <c r="I587" s="1">
        <v>2</v>
      </c>
      <c r="J587" s="1" t="s">
        <v>3020</v>
      </c>
      <c r="K587" s="1" t="s">
        <v>152</v>
      </c>
      <c r="L587" s="1" t="s">
        <v>1054</v>
      </c>
      <c r="M587" s="1" t="s">
        <v>3021</v>
      </c>
      <c r="N587" s="2">
        <v>40694</v>
      </c>
      <c r="O587" s="1"/>
      <c r="P587" s="1"/>
      <c r="Q587" s="1" t="s">
        <v>34</v>
      </c>
      <c r="R587" s="1"/>
      <c r="S587" s="1" t="s">
        <v>35</v>
      </c>
      <c r="T587" s="1">
        <v>44.969488400000003</v>
      </c>
      <c r="U587" s="1">
        <v>-72.853618999999895</v>
      </c>
      <c r="V587" s="1" t="s">
        <v>3022</v>
      </c>
      <c r="W587" s="1"/>
      <c r="X587" s="1" t="s">
        <v>37</v>
      </c>
      <c r="Y587" s="1" t="s">
        <v>1447</v>
      </c>
      <c r="Z587" s="1">
        <v>5450</v>
      </c>
    </row>
    <row r="588" spans="1:26" ht="42">
      <c r="A588" s="1" t="str">
        <f>"000H6X"</f>
        <v>000H6X</v>
      </c>
      <c r="B588" s="1" t="s">
        <v>3023</v>
      </c>
      <c r="C588" s="1" t="s">
        <v>3024</v>
      </c>
      <c r="D588" s="1" t="str">
        <f>"8028791803"</f>
        <v>8028791803</v>
      </c>
      <c r="E588" s="1">
        <v>4349</v>
      </c>
      <c r="F588" s="1" t="s">
        <v>28</v>
      </c>
      <c r="G588" s="1" t="s">
        <v>3025</v>
      </c>
      <c r="H588" s="1"/>
      <c r="I588" s="1">
        <v>2</v>
      </c>
      <c r="J588" s="1" t="s">
        <v>3026</v>
      </c>
      <c r="K588" s="1" t="s">
        <v>43</v>
      </c>
      <c r="L588" s="1" t="s">
        <v>178</v>
      </c>
      <c r="M588" s="1" t="s">
        <v>3027</v>
      </c>
      <c r="N588" s="2">
        <v>40705</v>
      </c>
      <c r="O588" s="1"/>
      <c r="P588" s="1"/>
      <c r="Q588" s="1" t="s">
        <v>34</v>
      </c>
      <c r="R588" s="1"/>
      <c r="S588" s="1" t="s">
        <v>35</v>
      </c>
      <c r="T588" s="1">
        <v>44.490161000000001</v>
      </c>
      <c r="U588" s="1">
        <v>-73.114084999999903</v>
      </c>
      <c r="V588" s="1" t="s">
        <v>3028</v>
      </c>
      <c r="W588" s="1"/>
      <c r="X588" s="1" t="s">
        <v>37</v>
      </c>
      <c r="Y588" s="1" t="s">
        <v>181</v>
      </c>
      <c r="Z588" s="1">
        <v>5452</v>
      </c>
    </row>
    <row r="589" spans="1:26" ht="42">
      <c r="A589" s="1" t="str">
        <f>"000H6Y"</f>
        <v>000H6Y</v>
      </c>
      <c r="B589" s="1" t="s">
        <v>3029</v>
      </c>
      <c r="C589" s="1" t="s">
        <v>3030</v>
      </c>
      <c r="D589" s="1" t="str">
        <f>"8028797080"</f>
        <v>8028797080</v>
      </c>
      <c r="E589" s="1">
        <v>4350</v>
      </c>
      <c r="F589" s="1" t="s">
        <v>28</v>
      </c>
      <c r="G589" s="1" t="s">
        <v>3031</v>
      </c>
      <c r="H589" s="1"/>
      <c r="I589" s="1">
        <v>7</v>
      </c>
      <c r="J589" s="1" t="s">
        <v>3032</v>
      </c>
      <c r="K589" s="1" t="s">
        <v>43</v>
      </c>
      <c r="L589" s="1" t="s">
        <v>178</v>
      </c>
      <c r="M589" s="1" t="s">
        <v>3033</v>
      </c>
      <c r="N589" s="2">
        <v>40664</v>
      </c>
      <c r="O589" s="1"/>
      <c r="P589" s="2">
        <v>40688</v>
      </c>
      <c r="Q589" s="1" t="s">
        <v>34</v>
      </c>
      <c r="R589" s="1"/>
      <c r="S589" s="1" t="s">
        <v>35</v>
      </c>
      <c r="T589" s="1"/>
      <c r="U589" s="1"/>
      <c r="V589" s="1" t="s">
        <v>3034</v>
      </c>
      <c r="W589" s="1"/>
      <c r="X589" s="1" t="s">
        <v>37</v>
      </c>
      <c r="Y589" s="1" t="s">
        <v>181</v>
      </c>
      <c r="Z589" s="1">
        <v>5452</v>
      </c>
    </row>
    <row r="590" spans="1:26" ht="42">
      <c r="A590" s="1" t="str">
        <f>"000HAC"</f>
        <v>000HAC</v>
      </c>
      <c r="B590" s="1" t="s">
        <v>3035</v>
      </c>
      <c r="C590" s="1" t="s">
        <v>3036</v>
      </c>
      <c r="D590" s="1" t="str">
        <f>"8026511016"</f>
        <v>8026511016</v>
      </c>
      <c r="E590" s="1">
        <v>4362</v>
      </c>
      <c r="F590" s="1" t="s">
        <v>28</v>
      </c>
      <c r="G590" s="1" t="s">
        <v>3037</v>
      </c>
      <c r="H590" s="1"/>
      <c r="I590" s="1">
        <v>3</v>
      </c>
      <c r="J590" s="1" t="s">
        <v>3038</v>
      </c>
      <c r="K590" s="1" t="s">
        <v>43</v>
      </c>
      <c r="L590" s="1" t="s">
        <v>728</v>
      </c>
      <c r="M590" s="1" t="s">
        <v>3039</v>
      </c>
      <c r="N590" s="2">
        <v>40781</v>
      </c>
      <c r="O590" s="1"/>
      <c r="P590" s="2">
        <v>42947</v>
      </c>
      <c r="Q590" s="1" t="s">
        <v>34</v>
      </c>
      <c r="R590" s="1"/>
      <c r="S590" s="1" t="s">
        <v>35</v>
      </c>
      <c r="T590" s="1">
        <v>44.316679412123896</v>
      </c>
      <c r="U590" s="1">
        <v>-73.234124332666397</v>
      </c>
      <c r="V590" s="1" t="s">
        <v>3040</v>
      </c>
      <c r="W590" s="1"/>
      <c r="X590" s="1" t="s">
        <v>37</v>
      </c>
      <c r="Y590" s="1" t="s">
        <v>736</v>
      </c>
      <c r="Z590" s="1">
        <v>5445</v>
      </c>
    </row>
    <row r="591" spans="1:26" ht="42">
      <c r="A591" s="1" t="str">
        <f>"000HAD"</f>
        <v>000HAD</v>
      </c>
      <c r="B591" s="1" t="s">
        <v>3041</v>
      </c>
      <c r="C591" s="1" t="s">
        <v>3042</v>
      </c>
      <c r="D591" s="1" t="str">
        <f>"8022447029"</f>
        <v>8022447029</v>
      </c>
      <c r="E591" s="1">
        <v>4363</v>
      </c>
      <c r="F591" s="1" t="s">
        <v>28</v>
      </c>
      <c r="G591" s="1" t="s">
        <v>3043</v>
      </c>
      <c r="H591" s="1"/>
      <c r="I591" s="1">
        <v>1</v>
      </c>
      <c r="J591" s="1" t="s">
        <v>470</v>
      </c>
      <c r="K591" s="1" t="s">
        <v>31</v>
      </c>
      <c r="L591" s="1" t="s">
        <v>2078</v>
      </c>
      <c r="M591" s="1" t="s">
        <v>1909</v>
      </c>
      <c r="N591" s="2">
        <v>40776</v>
      </c>
      <c r="O591" s="1"/>
      <c r="P591" s="2">
        <v>42170</v>
      </c>
      <c r="Q591" s="1" t="s">
        <v>34</v>
      </c>
      <c r="R591" s="1"/>
      <c r="S591" s="1" t="s">
        <v>35</v>
      </c>
      <c r="T591" s="1">
        <v>44.310310000000001</v>
      </c>
      <c r="U591" s="1">
        <v>-72.788278999999903</v>
      </c>
      <c r="V591" s="1" t="s">
        <v>3044</v>
      </c>
      <c r="W591" s="1"/>
      <c r="X591" s="1" t="s">
        <v>37</v>
      </c>
      <c r="Y591" s="1" t="s">
        <v>2081</v>
      </c>
      <c r="Z591" s="1">
        <v>5676</v>
      </c>
    </row>
    <row r="592" spans="1:26" ht="42">
      <c r="A592" s="1" t="str">
        <f>"000HC1"</f>
        <v>000HC1</v>
      </c>
      <c r="B592" s="1" t="s">
        <v>3045</v>
      </c>
      <c r="C592" s="1" t="s">
        <v>3046</v>
      </c>
      <c r="D592" s="1" t="str">
        <f>"8025374531"</f>
        <v>8025374531</v>
      </c>
      <c r="E592" s="1">
        <v>4366</v>
      </c>
      <c r="F592" s="1" t="s">
        <v>28</v>
      </c>
      <c r="G592" s="1" t="s">
        <v>3047</v>
      </c>
      <c r="H592" s="1"/>
      <c r="I592" s="1">
        <v>2</v>
      </c>
      <c r="J592" s="1" t="s">
        <v>3048</v>
      </c>
      <c r="K592" s="1" t="s">
        <v>135</v>
      </c>
      <c r="L592" s="1" t="s">
        <v>3049</v>
      </c>
      <c r="M592" s="1" t="s">
        <v>3050</v>
      </c>
      <c r="N592" s="2">
        <v>40810</v>
      </c>
      <c r="O592" s="1"/>
      <c r="P592" s="2">
        <v>40991</v>
      </c>
      <c r="Q592" s="1" t="s">
        <v>34</v>
      </c>
      <c r="R592" s="1"/>
      <c r="S592" s="1" t="s">
        <v>35</v>
      </c>
      <c r="T592" s="1">
        <v>43.700989</v>
      </c>
      <c r="U592" s="1">
        <v>-73.276718000000002</v>
      </c>
      <c r="V592" s="1" t="s">
        <v>3051</v>
      </c>
      <c r="W592" s="1"/>
      <c r="X592" s="1" t="s">
        <v>37</v>
      </c>
      <c r="Y592" s="1" t="s">
        <v>3052</v>
      </c>
      <c r="Z592" s="1">
        <v>5743</v>
      </c>
    </row>
    <row r="593" spans="1:26" ht="42">
      <c r="A593" s="1" t="str">
        <f>"000HC3"</f>
        <v>000HC3</v>
      </c>
      <c r="B593" s="1" t="s">
        <v>3053</v>
      </c>
      <c r="C593" s="1" t="s">
        <v>3054</v>
      </c>
      <c r="D593" s="1" t="str">
        <f>"4014877711"</f>
        <v>4014877711</v>
      </c>
      <c r="E593" s="1">
        <v>4368</v>
      </c>
      <c r="F593" s="1" t="s">
        <v>28</v>
      </c>
      <c r="G593" s="1" t="s">
        <v>3055</v>
      </c>
      <c r="H593" s="1"/>
      <c r="I593" s="1">
        <v>2</v>
      </c>
      <c r="J593" s="1" t="s">
        <v>3056</v>
      </c>
      <c r="K593" s="1" t="s">
        <v>2925</v>
      </c>
      <c r="L593" s="1" t="s">
        <v>3057</v>
      </c>
      <c r="M593" s="1" t="s">
        <v>3058</v>
      </c>
      <c r="N593" s="2">
        <v>40827</v>
      </c>
      <c r="O593" s="1"/>
      <c r="P593" s="1"/>
      <c r="Q593" s="1" t="s">
        <v>34</v>
      </c>
      <c r="R593" s="1"/>
      <c r="S593" s="1" t="s">
        <v>35</v>
      </c>
      <c r="T593" s="1">
        <v>44.586136000000003</v>
      </c>
      <c r="U593" s="1">
        <v>-71.815436999999903</v>
      </c>
      <c r="V593" s="1" t="s">
        <v>3059</v>
      </c>
      <c r="W593" s="1"/>
      <c r="X593" s="1" t="s">
        <v>37</v>
      </c>
      <c r="Y593" s="1" t="s">
        <v>3060</v>
      </c>
      <c r="Z593" s="1">
        <v>5858</v>
      </c>
    </row>
    <row r="594" spans="1:26" ht="42">
      <c r="A594" s="1" t="str">
        <f>"000HG5"</f>
        <v>000HG5</v>
      </c>
      <c r="B594" s="1" t="s">
        <v>3061</v>
      </c>
      <c r="C594" s="1" t="s">
        <v>3062</v>
      </c>
      <c r="D594" s="1" t="str">
        <f>"8028996830"</f>
        <v>8028996830</v>
      </c>
      <c r="E594" s="1">
        <v>4375</v>
      </c>
      <c r="F594" s="1" t="s">
        <v>28</v>
      </c>
      <c r="G594" s="1" t="s">
        <v>3063</v>
      </c>
      <c r="H594" s="1"/>
      <c r="I594" s="1">
        <v>1</v>
      </c>
      <c r="J594" s="1" t="s">
        <v>3064</v>
      </c>
      <c r="K594" s="1" t="s">
        <v>43</v>
      </c>
      <c r="L594" s="1" t="s">
        <v>178</v>
      </c>
      <c r="M594" s="1" t="s">
        <v>3065</v>
      </c>
      <c r="N594" s="2">
        <v>40664</v>
      </c>
      <c r="O594" s="1"/>
      <c r="P594" s="2">
        <v>40688</v>
      </c>
      <c r="Q594" s="1" t="s">
        <v>34</v>
      </c>
      <c r="R594" s="1"/>
      <c r="S594" s="1" t="s">
        <v>35</v>
      </c>
      <c r="T594" s="1">
        <v>44.5200186</v>
      </c>
      <c r="U594" s="1">
        <v>-72.994897499999894</v>
      </c>
      <c r="V594" s="1" t="s">
        <v>3066</v>
      </c>
      <c r="W594" s="1"/>
      <c r="X594" s="1" t="s">
        <v>37</v>
      </c>
      <c r="Y594" s="1" t="s">
        <v>2925</v>
      </c>
      <c r="Z594" s="1">
        <v>5452</v>
      </c>
    </row>
    <row r="595" spans="1:26" ht="42">
      <c r="A595" s="1" t="str">
        <f>"000HG5"</f>
        <v>000HG5</v>
      </c>
      <c r="B595" s="1" t="s">
        <v>3061</v>
      </c>
      <c r="C595" s="1" t="s">
        <v>3062</v>
      </c>
      <c r="D595" s="1" t="str">
        <f>"8028996830"</f>
        <v>8028996830</v>
      </c>
      <c r="E595" s="1">
        <v>4375</v>
      </c>
      <c r="F595" s="1" t="s">
        <v>28</v>
      </c>
      <c r="G595" s="1" t="s">
        <v>3067</v>
      </c>
      <c r="H595" s="1"/>
      <c r="I595" s="1">
        <v>1</v>
      </c>
      <c r="J595" s="1" t="s">
        <v>3068</v>
      </c>
      <c r="K595" s="1" t="s">
        <v>43</v>
      </c>
      <c r="L595" s="1" t="s">
        <v>51</v>
      </c>
      <c r="M595" s="1" t="s">
        <v>3069</v>
      </c>
      <c r="N595" s="2">
        <v>42171</v>
      </c>
      <c r="O595" s="1"/>
      <c r="P595" s="1"/>
      <c r="Q595" s="1" t="s">
        <v>34</v>
      </c>
      <c r="R595" s="1"/>
      <c r="S595" s="1" t="s">
        <v>35</v>
      </c>
      <c r="T595" s="1">
        <v>44.403888999999999</v>
      </c>
      <c r="U595" s="1">
        <v>-73.000724999999903</v>
      </c>
      <c r="V595" s="1" t="s">
        <v>3068</v>
      </c>
      <c r="W595" s="1"/>
      <c r="X595" s="1" t="s">
        <v>37</v>
      </c>
      <c r="Y595" s="1" t="s">
        <v>54</v>
      </c>
      <c r="Z595" s="1">
        <v>5477</v>
      </c>
    </row>
    <row r="596" spans="1:26" ht="42">
      <c r="A596" s="1" t="str">
        <f>"000HNJ"</f>
        <v>000HNJ</v>
      </c>
      <c r="B596" s="1" t="s">
        <v>3070</v>
      </c>
      <c r="C596" s="1" t="s">
        <v>3071</v>
      </c>
      <c r="D596" s="1" t="str">
        <f>"8028689272"</f>
        <v>8028689272</v>
      </c>
      <c r="E596" s="1">
        <v>4378</v>
      </c>
      <c r="F596" s="1" t="s">
        <v>28</v>
      </c>
      <c r="G596" s="1" t="s">
        <v>3072</v>
      </c>
      <c r="H596" s="1"/>
      <c r="I596" s="1">
        <v>2</v>
      </c>
      <c r="J596" s="1" t="s">
        <v>3073</v>
      </c>
      <c r="K596" s="1" t="s">
        <v>152</v>
      </c>
      <c r="L596" s="1" t="s">
        <v>1137</v>
      </c>
      <c r="M596" s="1" t="s">
        <v>3074</v>
      </c>
      <c r="N596" s="2">
        <v>40956</v>
      </c>
      <c r="O596" s="1"/>
      <c r="P596" s="1"/>
      <c r="Q596" s="1" t="s">
        <v>34</v>
      </c>
      <c r="R596" s="1"/>
      <c r="S596" s="1" t="s">
        <v>35</v>
      </c>
      <c r="T596" s="1">
        <v>44.914254117358297</v>
      </c>
      <c r="U596" s="1">
        <v>-73.161845505237494</v>
      </c>
      <c r="V596" s="1" t="s">
        <v>3075</v>
      </c>
      <c r="W596" s="1"/>
      <c r="X596" s="1" t="s">
        <v>37</v>
      </c>
      <c r="Y596" s="1" t="s">
        <v>1140</v>
      </c>
      <c r="Z596" s="1" t="s">
        <v>3076</v>
      </c>
    </row>
    <row r="597" spans="1:26" ht="42">
      <c r="A597" s="1" t="str">
        <f>"000HNM"</f>
        <v>000HNM</v>
      </c>
      <c r="B597" s="1" t="s">
        <v>3077</v>
      </c>
      <c r="C597" s="1" t="s">
        <v>3078</v>
      </c>
      <c r="D597" s="1" t="str">
        <f>"8025983834"</f>
        <v>8025983834</v>
      </c>
      <c r="E597" s="1">
        <v>4380</v>
      </c>
      <c r="F597" s="1" t="s">
        <v>28</v>
      </c>
      <c r="G597" s="1" t="s">
        <v>3079</v>
      </c>
      <c r="H597" s="1"/>
      <c r="I597" s="1">
        <v>5</v>
      </c>
      <c r="J597" s="1" t="s">
        <v>3080</v>
      </c>
      <c r="K597" s="1" t="s">
        <v>43</v>
      </c>
      <c r="L597" s="1" t="s">
        <v>112</v>
      </c>
      <c r="M597" s="1" t="s">
        <v>3081</v>
      </c>
      <c r="N597" s="2">
        <v>40956</v>
      </c>
      <c r="O597" s="1"/>
      <c r="P597" s="2">
        <v>42612</v>
      </c>
      <c r="Q597" s="1" t="s">
        <v>34</v>
      </c>
      <c r="R597" s="1"/>
      <c r="S597" s="1" t="s">
        <v>35</v>
      </c>
      <c r="T597" s="1">
        <v>44.509023977294198</v>
      </c>
      <c r="U597" s="1">
        <v>-72.867379188537598</v>
      </c>
      <c r="V597" s="1" t="s">
        <v>3082</v>
      </c>
      <c r="W597" s="1"/>
      <c r="X597" s="1" t="s">
        <v>37</v>
      </c>
      <c r="Y597" s="1" t="s">
        <v>115</v>
      </c>
      <c r="Z597" s="1">
        <v>5489</v>
      </c>
    </row>
    <row r="598" spans="1:26" ht="42">
      <c r="A598" s="1" t="str">
        <f>"000HVZ"</f>
        <v>000HVZ</v>
      </c>
      <c r="B598" s="1" t="s">
        <v>3083</v>
      </c>
      <c r="C598" s="1" t="s">
        <v>3084</v>
      </c>
      <c r="D598" s="1" t="str">
        <f>"8022231150"</f>
        <v>8022231150</v>
      </c>
      <c r="E598" s="1">
        <v>4388</v>
      </c>
      <c r="F598" s="1" t="s">
        <v>28</v>
      </c>
      <c r="G598" s="1" t="s">
        <v>3085</v>
      </c>
      <c r="H598" s="1"/>
      <c r="I598" s="1">
        <v>3</v>
      </c>
      <c r="J598" s="1" t="s">
        <v>3086</v>
      </c>
      <c r="K598" s="1" t="s">
        <v>31</v>
      </c>
      <c r="L598" s="1" t="s">
        <v>1303</v>
      </c>
      <c r="M598" s="1" t="s">
        <v>3087</v>
      </c>
      <c r="N598" s="2">
        <v>40974</v>
      </c>
      <c r="O598" s="1"/>
      <c r="P598" s="1"/>
      <c r="Q598" s="1" t="s">
        <v>34</v>
      </c>
      <c r="R598" s="1"/>
      <c r="S598" s="1" t="s">
        <v>35</v>
      </c>
      <c r="T598" s="1">
        <v>44.275851499999902</v>
      </c>
      <c r="U598" s="1">
        <v>-72.520033499999997</v>
      </c>
      <c r="V598" s="1" t="s">
        <v>3088</v>
      </c>
      <c r="W598" s="1"/>
      <c r="X598" s="1" t="s">
        <v>37</v>
      </c>
      <c r="Y598" s="1" t="s">
        <v>3089</v>
      </c>
      <c r="Z598" s="1">
        <v>5651</v>
      </c>
    </row>
    <row r="599" spans="1:26" ht="42">
      <c r="A599" s="1" t="str">
        <f>"000J66"</f>
        <v>000J66</v>
      </c>
      <c r="B599" s="1" t="s">
        <v>3090</v>
      </c>
      <c r="C599" s="1" t="s">
        <v>3091</v>
      </c>
      <c r="D599" s="1" t="str">
        <f>"8024985741"</f>
        <v>8024985741</v>
      </c>
      <c r="E599" s="1">
        <v>4392</v>
      </c>
      <c r="F599" s="1" t="s">
        <v>28</v>
      </c>
      <c r="G599" s="1" t="s">
        <v>3092</v>
      </c>
      <c r="H599" s="1"/>
      <c r="I599" s="1">
        <v>2</v>
      </c>
      <c r="J599" s="1" t="s">
        <v>3093</v>
      </c>
      <c r="K599" s="1" t="s">
        <v>170</v>
      </c>
      <c r="L599" s="1" t="s">
        <v>1318</v>
      </c>
      <c r="M599" s="1" t="s">
        <v>3094</v>
      </c>
      <c r="N599" s="2">
        <v>41048</v>
      </c>
      <c r="O599" s="1"/>
      <c r="P599" s="1"/>
      <c r="Q599" s="1" t="s">
        <v>34</v>
      </c>
      <c r="R599" s="1"/>
      <c r="S599" s="1" t="s">
        <v>35</v>
      </c>
      <c r="T599" s="1">
        <v>44.556311000000001</v>
      </c>
      <c r="U599" s="1">
        <v>-72.535221999999905</v>
      </c>
      <c r="V599" s="1" t="s">
        <v>3095</v>
      </c>
      <c r="W599" s="1"/>
      <c r="X599" s="1" t="s">
        <v>37</v>
      </c>
      <c r="Y599" s="1" t="s">
        <v>1321</v>
      </c>
      <c r="Z599" s="1">
        <v>5680</v>
      </c>
    </row>
    <row r="600" spans="1:26" ht="42">
      <c r="A600" s="1" t="str">
        <f>"000J6C"</f>
        <v>000J6C</v>
      </c>
      <c r="B600" s="1" t="s">
        <v>3096</v>
      </c>
      <c r="C600" s="1" t="s">
        <v>3097</v>
      </c>
      <c r="D600" s="1" t="str">
        <f>"8027608033"</f>
        <v>8027608033</v>
      </c>
      <c r="E600" s="1">
        <v>4396</v>
      </c>
      <c r="F600" s="1" t="s">
        <v>28</v>
      </c>
      <c r="G600" s="1" t="s">
        <v>3098</v>
      </c>
      <c r="H600" s="1"/>
      <c r="I600" s="1">
        <v>1</v>
      </c>
      <c r="J600" s="1" t="s">
        <v>3099</v>
      </c>
      <c r="K600" s="1" t="s">
        <v>31</v>
      </c>
      <c r="L600" s="1" t="s">
        <v>120</v>
      </c>
      <c r="M600" s="1" t="s">
        <v>3100</v>
      </c>
      <c r="N600" s="2">
        <v>41034</v>
      </c>
      <c r="O600" s="1"/>
      <c r="P600" s="2">
        <v>42170</v>
      </c>
      <c r="Q600" s="1" t="s">
        <v>34</v>
      </c>
      <c r="R600" s="1"/>
      <c r="S600" s="1" t="s">
        <v>35</v>
      </c>
      <c r="T600" s="1">
        <v>44.372326000000001</v>
      </c>
      <c r="U600" s="1">
        <v>-72.703268999999906</v>
      </c>
      <c r="V600" s="1" t="s">
        <v>3101</v>
      </c>
      <c r="W600" s="1"/>
      <c r="X600" s="1" t="s">
        <v>37</v>
      </c>
      <c r="Y600" s="1" t="s">
        <v>123</v>
      </c>
      <c r="Z600" s="1">
        <v>5677</v>
      </c>
    </row>
    <row r="601" spans="1:26" ht="42">
      <c r="A601" s="1" t="str">
        <f>"000J7P"</f>
        <v>000J7P</v>
      </c>
      <c r="B601" s="1" t="s">
        <v>3102</v>
      </c>
      <c r="C601" s="1" t="s">
        <v>3103</v>
      </c>
      <c r="D601" s="1" t="str">
        <f>"8028881826"</f>
        <v>8028881826</v>
      </c>
      <c r="E601" s="1">
        <v>4399</v>
      </c>
      <c r="F601" s="1" t="s">
        <v>28</v>
      </c>
      <c r="G601" s="1" t="s">
        <v>3104</v>
      </c>
      <c r="H601" s="1"/>
      <c r="I601" s="1">
        <v>2</v>
      </c>
      <c r="J601" s="1" t="s">
        <v>3105</v>
      </c>
      <c r="K601" s="1" t="s">
        <v>170</v>
      </c>
      <c r="L601" s="1" t="s">
        <v>380</v>
      </c>
      <c r="M601" s="1" t="s">
        <v>3106</v>
      </c>
      <c r="N601" s="2">
        <v>41036</v>
      </c>
      <c r="O601" s="1"/>
      <c r="P601" s="1"/>
      <c r="Q601" s="1" t="s">
        <v>34</v>
      </c>
      <c r="R601" s="1"/>
      <c r="S601" s="1" t="s">
        <v>35</v>
      </c>
      <c r="T601" s="1">
        <v>44.535485000000001</v>
      </c>
      <c r="U601" s="1">
        <v>-72.567524999999904</v>
      </c>
      <c r="V601" s="1" t="s">
        <v>3107</v>
      </c>
      <c r="W601" s="1"/>
      <c r="X601" s="1" t="s">
        <v>37</v>
      </c>
      <c r="Y601" s="1" t="s">
        <v>1804</v>
      </c>
      <c r="Z601" s="1">
        <v>5661</v>
      </c>
    </row>
    <row r="602" spans="1:26" ht="42">
      <c r="A602" s="1" t="str">
        <f>"000J8N"</f>
        <v>000J8N</v>
      </c>
      <c r="B602" s="1" t="s">
        <v>3108</v>
      </c>
      <c r="C602" s="1" t="s">
        <v>3109</v>
      </c>
      <c r="D602" s="1" t="str">
        <f>"8028492648"</f>
        <v>8028492648</v>
      </c>
      <c r="E602" s="1">
        <v>4404</v>
      </c>
      <c r="F602" s="1" t="s">
        <v>28</v>
      </c>
      <c r="G602" s="1" t="s">
        <v>3110</v>
      </c>
      <c r="H602" s="1"/>
      <c r="I602" s="1">
        <v>5</v>
      </c>
      <c r="J602" s="1" t="s">
        <v>3111</v>
      </c>
      <c r="K602" s="1" t="s">
        <v>152</v>
      </c>
      <c r="L602" s="1" t="s">
        <v>1048</v>
      </c>
      <c r="M602" s="1" t="s">
        <v>3112</v>
      </c>
      <c r="N602" s="2">
        <v>41034</v>
      </c>
      <c r="O602" s="1"/>
      <c r="P602" s="2">
        <v>42639</v>
      </c>
      <c r="Q602" s="1" t="s">
        <v>34</v>
      </c>
      <c r="R602" s="1"/>
      <c r="S602" s="1" t="s">
        <v>35</v>
      </c>
      <c r="T602" s="1">
        <v>44.698264999999999</v>
      </c>
      <c r="U602" s="1">
        <v>-73.055882999999994</v>
      </c>
      <c r="V602" s="1" t="s">
        <v>3113</v>
      </c>
      <c r="W602" s="1"/>
      <c r="X602" s="1" t="s">
        <v>37</v>
      </c>
      <c r="Y602" s="1" t="s">
        <v>1051</v>
      </c>
      <c r="Z602" s="1">
        <v>5454</v>
      </c>
    </row>
    <row r="603" spans="1:26" ht="42">
      <c r="A603" s="1" t="str">
        <f>"000J90"</f>
        <v>000J90</v>
      </c>
      <c r="B603" s="1" t="s">
        <v>3114</v>
      </c>
      <c r="C603" s="1" t="s">
        <v>3115</v>
      </c>
      <c r="D603" s="1" t="str">
        <f>"8022231473"</f>
        <v>8022231473</v>
      </c>
      <c r="E603" s="1">
        <v>4407</v>
      </c>
      <c r="F603" s="1" t="s">
        <v>28</v>
      </c>
      <c r="G603" s="1" t="s">
        <v>3116</v>
      </c>
      <c r="H603" s="1"/>
      <c r="I603" s="1">
        <v>2</v>
      </c>
      <c r="J603" s="1" t="s">
        <v>3117</v>
      </c>
      <c r="K603" s="1" t="s">
        <v>31</v>
      </c>
      <c r="L603" s="1" t="s">
        <v>1293</v>
      </c>
      <c r="M603" s="1" t="s">
        <v>3118</v>
      </c>
      <c r="N603" s="2">
        <v>41041</v>
      </c>
      <c r="O603" s="1"/>
      <c r="P603" s="1"/>
      <c r="Q603" s="1" t="s">
        <v>34</v>
      </c>
      <c r="R603" s="1"/>
      <c r="S603" s="1" t="s">
        <v>35</v>
      </c>
      <c r="T603" s="1">
        <v>44.276363000000003</v>
      </c>
      <c r="U603" s="1">
        <v>-72.573961999999995</v>
      </c>
      <c r="V603" s="1" t="s">
        <v>3119</v>
      </c>
      <c r="W603" s="1"/>
      <c r="X603" s="1" t="s">
        <v>37</v>
      </c>
      <c r="Y603" s="1" t="s">
        <v>802</v>
      </c>
      <c r="Z603" s="1">
        <v>5602</v>
      </c>
    </row>
    <row r="604" spans="1:26" ht="28">
      <c r="A604" s="1" t="str">
        <f>"000J92"</f>
        <v>000J92</v>
      </c>
      <c r="B604" s="1" t="s">
        <v>3120</v>
      </c>
      <c r="C604" s="1" t="s">
        <v>3121</v>
      </c>
      <c r="D604" s="1"/>
      <c r="E604" s="1">
        <v>4408</v>
      </c>
      <c r="F604" s="1" t="s">
        <v>28</v>
      </c>
      <c r="G604" s="1" t="s">
        <v>3122</v>
      </c>
      <c r="H604" s="1"/>
      <c r="I604" s="1">
        <v>1</v>
      </c>
      <c r="J604" s="1" t="s">
        <v>3123</v>
      </c>
      <c r="K604" s="1" t="s">
        <v>333</v>
      </c>
      <c r="L604" s="1" t="s">
        <v>679</v>
      </c>
      <c r="M604" s="1" t="s">
        <v>3123</v>
      </c>
      <c r="N604" s="2">
        <v>41087</v>
      </c>
      <c r="O604" s="1"/>
      <c r="P604" s="1"/>
      <c r="Q604" s="1" t="s">
        <v>34</v>
      </c>
      <c r="R604" s="1"/>
      <c r="S604" s="1" t="s">
        <v>35</v>
      </c>
      <c r="T604" s="1">
        <v>44.242546999999902</v>
      </c>
      <c r="U604" s="1">
        <v>-73.219284000000002</v>
      </c>
      <c r="V604" s="1" t="s">
        <v>3124</v>
      </c>
      <c r="W604" s="1"/>
      <c r="X604" s="1" t="s">
        <v>37</v>
      </c>
      <c r="Y604" s="1" t="s">
        <v>479</v>
      </c>
      <c r="Z604" s="1">
        <v>0</v>
      </c>
    </row>
    <row r="605" spans="1:26" ht="42">
      <c r="A605" s="1" t="str">
        <f>"000JCA"</f>
        <v>000JCA</v>
      </c>
      <c r="B605" s="1" t="s">
        <v>3125</v>
      </c>
      <c r="C605" s="1" t="s">
        <v>3126</v>
      </c>
      <c r="D605" s="1" t="str">
        <f>"8026853898"</f>
        <v>8026853898</v>
      </c>
      <c r="E605" s="1">
        <v>4411</v>
      </c>
      <c r="F605" s="1" t="s">
        <v>28</v>
      </c>
      <c r="G605" s="1" t="s">
        <v>3127</v>
      </c>
      <c r="H605" s="1"/>
      <c r="I605" s="1">
        <v>2</v>
      </c>
      <c r="J605" s="1" t="s">
        <v>3128</v>
      </c>
      <c r="K605" s="1" t="s">
        <v>68</v>
      </c>
      <c r="L605" s="1" t="s">
        <v>3129</v>
      </c>
      <c r="M605" s="1" t="s">
        <v>3130</v>
      </c>
      <c r="N605" s="2">
        <v>41109</v>
      </c>
      <c r="O605" s="1"/>
      <c r="P605" s="2">
        <v>42929</v>
      </c>
      <c r="Q605" s="1" t="s">
        <v>34</v>
      </c>
      <c r="R605" s="1"/>
      <c r="S605" s="1" t="s">
        <v>35</v>
      </c>
      <c r="T605" s="1">
        <v>43.9522586</v>
      </c>
      <c r="U605" s="1">
        <v>-72.485112299999898</v>
      </c>
      <c r="V605" s="1" t="s">
        <v>3131</v>
      </c>
      <c r="W605" s="1"/>
      <c r="X605" s="1" t="s">
        <v>37</v>
      </c>
      <c r="Y605" s="1" t="s">
        <v>3132</v>
      </c>
      <c r="Z605" s="1">
        <v>5038</v>
      </c>
    </row>
    <row r="606" spans="1:26" ht="42">
      <c r="A606" s="1" t="str">
        <f>"000JCV"</f>
        <v>000JCV</v>
      </c>
      <c r="B606" s="1" t="s">
        <v>3133</v>
      </c>
      <c r="C606" s="1" t="s">
        <v>3134</v>
      </c>
      <c r="D606" s="1" t="str">
        <f>"8023942973"</f>
        <v>8023942973</v>
      </c>
      <c r="E606" s="1">
        <v>4416</v>
      </c>
      <c r="F606" s="1" t="s">
        <v>28</v>
      </c>
      <c r="G606" s="1" t="s">
        <v>3135</v>
      </c>
      <c r="H606" s="1"/>
      <c r="I606" s="1">
        <v>4</v>
      </c>
      <c r="J606" s="1" t="s">
        <v>3136</v>
      </c>
      <c r="K606" s="1" t="s">
        <v>187</v>
      </c>
      <c r="L606" s="1" t="s">
        <v>3137</v>
      </c>
      <c r="M606" s="1" t="s">
        <v>3138</v>
      </c>
      <c r="N606" s="2">
        <v>41065</v>
      </c>
      <c r="O606" s="1"/>
      <c r="P606" s="1"/>
      <c r="Q606" s="1" t="s">
        <v>34</v>
      </c>
      <c r="R606" s="1"/>
      <c r="S606" s="1" t="s">
        <v>35</v>
      </c>
      <c r="T606" s="1">
        <v>43.232506000000001</v>
      </c>
      <c r="U606" s="1">
        <v>-73.216376999999895</v>
      </c>
      <c r="V606" s="1" t="s">
        <v>3139</v>
      </c>
      <c r="W606" s="1"/>
      <c r="X606" s="1" t="s">
        <v>37</v>
      </c>
      <c r="Y606" s="1" t="s">
        <v>3140</v>
      </c>
      <c r="Z606" s="1">
        <v>5776</v>
      </c>
    </row>
    <row r="607" spans="1:26" ht="42">
      <c r="A607" s="1" t="str">
        <f>"000JCW"</f>
        <v>000JCW</v>
      </c>
      <c r="B607" s="1" t="s">
        <v>3141</v>
      </c>
      <c r="C607" s="1" t="s">
        <v>3142</v>
      </c>
      <c r="D607" s="1" t="str">
        <f>"8022519943"</f>
        <v>8022519943</v>
      </c>
      <c r="E607" s="1">
        <v>4417</v>
      </c>
      <c r="F607" s="1" t="s">
        <v>28</v>
      </c>
      <c r="G607" s="1" t="s">
        <v>3143</v>
      </c>
      <c r="H607" s="1"/>
      <c r="I607" s="1">
        <v>2</v>
      </c>
      <c r="J607" s="1" t="s">
        <v>3144</v>
      </c>
      <c r="K607" s="1" t="s">
        <v>144</v>
      </c>
      <c r="L607" s="1" t="s">
        <v>609</v>
      </c>
      <c r="M607" s="1" t="s">
        <v>3145</v>
      </c>
      <c r="N607" s="2">
        <v>41066</v>
      </c>
      <c r="O607" s="1"/>
      <c r="P607" s="1"/>
      <c r="Q607" s="1" t="s">
        <v>34</v>
      </c>
      <c r="R607" s="1"/>
      <c r="S607" s="1" t="s">
        <v>35</v>
      </c>
      <c r="T607" s="1">
        <v>42.899161900000003</v>
      </c>
      <c r="U607" s="1">
        <v>-72.554727</v>
      </c>
      <c r="V607" s="1" t="s">
        <v>3146</v>
      </c>
      <c r="W607" s="1"/>
      <c r="X607" s="1" t="s">
        <v>37</v>
      </c>
      <c r="Y607" s="1" t="s">
        <v>611</v>
      </c>
      <c r="Z607" s="1">
        <v>5301</v>
      </c>
    </row>
    <row r="608" spans="1:26" ht="42">
      <c r="A608" s="1" t="str">
        <f>"000JD1"</f>
        <v>000JD1</v>
      </c>
      <c r="B608" s="1" t="s">
        <v>3147</v>
      </c>
      <c r="C608" s="1" t="s">
        <v>3148</v>
      </c>
      <c r="D608" s="1" t="str">
        <f>"8026584119"</f>
        <v>8026584119</v>
      </c>
      <c r="E608" s="1">
        <v>4422</v>
      </c>
      <c r="F608" s="1" t="s">
        <v>28</v>
      </c>
      <c r="G608" s="1" t="s">
        <v>3149</v>
      </c>
      <c r="H608" s="1"/>
      <c r="I608" s="1">
        <v>3</v>
      </c>
      <c r="J608" s="1" t="s">
        <v>3150</v>
      </c>
      <c r="K608" s="1" t="s">
        <v>43</v>
      </c>
      <c r="L608" s="1" t="s">
        <v>44</v>
      </c>
      <c r="M608" s="1" t="s">
        <v>3151</v>
      </c>
      <c r="N608" s="2">
        <v>41034</v>
      </c>
      <c r="O608" s="1"/>
      <c r="P608" s="1"/>
      <c r="Q608" s="1" t="s">
        <v>34</v>
      </c>
      <c r="R608" s="1"/>
      <c r="S608" s="1" t="s">
        <v>35</v>
      </c>
      <c r="T608" s="1">
        <v>44.457563</v>
      </c>
      <c r="U608" s="1">
        <v>-73.203924999999998</v>
      </c>
      <c r="V608" s="1" t="s">
        <v>3152</v>
      </c>
      <c r="W608" s="1"/>
      <c r="X608" s="1" t="s">
        <v>37</v>
      </c>
      <c r="Y608" s="1" t="s">
        <v>46</v>
      </c>
      <c r="Z608" s="1" t="s">
        <v>3153</v>
      </c>
    </row>
    <row r="609" spans="1:26" ht="42">
      <c r="A609" s="1" t="str">
        <f>"000JF1"</f>
        <v>000JF1</v>
      </c>
      <c r="B609" s="1" t="s">
        <v>3154</v>
      </c>
      <c r="C609" s="1" t="s">
        <v>3155</v>
      </c>
      <c r="D609" s="1" t="str">
        <f>"8022951456"</f>
        <v>8022951456</v>
      </c>
      <c r="E609" s="1">
        <v>4424</v>
      </c>
      <c r="F609" s="1" t="s">
        <v>28</v>
      </c>
      <c r="G609" s="1" t="s">
        <v>3156</v>
      </c>
      <c r="H609" s="1"/>
      <c r="I609" s="1">
        <v>4</v>
      </c>
      <c r="J609" s="1" t="s">
        <v>3157</v>
      </c>
      <c r="K609" s="1" t="s">
        <v>77</v>
      </c>
      <c r="L609" s="1" t="s">
        <v>128</v>
      </c>
      <c r="M609" s="1" t="s">
        <v>3158</v>
      </c>
      <c r="N609" s="2">
        <v>41122</v>
      </c>
      <c r="O609" s="1"/>
      <c r="P609" s="2">
        <v>42901</v>
      </c>
      <c r="Q609" s="1" t="s">
        <v>34</v>
      </c>
      <c r="R609" s="1"/>
      <c r="S609" s="1" t="s">
        <v>35</v>
      </c>
      <c r="T609" s="1">
        <v>43.648959599999998</v>
      </c>
      <c r="U609" s="1">
        <v>-72.319257899999997</v>
      </c>
      <c r="V609" s="1" t="s">
        <v>3159</v>
      </c>
      <c r="W609" s="1"/>
      <c r="X609" s="1" t="s">
        <v>37</v>
      </c>
      <c r="Y609" s="1" t="s">
        <v>3160</v>
      </c>
      <c r="Z609" s="1">
        <v>5001</v>
      </c>
    </row>
    <row r="610" spans="1:26" ht="42">
      <c r="A610" s="1" t="str">
        <f>"000JQW"</f>
        <v>000JQW</v>
      </c>
      <c r="B610" s="1" t="s">
        <v>3161</v>
      </c>
      <c r="C610" s="1" t="s">
        <v>3162</v>
      </c>
      <c r="D610" s="1" t="str">
        <f>"8026451933"</f>
        <v>8026451933</v>
      </c>
      <c r="E610" s="1">
        <v>4432</v>
      </c>
      <c r="F610" s="1" t="s">
        <v>28</v>
      </c>
      <c r="G610" s="1" t="s">
        <v>3163</v>
      </c>
      <c r="H610" s="1"/>
      <c r="I610" s="1">
        <v>1</v>
      </c>
      <c r="J610" s="1" t="s">
        <v>3164</v>
      </c>
      <c r="K610" s="1" t="s">
        <v>135</v>
      </c>
      <c r="L610" s="1" t="s">
        <v>1277</v>
      </c>
      <c r="M610" s="1" t="s">
        <v>3165</v>
      </c>
      <c r="N610" s="2">
        <v>41127</v>
      </c>
      <c r="O610" s="1"/>
      <c r="P610" s="1"/>
      <c r="Q610" s="1" t="s">
        <v>34</v>
      </c>
      <c r="R610" s="1"/>
      <c r="S610" s="1" t="s">
        <v>35</v>
      </c>
      <c r="T610" s="1">
        <v>43.457204900000001</v>
      </c>
      <c r="U610" s="1">
        <v>-73.215927899999997</v>
      </c>
      <c r="V610" s="1" t="s">
        <v>3166</v>
      </c>
      <c r="W610" s="1"/>
      <c r="X610" s="1" t="s">
        <v>37</v>
      </c>
      <c r="Y610" s="1" t="s">
        <v>1280</v>
      </c>
      <c r="Z610" s="1">
        <v>5774</v>
      </c>
    </row>
    <row r="611" spans="1:26" ht="42">
      <c r="A611" s="1" t="str">
        <f>"000JQW"</f>
        <v>000JQW</v>
      </c>
      <c r="B611" s="1" t="s">
        <v>3161</v>
      </c>
      <c r="C611" s="1" t="s">
        <v>3162</v>
      </c>
      <c r="D611" s="1" t="str">
        <f>"8026451933"</f>
        <v>8026451933</v>
      </c>
      <c r="E611" s="1">
        <v>4432</v>
      </c>
      <c r="F611" s="1" t="s">
        <v>28</v>
      </c>
      <c r="G611" s="1" t="s">
        <v>3167</v>
      </c>
      <c r="H611" s="1"/>
      <c r="I611" s="1">
        <v>0</v>
      </c>
      <c r="J611" s="1" t="s">
        <v>3168</v>
      </c>
      <c r="K611" s="1" t="s">
        <v>135</v>
      </c>
      <c r="L611" s="1" t="s">
        <v>1277</v>
      </c>
      <c r="M611" s="1" t="s">
        <v>3169</v>
      </c>
      <c r="N611" s="2">
        <v>41127</v>
      </c>
      <c r="O611" s="2">
        <v>42887</v>
      </c>
      <c r="P611" s="1"/>
      <c r="Q611" s="1" t="s">
        <v>34</v>
      </c>
      <c r="R611" s="1"/>
      <c r="S611" s="1" t="s">
        <v>35</v>
      </c>
      <c r="T611" s="1">
        <v>43.417283853989701</v>
      </c>
      <c r="U611" s="1">
        <v>-73.201668262481604</v>
      </c>
      <c r="V611" s="1" t="s">
        <v>1687</v>
      </c>
      <c r="W611" s="1"/>
      <c r="X611" s="1" t="s">
        <v>37</v>
      </c>
      <c r="Y611" s="1" t="s">
        <v>1280</v>
      </c>
      <c r="Z611" s="1">
        <v>5774</v>
      </c>
    </row>
    <row r="612" spans="1:26" ht="42">
      <c r="A612" s="1" t="str">
        <f>"000JQW"</f>
        <v>000JQW</v>
      </c>
      <c r="B612" s="1" t="s">
        <v>3161</v>
      </c>
      <c r="C612" s="1" t="s">
        <v>3162</v>
      </c>
      <c r="D612" s="1" t="str">
        <f>"8026451933"</f>
        <v>8026451933</v>
      </c>
      <c r="E612" s="1">
        <v>4432</v>
      </c>
      <c r="F612" s="1" t="s">
        <v>28</v>
      </c>
      <c r="G612" s="1" t="s">
        <v>3170</v>
      </c>
      <c r="H612" s="1"/>
      <c r="I612" s="1">
        <v>1</v>
      </c>
      <c r="J612" s="1" t="s">
        <v>3171</v>
      </c>
      <c r="K612" s="1" t="s">
        <v>135</v>
      </c>
      <c r="L612" s="1" t="s">
        <v>1277</v>
      </c>
      <c r="M612" s="1" t="s">
        <v>3172</v>
      </c>
      <c r="N612" s="2">
        <v>41127</v>
      </c>
      <c r="O612" s="1"/>
      <c r="P612" s="1"/>
      <c r="Q612" s="1" t="s">
        <v>34</v>
      </c>
      <c r="R612" s="1"/>
      <c r="S612" s="1" t="s">
        <v>35</v>
      </c>
      <c r="T612" s="1">
        <v>43.446500838359</v>
      </c>
      <c r="U612" s="1">
        <v>-73.175039291381793</v>
      </c>
      <c r="V612" s="1" t="s">
        <v>3173</v>
      </c>
      <c r="W612" s="1"/>
      <c r="X612" s="1" t="s">
        <v>37</v>
      </c>
      <c r="Y612" s="1" t="s">
        <v>1280</v>
      </c>
      <c r="Z612" s="1">
        <v>5774</v>
      </c>
    </row>
    <row r="613" spans="1:26" ht="42">
      <c r="A613" s="1" t="str">
        <f>"000JQW"</f>
        <v>000JQW</v>
      </c>
      <c r="B613" s="1" t="s">
        <v>3161</v>
      </c>
      <c r="C613" s="1" t="s">
        <v>3162</v>
      </c>
      <c r="D613" s="1" t="str">
        <f>"8026451933"</f>
        <v>8026451933</v>
      </c>
      <c r="E613" s="1">
        <v>4432</v>
      </c>
      <c r="F613" s="1" t="s">
        <v>28</v>
      </c>
      <c r="G613" s="1" t="s">
        <v>3174</v>
      </c>
      <c r="H613" s="1"/>
      <c r="I613" s="1">
        <v>4</v>
      </c>
      <c r="J613" s="1" t="s">
        <v>3175</v>
      </c>
      <c r="K613" s="1" t="s">
        <v>135</v>
      </c>
      <c r="L613" s="1" t="s">
        <v>1277</v>
      </c>
      <c r="M613" s="1" t="s">
        <v>3165</v>
      </c>
      <c r="N613" s="2">
        <v>41913</v>
      </c>
      <c r="O613" s="1"/>
      <c r="P613" s="1"/>
      <c r="Q613" s="1" t="s">
        <v>34</v>
      </c>
      <c r="R613" s="1"/>
      <c r="S613" s="1" t="s">
        <v>35</v>
      </c>
      <c r="T613" s="1">
        <v>43.444230999999903</v>
      </c>
      <c r="U613" s="1">
        <v>-73.206560899999999</v>
      </c>
      <c r="V613" s="1" t="s">
        <v>3176</v>
      </c>
      <c r="W613" s="1"/>
      <c r="X613" s="1" t="s">
        <v>37</v>
      </c>
      <c r="Y613" s="1" t="s">
        <v>1280</v>
      </c>
      <c r="Z613" s="1">
        <v>5774</v>
      </c>
    </row>
    <row r="614" spans="1:26" ht="42">
      <c r="A614" s="1" t="str">
        <f>"000JQY"</f>
        <v>000JQY</v>
      </c>
      <c r="B614" s="1" t="s">
        <v>3177</v>
      </c>
      <c r="C614" s="1" t="s">
        <v>3178</v>
      </c>
      <c r="D614" s="1" t="str">
        <f>"8027526518"</f>
        <v>8027526518</v>
      </c>
      <c r="E614" s="1">
        <v>4434</v>
      </c>
      <c r="F614" s="1" t="s">
        <v>28</v>
      </c>
      <c r="G614" s="1" t="s">
        <v>3179</v>
      </c>
      <c r="H614" s="1"/>
      <c r="I614" s="1">
        <v>5</v>
      </c>
      <c r="J614" s="1" t="s">
        <v>3180</v>
      </c>
      <c r="K614" s="1" t="s">
        <v>152</v>
      </c>
      <c r="L614" s="1" t="s">
        <v>3181</v>
      </c>
      <c r="M614" s="1" t="s">
        <v>3182</v>
      </c>
      <c r="N614" s="2">
        <v>41131</v>
      </c>
      <c r="O614" s="1"/>
      <c r="P614" s="1"/>
      <c r="Q614" s="1" t="s">
        <v>34</v>
      </c>
      <c r="R614" s="1"/>
      <c r="S614" s="1" t="s">
        <v>35</v>
      </c>
      <c r="T614" s="1">
        <v>44.811508000000003</v>
      </c>
      <c r="U614" s="1">
        <v>-72.761024000000006</v>
      </c>
      <c r="V614" s="1" t="s">
        <v>3183</v>
      </c>
      <c r="W614" s="1"/>
      <c r="X614" s="1" t="s">
        <v>37</v>
      </c>
      <c r="Y614" s="1" t="s">
        <v>1447</v>
      </c>
      <c r="Z614" s="1">
        <v>5450</v>
      </c>
    </row>
    <row r="615" spans="1:26" ht="42">
      <c r="A615" s="1" t="str">
        <f>"000JQZ"</f>
        <v>000JQZ</v>
      </c>
      <c r="B615" s="1" t="s">
        <v>3184</v>
      </c>
      <c r="C615" s="1" t="s">
        <v>3185</v>
      </c>
      <c r="D615" s="1" t="str">
        <f>"8028623414"</f>
        <v>8028623414</v>
      </c>
      <c r="E615" s="1">
        <v>4435</v>
      </c>
      <c r="F615" s="1" t="s">
        <v>28</v>
      </c>
      <c r="G615" s="1" t="s">
        <v>3186</v>
      </c>
      <c r="H615" s="1"/>
      <c r="I615" s="1">
        <v>3</v>
      </c>
      <c r="J615" s="1" t="s">
        <v>3187</v>
      </c>
      <c r="K615" s="1" t="s">
        <v>43</v>
      </c>
      <c r="L615" s="1" t="s">
        <v>364</v>
      </c>
      <c r="M615" s="1" t="s">
        <v>3188</v>
      </c>
      <c r="N615" s="2">
        <v>41123</v>
      </c>
      <c r="O615" s="1"/>
      <c r="P615" s="1"/>
      <c r="Q615" s="1" t="s">
        <v>34</v>
      </c>
      <c r="R615" s="1"/>
      <c r="S615" s="1" t="s">
        <v>35</v>
      </c>
      <c r="T615" s="1"/>
      <c r="U615" s="1"/>
      <c r="V615" s="1" t="s">
        <v>3187</v>
      </c>
      <c r="W615" s="1"/>
      <c r="X615" s="1" t="s">
        <v>37</v>
      </c>
      <c r="Y615" s="1" t="s">
        <v>367</v>
      </c>
      <c r="Z615" s="1">
        <v>0</v>
      </c>
    </row>
    <row r="616" spans="1:26" ht="42">
      <c r="A616" s="1" t="str">
        <f>"000JQZ"</f>
        <v>000JQZ</v>
      </c>
      <c r="B616" s="1" t="s">
        <v>3184</v>
      </c>
      <c r="C616" s="1" t="s">
        <v>3185</v>
      </c>
      <c r="D616" s="1" t="str">
        <f>"8028623414"</f>
        <v>8028623414</v>
      </c>
      <c r="E616" s="1">
        <v>4435</v>
      </c>
      <c r="F616" s="1" t="s">
        <v>28</v>
      </c>
      <c r="G616" s="1" t="s">
        <v>3189</v>
      </c>
      <c r="H616" s="1"/>
      <c r="I616" s="1">
        <v>2</v>
      </c>
      <c r="J616" s="1">
        <v>2</v>
      </c>
      <c r="K616" s="1" t="s">
        <v>43</v>
      </c>
      <c r="L616" s="1" t="s">
        <v>778</v>
      </c>
      <c r="M616" s="1" t="s">
        <v>3190</v>
      </c>
      <c r="N616" s="2">
        <v>42681</v>
      </c>
      <c r="O616" s="1"/>
      <c r="P616" s="1"/>
      <c r="Q616" s="1" t="s">
        <v>34</v>
      </c>
      <c r="R616" s="1"/>
      <c r="S616" s="1" t="s">
        <v>35</v>
      </c>
      <c r="T616" s="1"/>
      <c r="U616" s="1"/>
      <c r="V616" s="1" t="s">
        <v>158</v>
      </c>
      <c r="W616" s="1"/>
      <c r="X616" s="1" t="s">
        <v>37</v>
      </c>
      <c r="Y616" s="1" t="s">
        <v>781</v>
      </c>
      <c r="Z616" s="1">
        <v>0</v>
      </c>
    </row>
    <row r="617" spans="1:26" ht="42">
      <c r="A617" s="1" t="str">
        <f>"000JV1"</f>
        <v>000JV1</v>
      </c>
      <c r="B617" s="1" t="s">
        <v>3191</v>
      </c>
      <c r="C617" s="1" t="s">
        <v>3192</v>
      </c>
      <c r="D617" s="1" t="str">
        <f>"8023536602"</f>
        <v>8023536602</v>
      </c>
      <c r="E617" s="1">
        <v>4436</v>
      </c>
      <c r="F617" s="1" t="s">
        <v>28</v>
      </c>
      <c r="G617" s="1" t="s">
        <v>3193</v>
      </c>
      <c r="H617" s="1"/>
      <c r="I617" s="1">
        <v>4</v>
      </c>
      <c r="J617" s="1" t="s">
        <v>3194</v>
      </c>
      <c r="K617" s="1" t="s">
        <v>77</v>
      </c>
      <c r="L617" s="1" t="s">
        <v>515</v>
      </c>
      <c r="M617" s="1" t="s">
        <v>3195</v>
      </c>
      <c r="N617" s="2">
        <v>41126</v>
      </c>
      <c r="O617" s="1"/>
      <c r="P617" s="2">
        <v>41446</v>
      </c>
      <c r="Q617" s="1" t="s">
        <v>34</v>
      </c>
      <c r="R617" s="1"/>
      <c r="S617" s="1" t="s">
        <v>35</v>
      </c>
      <c r="T617" s="1">
        <v>43.399182000000003</v>
      </c>
      <c r="U617" s="1">
        <v>-72.638227999999998</v>
      </c>
      <c r="V617" s="1" t="s">
        <v>3196</v>
      </c>
      <c r="W617" s="1"/>
      <c r="X617" s="1" t="s">
        <v>37</v>
      </c>
      <c r="Y617" s="1" t="s">
        <v>518</v>
      </c>
      <c r="Z617" s="1">
        <v>5153</v>
      </c>
    </row>
    <row r="618" spans="1:26" ht="42">
      <c r="A618" s="1" t="str">
        <f>"000JV1"</f>
        <v>000JV1</v>
      </c>
      <c r="B618" s="1" t="s">
        <v>3191</v>
      </c>
      <c r="C618" s="1" t="s">
        <v>3192</v>
      </c>
      <c r="D618" s="1" t="str">
        <f>"8023536602"</f>
        <v>8023536602</v>
      </c>
      <c r="E618" s="1">
        <v>4436</v>
      </c>
      <c r="F618" s="1" t="s">
        <v>28</v>
      </c>
      <c r="G618" s="1" t="s">
        <v>3197</v>
      </c>
      <c r="H618" s="1"/>
      <c r="I618" s="1">
        <v>2</v>
      </c>
      <c r="J618" s="1" t="s">
        <v>3198</v>
      </c>
      <c r="K618" s="1" t="s">
        <v>77</v>
      </c>
      <c r="L618" s="1" t="s">
        <v>515</v>
      </c>
      <c r="M618" s="1" t="s">
        <v>3195</v>
      </c>
      <c r="N618" s="2">
        <v>42529</v>
      </c>
      <c r="O618" s="1"/>
      <c r="P618" s="1"/>
      <c r="Q618" s="1" t="s">
        <v>34</v>
      </c>
      <c r="R618" s="1"/>
      <c r="S618" s="1" t="s">
        <v>35</v>
      </c>
      <c r="T618" s="1">
        <v>43.433487</v>
      </c>
      <c r="U618" s="1">
        <v>-72.655258000000003</v>
      </c>
      <c r="V618" s="1" t="s">
        <v>3199</v>
      </c>
      <c r="W618" s="1"/>
      <c r="X618" s="1" t="s">
        <v>37</v>
      </c>
      <c r="Y618" s="1" t="s">
        <v>518</v>
      </c>
      <c r="Z618" s="1">
        <v>5142</v>
      </c>
    </row>
    <row r="619" spans="1:26" ht="42">
      <c r="A619" s="1" t="str">
        <f>"000JV3"</f>
        <v>000JV3</v>
      </c>
      <c r="B619" s="1" t="s">
        <v>3200</v>
      </c>
      <c r="C619" s="1" t="s">
        <v>3201</v>
      </c>
      <c r="D619" s="1" t="str">
        <f>"8026269712"</f>
        <v>8026269712</v>
      </c>
      <c r="E619" s="1">
        <v>4438</v>
      </c>
      <c r="F619" s="1" t="s">
        <v>28</v>
      </c>
      <c r="G619" s="1" t="s">
        <v>3202</v>
      </c>
      <c r="H619" s="1"/>
      <c r="I619" s="1">
        <v>4</v>
      </c>
      <c r="J619" s="1" t="s">
        <v>3203</v>
      </c>
      <c r="K619" s="1" t="s">
        <v>59</v>
      </c>
      <c r="L619" s="1" t="s">
        <v>3204</v>
      </c>
      <c r="M619" s="1" t="s">
        <v>3205</v>
      </c>
      <c r="N619" s="2">
        <v>41285</v>
      </c>
      <c r="O619" s="1"/>
      <c r="P619" s="2">
        <v>41414</v>
      </c>
      <c r="Q619" s="1" t="s">
        <v>34</v>
      </c>
      <c r="R619" s="1"/>
      <c r="S619" s="1" t="s">
        <v>35</v>
      </c>
      <c r="T619" s="1">
        <v>44.558401099999998</v>
      </c>
      <c r="U619" s="1">
        <v>-71.962376199999994</v>
      </c>
      <c r="V619" s="1" t="s">
        <v>3206</v>
      </c>
      <c r="W619" s="1"/>
      <c r="X619" s="1" t="s">
        <v>37</v>
      </c>
      <c r="Y619" s="1" t="s">
        <v>1741</v>
      </c>
      <c r="Z619" s="1">
        <v>5851</v>
      </c>
    </row>
    <row r="620" spans="1:26" ht="42">
      <c r="A620" s="1" t="str">
        <f>"000JV4"</f>
        <v>000JV4</v>
      </c>
      <c r="B620" s="1" t="s">
        <v>3207</v>
      </c>
      <c r="C620" s="1" t="s">
        <v>3208</v>
      </c>
      <c r="D620" s="1" t="str">
        <f>"8024255241"</f>
        <v>8024255241</v>
      </c>
      <c r="E620" s="1">
        <v>4439</v>
      </c>
      <c r="F620" s="1" t="s">
        <v>28</v>
      </c>
      <c r="G620" s="1" t="s">
        <v>3209</v>
      </c>
      <c r="H620" s="1"/>
      <c r="I620" s="1">
        <v>2</v>
      </c>
      <c r="J620" s="1" t="s">
        <v>3210</v>
      </c>
      <c r="K620" s="1" t="s">
        <v>43</v>
      </c>
      <c r="L620" s="1" t="s">
        <v>728</v>
      </c>
      <c r="M620" s="1" t="s">
        <v>3211</v>
      </c>
      <c r="N620" s="2">
        <v>41119</v>
      </c>
      <c r="O620" s="1"/>
      <c r="P620" s="1"/>
      <c r="Q620" s="1" t="s">
        <v>34</v>
      </c>
      <c r="R620" s="1"/>
      <c r="S620" s="1" t="s">
        <v>35</v>
      </c>
      <c r="T620" s="1">
        <v>44.346277147618501</v>
      </c>
      <c r="U620" s="1">
        <v>-73.260523974895406</v>
      </c>
      <c r="V620" s="1" t="s">
        <v>3212</v>
      </c>
      <c r="W620" s="1"/>
      <c r="X620" s="1" t="s">
        <v>37</v>
      </c>
      <c r="Y620" s="1" t="s">
        <v>736</v>
      </c>
      <c r="Z620" s="1">
        <v>5445</v>
      </c>
    </row>
    <row r="621" spans="1:26" ht="42">
      <c r="A621" s="1" t="str">
        <f>"000JV5"</f>
        <v>000JV5</v>
      </c>
      <c r="B621" s="1" t="s">
        <v>3213</v>
      </c>
      <c r="C621" s="1" t="s">
        <v>3214</v>
      </c>
      <c r="D621" s="1" t="str">
        <f>"8027950033"</f>
        <v>8027950033</v>
      </c>
      <c r="E621" s="1">
        <v>4440</v>
      </c>
      <c r="F621" s="1" t="s">
        <v>28</v>
      </c>
      <c r="G621" s="1" t="s">
        <v>3215</v>
      </c>
      <c r="H621" s="1"/>
      <c r="I621" s="1">
        <v>5</v>
      </c>
      <c r="J621" s="1" t="s">
        <v>3216</v>
      </c>
      <c r="K621" s="1" t="s">
        <v>77</v>
      </c>
      <c r="L621" s="1" t="s">
        <v>325</v>
      </c>
      <c r="M621" s="1" t="s">
        <v>3217</v>
      </c>
      <c r="N621" s="2">
        <v>41285</v>
      </c>
      <c r="O621" s="1"/>
      <c r="P621" s="1"/>
      <c r="Q621" s="1" t="s">
        <v>34</v>
      </c>
      <c r="R621" s="1"/>
      <c r="S621" s="1" t="s">
        <v>35</v>
      </c>
      <c r="T621" s="1">
        <v>43.3619871</v>
      </c>
      <c r="U621" s="1">
        <v>-72.502265899999998</v>
      </c>
      <c r="V621" s="1" t="s">
        <v>3218</v>
      </c>
      <c r="W621" s="1"/>
      <c r="X621" s="1" t="s">
        <v>37</v>
      </c>
      <c r="Y621" s="1" t="s">
        <v>3219</v>
      </c>
      <c r="Z621" s="1">
        <v>5151</v>
      </c>
    </row>
    <row r="622" spans="1:26" ht="42">
      <c r="A622" s="1" t="str">
        <f>"000JVN"</f>
        <v>000JVN</v>
      </c>
      <c r="B622" s="1" t="s">
        <v>3220</v>
      </c>
      <c r="C622" s="1" t="s">
        <v>3221</v>
      </c>
      <c r="D622" s="1" t="str">
        <f>"8028235837"</f>
        <v>8028235837</v>
      </c>
      <c r="E622" s="1">
        <v>4451</v>
      </c>
      <c r="F622" s="1" t="s">
        <v>28</v>
      </c>
      <c r="G622" s="1" t="s">
        <v>3222</v>
      </c>
      <c r="H622" s="1"/>
      <c r="I622" s="1">
        <v>30</v>
      </c>
      <c r="J622" s="1" t="s">
        <v>3223</v>
      </c>
      <c r="K622" s="1" t="s">
        <v>187</v>
      </c>
      <c r="L622" s="1" t="s">
        <v>242</v>
      </c>
      <c r="M622" s="1" t="s">
        <v>3224</v>
      </c>
      <c r="N622" s="2">
        <v>41090</v>
      </c>
      <c r="O622" s="1"/>
      <c r="P622" s="1"/>
      <c r="Q622" s="1" t="s">
        <v>34</v>
      </c>
      <c r="R622" s="1"/>
      <c r="S622" s="1" t="s">
        <v>35</v>
      </c>
      <c r="T622" s="1">
        <v>42.766773000000001</v>
      </c>
      <c r="U622" s="1">
        <v>-73.218636000000004</v>
      </c>
      <c r="V622" s="1" t="s">
        <v>3225</v>
      </c>
      <c r="W622" s="1"/>
      <c r="X622" s="1" t="s">
        <v>37</v>
      </c>
      <c r="Y622" s="1" t="s">
        <v>245</v>
      </c>
      <c r="Z622" s="1">
        <v>5261</v>
      </c>
    </row>
    <row r="623" spans="1:26" ht="42">
      <c r="A623" s="1" t="str">
        <f>"000JVN"</f>
        <v>000JVN</v>
      </c>
      <c r="B623" s="1" t="s">
        <v>3220</v>
      </c>
      <c r="C623" s="1" t="s">
        <v>3221</v>
      </c>
      <c r="D623" s="1" t="str">
        <f>"8028235837"</f>
        <v>8028235837</v>
      </c>
      <c r="E623" s="1">
        <v>4451</v>
      </c>
      <c r="F623" s="1" t="s">
        <v>28</v>
      </c>
      <c r="G623" s="1" t="s">
        <v>3226</v>
      </c>
      <c r="H623" s="1"/>
      <c r="I623" s="1">
        <v>130</v>
      </c>
      <c r="J623" s="1" t="s">
        <v>3227</v>
      </c>
      <c r="K623" s="1" t="s">
        <v>187</v>
      </c>
      <c r="L623" s="1" t="s">
        <v>242</v>
      </c>
      <c r="M623" s="1" t="s">
        <v>3228</v>
      </c>
      <c r="N623" s="2">
        <v>41090</v>
      </c>
      <c r="O623" s="1"/>
      <c r="P623" s="2">
        <v>42941</v>
      </c>
      <c r="Q623" s="1" t="s">
        <v>34</v>
      </c>
      <c r="R623" s="1"/>
      <c r="S623" s="1" t="s">
        <v>35</v>
      </c>
      <c r="T623" s="1">
        <v>42.7865800089087</v>
      </c>
      <c r="U623" s="1">
        <v>-73.229694664478302</v>
      </c>
      <c r="V623" s="1" t="s">
        <v>3229</v>
      </c>
      <c r="W623" s="1"/>
      <c r="X623" s="1" t="s">
        <v>37</v>
      </c>
      <c r="Y623" s="1" t="s">
        <v>245</v>
      </c>
      <c r="Z623" s="1">
        <v>5261</v>
      </c>
    </row>
    <row r="624" spans="1:26" ht="42">
      <c r="A624" s="1" t="str">
        <f>"000JVN"</f>
        <v>000JVN</v>
      </c>
      <c r="B624" s="1" t="s">
        <v>3220</v>
      </c>
      <c r="C624" s="1" t="s">
        <v>3221</v>
      </c>
      <c r="D624" s="1" t="str">
        <f>"8028235837"</f>
        <v>8028235837</v>
      </c>
      <c r="E624" s="1">
        <v>4451</v>
      </c>
      <c r="F624" s="1" t="s">
        <v>28</v>
      </c>
      <c r="G624" s="1" t="s">
        <v>3230</v>
      </c>
      <c r="H624" s="1"/>
      <c r="I624" s="1">
        <v>10</v>
      </c>
      <c r="J624" s="1" t="s">
        <v>3231</v>
      </c>
      <c r="K624" s="1" t="s">
        <v>187</v>
      </c>
      <c r="L624" s="1" t="s">
        <v>293</v>
      </c>
      <c r="M624" s="1" t="s">
        <v>3232</v>
      </c>
      <c r="N624" s="2">
        <v>41090</v>
      </c>
      <c r="O624" s="1"/>
      <c r="P624" s="1"/>
      <c r="Q624" s="1" t="s">
        <v>34</v>
      </c>
      <c r="R624" s="1"/>
      <c r="S624" s="1" t="s">
        <v>35</v>
      </c>
      <c r="T624" s="1"/>
      <c r="U624" s="1"/>
      <c r="V624" s="1" t="s">
        <v>3233</v>
      </c>
      <c r="W624" s="1"/>
      <c r="X624" s="1" t="s">
        <v>37</v>
      </c>
      <c r="Y624" s="1" t="s">
        <v>3234</v>
      </c>
      <c r="Z624" s="1">
        <v>0</v>
      </c>
    </row>
    <row r="625" spans="1:26" ht="42">
      <c r="A625" s="1" t="str">
        <f>"000JVN"</f>
        <v>000JVN</v>
      </c>
      <c r="B625" s="1" t="s">
        <v>3220</v>
      </c>
      <c r="C625" s="1" t="s">
        <v>3221</v>
      </c>
      <c r="D625" s="1" t="str">
        <f>"8028235837"</f>
        <v>8028235837</v>
      </c>
      <c r="E625" s="1">
        <v>4451</v>
      </c>
      <c r="F625" s="1" t="s">
        <v>28</v>
      </c>
      <c r="G625" s="1" t="s">
        <v>3235</v>
      </c>
      <c r="H625" s="1"/>
      <c r="I625" s="1">
        <v>10</v>
      </c>
      <c r="J625" s="1">
        <v>4</v>
      </c>
      <c r="K625" s="1" t="s">
        <v>187</v>
      </c>
      <c r="L625" s="1" t="s">
        <v>188</v>
      </c>
      <c r="M625" s="1" t="s">
        <v>3236</v>
      </c>
      <c r="N625" s="2">
        <v>42912</v>
      </c>
      <c r="O625" s="1"/>
      <c r="P625" s="1"/>
      <c r="Q625" s="1" t="s">
        <v>34</v>
      </c>
      <c r="R625" s="1"/>
      <c r="S625" s="1" t="s">
        <v>35</v>
      </c>
      <c r="T625" s="1">
        <v>42.88364</v>
      </c>
      <c r="U625" s="1">
        <v>-73.220146</v>
      </c>
      <c r="V625" s="1" t="s">
        <v>3237</v>
      </c>
      <c r="W625" s="1"/>
      <c r="X625" s="1" t="s">
        <v>37</v>
      </c>
      <c r="Y625" s="1" t="s">
        <v>187</v>
      </c>
      <c r="Z625" s="1">
        <v>5201</v>
      </c>
    </row>
    <row r="626" spans="1:26" ht="42">
      <c r="A626" s="1" t="str">
        <f>"000JVN"</f>
        <v>000JVN</v>
      </c>
      <c r="B626" s="1" t="s">
        <v>3220</v>
      </c>
      <c r="C626" s="1" t="s">
        <v>3221</v>
      </c>
      <c r="D626" s="1" t="str">
        <f>"8028235837"</f>
        <v>8028235837</v>
      </c>
      <c r="E626" s="1">
        <v>4451</v>
      </c>
      <c r="F626" s="1" t="s">
        <v>28</v>
      </c>
      <c r="G626" s="1" t="s">
        <v>3238</v>
      </c>
      <c r="H626" s="1"/>
      <c r="I626" s="1">
        <v>20</v>
      </c>
      <c r="J626" s="1">
        <v>5</v>
      </c>
      <c r="K626" s="1" t="s">
        <v>187</v>
      </c>
      <c r="L626" s="1" t="s">
        <v>242</v>
      </c>
      <c r="M626" s="1" t="s">
        <v>3239</v>
      </c>
      <c r="N626" s="2">
        <v>42912</v>
      </c>
      <c r="O626" s="1"/>
      <c r="P626" s="1"/>
      <c r="Q626" s="1" t="s">
        <v>34</v>
      </c>
      <c r="R626" s="1"/>
      <c r="S626" s="1" t="s">
        <v>35</v>
      </c>
      <c r="T626" s="1">
        <v>42.823214</v>
      </c>
      <c r="U626" s="1">
        <v>-73.259883000000002</v>
      </c>
      <c r="V626" s="1" t="s">
        <v>3240</v>
      </c>
      <c r="W626" s="1"/>
      <c r="X626" s="1" t="s">
        <v>37</v>
      </c>
      <c r="Y626" s="1" t="s">
        <v>245</v>
      </c>
      <c r="Z626" s="1">
        <v>5260</v>
      </c>
    </row>
    <row r="627" spans="1:26" ht="42">
      <c r="A627" s="1" t="str">
        <f>"000JVN"</f>
        <v>000JVN</v>
      </c>
      <c r="B627" s="1" t="s">
        <v>3220</v>
      </c>
      <c r="C627" s="1" t="s">
        <v>3221</v>
      </c>
      <c r="D627" s="1" t="str">
        <f>"8028235837"</f>
        <v>8028235837</v>
      </c>
      <c r="E627" s="1">
        <v>4451</v>
      </c>
      <c r="F627" s="1" t="s">
        <v>28</v>
      </c>
      <c r="G627" s="1" t="s">
        <v>3241</v>
      </c>
      <c r="H627" s="1"/>
      <c r="I627" s="1">
        <v>40</v>
      </c>
      <c r="J627" s="1">
        <v>6</v>
      </c>
      <c r="K627" s="1" t="s">
        <v>187</v>
      </c>
      <c r="L627" s="1" t="s">
        <v>242</v>
      </c>
      <c r="M627" s="1" t="s">
        <v>3242</v>
      </c>
      <c r="N627" s="2">
        <v>42912</v>
      </c>
      <c r="O627" s="1"/>
      <c r="P627" s="1"/>
      <c r="Q627" s="1" t="s">
        <v>34</v>
      </c>
      <c r="R627" s="1"/>
      <c r="S627" s="1" t="s">
        <v>35</v>
      </c>
      <c r="T627" s="1">
        <v>42.772823000000002</v>
      </c>
      <c r="U627" s="1">
        <v>-73.2467039</v>
      </c>
      <c r="V627" s="1" t="s">
        <v>3243</v>
      </c>
      <c r="W627" s="1"/>
      <c r="X627" s="1" t="s">
        <v>37</v>
      </c>
      <c r="Y627" s="1" t="s">
        <v>245</v>
      </c>
      <c r="Z627" s="1">
        <v>5261</v>
      </c>
    </row>
    <row r="628" spans="1:26" ht="42">
      <c r="A628" s="1" t="str">
        <f>"000JVN"</f>
        <v>000JVN</v>
      </c>
      <c r="B628" s="1" t="s">
        <v>3220</v>
      </c>
      <c r="C628" s="1" t="s">
        <v>3221</v>
      </c>
      <c r="D628" s="1" t="str">
        <f>"8028235837"</f>
        <v>8028235837</v>
      </c>
      <c r="E628" s="1">
        <v>4451</v>
      </c>
      <c r="F628" s="1" t="s">
        <v>28</v>
      </c>
      <c r="G628" s="1" t="s">
        <v>3244</v>
      </c>
      <c r="H628" s="1"/>
      <c r="I628" s="1">
        <v>20</v>
      </c>
      <c r="J628" s="1" t="s">
        <v>3245</v>
      </c>
      <c r="K628" s="1" t="s">
        <v>187</v>
      </c>
      <c r="L628" s="1" t="s">
        <v>242</v>
      </c>
      <c r="M628" s="1" t="s">
        <v>727</v>
      </c>
      <c r="N628" s="2">
        <v>42912</v>
      </c>
      <c r="O628" s="1"/>
      <c r="P628" s="1"/>
      <c r="Q628" s="1" t="s">
        <v>34</v>
      </c>
      <c r="R628" s="1"/>
      <c r="S628" s="1" t="s">
        <v>35</v>
      </c>
      <c r="T628" s="1">
        <v>42.756301000000001</v>
      </c>
      <c r="U628" s="1">
        <v>-73.240101899999999</v>
      </c>
      <c r="V628" s="1" t="s">
        <v>3246</v>
      </c>
      <c r="W628" s="1"/>
      <c r="X628" s="1" t="s">
        <v>37</v>
      </c>
      <c r="Y628" s="1" t="s">
        <v>245</v>
      </c>
      <c r="Z628" s="1">
        <v>5261</v>
      </c>
    </row>
    <row r="629" spans="1:26" ht="42">
      <c r="A629" s="1" t="str">
        <f>"000JVQ"</f>
        <v>000JVQ</v>
      </c>
      <c r="B629" s="1" t="s">
        <v>3247</v>
      </c>
      <c r="C629" s="1" t="s">
        <v>3248</v>
      </c>
      <c r="D629" s="1" t="str">
        <f>"8024623373"</f>
        <v>8024623373</v>
      </c>
      <c r="E629" s="1">
        <v>4452</v>
      </c>
      <c r="F629" s="1" t="s">
        <v>28</v>
      </c>
      <c r="G629" s="1" t="s">
        <v>3249</v>
      </c>
      <c r="H629" s="1"/>
      <c r="I629" s="1">
        <v>3</v>
      </c>
      <c r="J629" s="1" t="s">
        <v>3250</v>
      </c>
      <c r="K629" s="1" t="s">
        <v>333</v>
      </c>
      <c r="L629" s="1" t="s">
        <v>334</v>
      </c>
      <c r="M629" s="1" t="s">
        <v>3251</v>
      </c>
      <c r="N629" s="2">
        <v>41079</v>
      </c>
      <c r="O629" s="1"/>
      <c r="P629" s="1"/>
      <c r="Q629" s="1" t="s">
        <v>34</v>
      </c>
      <c r="R629" s="1"/>
      <c r="S629" s="1" t="s">
        <v>35</v>
      </c>
      <c r="T629" s="1">
        <v>43.9855801</v>
      </c>
      <c r="U629" s="1">
        <v>-73.197257399999998</v>
      </c>
      <c r="V629" s="1" t="s">
        <v>3252</v>
      </c>
      <c r="W629" s="1"/>
      <c r="X629" s="1" t="s">
        <v>37</v>
      </c>
      <c r="Y629" s="1" t="s">
        <v>460</v>
      </c>
      <c r="Z629" s="1">
        <v>5753</v>
      </c>
    </row>
    <row r="630" spans="1:26" ht="42">
      <c r="A630" s="1" t="str">
        <f>"000JW6"</f>
        <v>000JW6</v>
      </c>
      <c r="B630" s="1" t="s">
        <v>3253</v>
      </c>
      <c r="C630" s="1" t="s">
        <v>3254</v>
      </c>
      <c r="D630" s="1" t="str">
        <f>"8029336435"</f>
        <v>8029336435</v>
      </c>
      <c r="E630" s="1">
        <v>4458</v>
      </c>
      <c r="F630" s="1" t="s">
        <v>28</v>
      </c>
      <c r="G630" s="1" t="s">
        <v>3255</v>
      </c>
      <c r="H630" s="1"/>
      <c r="I630" s="1">
        <v>35</v>
      </c>
      <c r="J630" s="1" t="s">
        <v>3256</v>
      </c>
      <c r="K630" s="1" t="s">
        <v>152</v>
      </c>
      <c r="L630" s="1" t="s">
        <v>1511</v>
      </c>
      <c r="M630" s="1" t="s">
        <v>3257</v>
      </c>
      <c r="N630" s="2">
        <v>41050</v>
      </c>
      <c r="O630" s="1"/>
      <c r="P630" s="2">
        <v>42495</v>
      </c>
      <c r="Q630" s="1" t="s">
        <v>34</v>
      </c>
      <c r="R630" s="1"/>
      <c r="S630" s="1" t="s">
        <v>35</v>
      </c>
      <c r="T630" s="1">
        <v>44.957135000000001</v>
      </c>
      <c r="U630" s="1">
        <v>-72.814307999999897</v>
      </c>
      <c r="V630" s="1" t="s">
        <v>3258</v>
      </c>
      <c r="W630" s="1"/>
      <c r="X630" s="1" t="s">
        <v>37</v>
      </c>
      <c r="Y630" s="1" t="s">
        <v>1086</v>
      </c>
      <c r="Z630" s="1">
        <v>5450</v>
      </c>
    </row>
    <row r="631" spans="1:26" ht="42">
      <c r="A631" s="1" t="str">
        <f>"000JW6"</f>
        <v>000JW6</v>
      </c>
      <c r="B631" s="1" t="s">
        <v>3253</v>
      </c>
      <c r="C631" s="1" t="s">
        <v>3254</v>
      </c>
      <c r="D631" s="1" t="str">
        <f>"8029336435"</f>
        <v>8029336435</v>
      </c>
      <c r="E631" s="1">
        <v>4458</v>
      </c>
      <c r="F631" s="1" t="s">
        <v>28</v>
      </c>
      <c r="G631" s="1" t="s">
        <v>3259</v>
      </c>
      <c r="H631" s="1"/>
      <c r="I631" s="1">
        <v>65</v>
      </c>
      <c r="J631" s="1" t="s">
        <v>3260</v>
      </c>
      <c r="K631" s="1" t="s">
        <v>152</v>
      </c>
      <c r="L631" s="1" t="s">
        <v>1511</v>
      </c>
      <c r="M631" s="1" t="s">
        <v>3261</v>
      </c>
      <c r="N631" s="2">
        <v>42325</v>
      </c>
      <c r="O631" s="1"/>
      <c r="P631" s="1"/>
      <c r="Q631" s="1" t="s">
        <v>34</v>
      </c>
      <c r="R631" s="1"/>
      <c r="S631" s="1" t="s">
        <v>35</v>
      </c>
      <c r="T631" s="1"/>
      <c r="U631" s="1"/>
      <c r="V631" s="1" t="s">
        <v>3262</v>
      </c>
      <c r="W631" s="1" t="s">
        <v>3262</v>
      </c>
      <c r="X631" s="1" t="s">
        <v>37</v>
      </c>
      <c r="Y631" s="1" t="s">
        <v>3262</v>
      </c>
      <c r="Z631" s="1">
        <v>0</v>
      </c>
    </row>
    <row r="632" spans="1:26" ht="42">
      <c r="A632" s="1" t="str">
        <f>"000JWB"</f>
        <v>000JWB</v>
      </c>
      <c r="B632" s="1" t="s">
        <v>3263</v>
      </c>
      <c r="C632" s="1" t="s">
        <v>3264</v>
      </c>
      <c r="D632" s="1" t="str">
        <f>"8024255532"</f>
        <v>8024255532</v>
      </c>
      <c r="E632" s="1">
        <v>4463</v>
      </c>
      <c r="F632" s="1" t="s">
        <v>28</v>
      </c>
      <c r="G632" s="1" t="s">
        <v>3265</v>
      </c>
      <c r="H632" s="1"/>
      <c r="I632" s="1">
        <v>15</v>
      </c>
      <c r="J632" s="1" t="s">
        <v>3266</v>
      </c>
      <c r="K632" s="1" t="s">
        <v>43</v>
      </c>
      <c r="L632" s="1" t="s">
        <v>728</v>
      </c>
      <c r="M632" s="1" t="s">
        <v>3267</v>
      </c>
      <c r="N632" s="2">
        <v>41062</v>
      </c>
      <c r="O632" s="1"/>
      <c r="P632" s="2">
        <v>42626</v>
      </c>
      <c r="Q632" s="1" t="s">
        <v>34</v>
      </c>
      <c r="R632" s="1"/>
      <c r="S632" s="1" t="s">
        <v>35</v>
      </c>
      <c r="T632" s="1">
        <v>44.272137000000001</v>
      </c>
      <c r="U632" s="1">
        <v>-73.237503000000004</v>
      </c>
      <c r="V632" s="1" t="s">
        <v>3268</v>
      </c>
      <c r="W632" s="1"/>
      <c r="X632" s="1" t="s">
        <v>37</v>
      </c>
      <c r="Y632" s="1" t="s">
        <v>736</v>
      </c>
      <c r="Z632" s="1">
        <v>5445</v>
      </c>
    </row>
    <row r="633" spans="1:26" ht="42">
      <c r="A633" s="1" t="str">
        <f>"000JWC"</f>
        <v>000JWC</v>
      </c>
      <c r="B633" s="1" t="s">
        <v>3269</v>
      </c>
      <c r="C633" s="1" t="s">
        <v>3270</v>
      </c>
      <c r="D633" s="1" t="str">
        <f>"8028567166"</f>
        <v>8028567166</v>
      </c>
      <c r="E633" s="1">
        <v>4464</v>
      </c>
      <c r="F633" s="1" t="s">
        <v>28</v>
      </c>
      <c r="G633" s="1" t="s">
        <v>3271</v>
      </c>
      <c r="H633" s="1"/>
      <c r="I633" s="1">
        <v>3</v>
      </c>
      <c r="J633" s="1" t="s">
        <v>3272</v>
      </c>
      <c r="K633" s="1" t="s">
        <v>144</v>
      </c>
      <c r="L633" s="1" t="s">
        <v>578</v>
      </c>
      <c r="M633" s="1" t="s">
        <v>3273</v>
      </c>
      <c r="N633" s="2">
        <v>41043</v>
      </c>
      <c r="O633" s="1"/>
      <c r="P633" s="1"/>
      <c r="Q633" s="1" t="s">
        <v>34</v>
      </c>
      <c r="R633" s="1"/>
      <c r="S633" s="1" t="s">
        <v>35</v>
      </c>
      <c r="T633" s="1">
        <v>43.214084999999997</v>
      </c>
      <c r="U633" s="1">
        <v>-72.761176999999904</v>
      </c>
      <c r="V633" s="1" t="s">
        <v>3274</v>
      </c>
      <c r="W633" s="1"/>
      <c r="X633" s="1" t="s">
        <v>37</v>
      </c>
      <c r="Y633" s="1" t="s">
        <v>579</v>
      </c>
      <c r="Z633" s="1">
        <v>5148</v>
      </c>
    </row>
    <row r="634" spans="1:26" ht="42">
      <c r="A634" s="1" t="str">
        <f>"000JWD"</f>
        <v>000JWD</v>
      </c>
      <c r="B634" s="1" t="s">
        <v>3275</v>
      </c>
      <c r="C634" s="1" t="s">
        <v>3276</v>
      </c>
      <c r="D634" s="1" t="str">
        <f>"8028650557"</f>
        <v>8028650557</v>
      </c>
      <c r="E634" s="1">
        <v>4465</v>
      </c>
      <c r="F634" s="1" t="s">
        <v>28</v>
      </c>
      <c r="G634" s="1" t="s">
        <v>3277</v>
      </c>
      <c r="H634" s="1"/>
      <c r="I634" s="1">
        <v>4</v>
      </c>
      <c r="J634" s="1" t="s">
        <v>3278</v>
      </c>
      <c r="K634" s="1" t="s">
        <v>43</v>
      </c>
      <c r="L634" s="1" t="s">
        <v>723</v>
      </c>
      <c r="M634" s="1" t="s">
        <v>724</v>
      </c>
      <c r="N634" s="2">
        <v>41049</v>
      </c>
      <c r="O634" s="1"/>
      <c r="P634" s="2">
        <v>42556</v>
      </c>
      <c r="Q634" s="1" t="s">
        <v>34</v>
      </c>
      <c r="R634" s="1"/>
      <c r="S634" s="1" t="s">
        <v>35</v>
      </c>
      <c r="T634" s="1">
        <v>44.390039999999999</v>
      </c>
      <c r="U634" s="1">
        <v>-73.271529999999899</v>
      </c>
      <c r="V634" s="1" t="s">
        <v>724</v>
      </c>
      <c r="W634" s="1"/>
      <c r="X634" s="1" t="s">
        <v>37</v>
      </c>
      <c r="Y634" s="1" t="s">
        <v>725</v>
      </c>
      <c r="Z634" s="1">
        <v>5482</v>
      </c>
    </row>
    <row r="635" spans="1:26" ht="42">
      <c r="A635" s="1" t="str">
        <f>"000JWG"</f>
        <v>000JWG</v>
      </c>
      <c r="B635" s="1" t="s">
        <v>3279</v>
      </c>
      <c r="C635" s="1" t="s">
        <v>3280</v>
      </c>
      <c r="D635" s="1" t="str">
        <f>"8024843138"</f>
        <v>8024843138</v>
      </c>
      <c r="E635" s="1">
        <v>4467</v>
      </c>
      <c r="F635" s="1" t="s">
        <v>28</v>
      </c>
      <c r="G635" s="1" t="s">
        <v>3281</v>
      </c>
      <c r="H635" s="1"/>
      <c r="I635" s="1">
        <v>1</v>
      </c>
      <c r="J635" s="1" t="s">
        <v>3282</v>
      </c>
      <c r="K635" s="1" t="s">
        <v>77</v>
      </c>
      <c r="L635" s="1" t="s">
        <v>1024</v>
      </c>
      <c r="M635" s="1" t="s">
        <v>3283</v>
      </c>
      <c r="N635" s="2">
        <v>41291</v>
      </c>
      <c r="O635" s="1"/>
      <c r="P635" s="2">
        <v>41071</v>
      </c>
      <c r="Q635" s="1" t="s">
        <v>34</v>
      </c>
      <c r="R635" s="1"/>
      <c r="S635" s="1" t="s">
        <v>35</v>
      </c>
      <c r="T635" s="1">
        <v>43.481324625966799</v>
      </c>
      <c r="U635" s="1">
        <v>-72.480014562606797</v>
      </c>
      <c r="V635" s="1" t="s">
        <v>3284</v>
      </c>
      <c r="W635" s="1"/>
      <c r="X635" s="1" t="s">
        <v>37</v>
      </c>
      <c r="Y635" s="1" t="s">
        <v>3285</v>
      </c>
      <c r="Z635" s="1">
        <v>5037</v>
      </c>
    </row>
    <row r="636" spans="1:26" ht="42">
      <c r="A636" s="1" t="str">
        <f>"000JWN"</f>
        <v>000JWN</v>
      </c>
      <c r="B636" s="1" t="s">
        <v>3286</v>
      </c>
      <c r="C636" s="1" t="s">
        <v>3287</v>
      </c>
      <c r="D636" s="1" t="str">
        <f>"8022470279"</f>
        <v>8022470279</v>
      </c>
      <c r="E636" s="1">
        <v>4472</v>
      </c>
      <c r="F636" s="1" t="s">
        <v>28</v>
      </c>
      <c r="G636" s="1" t="s">
        <v>3288</v>
      </c>
      <c r="H636" s="1"/>
      <c r="I636" s="1">
        <v>2</v>
      </c>
      <c r="J636" s="1">
        <v>2</v>
      </c>
      <c r="K636" s="1" t="s">
        <v>135</v>
      </c>
      <c r="L636" s="1" t="s">
        <v>1241</v>
      </c>
      <c r="M636" s="1" t="s">
        <v>3289</v>
      </c>
      <c r="N636" s="2">
        <v>42205</v>
      </c>
      <c r="O636" s="1"/>
      <c r="P636" s="1"/>
      <c r="Q636" s="1" t="s">
        <v>34</v>
      </c>
      <c r="R636" s="1"/>
      <c r="S636" s="1" t="s">
        <v>35</v>
      </c>
      <c r="T636" s="1">
        <v>43.818418999999999</v>
      </c>
      <c r="U636" s="1">
        <v>-73.120348999999905</v>
      </c>
      <c r="V636" s="1" t="s">
        <v>3290</v>
      </c>
      <c r="W636" s="1"/>
      <c r="X636" s="1" t="s">
        <v>37</v>
      </c>
      <c r="Y636" s="1" t="s">
        <v>1244</v>
      </c>
      <c r="Z636" s="1">
        <v>5733</v>
      </c>
    </row>
    <row r="637" spans="1:26" ht="42">
      <c r="A637" s="1" t="str">
        <f>"000JWN"</f>
        <v>000JWN</v>
      </c>
      <c r="B637" s="1" t="s">
        <v>3286</v>
      </c>
      <c r="C637" s="1" t="s">
        <v>3287</v>
      </c>
      <c r="D637" s="1" t="str">
        <f>"8022470279"</f>
        <v>8022470279</v>
      </c>
      <c r="E637" s="1">
        <v>4472</v>
      </c>
      <c r="F637" s="1" t="s">
        <v>28</v>
      </c>
      <c r="G637" s="1" t="s">
        <v>3291</v>
      </c>
      <c r="H637" s="1"/>
      <c r="I637" s="1">
        <v>2</v>
      </c>
      <c r="J637" s="1">
        <v>3</v>
      </c>
      <c r="K637" s="1" t="s">
        <v>333</v>
      </c>
      <c r="L637" s="1" t="s">
        <v>691</v>
      </c>
      <c r="M637" s="1" t="s">
        <v>3292</v>
      </c>
      <c r="N637" s="2">
        <v>42205</v>
      </c>
      <c r="O637" s="1"/>
      <c r="P637" s="1"/>
      <c r="Q637" s="1" t="s">
        <v>34</v>
      </c>
      <c r="R637" s="1"/>
      <c r="S637" s="1" t="s">
        <v>35</v>
      </c>
      <c r="T637" s="1">
        <v>43.840671999999998</v>
      </c>
      <c r="U637" s="1">
        <v>-73.267775999999998</v>
      </c>
      <c r="V637" s="1" t="s">
        <v>3293</v>
      </c>
      <c r="W637" s="1"/>
      <c r="X637" s="1" t="s">
        <v>37</v>
      </c>
      <c r="Y637" s="1" t="s">
        <v>693</v>
      </c>
      <c r="Z637" s="1">
        <v>5760</v>
      </c>
    </row>
    <row r="638" spans="1:26" ht="42">
      <c r="A638" s="1" t="str">
        <f>"000JWV"</f>
        <v>000JWV</v>
      </c>
      <c r="B638" s="1" t="s">
        <v>3294</v>
      </c>
      <c r="C638" s="1" t="s">
        <v>3295</v>
      </c>
      <c r="D638" s="1" t="str">
        <f>"8024345050"</f>
        <v>8024345050</v>
      </c>
      <c r="E638" s="1">
        <v>4475</v>
      </c>
      <c r="F638" s="1" t="s">
        <v>28</v>
      </c>
      <c r="G638" s="1" t="s">
        <v>3296</v>
      </c>
      <c r="H638" s="1"/>
      <c r="I638" s="1">
        <v>0</v>
      </c>
      <c r="J638" s="1" t="s">
        <v>3297</v>
      </c>
      <c r="K638" s="1" t="s">
        <v>43</v>
      </c>
      <c r="L638" s="1" t="s">
        <v>2394</v>
      </c>
      <c r="M638" s="1" t="s">
        <v>3298</v>
      </c>
      <c r="N638" s="2">
        <v>41157</v>
      </c>
      <c r="O638" s="1"/>
      <c r="P638" s="2">
        <v>42992</v>
      </c>
      <c r="Q638" s="1" t="s">
        <v>34</v>
      </c>
      <c r="R638" s="1"/>
      <c r="S638" s="1" t="s">
        <v>35</v>
      </c>
      <c r="T638" s="1">
        <v>44.296876999999903</v>
      </c>
      <c r="U638" s="1">
        <v>-72.967163999999997</v>
      </c>
      <c r="V638" s="1" t="s">
        <v>3299</v>
      </c>
      <c r="W638" s="1"/>
      <c r="X638" s="1" t="s">
        <v>37</v>
      </c>
      <c r="Y638" s="1" t="s">
        <v>3300</v>
      </c>
      <c r="Z638" s="1">
        <v>5462</v>
      </c>
    </row>
    <row r="639" spans="1:26" ht="42">
      <c r="A639" s="1" t="str">
        <f>"000JWV"</f>
        <v>000JWV</v>
      </c>
      <c r="B639" s="1" t="s">
        <v>3294</v>
      </c>
      <c r="C639" s="1" t="s">
        <v>3295</v>
      </c>
      <c r="D639" s="1" t="str">
        <f>"8024345050"</f>
        <v>8024345050</v>
      </c>
      <c r="E639" s="1">
        <v>4475</v>
      </c>
      <c r="F639" s="1" t="s">
        <v>28</v>
      </c>
      <c r="G639" s="1" t="s">
        <v>3301</v>
      </c>
      <c r="H639" s="1"/>
      <c r="I639" s="1">
        <v>2</v>
      </c>
      <c r="J639" s="1" t="s">
        <v>3302</v>
      </c>
      <c r="K639" s="1" t="s">
        <v>43</v>
      </c>
      <c r="L639" s="1" t="s">
        <v>51</v>
      </c>
      <c r="M639" s="1" t="s">
        <v>3303</v>
      </c>
      <c r="N639" s="2">
        <v>42535</v>
      </c>
      <c r="O639" s="1"/>
      <c r="P639" s="1"/>
      <c r="Q639" s="1" t="s">
        <v>34</v>
      </c>
      <c r="R639" s="1"/>
      <c r="S639" s="1" t="s">
        <v>35</v>
      </c>
      <c r="T639" s="1"/>
      <c r="U639" s="1"/>
      <c r="V639" s="1" t="s">
        <v>3304</v>
      </c>
      <c r="W639" s="1"/>
      <c r="X639" s="1" t="s">
        <v>37</v>
      </c>
      <c r="Y639" s="1" t="s">
        <v>54</v>
      </c>
      <c r="Z639" s="1">
        <v>5477</v>
      </c>
    </row>
    <row r="640" spans="1:26" ht="42">
      <c r="A640" s="1" t="str">
        <f>"000JWZ"</f>
        <v>000JWZ</v>
      </c>
      <c r="B640" s="1" t="s">
        <v>3305</v>
      </c>
      <c r="C640" s="1" t="s">
        <v>3306</v>
      </c>
      <c r="D640" s="1" t="str">
        <f>"8024765774"</f>
        <v>8024765774</v>
      </c>
      <c r="E640" s="1">
        <v>4478</v>
      </c>
      <c r="F640" s="1" t="s">
        <v>28</v>
      </c>
      <c r="G640" s="1" t="s">
        <v>3307</v>
      </c>
      <c r="H640" s="1"/>
      <c r="I640" s="1">
        <v>1</v>
      </c>
      <c r="J640" s="1">
        <v>1</v>
      </c>
      <c r="K640" s="1" t="s">
        <v>68</v>
      </c>
      <c r="L640" s="1" t="s">
        <v>2360</v>
      </c>
      <c r="M640" s="1" t="s">
        <v>3308</v>
      </c>
      <c r="N640" s="2">
        <v>42930</v>
      </c>
      <c r="O640" s="1"/>
      <c r="P640" s="1"/>
      <c r="Q640" s="1" t="s">
        <v>34</v>
      </c>
      <c r="R640" s="1"/>
      <c r="S640" s="1" t="s">
        <v>35</v>
      </c>
      <c r="T640" s="1">
        <v>44.131191000000001</v>
      </c>
      <c r="U640" s="1">
        <v>-72.413132000000004</v>
      </c>
      <c r="V640" s="1" t="s">
        <v>3309</v>
      </c>
      <c r="W640" s="1"/>
      <c r="X640" s="1" t="s">
        <v>37</v>
      </c>
      <c r="Y640" s="1" t="s">
        <v>68</v>
      </c>
      <c r="Z640" s="1">
        <v>5641</v>
      </c>
    </row>
    <row r="641" spans="1:26" ht="42">
      <c r="A641" s="1" t="str">
        <f>"000JX0"</f>
        <v>000JX0</v>
      </c>
      <c r="B641" s="1" t="s">
        <v>3310</v>
      </c>
      <c r="C641" s="1" t="s">
        <v>3311</v>
      </c>
      <c r="D641" s="1" t="str">
        <f>"8024462728"</f>
        <v>8024462728</v>
      </c>
      <c r="E641" s="1">
        <v>4479</v>
      </c>
      <c r="F641" s="1" t="s">
        <v>28</v>
      </c>
      <c r="G641" s="1" t="s">
        <v>3312</v>
      </c>
      <c r="H641" s="1"/>
      <c r="I641" s="1">
        <v>3</v>
      </c>
      <c r="J641" s="1" t="s">
        <v>3313</v>
      </c>
      <c r="K641" s="1" t="s">
        <v>135</v>
      </c>
      <c r="L641" s="1" t="s">
        <v>1214</v>
      </c>
      <c r="M641" s="1" t="s">
        <v>3314</v>
      </c>
      <c r="N641" s="2">
        <v>41031</v>
      </c>
      <c r="O641" s="1"/>
      <c r="P641" s="1"/>
      <c r="Q641" s="1" t="s">
        <v>34</v>
      </c>
      <c r="R641" s="1"/>
      <c r="S641" s="1" t="s">
        <v>35</v>
      </c>
      <c r="T641" s="1">
        <v>43.449474000000002</v>
      </c>
      <c r="U641" s="1">
        <v>-73.051795999999896</v>
      </c>
      <c r="V641" s="1" t="s">
        <v>3315</v>
      </c>
      <c r="W641" s="1"/>
      <c r="X641" s="1" t="s">
        <v>37</v>
      </c>
      <c r="Y641" s="1" t="s">
        <v>1217</v>
      </c>
      <c r="Z641" s="1">
        <v>5773</v>
      </c>
    </row>
    <row r="642" spans="1:26" ht="42">
      <c r="A642" s="1" t="str">
        <f>"000JX1"</f>
        <v>000JX1</v>
      </c>
      <c r="B642" s="1" t="s">
        <v>3316</v>
      </c>
      <c r="C642" s="1" t="s">
        <v>3317</v>
      </c>
      <c r="D642" s="1" t="str">
        <f>"8023351000"</f>
        <v>8023351000</v>
      </c>
      <c r="E642" s="1">
        <v>4480</v>
      </c>
      <c r="F642" s="1" t="s">
        <v>28</v>
      </c>
      <c r="G642" s="1" t="s">
        <v>3318</v>
      </c>
      <c r="H642" s="1"/>
      <c r="I642" s="1">
        <v>4</v>
      </c>
      <c r="J642" s="1" t="s">
        <v>3319</v>
      </c>
      <c r="K642" s="1" t="s">
        <v>43</v>
      </c>
      <c r="L642" s="1" t="s">
        <v>112</v>
      </c>
      <c r="M642" s="1" t="s">
        <v>3320</v>
      </c>
      <c r="N642" s="2">
        <v>41027</v>
      </c>
      <c r="O642" s="1"/>
      <c r="P642" s="2">
        <v>42606</v>
      </c>
      <c r="Q642" s="1" t="s">
        <v>34</v>
      </c>
      <c r="R642" s="1"/>
      <c r="S642" s="1" t="s">
        <v>35</v>
      </c>
      <c r="T642" s="1">
        <v>44.586446100000003</v>
      </c>
      <c r="U642" s="1">
        <v>-72.939284400000005</v>
      </c>
      <c r="V642" s="1" t="s">
        <v>3321</v>
      </c>
      <c r="W642" s="1"/>
      <c r="X642" s="1" t="s">
        <v>37</v>
      </c>
      <c r="Y642" s="1" t="s">
        <v>115</v>
      </c>
      <c r="Z642" s="1">
        <v>5489</v>
      </c>
    </row>
    <row r="643" spans="1:26" ht="28">
      <c r="A643" s="1" t="str">
        <f>"000JX2"</f>
        <v>000JX2</v>
      </c>
      <c r="B643" s="1" t="s">
        <v>3322</v>
      </c>
      <c r="C643" s="1" t="s">
        <v>3323</v>
      </c>
      <c r="D643" s="1"/>
      <c r="E643" s="1">
        <v>4481</v>
      </c>
      <c r="F643" s="1" t="s">
        <v>28</v>
      </c>
      <c r="G643" s="1" t="s">
        <v>3324</v>
      </c>
      <c r="H643" s="1"/>
      <c r="I643" s="1">
        <v>2</v>
      </c>
      <c r="J643" s="1" t="s">
        <v>3325</v>
      </c>
      <c r="K643" s="1" t="s">
        <v>77</v>
      </c>
      <c r="L643" s="1" t="s">
        <v>507</v>
      </c>
      <c r="M643" s="1" t="s">
        <v>3326</v>
      </c>
      <c r="N643" s="2">
        <v>40994</v>
      </c>
      <c r="O643" s="1"/>
      <c r="P643" s="1"/>
      <c r="Q643" s="1" t="s">
        <v>34</v>
      </c>
      <c r="R643" s="1"/>
      <c r="S643" s="1" t="s">
        <v>35</v>
      </c>
      <c r="T643" s="1"/>
      <c r="U643" s="1"/>
      <c r="V643" s="1" t="s">
        <v>3327</v>
      </c>
      <c r="W643" s="1"/>
      <c r="X643" s="1" t="s">
        <v>37</v>
      </c>
      <c r="Y643" s="1" t="s">
        <v>510</v>
      </c>
      <c r="Z643" s="1">
        <v>5048</v>
      </c>
    </row>
    <row r="644" spans="1:26" ht="28">
      <c r="A644" s="1" t="str">
        <f>"000JX2"</f>
        <v>000JX2</v>
      </c>
      <c r="B644" s="1" t="s">
        <v>3322</v>
      </c>
      <c r="C644" s="1" t="s">
        <v>3323</v>
      </c>
      <c r="D644" s="1"/>
      <c r="E644" s="1">
        <v>4481</v>
      </c>
      <c r="F644" s="1" t="s">
        <v>28</v>
      </c>
      <c r="G644" s="1" t="s">
        <v>3328</v>
      </c>
      <c r="H644" s="1"/>
      <c r="I644" s="1">
        <v>2</v>
      </c>
      <c r="J644" s="1">
        <v>2</v>
      </c>
      <c r="K644" s="1" t="s">
        <v>77</v>
      </c>
      <c r="L644" s="1" t="s">
        <v>507</v>
      </c>
      <c r="M644" s="1" t="s">
        <v>3329</v>
      </c>
      <c r="N644" s="2">
        <v>42229</v>
      </c>
      <c r="O644" s="1"/>
      <c r="P644" s="1"/>
      <c r="Q644" s="1" t="s">
        <v>34</v>
      </c>
      <c r="R644" s="1"/>
      <c r="S644" s="1" t="s">
        <v>35</v>
      </c>
      <c r="T644" s="1">
        <v>43.518946300000003</v>
      </c>
      <c r="U644" s="1">
        <v>-72.402299499999998</v>
      </c>
      <c r="V644" s="1" t="s">
        <v>3330</v>
      </c>
      <c r="W644" s="1"/>
      <c r="X644" s="1" t="s">
        <v>37</v>
      </c>
      <c r="Y644" s="1" t="s">
        <v>510</v>
      </c>
      <c r="Z644" s="1">
        <v>5089</v>
      </c>
    </row>
    <row r="645" spans="1:26" ht="42">
      <c r="A645" s="1" t="str">
        <f>"000JX5"</f>
        <v>000JX5</v>
      </c>
      <c r="B645" s="1" t="s">
        <v>3331</v>
      </c>
      <c r="C645" s="1" t="s">
        <v>3332</v>
      </c>
      <c r="D645" s="1" t="str">
        <f>"8028992150"</f>
        <v>8028992150</v>
      </c>
      <c r="E645" s="1">
        <v>4484</v>
      </c>
      <c r="F645" s="1" t="s">
        <v>28</v>
      </c>
      <c r="G645" s="1" t="s">
        <v>3333</v>
      </c>
      <c r="H645" s="1"/>
      <c r="I645" s="1">
        <v>6</v>
      </c>
      <c r="J645" s="1" t="s">
        <v>3334</v>
      </c>
      <c r="K645" s="1" t="s">
        <v>43</v>
      </c>
      <c r="L645" s="1" t="s">
        <v>178</v>
      </c>
      <c r="M645" s="1" t="s">
        <v>3335</v>
      </c>
      <c r="N645" s="2">
        <v>41262</v>
      </c>
      <c r="O645" s="1"/>
      <c r="P645" s="1"/>
      <c r="Q645" s="1" t="s">
        <v>34</v>
      </c>
      <c r="R645" s="1"/>
      <c r="S645" s="1" t="s">
        <v>35</v>
      </c>
      <c r="T645" s="1">
        <v>44.504165999999998</v>
      </c>
      <c r="U645" s="1">
        <v>-73.006316999999896</v>
      </c>
      <c r="V645" s="1" t="s">
        <v>3336</v>
      </c>
      <c r="W645" s="1"/>
      <c r="X645" s="1" t="s">
        <v>37</v>
      </c>
      <c r="Y645" s="1" t="s">
        <v>2925</v>
      </c>
      <c r="Z645" s="1">
        <v>0</v>
      </c>
    </row>
    <row r="646" spans="1:26" ht="42">
      <c r="A646" s="1" t="str">
        <f>"000JXB"</f>
        <v>000JXB</v>
      </c>
      <c r="B646" s="1" t="s">
        <v>3337</v>
      </c>
      <c r="C646" s="1" t="s">
        <v>3338</v>
      </c>
      <c r="D646" s="1" t="str">
        <f>"8023569679"</f>
        <v>8023569679</v>
      </c>
      <c r="E646" s="1">
        <v>4488</v>
      </c>
      <c r="F646" s="1" t="s">
        <v>28</v>
      </c>
      <c r="G646" s="1" t="s">
        <v>3339</v>
      </c>
      <c r="H646" s="1"/>
      <c r="I646" s="1">
        <v>2</v>
      </c>
      <c r="J646" s="1" t="s">
        <v>470</v>
      </c>
      <c r="K646" s="1" t="s">
        <v>77</v>
      </c>
      <c r="L646" s="1" t="s">
        <v>507</v>
      </c>
      <c r="M646" s="1" t="s">
        <v>3340</v>
      </c>
      <c r="N646" s="2">
        <v>41071</v>
      </c>
      <c r="O646" s="1"/>
      <c r="P646" s="2">
        <v>41071</v>
      </c>
      <c r="Q646" s="1" t="s">
        <v>34</v>
      </c>
      <c r="R646" s="1"/>
      <c r="S646" s="1" t="s">
        <v>35</v>
      </c>
      <c r="T646" s="1">
        <v>43.578976325359001</v>
      </c>
      <c r="U646" s="1">
        <v>-72.428838014602604</v>
      </c>
      <c r="V646" s="1" t="s">
        <v>3341</v>
      </c>
      <c r="W646" s="1"/>
      <c r="X646" s="1" t="s">
        <v>37</v>
      </c>
      <c r="Y646" s="1" t="s">
        <v>510</v>
      </c>
      <c r="Z646" s="1">
        <v>5048</v>
      </c>
    </row>
    <row r="647" spans="1:26" ht="42">
      <c r="A647" s="1" t="str">
        <f>"000JXQ"</f>
        <v>000JXQ</v>
      </c>
      <c r="B647" s="1" t="s">
        <v>3342</v>
      </c>
      <c r="C647" s="1" t="s">
        <v>3343</v>
      </c>
      <c r="D647" s="1" t="str">
        <f>"8023188806"</f>
        <v>8023188806</v>
      </c>
      <c r="E647" s="1">
        <v>4490</v>
      </c>
      <c r="F647" s="1" t="s">
        <v>28</v>
      </c>
      <c r="G647" s="1" t="s">
        <v>3344</v>
      </c>
      <c r="H647" s="1"/>
      <c r="I647" s="1">
        <v>1</v>
      </c>
      <c r="J647" s="1" t="s">
        <v>3345</v>
      </c>
      <c r="K647" s="1" t="s">
        <v>428</v>
      </c>
      <c r="L647" s="1" t="s">
        <v>429</v>
      </c>
      <c r="M647" s="1" t="s">
        <v>3346</v>
      </c>
      <c r="N647" s="2">
        <v>41091</v>
      </c>
      <c r="O647" s="1"/>
      <c r="P647" s="2">
        <v>41200</v>
      </c>
      <c r="Q647" s="1" t="s">
        <v>34</v>
      </c>
      <c r="R647" s="1"/>
      <c r="S647" s="1" t="s">
        <v>35</v>
      </c>
      <c r="T647" s="1">
        <v>45.003130800000001</v>
      </c>
      <c r="U647" s="1">
        <v>-73.283654099999893</v>
      </c>
      <c r="V647" s="1" t="s">
        <v>3347</v>
      </c>
      <c r="W647" s="1"/>
      <c r="X647" s="1" t="s">
        <v>37</v>
      </c>
      <c r="Y647" s="1" t="s">
        <v>1527</v>
      </c>
      <c r="Z647" s="1">
        <v>5440</v>
      </c>
    </row>
    <row r="648" spans="1:26" ht="42">
      <c r="A648" s="1" t="str">
        <f>"000JZ5"</f>
        <v>000JZ5</v>
      </c>
      <c r="B648" s="1" t="s">
        <v>3348</v>
      </c>
      <c r="C648" s="1" t="s">
        <v>3349</v>
      </c>
      <c r="D648" s="1" t="str">
        <f>"8028932854"</f>
        <v>8028932854</v>
      </c>
      <c r="E648" s="1">
        <v>4492</v>
      </c>
      <c r="F648" s="1" t="s">
        <v>28</v>
      </c>
      <c r="G648" s="1" t="s">
        <v>3350</v>
      </c>
      <c r="H648" s="1"/>
      <c r="I648" s="1">
        <v>5</v>
      </c>
      <c r="J648" s="1" t="s">
        <v>3351</v>
      </c>
      <c r="K648" s="1" t="s">
        <v>43</v>
      </c>
      <c r="L648" s="1" t="s">
        <v>86</v>
      </c>
      <c r="M648" s="1" t="s">
        <v>3352</v>
      </c>
      <c r="N648" s="2">
        <v>41320</v>
      </c>
      <c r="O648" s="1"/>
      <c r="P648" s="1"/>
      <c r="Q648" s="1" t="s">
        <v>34</v>
      </c>
      <c r="R648" s="1"/>
      <c r="S648" s="1" t="s">
        <v>35</v>
      </c>
      <c r="T648" s="1">
        <v>44.630923000000003</v>
      </c>
      <c r="U648" s="1">
        <v>-73.113918999999996</v>
      </c>
      <c r="V648" s="1" t="s">
        <v>3353</v>
      </c>
      <c r="W648" s="1"/>
      <c r="X648" s="1" t="s">
        <v>37</v>
      </c>
      <c r="Y648" s="1" t="s">
        <v>89</v>
      </c>
      <c r="Z648" s="1">
        <v>5468</v>
      </c>
    </row>
    <row r="649" spans="1:26" ht="42">
      <c r="A649" s="1" t="str">
        <f>"000K01"</f>
        <v>000K01</v>
      </c>
      <c r="B649" s="1" t="s">
        <v>3354</v>
      </c>
      <c r="C649" s="1" t="s">
        <v>3355</v>
      </c>
      <c r="D649" s="1" t="str">
        <f>"8022763273"</f>
        <v>8022763273</v>
      </c>
      <c r="E649" s="1">
        <v>4498</v>
      </c>
      <c r="F649" s="1" t="s">
        <v>28</v>
      </c>
      <c r="G649" s="1" t="s">
        <v>3356</v>
      </c>
      <c r="H649" s="1"/>
      <c r="I649" s="1">
        <v>2</v>
      </c>
      <c r="J649" s="1" t="s">
        <v>3357</v>
      </c>
      <c r="K649" s="1" t="s">
        <v>68</v>
      </c>
      <c r="L649" s="1" t="s">
        <v>2265</v>
      </c>
      <c r="M649" s="1" t="s">
        <v>3358</v>
      </c>
      <c r="N649" s="2">
        <v>41332</v>
      </c>
      <c r="O649" s="1"/>
      <c r="P649" s="2">
        <v>42208</v>
      </c>
      <c r="Q649" s="1" t="s">
        <v>34</v>
      </c>
      <c r="R649" s="1"/>
      <c r="S649" s="1" t="s">
        <v>35</v>
      </c>
      <c r="T649" s="1">
        <v>44.044811000000003</v>
      </c>
      <c r="U649" s="1">
        <v>-72.578903999999895</v>
      </c>
      <c r="V649" s="1" t="s">
        <v>3359</v>
      </c>
      <c r="W649" s="1"/>
      <c r="X649" s="1" t="s">
        <v>37</v>
      </c>
      <c r="Y649" s="1" t="s">
        <v>2268</v>
      </c>
      <c r="Z649" s="1">
        <v>5036</v>
      </c>
    </row>
    <row r="650" spans="1:26" ht="42">
      <c r="A650" s="1" t="str">
        <f>"000K02"</f>
        <v>000K02</v>
      </c>
      <c r="B650" s="1" t="s">
        <v>3360</v>
      </c>
      <c r="C650" s="1" t="s">
        <v>3361</v>
      </c>
      <c r="D650" s="1" t="str">
        <f>"8028245409"</f>
        <v>8028245409</v>
      </c>
      <c r="E650" s="1">
        <v>4499</v>
      </c>
      <c r="F650" s="1" t="s">
        <v>28</v>
      </c>
      <c r="G650" s="1" t="s">
        <v>3362</v>
      </c>
      <c r="H650" s="1"/>
      <c r="I650" s="1">
        <v>3</v>
      </c>
      <c r="J650" s="1" t="s">
        <v>3363</v>
      </c>
      <c r="K650" s="1" t="s">
        <v>77</v>
      </c>
      <c r="L650" s="1" t="s">
        <v>2103</v>
      </c>
      <c r="M650" s="1" t="s">
        <v>3364</v>
      </c>
      <c r="N650" s="2">
        <v>41303</v>
      </c>
      <c r="O650" s="1"/>
      <c r="P650" s="1"/>
      <c r="Q650" s="1" t="s">
        <v>34</v>
      </c>
      <c r="R650" s="1"/>
      <c r="S650" s="1" t="s">
        <v>35</v>
      </c>
      <c r="T650" s="1">
        <v>43.337810999999903</v>
      </c>
      <c r="U650" s="1">
        <v>-72.792060999999904</v>
      </c>
      <c r="V650" s="1" t="s">
        <v>3365</v>
      </c>
      <c r="W650" s="1"/>
      <c r="X650" s="1" t="s">
        <v>37</v>
      </c>
      <c r="Y650" s="1" t="s">
        <v>2106</v>
      </c>
      <c r="Z650" s="1" t="s">
        <v>3366</v>
      </c>
    </row>
    <row r="651" spans="1:26" ht="42">
      <c r="A651" s="1" t="str">
        <f>"000K03"</f>
        <v>000K03</v>
      </c>
      <c r="B651" s="1" t="s">
        <v>3367</v>
      </c>
      <c r="C651" s="1" t="s">
        <v>3368</v>
      </c>
      <c r="D651" s="1" t="str">
        <f>"7033893803"</f>
        <v>7033893803</v>
      </c>
      <c r="E651" s="1">
        <v>4500</v>
      </c>
      <c r="F651" s="1" t="s">
        <v>28</v>
      </c>
      <c r="G651" s="1" t="s">
        <v>3369</v>
      </c>
      <c r="H651" s="1"/>
      <c r="I651" s="1">
        <v>3</v>
      </c>
      <c r="J651" s="1" t="s">
        <v>3370</v>
      </c>
      <c r="K651" s="1" t="s">
        <v>43</v>
      </c>
      <c r="L651" s="1" t="s">
        <v>44</v>
      </c>
      <c r="M651" s="1" t="s">
        <v>3371</v>
      </c>
      <c r="N651" s="2">
        <v>41302</v>
      </c>
      <c r="O651" s="1"/>
      <c r="P651" s="1"/>
      <c r="Q651" s="1" t="s">
        <v>34</v>
      </c>
      <c r="R651" s="1"/>
      <c r="S651" s="1" t="s">
        <v>35</v>
      </c>
      <c r="T651" s="1">
        <v>44.475517000000004</v>
      </c>
      <c r="U651" s="1">
        <v>-73.2057108999999</v>
      </c>
      <c r="V651" s="1" t="s">
        <v>3372</v>
      </c>
      <c r="W651" s="1"/>
      <c r="X651" s="1" t="s">
        <v>37</v>
      </c>
      <c r="Y651" s="1" t="s">
        <v>46</v>
      </c>
      <c r="Z651" s="1">
        <v>5401</v>
      </c>
    </row>
    <row r="652" spans="1:26" ht="42">
      <c r="A652" s="1" t="str">
        <f>"000K56"</f>
        <v>000K56</v>
      </c>
      <c r="B652" s="1" t="s">
        <v>3373</v>
      </c>
      <c r="C652" s="1" t="s">
        <v>3374</v>
      </c>
      <c r="D652" s="1" t="str">
        <f>"8026723042"</f>
        <v>8026723042</v>
      </c>
      <c r="E652" s="1">
        <v>4501</v>
      </c>
      <c r="F652" s="1" t="s">
        <v>28</v>
      </c>
      <c r="G652" s="1" t="s">
        <v>3375</v>
      </c>
      <c r="H652" s="1"/>
      <c r="I652" s="1">
        <v>4</v>
      </c>
      <c r="J652" s="1" t="s">
        <v>3376</v>
      </c>
      <c r="K652" s="1" t="s">
        <v>77</v>
      </c>
      <c r="L652" s="1" t="s">
        <v>2323</v>
      </c>
      <c r="M652" s="1" t="s">
        <v>3377</v>
      </c>
      <c r="N652" s="2">
        <v>41348</v>
      </c>
      <c r="O652" s="1"/>
      <c r="P652" s="1"/>
      <c r="Q652" s="1" t="s">
        <v>34</v>
      </c>
      <c r="R652" s="1"/>
      <c r="S652" s="1" t="s">
        <v>35</v>
      </c>
      <c r="T652" s="1">
        <v>43.619758999999902</v>
      </c>
      <c r="U652" s="1">
        <v>-72.662323000000001</v>
      </c>
      <c r="V652" s="1" t="s">
        <v>3378</v>
      </c>
      <c r="W652" s="1"/>
      <c r="X652" s="1" t="s">
        <v>37</v>
      </c>
      <c r="Y652" s="1" t="s">
        <v>3379</v>
      </c>
      <c r="Z652" s="1">
        <v>5035</v>
      </c>
    </row>
    <row r="653" spans="1:26" ht="42">
      <c r="A653" s="1" t="str">
        <f>"000KC4"</f>
        <v>000KC4</v>
      </c>
      <c r="B653" s="1" t="s">
        <v>3380</v>
      </c>
      <c r="C653" s="1" t="s">
        <v>3381</v>
      </c>
      <c r="D653" s="1" t="str">
        <f>"8024519093"</f>
        <v>8024519093</v>
      </c>
      <c r="E653" s="1">
        <v>5217</v>
      </c>
      <c r="F653" s="1" t="s">
        <v>28</v>
      </c>
      <c r="G653" s="1" t="s">
        <v>3382</v>
      </c>
      <c r="H653" s="1"/>
      <c r="I653" s="1">
        <v>2</v>
      </c>
      <c r="J653" s="1" t="s">
        <v>3380</v>
      </c>
      <c r="K653" s="1" t="s">
        <v>144</v>
      </c>
      <c r="L653" s="1" t="s">
        <v>1969</v>
      </c>
      <c r="M653" s="1" t="s">
        <v>3383</v>
      </c>
      <c r="N653" s="2">
        <v>42943</v>
      </c>
      <c r="O653" s="1"/>
      <c r="P653" s="1"/>
      <c r="Q653" s="1" t="s">
        <v>34</v>
      </c>
      <c r="R653" s="1"/>
      <c r="S653" s="1" t="s">
        <v>35</v>
      </c>
      <c r="T653" s="1">
        <v>42.752096999999999</v>
      </c>
      <c r="U653" s="1">
        <v>-72.520329000000004</v>
      </c>
      <c r="V653" s="1" t="s">
        <v>3384</v>
      </c>
      <c r="W653" s="1"/>
      <c r="X653" s="1" t="s">
        <v>37</v>
      </c>
      <c r="Y653" s="1" t="s">
        <v>1973</v>
      </c>
      <c r="Z653" s="1">
        <v>5354</v>
      </c>
    </row>
    <row r="654" spans="1:26" ht="42">
      <c r="A654" s="1" t="str">
        <f>"000KGK"</f>
        <v>000KGK</v>
      </c>
      <c r="B654" s="1" t="s">
        <v>3385</v>
      </c>
      <c r="C654" s="1" t="s">
        <v>3386</v>
      </c>
      <c r="D654" s="1" t="str">
        <f>"8029334289"</f>
        <v>8029334289</v>
      </c>
      <c r="E654" s="1">
        <v>4505</v>
      </c>
      <c r="F654" s="1" t="s">
        <v>28</v>
      </c>
      <c r="G654" s="1" t="s">
        <v>3387</v>
      </c>
      <c r="H654" s="1"/>
      <c r="I654" s="1">
        <v>4</v>
      </c>
      <c r="J654" s="1" t="s">
        <v>3388</v>
      </c>
      <c r="K654" s="1" t="s">
        <v>152</v>
      </c>
      <c r="L654" s="1" t="s">
        <v>1083</v>
      </c>
      <c r="M654" s="1" t="s">
        <v>3389</v>
      </c>
      <c r="N654" s="2">
        <v>41450</v>
      </c>
      <c r="O654" s="1"/>
      <c r="P654" s="2">
        <v>41469</v>
      </c>
      <c r="Q654" s="1" t="s">
        <v>34</v>
      </c>
      <c r="R654" s="1"/>
      <c r="S654" s="1" t="s">
        <v>35</v>
      </c>
      <c r="T654" s="1">
        <v>44.916671999999998</v>
      </c>
      <c r="U654" s="1">
        <v>-72.713950999999994</v>
      </c>
      <c r="V654" s="1" t="s">
        <v>3390</v>
      </c>
      <c r="W654" s="1"/>
      <c r="X654" s="1" t="s">
        <v>37</v>
      </c>
      <c r="Y654" s="1" t="s">
        <v>3391</v>
      </c>
      <c r="Z654" s="1">
        <v>5476</v>
      </c>
    </row>
    <row r="655" spans="1:26" ht="42">
      <c r="A655" s="1" t="str">
        <f>"000KGM"</f>
        <v>000KGM</v>
      </c>
      <c r="B655" s="1" t="s">
        <v>3392</v>
      </c>
      <c r="C655" s="1" t="s">
        <v>3393</v>
      </c>
      <c r="D655" s="1" t="str">
        <f>"8027654647"</f>
        <v>8027654647</v>
      </c>
      <c r="E655" s="1">
        <v>4506</v>
      </c>
      <c r="F655" s="1" t="s">
        <v>28</v>
      </c>
      <c r="G655" s="1" t="s">
        <v>3394</v>
      </c>
      <c r="H655" s="1"/>
      <c r="I655" s="1">
        <v>1</v>
      </c>
      <c r="J655" s="1" t="s">
        <v>3395</v>
      </c>
      <c r="K655" s="1" t="s">
        <v>68</v>
      </c>
      <c r="L655" s="1" t="s">
        <v>634</v>
      </c>
      <c r="M655" s="1" t="s">
        <v>3396</v>
      </c>
      <c r="N655" s="2">
        <v>41450</v>
      </c>
      <c r="O655" s="1"/>
      <c r="P655" s="1"/>
      <c r="Q655" s="1" t="s">
        <v>34</v>
      </c>
      <c r="R655" s="1"/>
      <c r="S655" s="1" t="s">
        <v>35</v>
      </c>
      <c r="T655" s="1">
        <v>43.830323700000001</v>
      </c>
      <c r="U655" s="1">
        <v>-72.347441500000002</v>
      </c>
      <c r="V655" s="1" t="s">
        <v>3397</v>
      </c>
      <c r="W655" s="1"/>
      <c r="X655" s="1" t="s">
        <v>37</v>
      </c>
      <c r="Y655" s="1" t="s">
        <v>3398</v>
      </c>
      <c r="Z655" s="1">
        <v>5070</v>
      </c>
    </row>
    <row r="656" spans="1:26" ht="28">
      <c r="A656" s="1" t="str">
        <f>"000KGY"</f>
        <v>000KGY</v>
      </c>
      <c r="B656" s="1" t="s">
        <v>3399</v>
      </c>
      <c r="C656" s="1" t="s">
        <v>3400</v>
      </c>
      <c r="D656" s="1"/>
      <c r="E656" s="1">
        <v>4508</v>
      </c>
      <c r="F656" s="1" t="s">
        <v>28</v>
      </c>
      <c r="G656" s="1" t="s">
        <v>3401</v>
      </c>
      <c r="H656" s="1"/>
      <c r="I656" s="1">
        <v>2</v>
      </c>
      <c r="J656" s="1" t="s">
        <v>3402</v>
      </c>
      <c r="K656" s="1" t="s">
        <v>152</v>
      </c>
      <c r="L656" s="1" t="s">
        <v>1137</v>
      </c>
      <c r="M656" s="1" t="s">
        <v>3403</v>
      </c>
      <c r="N656" s="2">
        <v>41407</v>
      </c>
      <c r="O656" s="1"/>
      <c r="P656" s="1"/>
      <c r="Q656" s="1" t="s">
        <v>34</v>
      </c>
      <c r="R656" s="1"/>
      <c r="S656" s="1" t="s">
        <v>35</v>
      </c>
      <c r="T656" s="1">
        <v>44.946888000000001</v>
      </c>
      <c r="U656" s="1">
        <v>-73.076598999999902</v>
      </c>
      <c r="V656" s="1" t="s">
        <v>3404</v>
      </c>
      <c r="W656" s="1"/>
      <c r="X656" s="1" t="s">
        <v>37</v>
      </c>
      <c r="Y656" s="1" t="s">
        <v>1140</v>
      </c>
      <c r="Z656" s="1">
        <v>5488</v>
      </c>
    </row>
    <row r="657" spans="1:26" ht="28">
      <c r="A657" s="1" t="str">
        <f>"000KGY"</f>
        <v>000KGY</v>
      </c>
      <c r="B657" s="1" t="s">
        <v>3399</v>
      </c>
      <c r="C657" s="1" t="s">
        <v>3400</v>
      </c>
      <c r="D657" s="1"/>
      <c r="E657" s="1">
        <v>4508</v>
      </c>
      <c r="F657" s="1" t="s">
        <v>28</v>
      </c>
      <c r="G657" s="1" t="s">
        <v>3405</v>
      </c>
      <c r="H657" s="1"/>
      <c r="I657" s="1">
        <v>2</v>
      </c>
      <c r="J657" s="1" t="s">
        <v>3406</v>
      </c>
      <c r="K657" s="1" t="s">
        <v>152</v>
      </c>
      <c r="L657" s="1" t="s">
        <v>1143</v>
      </c>
      <c r="M657" s="1" t="s">
        <v>3407</v>
      </c>
      <c r="N657" s="2">
        <v>42151</v>
      </c>
      <c r="O657" s="1"/>
      <c r="P657" s="1"/>
      <c r="Q657" s="1" t="s">
        <v>34</v>
      </c>
      <c r="R657" s="1"/>
      <c r="S657" s="1" t="s">
        <v>35</v>
      </c>
      <c r="T657" s="1">
        <v>44.918416999999998</v>
      </c>
      <c r="U657" s="1">
        <v>-73.121388899999999</v>
      </c>
      <c r="V657" s="1" t="s">
        <v>3408</v>
      </c>
      <c r="W657" s="1"/>
      <c r="X657" s="1" t="s">
        <v>37</v>
      </c>
      <c r="Y657" s="1" t="s">
        <v>3409</v>
      </c>
      <c r="Z657" s="1">
        <v>5478</v>
      </c>
    </row>
    <row r="658" spans="1:26" ht="28">
      <c r="A658" s="1" t="str">
        <f>"000KGY"</f>
        <v>000KGY</v>
      </c>
      <c r="B658" s="1" t="s">
        <v>3399</v>
      </c>
      <c r="C658" s="1" t="s">
        <v>3400</v>
      </c>
      <c r="D658" s="1"/>
      <c r="E658" s="1">
        <v>4508</v>
      </c>
      <c r="F658" s="1" t="s">
        <v>28</v>
      </c>
      <c r="G658" s="1" t="s">
        <v>3410</v>
      </c>
      <c r="H658" s="1"/>
      <c r="I658" s="1">
        <v>2</v>
      </c>
      <c r="J658" s="1" t="s">
        <v>3411</v>
      </c>
      <c r="K658" s="1" t="s">
        <v>152</v>
      </c>
      <c r="L658" s="1" t="s">
        <v>1057</v>
      </c>
      <c r="M658" s="1" t="s">
        <v>3412</v>
      </c>
      <c r="N658" s="2">
        <v>42151</v>
      </c>
      <c r="O658" s="1"/>
      <c r="P658" s="1"/>
      <c r="Q658" s="1" t="s">
        <v>34</v>
      </c>
      <c r="R658" s="1"/>
      <c r="S658" s="1" t="s">
        <v>35</v>
      </c>
      <c r="T658" s="1"/>
      <c r="U658" s="1"/>
      <c r="V658" s="1" t="s">
        <v>3413</v>
      </c>
      <c r="W658" s="1"/>
      <c r="X658" s="1" t="s">
        <v>37</v>
      </c>
      <c r="Y658" s="1" t="s">
        <v>3414</v>
      </c>
      <c r="Z658" s="1">
        <v>5459</v>
      </c>
    </row>
    <row r="659" spans="1:26" ht="42">
      <c r="A659" s="1" t="str">
        <f>"000KH0"</f>
        <v>000KH0</v>
      </c>
      <c r="B659" s="1" t="s">
        <v>3415</v>
      </c>
      <c r="C659" s="1" t="s">
        <v>3416</v>
      </c>
      <c r="D659" s="1" t="str">
        <f>"8027637434"</f>
        <v>8027637434</v>
      </c>
      <c r="E659" s="1">
        <v>4510</v>
      </c>
      <c r="F659" s="1" t="s">
        <v>28</v>
      </c>
      <c r="G659" s="1" t="s">
        <v>3417</v>
      </c>
      <c r="H659" s="1"/>
      <c r="I659" s="1">
        <v>4</v>
      </c>
      <c r="J659" s="1" t="s">
        <v>3418</v>
      </c>
      <c r="K659" s="1" t="s">
        <v>68</v>
      </c>
      <c r="L659" s="1" t="s">
        <v>2852</v>
      </c>
      <c r="M659" s="1" t="s">
        <v>3419</v>
      </c>
      <c r="N659" s="2">
        <v>41360</v>
      </c>
      <c r="O659" s="1"/>
      <c r="P659" s="2">
        <v>42195</v>
      </c>
      <c r="Q659" s="1" t="s">
        <v>34</v>
      </c>
      <c r="R659" s="1"/>
      <c r="S659" s="1" t="s">
        <v>35</v>
      </c>
      <c r="T659" s="1">
        <v>43.869847999999998</v>
      </c>
      <c r="U659" s="1">
        <v>-72.542347000000007</v>
      </c>
      <c r="V659" s="1" t="s">
        <v>3420</v>
      </c>
      <c r="W659" s="1"/>
      <c r="X659" s="1" t="s">
        <v>37</v>
      </c>
      <c r="Y659" s="1" t="s">
        <v>2854</v>
      </c>
      <c r="Z659" s="1">
        <v>5077</v>
      </c>
    </row>
    <row r="660" spans="1:26" ht="42">
      <c r="A660" s="1" t="str">
        <f>"000KH1"</f>
        <v>000KH1</v>
      </c>
      <c r="B660" s="1" t="s">
        <v>3421</v>
      </c>
      <c r="C660" s="1" t="s">
        <v>3422</v>
      </c>
      <c r="D660" s="1" t="str">
        <f>"9196062382"</f>
        <v>9196062382</v>
      </c>
      <c r="E660" s="1">
        <v>4511</v>
      </c>
      <c r="F660" s="1" t="s">
        <v>28</v>
      </c>
      <c r="G660" s="1" t="s">
        <v>3423</v>
      </c>
      <c r="H660" s="1"/>
      <c r="I660" s="1">
        <v>2</v>
      </c>
      <c r="J660" s="1" t="s">
        <v>3424</v>
      </c>
      <c r="K660" s="1" t="s">
        <v>333</v>
      </c>
      <c r="L660" s="1" t="s">
        <v>934</v>
      </c>
      <c r="M660" s="1" t="s">
        <v>3425</v>
      </c>
      <c r="N660" s="2">
        <v>41421</v>
      </c>
      <c r="O660" s="1"/>
      <c r="P660" s="1"/>
      <c r="Q660" s="1" t="s">
        <v>34</v>
      </c>
      <c r="R660" s="1"/>
      <c r="S660" s="1" t="s">
        <v>35</v>
      </c>
      <c r="T660" s="1">
        <v>44.026905900000003</v>
      </c>
      <c r="U660" s="1">
        <v>-73.214841999999905</v>
      </c>
      <c r="V660" s="1" t="s">
        <v>3426</v>
      </c>
      <c r="W660" s="1"/>
      <c r="X660" s="1" t="s">
        <v>37</v>
      </c>
      <c r="Y660" s="1" t="s">
        <v>936</v>
      </c>
      <c r="Z660" s="1">
        <v>5753</v>
      </c>
    </row>
    <row r="661" spans="1:26" ht="42">
      <c r="A661" s="1" t="str">
        <f>"000KH4"</f>
        <v>000KH4</v>
      </c>
      <c r="B661" s="1" t="s">
        <v>3427</v>
      </c>
      <c r="C661" s="1" t="s">
        <v>3428</v>
      </c>
      <c r="D661" s="1" t="str">
        <f>"8022642171"</f>
        <v>8022642171</v>
      </c>
      <c r="E661" s="1">
        <v>4514</v>
      </c>
      <c r="F661" s="1" t="s">
        <v>28</v>
      </c>
      <c r="G661" s="1" t="s">
        <v>3429</v>
      </c>
      <c r="H661" s="1"/>
      <c r="I661" s="1">
        <v>2</v>
      </c>
      <c r="J661" s="1" t="s">
        <v>3430</v>
      </c>
      <c r="K661" s="1" t="s">
        <v>43</v>
      </c>
      <c r="L661" s="1" t="s">
        <v>44</v>
      </c>
      <c r="M661" s="1" t="s">
        <v>1095</v>
      </c>
      <c r="N661" s="2">
        <v>41415</v>
      </c>
      <c r="O661" s="1"/>
      <c r="P661" s="2">
        <v>42889</v>
      </c>
      <c r="Q661" s="1" t="s">
        <v>34</v>
      </c>
      <c r="R661" s="1"/>
      <c r="S661" s="1" t="s">
        <v>35</v>
      </c>
      <c r="T661" s="1">
        <v>44.493497700856899</v>
      </c>
      <c r="U661" s="1">
        <v>-73.204339742660494</v>
      </c>
      <c r="V661" s="1" t="s">
        <v>711</v>
      </c>
      <c r="W661" s="1"/>
      <c r="X661" s="1" t="s">
        <v>37</v>
      </c>
      <c r="Y661" s="1" t="s">
        <v>46</v>
      </c>
      <c r="Z661" s="1">
        <v>5401</v>
      </c>
    </row>
    <row r="662" spans="1:26" ht="42">
      <c r="A662" s="1" t="str">
        <f>"000KH4"</f>
        <v>000KH4</v>
      </c>
      <c r="B662" s="1" t="s">
        <v>3427</v>
      </c>
      <c r="C662" s="1" t="s">
        <v>3428</v>
      </c>
      <c r="D662" s="1" t="str">
        <f>"8022642171"</f>
        <v>8022642171</v>
      </c>
      <c r="E662" s="1">
        <v>4514</v>
      </c>
      <c r="F662" s="1" t="s">
        <v>28</v>
      </c>
      <c r="G662" s="1" t="s">
        <v>3431</v>
      </c>
      <c r="H662" s="1"/>
      <c r="I662" s="1">
        <v>4</v>
      </c>
      <c r="J662" s="1">
        <v>2</v>
      </c>
      <c r="K662" s="1" t="s">
        <v>43</v>
      </c>
      <c r="L662" s="1" t="s">
        <v>44</v>
      </c>
      <c r="M662" s="1" t="s">
        <v>3432</v>
      </c>
      <c r="N662" s="2">
        <v>42912</v>
      </c>
      <c r="O662" s="1"/>
      <c r="P662" s="1"/>
      <c r="Q662" s="1" t="s">
        <v>34</v>
      </c>
      <c r="R662" s="1"/>
      <c r="S662" s="1" t="s">
        <v>35</v>
      </c>
      <c r="T662" s="1">
        <v>44.501978100000002</v>
      </c>
      <c r="U662" s="1">
        <v>-73.211973099999994</v>
      </c>
      <c r="V662" s="1" t="s">
        <v>3433</v>
      </c>
      <c r="W662" s="1"/>
      <c r="X662" s="1" t="s">
        <v>37</v>
      </c>
      <c r="Y662" s="1" t="s">
        <v>46</v>
      </c>
      <c r="Z662" s="1">
        <v>5401</v>
      </c>
    </row>
    <row r="663" spans="1:26" ht="42">
      <c r="A663" s="1" t="str">
        <f>"000KHB"</f>
        <v>000KHB</v>
      </c>
      <c r="B663" s="1" t="s">
        <v>3434</v>
      </c>
      <c r="C663" s="1" t="s">
        <v>3435</v>
      </c>
      <c r="D663" s="1" t="str">
        <f>"8024536749"</f>
        <v>8024536749</v>
      </c>
      <c r="E663" s="1">
        <v>4519</v>
      </c>
      <c r="F663" s="1" t="s">
        <v>28</v>
      </c>
      <c r="G663" s="1" t="s">
        <v>3436</v>
      </c>
      <c r="H663" s="1"/>
      <c r="I663" s="1">
        <v>2</v>
      </c>
      <c r="J663" s="1" t="s">
        <v>3437</v>
      </c>
      <c r="K663" s="1" t="s">
        <v>333</v>
      </c>
      <c r="L663" s="1" t="s">
        <v>684</v>
      </c>
      <c r="M663" s="1" t="s">
        <v>3438</v>
      </c>
      <c r="N663" s="2">
        <v>42314</v>
      </c>
      <c r="O663" s="1"/>
      <c r="P663" s="1"/>
      <c r="Q663" s="1" t="s">
        <v>34</v>
      </c>
      <c r="R663" s="1"/>
      <c r="S663" s="1" t="s">
        <v>35</v>
      </c>
      <c r="T663" s="1">
        <v>44.086993999999997</v>
      </c>
      <c r="U663" s="1">
        <v>-73.108833000000004</v>
      </c>
      <c r="V663" s="1" t="s">
        <v>3437</v>
      </c>
      <c r="W663" s="1"/>
      <c r="X663" s="1" t="s">
        <v>37</v>
      </c>
      <c r="Y663" s="1" t="s">
        <v>464</v>
      </c>
      <c r="Z663" s="1">
        <v>5472</v>
      </c>
    </row>
    <row r="664" spans="1:26" ht="42">
      <c r="A664" s="1" t="str">
        <f>"000KHD"</f>
        <v>000KHD</v>
      </c>
      <c r="B664" s="1" t="s">
        <v>3439</v>
      </c>
      <c r="C664" s="1" t="s">
        <v>3440</v>
      </c>
      <c r="D664" s="1" t="str">
        <f>"8022808430"</f>
        <v>8022808430</v>
      </c>
      <c r="E664" s="1">
        <v>4521</v>
      </c>
      <c r="F664" s="1" t="s">
        <v>28</v>
      </c>
      <c r="G664" s="1" t="s">
        <v>3441</v>
      </c>
      <c r="H664" s="1"/>
      <c r="I664" s="1">
        <v>1</v>
      </c>
      <c r="J664" s="1" t="s">
        <v>3442</v>
      </c>
      <c r="K664" s="1" t="s">
        <v>68</v>
      </c>
      <c r="L664" s="1" t="s">
        <v>1375</v>
      </c>
      <c r="M664" s="1" t="s">
        <v>3443</v>
      </c>
      <c r="N664" s="2">
        <v>41451</v>
      </c>
      <c r="O664" s="1"/>
      <c r="P664" s="1"/>
      <c r="Q664" s="1" t="s">
        <v>34</v>
      </c>
      <c r="R664" s="1"/>
      <c r="S664" s="1" t="s">
        <v>35</v>
      </c>
      <c r="T664" s="1">
        <v>44.097093999999998</v>
      </c>
      <c r="U664" s="1">
        <v>-72.116484999999997</v>
      </c>
      <c r="V664" s="1" t="s">
        <v>3444</v>
      </c>
      <c r="W664" s="1"/>
      <c r="X664" s="1" t="s">
        <v>37</v>
      </c>
      <c r="Y664" s="1" t="s">
        <v>1378</v>
      </c>
      <c r="Z664" s="1">
        <v>5051</v>
      </c>
    </row>
    <row r="665" spans="1:26" ht="42">
      <c r="A665" s="1" t="str">
        <f>"000KHF"</f>
        <v>000KHF</v>
      </c>
      <c r="B665" s="1" t="s">
        <v>3445</v>
      </c>
      <c r="C665" s="1" t="s">
        <v>3446</v>
      </c>
      <c r="D665" s="1" t="str">
        <f>"8024640291"</f>
        <v>8024640291</v>
      </c>
      <c r="E665" s="1">
        <v>4522</v>
      </c>
      <c r="F665" s="1" t="s">
        <v>28</v>
      </c>
      <c r="G665" s="1" t="s">
        <v>3447</v>
      </c>
      <c r="H665" s="1"/>
      <c r="I665" s="1">
        <v>5</v>
      </c>
      <c r="J665" s="1" t="s">
        <v>3448</v>
      </c>
      <c r="K665" s="1" t="s">
        <v>144</v>
      </c>
      <c r="L665" s="1" t="s">
        <v>3449</v>
      </c>
      <c r="M665" s="1" t="s">
        <v>3450</v>
      </c>
      <c r="N665" s="2">
        <v>41385</v>
      </c>
      <c r="O665" s="1"/>
      <c r="P665" s="1"/>
      <c r="Q665" s="1" t="s">
        <v>34</v>
      </c>
      <c r="R665" s="1"/>
      <c r="S665" s="1" t="s">
        <v>35</v>
      </c>
      <c r="T665" s="1">
        <v>42.868203429826799</v>
      </c>
      <c r="U665" s="1">
        <v>-72.843421697616506</v>
      </c>
      <c r="V665" s="1" t="s">
        <v>3451</v>
      </c>
      <c r="W665" s="1"/>
      <c r="X665" s="1" t="s">
        <v>37</v>
      </c>
      <c r="Y665" s="1" t="s">
        <v>606</v>
      </c>
      <c r="Z665" s="1">
        <v>5363</v>
      </c>
    </row>
    <row r="666" spans="1:26" ht="42">
      <c r="A666" s="1" t="str">
        <f>"000KHM"</f>
        <v>000KHM</v>
      </c>
      <c r="B666" s="1" t="s">
        <v>3452</v>
      </c>
      <c r="C666" s="1" t="s">
        <v>3453</v>
      </c>
      <c r="D666" s="1" t="str">
        <f>"8024385173"</f>
        <v>8024385173</v>
      </c>
      <c r="E666" s="1">
        <v>4527</v>
      </c>
      <c r="F666" s="1" t="s">
        <v>28</v>
      </c>
      <c r="G666" s="1" t="s">
        <v>3454</v>
      </c>
      <c r="H666" s="1"/>
      <c r="I666" s="1">
        <v>32</v>
      </c>
      <c r="J666" s="1" t="s">
        <v>3455</v>
      </c>
      <c r="K666" s="1" t="s">
        <v>135</v>
      </c>
      <c r="L666" s="1" t="s">
        <v>3456</v>
      </c>
      <c r="M666" s="1" t="s">
        <v>3457</v>
      </c>
      <c r="N666" s="2">
        <v>41451</v>
      </c>
      <c r="O666" s="1"/>
      <c r="P666" s="1"/>
      <c r="Q666" s="1" t="s">
        <v>34</v>
      </c>
      <c r="R666" s="1"/>
      <c r="S666" s="1" t="s">
        <v>35</v>
      </c>
      <c r="T666" s="1">
        <v>43.559635898221003</v>
      </c>
      <c r="U666" s="1">
        <v>-73.016424179077106</v>
      </c>
      <c r="V666" s="1" t="s">
        <v>3458</v>
      </c>
      <c r="W666" s="1"/>
      <c r="X666" s="1" t="s">
        <v>37</v>
      </c>
      <c r="Y666" s="1" t="s">
        <v>1222</v>
      </c>
      <c r="Z666" s="1">
        <v>5777</v>
      </c>
    </row>
    <row r="667" spans="1:26" ht="42">
      <c r="A667" s="1" t="str">
        <f>"000KHN"</f>
        <v>000KHN</v>
      </c>
      <c r="B667" s="1" t="s">
        <v>3459</v>
      </c>
      <c r="C667" s="1" t="s">
        <v>3460</v>
      </c>
      <c r="D667" s="1" t="str">
        <f>"8024262087"</f>
        <v>8024262087</v>
      </c>
      <c r="E667" s="1">
        <v>4528</v>
      </c>
      <c r="F667" s="1" t="s">
        <v>28</v>
      </c>
      <c r="G667" s="1" t="s">
        <v>3461</v>
      </c>
      <c r="H667" s="1"/>
      <c r="I667" s="1">
        <v>2</v>
      </c>
      <c r="J667" s="1" t="s">
        <v>3462</v>
      </c>
      <c r="K667" s="1" t="s">
        <v>31</v>
      </c>
      <c r="L667" s="1" t="s">
        <v>164</v>
      </c>
      <c r="M667" s="1" t="s">
        <v>3463</v>
      </c>
      <c r="N667" s="2">
        <v>41407</v>
      </c>
      <c r="O667" s="1"/>
      <c r="P667" s="2">
        <v>42144</v>
      </c>
      <c r="Q667" s="1" t="s">
        <v>34</v>
      </c>
      <c r="R667" s="1"/>
      <c r="S667" s="1" t="s">
        <v>35</v>
      </c>
      <c r="T667" s="1">
        <v>44.339427000000001</v>
      </c>
      <c r="U667" s="1">
        <v>-72.411252999999903</v>
      </c>
      <c r="V667" s="1" t="s">
        <v>3464</v>
      </c>
      <c r="W667" s="1"/>
      <c r="X667" s="1" t="s">
        <v>37</v>
      </c>
      <c r="Y667" s="1" t="s">
        <v>167</v>
      </c>
      <c r="Z667" s="1">
        <v>5602</v>
      </c>
    </row>
    <row r="668" spans="1:26" ht="42">
      <c r="A668" s="1" t="str">
        <f>"000KKD"</f>
        <v>000KKD</v>
      </c>
      <c r="B668" s="1" t="s">
        <v>3465</v>
      </c>
      <c r="C668" s="1" t="s">
        <v>3466</v>
      </c>
      <c r="D668" s="1" t="str">
        <f>"9089024311"</f>
        <v>9089024311</v>
      </c>
      <c r="E668" s="1">
        <v>4535</v>
      </c>
      <c r="F668" s="1" t="s">
        <v>28</v>
      </c>
      <c r="G668" s="1" t="s">
        <v>3467</v>
      </c>
      <c r="H668" s="1"/>
      <c r="I668" s="1">
        <v>4</v>
      </c>
      <c r="J668" s="1" t="s">
        <v>3468</v>
      </c>
      <c r="K668" s="1" t="s">
        <v>31</v>
      </c>
      <c r="L668" s="1" t="s">
        <v>716</v>
      </c>
      <c r="M668" s="1" t="s">
        <v>3469</v>
      </c>
      <c r="N668" s="2">
        <v>41415</v>
      </c>
      <c r="O668" s="1"/>
      <c r="P668" s="2">
        <v>41865</v>
      </c>
      <c r="Q668" s="1" t="s">
        <v>34</v>
      </c>
      <c r="R668" s="1"/>
      <c r="S668" s="1" t="s">
        <v>35</v>
      </c>
      <c r="T668" s="1">
        <v>44.19361</v>
      </c>
      <c r="U668" s="1">
        <v>-72.448210000000003</v>
      </c>
      <c r="V668" s="1" t="s">
        <v>3470</v>
      </c>
      <c r="W668" s="1"/>
      <c r="X668" s="1" t="s">
        <v>37</v>
      </c>
      <c r="Y668" s="1" t="s">
        <v>237</v>
      </c>
      <c r="Z668" s="1">
        <v>5641</v>
      </c>
    </row>
    <row r="669" spans="1:26" ht="42">
      <c r="A669" s="1" t="str">
        <f>"000KKK"</f>
        <v>000KKK</v>
      </c>
      <c r="B669" s="1" t="s">
        <v>3471</v>
      </c>
      <c r="C669" s="1" t="s">
        <v>3472</v>
      </c>
      <c r="D669" s="1" t="str">
        <f>"8028916074"</f>
        <v>8028916074</v>
      </c>
      <c r="E669" s="1">
        <v>4540</v>
      </c>
      <c r="F669" s="1" t="s">
        <v>28</v>
      </c>
      <c r="G669" s="1" t="s">
        <v>3473</v>
      </c>
      <c r="H669" s="1"/>
      <c r="I669" s="1">
        <v>12</v>
      </c>
      <c r="J669" s="1" t="s">
        <v>3474</v>
      </c>
      <c r="K669" s="1" t="s">
        <v>43</v>
      </c>
      <c r="L669" s="1" t="s">
        <v>86</v>
      </c>
      <c r="M669" s="1" t="s">
        <v>3475</v>
      </c>
      <c r="N669" s="2">
        <v>41418</v>
      </c>
      <c r="O669" s="1"/>
      <c r="P669" s="2">
        <v>41413</v>
      </c>
      <c r="Q669" s="1" t="s">
        <v>34</v>
      </c>
      <c r="R669" s="1"/>
      <c r="S669" s="1" t="s">
        <v>35</v>
      </c>
      <c r="T669" s="1">
        <v>44.694065600000002</v>
      </c>
      <c r="U669" s="1">
        <v>-73.179144699999995</v>
      </c>
      <c r="V669" s="1" t="s">
        <v>3476</v>
      </c>
      <c r="W669" s="1"/>
      <c r="X669" s="1" t="s">
        <v>37</v>
      </c>
      <c r="Y669" s="1" t="s">
        <v>89</v>
      </c>
      <c r="Z669" s="1">
        <v>5468</v>
      </c>
    </row>
    <row r="670" spans="1:26" ht="42">
      <c r="A670" s="1" t="str">
        <f>"000KKN"</f>
        <v>000KKN</v>
      </c>
      <c r="B670" s="1" t="s">
        <v>3477</v>
      </c>
      <c r="C670" s="1" t="s">
        <v>3478</v>
      </c>
      <c r="D670" s="1" t="str">
        <f>"8027709903"</f>
        <v>8027709903</v>
      </c>
      <c r="E670" s="1">
        <v>4542</v>
      </c>
      <c r="F670" s="1" t="s">
        <v>28</v>
      </c>
      <c r="G670" s="1" t="s">
        <v>3479</v>
      </c>
      <c r="H670" s="1"/>
      <c r="I670" s="1">
        <v>0</v>
      </c>
      <c r="J670" s="1" t="s">
        <v>3480</v>
      </c>
      <c r="K670" s="1" t="s">
        <v>135</v>
      </c>
      <c r="L670" s="1" t="s">
        <v>2119</v>
      </c>
      <c r="M670" s="1" t="s">
        <v>3481</v>
      </c>
      <c r="N670" s="2">
        <v>41414</v>
      </c>
      <c r="O670" s="1"/>
      <c r="P670" s="1"/>
      <c r="Q670" s="1" t="s">
        <v>34</v>
      </c>
      <c r="R670" s="1"/>
      <c r="S670" s="1" t="s">
        <v>35</v>
      </c>
      <c r="T670" s="1">
        <v>43.485751999999998</v>
      </c>
      <c r="U670" s="1">
        <v>-72.982614999999996</v>
      </c>
      <c r="V670" s="1" t="s">
        <v>3482</v>
      </c>
      <c r="W670" s="1"/>
      <c r="X670" s="1" t="s">
        <v>37</v>
      </c>
      <c r="Y670" s="1" t="s">
        <v>2122</v>
      </c>
      <c r="Z670" s="1">
        <v>5773</v>
      </c>
    </row>
    <row r="671" spans="1:26" ht="42">
      <c r="A671" s="1" t="str">
        <f>"000KKQ"</f>
        <v>000KKQ</v>
      </c>
      <c r="B671" s="1" t="s">
        <v>3483</v>
      </c>
      <c r="C671" s="1" t="s">
        <v>3484</v>
      </c>
      <c r="D671" s="1" t="str">
        <f>"8025223748"</f>
        <v>8025223748</v>
      </c>
      <c r="E671" s="1">
        <v>4544</v>
      </c>
      <c r="F671" s="1" t="s">
        <v>28</v>
      </c>
      <c r="G671" s="1" t="s">
        <v>3485</v>
      </c>
      <c r="H671" s="1"/>
      <c r="I671" s="1">
        <v>1</v>
      </c>
      <c r="J671" s="1" t="s">
        <v>3486</v>
      </c>
      <c r="K671" s="1" t="s">
        <v>77</v>
      </c>
      <c r="L671" s="1" t="s">
        <v>2879</v>
      </c>
      <c r="M671" s="1" t="s">
        <v>3487</v>
      </c>
      <c r="N671" s="2">
        <v>41435</v>
      </c>
      <c r="O671" s="1"/>
      <c r="P671" s="2">
        <v>42922</v>
      </c>
      <c r="Q671" s="1" t="s">
        <v>34</v>
      </c>
      <c r="R671" s="1"/>
      <c r="S671" s="1" t="s">
        <v>35</v>
      </c>
      <c r="T671" s="1">
        <v>43.892864000000003</v>
      </c>
      <c r="U671" s="1">
        <v>-72.6937669</v>
      </c>
      <c r="V671" s="1" t="s">
        <v>3488</v>
      </c>
      <c r="W671" s="1"/>
      <c r="X671" s="1" t="s">
        <v>37</v>
      </c>
      <c r="Y671" s="1" t="s">
        <v>1384</v>
      </c>
      <c r="Z671" s="1">
        <v>5060</v>
      </c>
    </row>
    <row r="672" spans="1:26" ht="42">
      <c r="A672" s="1" t="str">
        <f>"000KKX"</f>
        <v>000KKX</v>
      </c>
      <c r="B672" s="1" t="s">
        <v>3489</v>
      </c>
      <c r="C672" s="1" t="s">
        <v>3490</v>
      </c>
      <c r="D672" s="1" t="str">
        <f>"8028817872"</f>
        <v>8028817872</v>
      </c>
      <c r="E672" s="1">
        <v>4547</v>
      </c>
      <c r="F672" s="1" t="s">
        <v>28</v>
      </c>
      <c r="G672" s="1" t="s">
        <v>3491</v>
      </c>
      <c r="H672" s="1"/>
      <c r="I672" s="1">
        <v>5</v>
      </c>
      <c r="J672" s="1" t="s">
        <v>3492</v>
      </c>
      <c r="K672" s="1" t="s">
        <v>170</v>
      </c>
      <c r="L672" s="1" t="s">
        <v>2661</v>
      </c>
      <c r="M672" s="1" t="s">
        <v>3493</v>
      </c>
      <c r="N672" s="2">
        <v>41420</v>
      </c>
      <c r="O672" s="1"/>
      <c r="P672" s="1"/>
      <c r="Q672" s="1" t="s">
        <v>34</v>
      </c>
      <c r="R672" s="1"/>
      <c r="S672" s="1" t="s">
        <v>35</v>
      </c>
      <c r="T672" s="1">
        <v>44.699489499999999</v>
      </c>
      <c r="U672" s="1">
        <v>-72.842916399999893</v>
      </c>
      <c r="V672" s="1" t="s">
        <v>3494</v>
      </c>
      <c r="W672" s="1"/>
      <c r="X672" s="1" t="s">
        <v>37</v>
      </c>
      <c r="Y672" s="1" t="s">
        <v>2664</v>
      </c>
      <c r="Z672" s="1">
        <v>5464</v>
      </c>
    </row>
    <row r="673" spans="1:26" ht="42">
      <c r="A673" s="1" t="str">
        <f>"000KKY"</f>
        <v>000KKY</v>
      </c>
      <c r="B673" s="1" t="s">
        <v>3495</v>
      </c>
      <c r="C673" s="1" t="s">
        <v>3496</v>
      </c>
      <c r="D673" s="1" t="str">
        <f>"8028751008"</f>
        <v>8028751008</v>
      </c>
      <c r="E673" s="1">
        <v>4548</v>
      </c>
      <c r="F673" s="1" t="s">
        <v>28</v>
      </c>
      <c r="G673" s="1" t="s">
        <v>3497</v>
      </c>
      <c r="H673" s="1"/>
      <c r="I673" s="1">
        <v>8</v>
      </c>
      <c r="J673" s="1" t="s">
        <v>372</v>
      </c>
      <c r="K673" s="1" t="s">
        <v>77</v>
      </c>
      <c r="L673" s="1" t="s">
        <v>372</v>
      </c>
      <c r="M673" s="1" t="s">
        <v>3498</v>
      </c>
      <c r="N673" s="2">
        <v>41411</v>
      </c>
      <c r="O673" s="1"/>
      <c r="P673" s="1"/>
      <c r="Q673" s="1" t="s">
        <v>34</v>
      </c>
      <c r="R673" s="1"/>
      <c r="S673" s="1" t="s">
        <v>35</v>
      </c>
      <c r="T673" s="1">
        <v>43.250193199999998</v>
      </c>
      <c r="U673" s="1">
        <v>-72.535856199999998</v>
      </c>
      <c r="V673" s="1" t="s">
        <v>3499</v>
      </c>
      <c r="W673" s="1"/>
      <c r="X673" s="1" t="s">
        <v>37</v>
      </c>
      <c r="Y673" s="1" t="s">
        <v>375</v>
      </c>
      <c r="Z673" s="1">
        <v>5156</v>
      </c>
    </row>
    <row r="674" spans="1:26" ht="42">
      <c r="A674" s="1" t="str">
        <f>"000KKZ"</f>
        <v>000KKZ</v>
      </c>
      <c r="B674" s="1" t="s">
        <v>3500</v>
      </c>
      <c r="C674" s="1" t="s">
        <v>3501</v>
      </c>
      <c r="D674" s="1" t="str">
        <f>"8022548452"</f>
        <v>8022548452</v>
      </c>
      <c r="E674" s="1">
        <v>4549</v>
      </c>
      <c r="F674" s="1" t="s">
        <v>28</v>
      </c>
      <c r="G674" s="1" t="s">
        <v>3502</v>
      </c>
      <c r="H674" s="1"/>
      <c r="I674" s="1">
        <v>5</v>
      </c>
      <c r="J674" s="1" t="s">
        <v>3503</v>
      </c>
      <c r="K674" s="1" t="s">
        <v>144</v>
      </c>
      <c r="L674" s="1" t="s">
        <v>492</v>
      </c>
      <c r="M674" s="1" t="s">
        <v>3504</v>
      </c>
      <c r="N674" s="2">
        <v>41418</v>
      </c>
      <c r="O674" s="1"/>
      <c r="P674" s="1"/>
      <c r="Q674" s="1" t="s">
        <v>34</v>
      </c>
      <c r="R674" s="1"/>
      <c r="S674" s="1" t="s">
        <v>35</v>
      </c>
      <c r="T674" s="1">
        <v>42.85801</v>
      </c>
      <c r="U674" s="1">
        <v>-72.556709999999995</v>
      </c>
      <c r="V674" s="1" t="s">
        <v>3505</v>
      </c>
      <c r="W674" s="1"/>
      <c r="X674" s="1" t="s">
        <v>37</v>
      </c>
      <c r="Y674" s="1" t="s">
        <v>619</v>
      </c>
      <c r="Z674" s="1">
        <v>5301</v>
      </c>
    </row>
    <row r="675" spans="1:26" ht="42">
      <c r="A675" s="1" t="str">
        <f>"000KM2"</f>
        <v>000KM2</v>
      </c>
      <c r="B675" s="1" t="s">
        <v>3506</v>
      </c>
      <c r="C675" s="1" t="s">
        <v>3507</v>
      </c>
      <c r="D675" s="1" t="str">
        <f>"8028273701"</f>
        <v>8028273701</v>
      </c>
      <c r="E675" s="1">
        <v>4552</v>
      </c>
      <c r="F675" s="1" t="s">
        <v>28</v>
      </c>
      <c r="G675" s="1" t="s">
        <v>3508</v>
      </c>
      <c r="H675" s="1"/>
      <c r="I675" s="1">
        <v>2</v>
      </c>
      <c r="J675" s="1" t="s">
        <v>3509</v>
      </c>
      <c r="K675" s="1" t="s">
        <v>152</v>
      </c>
      <c r="L675" s="1" t="s">
        <v>3181</v>
      </c>
      <c r="M675" s="1" t="s">
        <v>3510</v>
      </c>
      <c r="N675" s="2">
        <v>41424</v>
      </c>
      <c r="O675" s="1"/>
      <c r="P675" s="1"/>
      <c r="Q675" s="1" t="s">
        <v>34</v>
      </c>
      <c r="R675" s="1"/>
      <c r="S675" s="1" t="s">
        <v>35</v>
      </c>
      <c r="T675" s="1">
        <v>44.777790000000003</v>
      </c>
      <c r="U675" s="1">
        <v>-72.788146999999896</v>
      </c>
      <c r="V675" s="1" t="s">
        <v>3511</v>
      </c>
      <c r="W675" s="1"/>
      <c r="X675" s="1" t="s">
        <v>37</v>
      </c>
      <c r="Y675" s="1" t="s">
        <v>3512</v>
      </c>
      <c r="Z675" s="1">
        <v>5441</v>
      </c>
    </row>
    <row r="676" spans="1:26" ht="42">
      <c r="A676" s="1" t="str">
        <f>"000KM3"</f>
        <v>000KM3</v>
      </c>
      <c r="B676" s="1" t="s">
        <v>3513</v>
      </c>
      <c r="C676" s="1" t="s">
        <v>3514</v>
      </c>
      <c r="D676" s="1" t="str">
        <f>"9709031556"</f>
        <v>9709031556</v>
      </c>
      <c r="E676" s="1">
        <v>4553</v>
      </c>
      <c r="F676" s="1" t="s">
        <v>28</v>
      </c>
      <c r="G676" s="1" t="s">
        <v>3515</v>
      </c>
      <c r="H676" s="1"/>
      <c r="I676" s="1">
        <v>1</v>
      </c>
      <c r="J676" s="1" t="s">
        <v>3516</v>
      </c>
      <c r="K676" s="1" t="s">
        <v>31</v>
      </c>
      <c r="L676" s="1" t="s">
        <v>1293</v>
      </c>
      <c r="M676" s="1" t="s">
        <v>3517</v>
      </c>
      <c r="N676" s="2">
        <v>41431</v>
      </c>
      <c r="O676" s="1"/>
      <c r="P676" s="1"/>
      <c r="Q676" s="1" t="s">
        <v>34</v>
      </c>
      <c r="R676" s="1"/>
      <c r="S676" s="1" t="s">
        <v>35</v>
      </c>
      <c r="T676" s="1">
        <v>44.699224999999998</v>
      </c>
      <c r="U676" s="1">
        <v>-73.0055669999999</v>
      </c>
      <c r="V676" s="1" t="s">
        <v>3518</v>
      </c>
      <c r="W676" s="1"/>
      <c r="X676" s="1" t="s">
        <v>37</v>
      </c>
      <c r="Y676" s="1" t="s">
        <v>802</v>
      </c>
      <c r="Z676" s="1">
        <v>5602</v>
      </c>
    </row>
    <row r="677" spans="1:26" ht="42">
      <c r="A677" s="1" t="str">
        <f>"000KMD"</f>
        <v>000KMD</v>
      </c>
      <c r="B677" s="1" t="s">
        <v>3519</v>
      </c>
      <c r="C677" s="1" t="s">
        <v>3520</v>
      </c>
      <c r="D677" s="1" t="str">
        <f>"8028642407"</f>
        <v>8028642407</v>
      </c>
      <c r="E677" s="1">
        <v>4563</v>
      </c>
      <c r="F677" s="1" t="s">
        <v>28</v>
      </c>
      <c r="G677" s="1" t="s">
        <v>3521</v>
      </c>
      <c r="H677" s="1"/>
      <c r="I677" s="1">
        <v>0</v>
      </c>
      <c r="J677" s="1" t="s">
        <v>3522</v>
      </c>
      <c r="K677" s="1" t="s">
        <v>43</v>
      </c>
      <c r="L677" s="1" t="s">
        <v>1077</v>
      </c>
      <c r="M677" s="1" t="s">
        <v>3523</v>
      </c>
      <c r="N677" s="2">
        <v>42311</v>
      </c>
      <c r="O677" s="2">
        <v>43264</v>
      </c>
      <c r="P677" s="1"/>
      <c r="Q677" s="1" t="s">
        <v>34</v>
      </c>
      <c r="R677" s="1"/>
      <c r="S677" s="1" t="s">
        <v>35</v>
      </c>
      <c r="T677" s="1"/>
      <c r="U677" s="1"/>
      <c r="V677" s="1" t="s">
        <v>3522</v>
      </c>
      <c r="W677" s="1"/>
      <c r="X677" s="1" t="s">
        <v>37</v>
      </c>
      <c r="Y677" s="1" t="s">
        <v>1080</v>
      </c>
      <c r="Z677" s="1">
        <v>5495</v>
      </c>
    </row>
    <row r="678" spans="1:26" ht="42">
      <c r="A678" s="1" t="str">
        <f>"000KMD"</f>
        <v>000KMD</v>
      </c>
      <c r="B678" s="1" t="s">
        <v>3519</v>
      </c>
      <c r="C678" s="1" t="s">
        <v>3520</v>
      </c>
      <c r="D678" s="1" t="str">
        <f>"8028642407"</f>
        <v>8028642407</v>
      </c>
      <c r="E678" s="1">
        <v>4563</v>
      </c>
      <c r="F678" s="1" t="s">
        <v>28</v>
      </c>
      <c r="G678" s="1" t="s">
        <v>3524</v>
      </c>
      <c r="H678" s="1"/>
      <c r="I678" s="1">
        <v>2</v>
      </c>
      <c r="J678" s="1">
        <v>2</v>
      </c>
      <c r="K678" s="1" t="s">
        <v>43</v>
      </c>
      <c r="L678" s="1" t="s">
        <v>1077</v>
      </c>
      <c r="M678" s="1" t="s">
        <v>3525</v>
      </c>
      <c r="N678" s="2">
        <v>42928</v>
      </c>
      <c r="O678" s="1"/>
      <c r="P678" s="1"/>
      <c r="Q678" s="1" t="s">
        <v>34</v>
      </c>
      <c r="R678" s="1"/>
      <c r="S678" s="1" t="s">
        <v>35</v>
      </c>
      <c r="T678" s="1">
        <v>44.404380199999999</v>
      </c>
      <c r="U678" s="1">
        <v>-73.0904282999999</v>
      </c>
      <c r="V678" s="1" t="s">
        <v>3526</v>
      </c>
      <c r="W678" s="1"/>
      <c r="X678" s="1" t="s">
        <v>37</v>
      </c>
      <c r="Y678" s="1" t="s">
        <v>1080</v>
      </c>
      <c r="Z678" s="1">
        <v>5495</v>
      </c>
    </row>
    <row r="679" spans="1:26" ht="42">
      <c r="A679" s="1" t="str">
        <f>"000KMG"</f>
        <v>000KMG</v>
      </c>
      <c r="B679" s="1" t="s">
        <v>3527</v>
      </c>
      <c r="C679" s="1" t="s">
        <v>3528</v>
      </c>
      <c r="D679" s="1" t="str">
        <f>"8022724856"</f>
        <v>8022724856</v>
      </c>
      <c r="E679" s="1">
        <v>4565</v>
      </c>
      <c r="F679" s="1" t="s">
        <v>28</v>
      </c>
      <c r="G679" s="1" t="s">
        <v>3529</v>
      </c>
      <c r="H679" s="1"/>
      <c r="I679" s="1">
        <v>4</v>
      </c>
      <c r="J679" s="1" t="s">
        <v>702</v>
      </c>
      <c r="K679" s="1" t="s">
        <v>31</v>
      </c>
      <c r="L679" s="1" t="s">
        <v>702</v>
      </c>
      <c r="M679" s="1" t="s">
        <v>3530</v>
      </c>
      <c r="N679" s="2">
        <v>42177</v>
      </c>
      <c r="O679" s="1"/>
      <c r="P679" s="1"/>
      <c r="Q679" s="1" t="s">
        <v>34</v>
      </c>
      <c r="R679" s="1"/>
      <c r="S679" s="1" t="s">
        <v>35</v>
      </c>
      <c r="T679" s="1">
        <v>44.1584986050756</v>
      </c>
      <c r="U679" s="1">
        <v>-72.727471239425597</v>
      </c>
      <c r="V679" s="1" t="s">
        <v>3531</v>
      </c>
      <c r="W679" s="1"/>
      <c r="X679" s="1" t="s">
        <v>37</v>
      </c>
      <c r="Y679" s="1" t="s">
        <v>705</v>
      </c>
      <c r="Z679" s="1">
        <v>5663</v>
      </c>
    </row>
    <row r="680" spans="1:26" ht="42">
      <c r="A680" s="1" t="str">
        <f>"000KMK"</f>
        <v>000KMK</v>
      </c>
      <c r="B680" s="1" t="s">
        <v>3532</v>
      </c>
      <c r="C680" s="1" t="s">
        <v>3533</v>
      </c>
      <c r="D680" s="1" t="str">
        <f>"8026843872"</f>
        <v>8026843872</v>
      </c>
      <c r="E680" s="1">
        <v>4568</v>
      </c>
      <c r="F680" s="1" t="s">
        <v>28</v>
      </c>
      <c r="G680" s="1" t="s">
        <v>3534</v>
      </c>
      <c r="H680" s="1"/>
      <c r="I680" s="1">
        <v>1</v>
      </c>
      <c r="J680" s="1" t="s">
        <v>3535</v>
      </c>
      <c r="K680" s="1" t="s">
        <v>59</v>
      </c>
      <c r="L680" s="1" t="s">
        <v>301</v>
      </c>
      <c r="M680" s="1" t="s">
        <v>3536</v>
      </c>
      <c r="N680" s="2">
        <v>41445</v>
      </c>
      <c r="O680" s="1"/>
      <c r="P680" s="2">
        <v>42220</v>
      </c>
      <c r="Q680" s="1" t="s">
        <v>34</v>
      </c>
      <c r="R680" s="1"/>
      <c r="S680" s="1" t="s">
        <v>35</v>
      </c>
      <c r="T680" s="1">
        <v>44.424419999999998</v>
      </c>
      <c r="U680" s="1">
        <v>-72.055499999999995</v>
      </c>
      <c r="V680" s="1" t="s">
        <v>3537</v>
      </c>
      <c r="W680" s="1"/>
      <c r="X680" s="1" t="s">
        <v>37</v>
      </c>
      <c r="Y680" s="1" t="s">
        <v>304</v>
      </c>
      <c r="Z680" s="1">
        <v>5828</v>
      </c>
    </row>
    <row r="681" spans="1:26" ht="42">
      <c r="A681" s="1" t="str">
        <f>"000KMY"</f>
        <v>000KMY</v>
      </c>
      <c r="B681" s="1" t="s">
        <v>3538</v>
      </c>
      <c r="C681" s="1" t="s">
        <v>3539</v>
      </c>
      <c r="D681" s="1" t="str">
        <f>"8024922017"</f>
        <v>8024922017</v>
      </c>
      <c r="E681" s="1">
        <v>4575</v>
      </c>
      <c r="F681" s="1" t="s">
        <v>28</v>
      </c>
      <c r="G681" s="1" t="s">
        <v>3540</v>
      </c>
      <c r="H681" s="1"/>
      <c r="I681" s="1">
        <v>1</v>
      </c>
      <c r="J681" s="1" t="s">
        <v>3541</v>
      </c>
      <c r="K681" s="1" t="s">
        <v>135</v>
      </c>
      <c r="L681" s="1" t="s">
        <v>210</v>
      </c>
      <c r="M681" s="1" t="s">
        <v>3542</v>
      </c>
      <c r="N681" s="2">
        <v>41275</v>
      </c>
      <c r="O681" s="1"/>
      <c r="P681" s="1"/>
      <c r="Q681" s="1" t="s">
        <v>34</v>
      </c>
      <c r="R681" s="1"/>
      <c r="S681" s="1" t="s">
        <v>35</v>
      </c>
      <c r="T681" s="1">
        <v>43.489218000000001</v>
      </c>
      <c r="U681" s="1">
        <v>-72.902582999999893</v>
      </c>
      <c r="V681" s="1" t="s">
        <v>3543</v>
      </c>
      <c r="W681" s="1"/>
      <c r="X681" s="1" t="s">
        <v>37</v>
      </c>
      <c r="Y681" s="1" t="s">
        <v>213</v>
      </c>
      <c r="Z681" s="1">
        <v>5738</v>
      </c>
    </row>
    <row r="682" spans="1:26" ht="42">
      <c r="A682" s="1" t="str">
        <f>"000KP6"</f>
        <v>000KP6</v>
      </c>
      <c r="B682" s="1" t="s">
        <v>3544</v>
      </c>
      <c r="C682" s="1" t="s">
        <v>3545</v>
      </c>
      <c r="D682" s="1" t="str">
        <f>"8028934706"</f>
        <v>8028934706</v>
      </c>
      <c r="E682" s="1">
        <v>4579</v>
      </c>
      <c r="F682" s="1" t="s">
        <v>28</v>
      </c>
      <c r="G682" s="1" t="s">
        <v>3546</v>
      </c>
      <c r="H682" s="1"/>
      <c r="I682" s="1">
        <v>6</v>
      </c>
      <c r="J682" s="1" t="s">
        <v>3547</v>
      </c>
      <c r="K682" s="1" t="s">
        <v>43</v>
      </c>
      <c r="L682" s="1" t="s">
        <v>86</v>
      </c>
      <c r="M682" s="1" t="s">
        <v>3548</v>
      </c>
      <c r="N682" s="2">
        <v>41448</v>
      </c>
      <c r="O682" s="1"/>
      <c r="P682" s="1"/>
      <c r="Q682" s="1" t="s">
        <v>34</v>
      </c>
      <c r="R682" s="1"/>
      <c r="S682" s="1" t="s">
        <v>35</v>
      </c>
      <c r="T682" s="1"/>
      <c r="U682" s="1"/>
      <c r="V682" s="1" t="s">
        <v>3549</v>
      </c>
      <c r="W682" s="1"/>
      <c r="X682" s="1" t="s">
        <v>37</v>
      </c>
      <c r="Y682" s="1" t="s">
        <v>89</v>
      </c>
      <c r="Z682" s="1" t="s">
        <v>3550</v>
      </c>
    </row>
    <row r="683" spans="1:26" ht="42">
      <c r="A683" s="1" t="str">
        <f>"000KPD"</f>
        <v>000KPD</v>
      </c>
      <c r="B683" s="1" t="s">
        <v>3551</v>
      </c>
      <c r="C683" s="1" t="s">
        <v>3552</v>
      </c>
      <c r="D683" s="1" t="str">
        <f>"8027489381"</f>
        <v>8027489381</v>
      </c>
      <c r="E683" s="1">
        <v>4584</v>
      </c>
      <c r="F683" s="1" t="s">
        <v>28</v>
      </c>
      <c r="G683" s="1" t="s">
        <v>3553</v>
      </c>
      <c r="H683" s="1"/>
      <c r="I683" s="1">
        <v>1</v>
      </c>
      <c r="J683" s="1" t="s">
        <v>3554</v>
      </c>
      <c r="K683" s="1" t="s">
        <v>59</v>
      </c>
      <c r="L683" s="1" t="s">
        <v>2466</v>
      </c>
      <c r="M683" s="1" t="s">
        <v>3555</v>
      </c>
      <c r="N683" s="2">
        <v>41460</v>
      </c>
      <c r="O683" s="1"/>
      <c r="P683" s="2">
        <v>41858</v>
      </c>
      <c r="Q683" s="1" t="s">
        <v>34</v>
      </c>
      <c r="R683" s="1"/>
      <c r="S683" s="1" t="s">
        <v>35</v>
      </c>
      <c r="T683" s="1">
        <v>44.464390000000002</v>
      </c>
      <c r="U683" s="1">
        <v>-72.050439999999895</v>
      </c>
      <c r="V683" s="1" t="s">
        <v>3556</v>
      </c>
      <c r="W683" s="1"/>
      <c r="X683" s="1" t="s">
        <v>37</v>
      </c>
      <c r="Y683" s="1" t="s">
        <v>2469</v>
      </c>
      <c r="Z683" s="1">
        <v>5819</v>
      </c>
    </row>
    <row r="684" spans="1:26" ht="42">
      <c r="A684" s="1" t="str">
        <f>"000KPF"</f>
        <v>000KPF</v>
      </c>
      <c r="B684" s="1" t="s">
        <v>3557</v>
      </c>
      <c r="C684" s="1" t="s">
        <v>3558</v>
      </c>
      <c r="D684" s="1" t="str">
        <f>"8027483688"</f>
        <v>8027483688</v>
      </c>
      <c r="E684" s="1">
        <v>4585</v>
      </c>
      <c r="F684" s="1" t="s">
        <v>28</v>
      </c>
      <c r="G684" s="1" t="s">
        <v>3559</v>
      </c>
      <c r="H684" s="1"/>
      <c r="I684" s="1">
        <v>1</v>
      </c>
      <c r="J684" s="1" t="s">
        <v>3560</v>
      </c>
      <c r="K684" s="1" t="s">
        <v>59</v>
      </c>
      <c r="L684" s="1" t="s">
        <v>2466</v>
      </c>
      <c r="M684" s="1" t="s">
        <v>3561</v>
      </c>
      <c r="N684" s="2">
        <v>41458</v>
      </c>
      <c r="O684" s="1"/>
      <c r="P684" s="1"/>
      <c r="Q684" s="1" t="s">
        <v>34</v>
      </c>
      <c r="R684" s="1"/>
      <c r="S684" s="1" t="s">
        <v>35</v>
      </c>
      <c r="T684" s="1">
        <v>44.464821000000001</v>
      </c>
      <c r="U684" s="1">
        <v>-72.050315999999995</v>
      </c>
      <c r="V684" s="1" t="s">
        <v>3556</v>
      </c>
      <c r="W684" s="1"/>
      <c r="X684" s="1" t="s">
        <v>37</v>
      </c>
      <c r="Y684" s="1" t="s">
        <v>2469</v>
      </c>
      <c r="Z684" s="1">
        <v>5819</v>
      </c>
    </row>
    <row r="685" spans="1:26" ht="42">
      <c r="A685" s="1" t="str">
        <f>"000KPG"</f>
        <v>000KPG</v>
      </c>
      <c r="B685" s="1" t="s">
        <v>3562</v>
      </c>
      <c r="C685" s="1" t="s">
        <v>3563</v>
      </c>
      <c r="D685" s="1" t="str">
        <f>"8024753440"</f>
        <v>8024753440</v>
      </c>
      <c r="E685" s="1">
        <v>4586</v>
      </c>
      <c r="F685" s="1" t="s">
        <v>28</v>
      </c>
      <c r="G685" s="1" t="s">
        <v>3564</v>
      </c>
      <c r="H685" s="1"/>
      <c r="I685" s="1">
        <v>3</v>
      </c>
      <c r="J685" s="1" t="s">
        <v>3565</v>
      </c>
      <c r="K685" s="1" t="s">
        <v>333</v>
      </c>
      <c r="L685" s="1" t="s">
        <v>679</v>
      </c>
      <c r="M685" s="1" t="s">
        <v>3566</v>
      </c>
      <c r="N685" s="2">
        <v>41477</v>
      </c>
      <c r="O685" s="1"/>
      <c r="P685" s="1"/>
      <c r="Q685" s="1" t="s">
        <v>34</v>
      </c>
      <c r="R685" s="1"/>
      <c r="S685" s="1" t="s">
        <v>35</v>
      </c>
      <c r="T685" s="1">
        <v>44.1637123</v>
      </c>
      <c r="U685" s="1">
        <v>-73.288940299999894</v>
      </c>
      <c r="V685" s="1" t="s">
        <v>3567</v>
      </c>
      <c r="W685" s="1"/>
      <c r="X685" s="1" t="s">
        <v>37</v>
      </c>
      <c r="Y685" s="1" t="s">
        <v>3568</v>
      </c>
      <c r="Z685" s="1">
        <v>5456</v>
      </c>
    </row>
    <row r="686" spans="1:26" ht="42">
      <c r="A686" s="1" t="str">
        <f>"000KQK"</f>
        <v>000KQK</v>
      </c>
      <c r="B686" s="1" t="s">
        <v>3569</v>
      </c>
      <c r="C686" s="1" t="s">
        <v>3570</v>
      </c>
      <c r="D686" s="1" t="str">
        <f>"8023453831"</f>
        <v>8023453831</v>
      </c>
      <c r="E686" s="1">
        <v>4591</v>
      </c>
      <c r="F686" s="1" t="s">
        <v>28</v>
      </c>
      <c r="G686" s="1" t="s">
        <v>3571</v>
      </c>
      <c r="H686" s="1"/>
      <c r="I686" s="1">
        <v>1</v>
      </c>
      <c r="J686" s="1" t="s">
        <v>3572</v>
      </c>
      <c r="K686" s="1" t="s">
        <v>135</v>
      </c>
      <c r="L686" s="1" t="s">
        <v>1231</v>
      </c>
      <c r="M686" s="1" t="s">
        <v>3573</v>
      </c>
      <c r="N686" s="2">
        <v>41486</v>
      </c>
      <c r="O686" s="1"/>
      <c r="P686" s="1"/>
      <c r="Q686" s="1" t="s">
        <v>34</v>
      </c>
      <c r="R686" s="1"/>
      <c r="S686" s="1" t="s">
        <v>35</v>
      </c>
      <c r="T686" s="1">
        <v>43.693080994706698</v>
      </c>
      <c r="U686" s="1">
        <v>-73.008913993835407</v>
      </c>
      <c r="V686" s="1" t="s">
        <v>3574</v>
      </c>
      <c r="W686" s="1"/>
      <c r="X686" s="1" t="s">
        <v>37</v>
      </c>
      <c r="Y686" s="1" t="s">
        <v>1238</v>
      </c>
      <c r="Z686" s="1">
        <v>5763</v>
      </c>
    </row>
    <row r="687" spans="1:26" ht="42">
      <c r="A687" s="1" t="str">
        <f>"000KWH"</f>
        <v>000KWH</v>
      </c>
      <c r="B687" s="1" t="s">
        <v>3575</v>
      </c>
      <c r="C687" s="1" t="s">
        <v>3576</v>
      </c>
      <c r="D687" s="1" t="str">
        <f>"8024532381"</f>
        <v>8024532381</v>
      </c>
      <c r="E687" s="1">
        <v>4871</v>
      </c>
      <c r="F687" s="1" t="s">
        <v>28</v>
      </c>
      <c r="G687" s="1" t="s">
        <v>3577</v>
      </c>
      <c r="H687" s="1"/>
      <c r="I687" s="1">
        <v>5</v>
      </c>
      <c r="J687" s="1" t="s">
        <v>3578</v>
      </c>
      <c r="K687" s="1" t="s">
        <v>333</v>
      </c>
      <c r="L687" s="1" t="s">
        <v>687</v>
      </c>
      <c r="M687" s="1" t="s">
        <v>3579</v>
      </c>
      <c r="N687" s="2">
        <v>42157</v>
      </c>
      <c r="O687" s="1"/>
      <c r="P687" s="1"/>
      <c r="Q687" s="1" t="s">
        <v>34</v>
      </c>
      <c r="R687" s="1"/>
      <c r="S687" s="1" t="s">
        <v>35</v>
      </c>
      <c r="T687" s="1">
        <v>44.119615000000003</v>
      </c>
      <c r="U687" s="1">
        <v>-73.212192999999999</v>
      </c>
      <c r="V687" s="1" t="s">
        <v>3580</v>
      </c>
      <c r="W687" s="1"/>
      <c r="X687" s="1" t="s">
        <v>37</v>
      </c>
      <c r="Y687" s="1" t="s">
        <v>795</v>
      </c>
      <c r="Z687" s="1">
        <v>5472</v>
      </c>
    </row>
    <row r="688" spans="1:26" ht="42">
      <c r="A688" s="1" t="str">
        <f>"000M19"</f>
        <v>000M19</v>
      </c>
      <c r="B688" s="1" t="s">
        <v>3581</v>
      </c>
      <c r="C688" s="1" t="s">
        <v>3582</v>
      </c>
      <c r="D688" s="1" t="str">
        <f>"8024574342"</f>
        <v>8024574342</v>
      </c>
      <c r="E688" s="1">
        <v>4603</v>
      </c>
      <c r="F688" s="1" t="s">
        <v>28</v>
      </c>
      <c r="G688" s="1" t="s">
        <v>3583</v>
      </c>
      <c r="H688" s="1"/>
      <c r="I688" s="1">
        <v>11</v>
      </c>
      <c r="J688" s="1" t="s">
        <v>3584</v>
      </c>
      <c r="K688" s="1" t="s">
        <v>77</v>
      </c>
      <c r="L688" s="1" t="s">
        <v>403</v>
      </c>
      <c r="M688" s="1" t="s">
        <v>3585</v>
      </c>
      <c r="N688" s="2">
        <v>41479</v>
      </c>
      <c r="O688" s="1"/>
      <c r="P688" s="2">
        <v>42909</v>
      </c>
      <c r="Q688" s="1" t="s">
        <v>34</v>
      </c>
      <c r="R688" s="1"/>
      <c r="S688" s="1" t="s">
        <v>35</v>
      </c>
      <c r="T688" s="1">
        <v>43.600575378499698</v>
      </c>
      <c r="U688" s="1">
        <v>-72.4887371063232</v>
      </c>
      <c r="V688" s="1" t="s">
        <v>3586</v>
      </c>
      <c r="W688" s="1"/>
      <c r="X688" s="1" t="s">
        <v>37</v>
      </c>
      <c r="Y688" s="1" t="s">
        <v>406</v>
      </c>
      <c r="Z688" s="1">
        <v>5091</v>
      </c>
    </row>
    <row r="689" spans="1:26" ht="42">
      <c r="A689" s="1" t="str">
        <f>"000M1B"</f>
        <v>000M1B</v>
      </c>
      <c r="B689" s="1" t="s">
        <v>3587</v>
      </c>
      <c r="C689" s="1" t="s">
        <v>3588</v>
      </c>
      <c r="D689" s="1" t="str">
        <f>"8024399191"</f>
        <v>8024399191</v>
      </c>
      <c r="E689" s="1">
        <v>4605</v>
      </c>
      <c r="F689" s="1" t="s">
        <v>28</v>
      </c>
      <c r="G689" s="1" t="s">
        <v>3589</v>
      </c>
      <c r="H689" s="1"/>
      <c r="I689" s="1">
        <v>3</v>
      </c>
      <c r="J689" s="1" t="s">
        <v>3590</v>
      </c>
      <c r="K689" s="1" t="s">
        <v>68</v>
      </c>
      <c r="L689" s="1" t="s">
        <v>2111</v>
      </c>
      <c r="M689" s="1" t="s">
        <v>3591</v>
      </c>
      <c r="N689" s="2">
        <v>41488</v>
      </c>
      <c r="O689" s="1"/>
      <c r="P689" s="2">
        <v>42937</v>
      </c>
      <c r="Q689" s="1" t="s">
        <v>34</v>
      </c>
      <c r="R689" s="1"/>
      <c r="S689" s="1" t="s">
        <v>35</v>
      </c>
      <c r="T689" s="1">
        <v>43.993178999999998</v>
      </c>
      <c r="U689" s="1">
        <v>-72.257583999999994</v>
      </c>
      <c r="V689" s="1" t="s">
        <v>3592</v>
      </c>
      <c r="W689" s="1"/>
      <c r="X689" s="1" t="s">
        <v>37</v>
      </c>
      <c r="Y689" s="1" t="s">
        <v>2114</v>
      </c>
      <c r="Z689" s="1">
        <v>5039</v>
      </c>
    </row>
    <row r="690" spans="1:26" ht="42">
      <c r="A690" s="1" t="str">
        <f>"000M5V"</f>
        <v>000M5V</v>
      </c>
      <c r="B690" s="1" t="s">
        <v>3593</v>
      </c>
      <c r="C690" s="1" t="s">
        <v>3594</v>
      </c>
      <c r="D690" s="1" t="str">
        <f>"6178342832"</f>
        <v>6178342832</v>
      </c>
      <c r="E690" s="1">
        <v>4609</v>
      </c>
      <c r="F690" s="1" t="s">
        <v>28</v>
      </c>
      <c r="G690" s="1" t="s">
        <v>3595</v>
      </c>
      <c r="H690" s="1"/>
      <c r="I690" s="1">
        <v>8</v>
      </c>
      <c r="J690" s="1" t="s">
        <v>3596</v>
      </c>
      <c r="K690" s="1" t="s">
        <v>187</v>
      </c>
      <c r="L690" s="1" t="s">
        <v>392</v>
      </c>
      <c r="M690" s="1" t="s">
        <v>3597</v>
      </c>
      <c r="N690" s="2">
        <v>41586</v>
      </c>
      <c r="O690" s="1"/>
      <c r="P690" s="1"/>
      <c r="Q690" s="1" t="s">
        <v>34</v>
      </c>
      <c r="R690" s="1"/>
      <c r="S690" s="1" t="s">
        <v>35</v>
      </c>
      <c r="T690" s="1">
        <v>43.159720999999998</v>
      </c>
      <c r="U690" s="1">
        <v>-73.0310668999999</v>
      </c>
      <c r="V690" s="1" t="s">
        <v>3598</v>
      </c>
      <c r="W690" s="1"/>
      <c r="X690" s="1" t="s">
        <v>37</v>
      </c>
      <c r="Y690" s="1" t="s">
        <v>3599</v>
      </c>
      <c r="Z690" s="1">
        <v>5255</v>
      </c>
    </row>
    <row r="691" spans="1:26" ht="42">
      <c r="A691" s="1" t="str">
        <f>"000M5X"</f>
        <v>000M5X</v>
      </c>
      <c r="B691" s="1" t="s">
        <v>3600</v>
      </c>
      <c r="C691" s="1" t="s">
        <v>3601</v>
      </c>
      <c r="D691" s="1" t="str">
        <f>"8022879393"</f>
        <v>8022879393</v>
      </c>
      <c r="E691" s="1">
        <v>4611</v>
      </c>
      <c r="F691" s="1" t="s">
        <v>28</v>
      </c>
      <c r="G691" s="1" t="s">
        <v>3602</v>
      </c>
      <c r="H691" s="1"/>
      <c r="I691" s="1">
        <v>2</v>
      </c>
      <c r="J691" s="1" t="s">
        <v>3603</v>
      </c>
      <c r="K691" s="1" t="s">
        <v>135</v>
      </c>
      <c r="L691" s="1" t="s">
        <v>136</v>
      </c>
      <c r="M691" s="1" t="s">
        <v>3604</v>
      </c>
      <c r="N691" s="2">
        <v>41362</v>
      </c>
      <c r="O691" s="1"/>
      <c r="P691" s="1"/>
      <c r="Q691" s="1" t="s">
        <v>34</v>
      </c>
      <c r="R691" s="1"/>
      <c r="S691" s="1" t="s">
        <v>35</v>
      </c>
      <c r="T691" s="1">
        <v>43.540652999999999</v>
      </c>
      <c r="U691" s="1">
        <v>-73.211158999999995</v>
      </c>
      <c r="V691" s="1" t="s">
        <v>3605</v>
      </c>
      <c r="W691" s="1"/>
      <c r="X691" s="1" t="s">
        <v>37</v>
      </c>
      <c r="Y691" s="1" t="s">
        <v>139</v>
      </c>
      <c r="Z691" s="1">
        <v>5764</v>
      </c>
    </row>
    <row r="692" spans="1:26" ht="42">
      <c r="A692" s="1" t="str">
        <f>"000M7Z"</f>
        <v>000M7Z</v>
      </c>
      <c r="B692" s="1" t="s">
        <v>3606</v>
      </c>
      <c r="C692" s="1" t="s">
        <v>3607</v>
      </c>
      <c r="D692" s="1" t="str">
        <f>"8024859242"</f>
        <v>8024859242</v>
      </c>
      <c r="E692" s="1">
        <v>4621</v>
      </c>
      <c r="F692" s="1" t="s">
        <v>28</v>
      </c>
      <c r="G692" s="1" t="s">
        <v>3608</v>
      </c>
      <c r="H692" s="1"/>
      <c r="I692" s="1">
        <v>5</v>
      </c>
      <c r="J692" s="1" t="s">
        <v>3609</v>
      </c>
      <c r="K692" s="1" t="s">
        <v>31</v>
      </c>
      <c r="L692" s="1" t="s">
        <v>702</v>
      </c>
      <c r="M692" s="1" t="s">
        <v>3610</v>
      </c>
      <c r="N692" s="2">
        <v>41660</v>
      </c>
      <c r="O692" s="1"/>
      <c r="P692" s="2">
        <v>41857</v>
      </c>
      <c r="Q692" s="1" t="s">
        <v>34</v>
      </c>
      <c r="R692" s="1"/>
      <c r="S692" s="1" t="s">
        <v>35</v>
      </c>
      <c r="T692" s="1">
        <v>44.155189999999997</v>
      </c>
      <c r="U692" s="1">
        <v>-72.728880000000004</v>
      </c>
      <c r="V692" s="1" t="s">
        <v>3611</v>
      </c>
      <c r="W692" s="1"/>
      <c r="X692" s="1" t="s">
        <v>37</v>
      </c>
      <c r="Y692" s="1" t="s">
        <v>705</v>
      </c>
      <c r="Z692" s="1">
        <v>5663</v>
      </c>
    </row>
    <row r="693" spans="1:26" ht="42">
      <c r="A693" s="1" t="str">
        <f>"000M7Z"</f>
        <v>000M7Z</v>
      </c>
      <c r="B693" s="1" t="s">
        <v>3606</v>
      </c>
      <c r="C693" s="1" t="s">
        <v>3607</v>
      </c>
      <c r="D693" s="1" t="str">
        <f>"8024859242"</f>
        <v>8024859242</v>
      </c>
      <c r="E693" s="1">
        <v>4621</v>
      </c>
      <c r="F693" s="1" t="s">
        <v>28</v>
      </c>
      <c r="G693" s="1" t="s">
        <v>3612</v>
      </c>
      <c r="H693" s="1"/>
      <c r="I693" s="1">
        <v>1</v>
      </c>
      <c r="J693" s="1" t="s">
        <v>3613</v>
      </c>
      <c r="K693" s="1" t="s">
        <v>31</v>
      </c>
      <c r="L693" s="1" t="s">
        <v>884</v>
      </c>
      <c r="M693" s="1" t="s">
        <v>3614</v>
      </c>
      <c r="N693" s="2">
        <v>42893</v>
      </c>
      <c r="O693" s="1"/>
      <c r="P693" s="1"/>
      <c r="Q693" s="1" t="s">
        <v>34</v>
      </c>
      <c r="R693" s="1"/>
      <c r="S693" s="1" t="s">
        <v>35</v>
      </c>
      <c r="T693" s="1"/>
      <c r="U693" s="1"/>
      <c r="V693" s="1" t="s">
        <v>3615</v>
      </c>
      <c r="W693" s="1"/>
      <c r="X693" s="1" t="s">
        <v>37</v>
      </c>
      <c r="Y693" s="1" t="s">
        <v>887</v>
      </c>
      <c r="Z693" s="1">
        <v>5667</v>
      </c>
    </row>
    <row r="694" spans="1:26" ht="42">
      <c r="A694" s="1" t="str">
        <f>"000M83"</f>
        <v>000M83</v>
      </c>
      <c r="B694" s="1" t="s">
        <v>3616</v>
      </c>
      <c r="C694" s="1" t="s">
        <v>3617</v>
      </c>
      <c r="D694" s="1" t="str">
        <f>"8025373294"</f>
        <v>8025373294</v>
      </c>
      <c r="E694" s="1">
        <v>4622</v>
      </c>
      <c r="F694" s="1" t="s">
        <v>28</v>
      </c>
      <c r="G694" s="1" t="s">
        <v>3618</v>
      </c>
      <c r="H694" s="1">
        <v>2704</v>
      </c>
      <c r="I694" s="1">
        <v>24</v>
      </c>
      <c r="J694" s="1" t="s">
        <v>3619</v>
      </c>
      <c r="K694" s="1" t="s">
        <v>135</v>
      </c>
      <c r="L694" s="1" t="s">
        <v>3049</v>
      </c>
      <c r="M694" s="1" t="s">
        <v>3620</v>
      </c>
      <c r="N694" s="2">
        <v>36892</v>
      </c>
      <c r="O694" s="1"/>
      <c r="P694" s="1"/>
      <c r="Q694" s="1" t="s">
        <v>34</v>
      </c>
      <c r="R694" s="1"/>
      <c r="S694" s="1" t="s">
        <v>35</v>
      </c>
      <c r="T694" s="1">
        <v>43.730939999999997</v>
      </c>
      <c r="U694" s="1">
        <v>-73.360699999999994</v>
      </c>
      <c r="V694" s="1" t="s">
        <v>3621</v>
      </c>
      <c r="W694" s="1"/>
      <c r="X694" s="1" t="s">
        <v>37</v>
      </c>
      <c r="Y694" s="1" t="s">
        <v>3052</v>
      </c>
      <c r="Z694" s="1">
        <v>0</v>
      </c>
    </row>
    <row r="695" spans="1:26" ht="42">
      <c r="A695" s="1" t="str">
        <f>"000M83"</f>
        <v>000M83</v>
      </c>
      <c r="B695" s="1" t="s">
        <v>3616</v>
      </c>
      <c r="C695" s="1" t="s">
        <v>3617</v>
      </c>
      <c r="D695" s="1" t="str">
        <f>"8025373294"</f>
        <v>8025373294</v>
      </c>
      <c r="E695" s="1">
        <v>4622</v>
      </c>
      <c r="F695" s="1" t="s">
        <v>28</v>
      </c>
      <c r="G695" s="1" t="s">
        <v>3622</v>
      </c>
      <c r="H695" s="1">
        <v>3443</v>
      </c>
      <c r="I695" s="1">
        <v>14</v>
      </c>
      <c r="J695" s="1" t="s">
        <v>3623</v>
      </c>
      <c r="K695" s="1" t="s">
        <v>135</v>
      </c>
      <c r="L695" s="1" t="s">
        <v>3624</v>
      </c>
      <c r="M695" s="1" t="s">
        <v>3625</v>
      </c>
      <c r="N695" s="2">
        <v>36892</v>
      </c>
      <c r="O695" s="1"/>
      <c r="P695" s="2">
        <v>43230</v>
      </c>
      <c r="Q695" s="1" t="s">
        <v>34</v>
      </c>
      <c r="R695" s="1"/>
      <c r="S695" s="1" t="s">
        <v>35</v>
      </c>
      <c r="T695" s="1">
        <v>43.645087542571602</v>
      </c>
      <c r="U695" s="1">
        <v>-73.393456935882497</v>
      </c>
      <c r="V695" s="1" t="s">
        <v>3626</v>
      </c>
      <c r="W695" s="1"/>
      <c r="X695" s="1" t="s">
        <v>37</v>
      </c>
      <c r="Y695" s="1" t="s">
        <v>3627</v>
      </c>
      <c r="Z695" s="1">
        <v>0</v>
      </c>
    </row>
    <row r="696" spans="1:26" ht="42">
      <c r="A696" s="1" t="str">
        <f>"000M83"</f>
        <v>000M83</v>
      </c>
      <c r="B696" s="1" t="s">
        <v>3616</v>
      </c>
      <c r="C696" s="1" t="s">
        <v>3617</v>
      </c>
      <c r="D696" s="1" t="str">
        <f>"8025373294"</f>
        <v>8025373294</v>
      </c>
      <c r="E696" s="1">
        <v>4622</v>
      </c>
      <c r="F696" s="1" t="s">
        <v>28</v>
      </c>
      <c r="G696" s="1" t="s">
        <v>3628</v>
      </c>
      <c r="H696" s="1">
        <v>4443</v>
      </c>
      <c r="I696" s="1">
        <v>26</v>
      </c>
      <c r="J696" s="1" t="s">
        <v>3629</v>
      </c>
      <c r="K696" s="1" t="s">
        <v>135</v>
      </c>
      <c r="L696" s="1" t="s">
        <v>3624</v>
      </c>
      <c r="M696" s="1" t="s">
        <v>3630</v>
      </c>
      <c r="N696" s="2">
        <v>36892</v>
      </c>
      <c r="O696" s="1"/>
      <c r="P696" s="1"/>
      <c r="Q696" s="1" t="s">
        <v>34</v>
      </c>
      <c r="R696" s="1"/>
      <c r="S696" s="1" t="s">
        <v>35</v>
      </c>
      <c r="T696" s="1">
        <v>43.662410000000001</v>
      </c>
      <c r="U696" s="1">
        <v>-73.374719999999996</v>
      </c>
      <c r="V696" s="1" t="s">
        <v>3631</v>
      </c>
      <c r="W696" s="1"/>
      <c r="X696" s="1" t="s">
        <v>37</v>
      </c>
      <c r="Y696" s="1" t="s">
        <v>3627</v>
      </c>
      <c r="Z696" s="1">
        <v>0</v>
      </c>
    </row>
    <row r="697" spans="1:26" ht="42">
      <c r="A697" s="1" t="str">
        <f>"000M83"</f>
        <v>000M83</v>
      </c>
      <c r="B697" s="1" t="s">
        <v>3616</v>
      </c>
      <c r="C697" s="1" t="s">
        <v>3617</v>
      </c>
      <c r="D697" s="1" t="str">
        <f>"8025373294"</f>
        <v>8025373294</v>
      </c>
      <c r="E697" s="1">
        <v>4622</v>
      </c>
      <c r="F697" s="1" t="s">
        <v>28</v>
      </c>
      <c r="G697" s="1" t="s">
        <v>3632</v>
      </c>
      <c r="H697" s="1"/>
      <c r="I697" s="1">
        <v>50</v>
      </c>
      <c r="J697" s="1" t="s">
        <v>3633</v>
      </c>
      <c r="K697" s="1" t="s">
        <v>135</v>
      </c>
      <c r="L697" s="1" t="s">
        <v>3049</v>
      </c>
      <c r="M697" s="1" t="s">
        <v>3634</v>
      </c>
      <c r="N697" s="2">
        <v>41661</v>
      </c>
      <c r="O697" s="1"/>
      <c r="P697" s="2">
        <v>42501</v>
      </c>
      <c r="Q697" s="1" t="s">
        <v>34</v>
      </c>
      <c r="R697" s="1"/>
      <c r="S697" s="1" t="s">
        <v>35</v>
      </c>
      <c r="T697" s="1">
        <v>43.695234800000001</v>
      </c>
      <c r="U697" s="1">
        <v>-73.332007999999902</v>
      </c>
      <c r="V697" s="1" t="s">
        <v>3635</v>
      </c>
      <c r="W697" s="1"/>
      <c r="X697" s="1" t="s">
        <v>37</v>
      </c>
      <c r="Y697" s="1" t="s">
        <v>3052</v>
      </c>
      <c r="Z697" s="1">
        <v>5743</v>
      </c>
    </row>
    <row r="698" spans="1:26" ht="42">
      <c r="A698" s="1" t="str">
        <f>"000M83"</f>
        <v>000M83</v>
      </c>
      <c r="B698" s="1" t="s">
        <v>3616</v>
      </c>
      <c r="C698" s="1" t="s">
        <v>3617</v>
      </c>
      <c r="D698" s="1" t="str">
        <f>"8025373294"</f>
        <v>8025373294</v>
      </c>
      <c r="E698" s="1">
        <v>4622</v>
      </c>
      <c r="F698" s="1" t="s">
        <v>28</v>
      </c>
      <c r="G698" s="1" t="s">
        <v>3636</v>
      </c>
      <c r="H698" s="1"/>
      <c r="I698" s="1">
        <v>28</v>
      </c>
      <c r="J698" s="1" t="s">
        <v>3637</v>
      </c>
      <c r="K698" s="1" t="s">
        <v>135</v>
      </c>
      <c r="L698" s="1" t="s">
        <v>3624</v>
      </c>
      <c r="M698" s="1" t="s">
        <v>3638</v>
      </c>
      <c r="N698" s="2">
        <v>41760</v>
      </c>
      <c r="O698" s="1"/>
      <c r="P698" s="2">
        <v>41773</v>
      </c>
      <c r="Q698" s="1" t="s">
        <v>34</v>
      </c>
      <c r="R698" s="1"/>
      <c r="S698" s="1" t="s">
        <v>35</v>
      </c>
      <c r="T698" s="1">
        <v>43.649041074884501</v>
      </c>
      <c r="U698" s="1">
        <v>-73.345713615417395</v>
      </c>
      <c r="V698" s="1" t="s">
        <v>3639</v>
      </c>
      <c r="W698" s="1"/>
      <c r="X698" s="1" t="s">
        <v>37</v>
      </c>
      <c r="Y698" s="1" t="s">
        <v>3627</v>
      </c>
      <c r="Z698" s="1">
        <v>5743</v>
      </c>
    </row>
    <row r="699" spans="1:26" ht="42">
      <c r="A699" s="1" t="str">
        <f>"000M83"</f>
        <v>000M83</v>
      </c>
      <c r="B699" s="1" t="s">
        <v>3616</v>
      </c>
      <c r="C699" s="1" t="s">
        <v>3617</v>
      </c>
      <c r="D699" s="1" t="str">
        <f>"8025373294"</f>
        <v>8025373294</v>
      </c>
      <c r="E699" s="1">
        <v>4622</v>
      </c>
      <c r="F699" s="1" t="s">
        <v>28</v>
      </c>
      <c r="G699" s="1" t="s">
        <v>3640</v>
      </c>
      <c r="H699" s="1"/>
      <c r="I699" s="1">
        <v>50</v>
      </c>
      <c r="J699" s="1" t="s">
        <v>3641</v>
      </c>
      <c r="K699" s="1" t="s">
        <v>135</v>
      </c>
      <c r="L699" s="1" t="s">
        <v>3049</v>
      </c>
      <c r="M699" s="1" t="s">
        <v>3642</v>
      </c>
      <c r="N699" s="2">
        <v>42201</v>
      </c>
      <c r="O699" s="1"/>
      <c r="P699" s="2">
        <v>42180</v>
      </c>
      <c r="Q699" s="1" t="s">
        <v>34</v>
      </c>
      <c r="R699" s="1"/>
      <c r="S699" s="1" t="s">
        <v>35</v>
      </c>
      <c r="T699" s="1">
        <v>43.684849731905999</v>
      </c>
      <c r="U699" s="1">
        <v>-73.373630046844397</v>
      </c>
      <c r="V699" s="1" t="s">
        <v>3643</v>
      </c>
      <c r="W699" s="1"/>
      <c r="X699" s="1" t="s">
        <v>37</v>
      </c>
      <c r="Y699" s="1" t="s">
        <v>3052</v>
      </c>
      <c r="Z699" s="1">
        <v>0</v>
      </c>
    </row>
    <row r="700" spans="1:26" ht="42">
      <c r="A700" s="1" t="str">
        <f>"000M83"</f>
        <v>000M83</v>
      </c>
      <c r="B700" s="1" t="s">
        <v>3616</v>
      </c>
      <c r="C700" s="1" t="s">
        <v>3617</v>
      </c>
      <c r="D700" s="1" t="str">
        <f>"8025373294"</f>
        <v>8025373294</v>
      </c>
      <c r="E700" s="1">
        <v>4622</v>
      </c>
      <c r="F700" s="1" t="s">
        <v>28</v>
      </c>
      <c r="G700" s="1" t="s">
        <v>3644</v>
      </c>
      <c r="H700" s="1"/>
      <c r="I700" s="1">
        <v>60</v>
      </c>
      <c r="J700" s="1" t="s">
        <v>3645</v>
      </c>
      <c r="K700" s="1" t="s">
        <v>135</v>
      </c>
      <c r="L700" s="1" t="s">
        <v>3049</v>
      </c>
      <c r="M700" s="1" t="s">
        <v>3645</v>
      </c>
      <c r="N700" s="2">
        <v>42739</v>
      </c>
      <c r="O700" s="1"/>
      <c r="P700" s="1"/>
      <c r="Q700" s="1" t="s">
        <v>34</v>
      </c>
      <c r="R700" s="1"/>
      <c r="S700" s="1" t="s">
        <v>35</v>
      </c>
      <c r="T700" s="1"/>
      <c r="U700" s="1"/>
      <c r="V700" s="1" t="s">
        <v>158</v>
      </c>
      <c r="W700" s="1"/>
      <c r="X700" s="1" t="s">
        <v>37</v>
      </c>
      <c r="Y700" s="1" t="s">
        <v>3052</v>
      </c>
      <c r="Z700" s="1">
        <v>0</v>
      </c>
    </row>
    <row r="701" spans="1:26" ht="42">
      <c r="A701" s="1" t="str">
        <f>"000M83"</f>
        <v>000M83</v>
      </c>
      <c r="B701" s="1" t="s">
        <v>3616</v>
      </c>
      <c r="C701" s="1" t="s">
        <v>3617</v>
      </c>
      <c r="D701" s="1" t="str">
        <f>"8025373294"</f>
        <v>8025373294</v>
      </c>
      <c r="E701" s="1">
        <v>4622</v>
      </c>
      <c r="F701" s="1" t="s">
        <v>28</v>
      </c>
      <c r="G701" s="1" t="s">
        <v>3646</v>
      </c>
      <c r="H701" s="1"/>
      <c r="I701" s="1">
        <v>60</v>
      </c>
      <c r="J701" s="1" t="s">
        <v>3647</v>
      </c>
      <c r="K701" s="1" t="s">
        <v>135</v>
      </c>
      <c r="L701" s="1" t="s">
        <v>3049</v>
      </c>
      <c r="M701" s="1" t="s">
        <v>3648</v>
      </c>
      <c r="N701" s="2">
        <v>42739</v>
      </c>
      <c r="O701" s="1"/>
      <c r="P701" s="1"/>
      <c r="Q701" s="1" t="s">
        <v>34</v>
      </c>
      <c r="R701" s="1"/>
      <c r="S701" s="1" t="s">
        <v>35</v>
      </c>
      <c r="T701" s="1"/>
      <c r="U701" s="1"/>
      <c r="V701" s="1" t="s">
        <v>158</v>
      </c>
      <c r="W701" s="1"/>
      <c r="X701" s="1" t="s">
        <v>37</v>
      </c>
      <c r="Y701" s="1" t="s">
        <v>3052</v>
      </c>
      <c r="Z701" s="1">
        <v>5743</v>
      </c>
    </row>
    <row r="702" spans="1:26" ht="42">
      <c r="A702" s="1" t="str">
        <f>"000MBH"</f>
        <v>000MBH</v>
      </c>
      <c r="B702" s="1" t="s">
        <v>3649</v>
      </c>
      <c r="C702" s="1" t="s">
        <v>3650</v>
      </c>
      <c r="D702" s="1" t="str">
        <f>"8028885729"</f>
        <v>8028885729</v>
      </c>
      <c r="E702" s="1">
        <v>4624</v>
      </c>
      <c r="F702" s="1" t="s">
        <v>28</v>
      </c>
      <c r="G702" s="1" t="s">
        <v>3651</v>
      </c>
      <c r="H702" s="1"/>
      <c r="I702" s="1">
        <v>42</v>
      </c>
      <c r="J702" s="1" t="s">
        <v>3652</v>
      </c>
      <c r="K702" s="1" t="s">
        <v>170</v>
      </c>
      <c r="L702" s="1" t="s">
        <v>1769</v>
      </c>
      <c r="M702" s="1" t="s">
        <v>3653</v>
      </c>
      <c r="N702" s="2">
        <v>41734</v>
      </c>
      <c r="O702" s="1"/>
      <c r="P702" s="1"/>
      <c r="Q702" s="1" t="s">
        <v>34</v>
      </c>
      <c r="R702" s="1"/>
      <c r="S702" s="1" t="s">
        <v>35</v>
      </c>
      <c r="T702" s="1">
        <v>44.602055</v>
      </c>
      <c r="U702" s="1">
        <v>-72.541938999999999</v>
      </c>
      <c r="V702" s="1" t="s">
        <v>3654</v>
      </c>
      <c r="W702" s="1"/>
      <c r="X702" s="1" t="s">
        <v>37</v>
      </c>
      <c r="Y702" s="1" t="s">
        <v>1772</v>
      </c>
      <c r="Z702" s="1">
        <v>5655</v>
      </c>
    </row>
    <row r="703" spans="1:26" ht="42">
      <c r="A703" s="1" t="str">
        <f>"000MMH"</f>
        <v>000MMH</v>
      </c>
      <c r="B703" s="1" t="s">
        <v>3655</v>
      </c>
      <c r="C703" s="1" t="s">
        <v>3656</v>
      </c>
      <c r="D703" s="1" t="str">
        <f>"8028978731"</f>
        <v>8028978731</v>
      </c>
      <c r="E703" s="1">
        <v>4628</v>
      </c>
      <c r="F703" s="1" t="s">
        <v>28</v>
      </c>
      <c r="G703" s="1" t="s">
        <v>3657</v>
      </c>
      <c r="H703" s="1"/>
      <c r="I703" s="1">
        <v>3</v>
      </c>
      <c r="J703" s="1" t="s">
        <v>3658</v>
      </c>
      <c r="K703" s="1" t="s">
        <v>333</v>
      </c>
      <c r="L703" s="1" t="s">
        <v>484</v>
      </c>
      <c r="M703" s="1" t="s">
        <v>3659</v>
      </c>
      <c r="N703" s="2">
        <v>41759</v>
      </c>
      <c r="O703" s="1"/>
      <c r="P703" s="2">
        <v>42167</v>
      </c>
      <c r="Q703" s="1" t="s">
        <v>34</v>
      </c>
      <c r="R703" s="1"/>
      <c r="S703" s="1" t="s">
        <v>35</v>
      </c>
      <c r="T703" s="1">
        <v>43.871887000000001</v>
      </c>
      <c r="U703" s="1">
        <v>-73.276534999999896</v>
      </c>
      <c r="V703" s="1" t="s">
        <v>3660</v>
      </c>
      <c r="W703" s="1"/>
      <c r="X703" s="1" t="s">
        <v>37</v>
      </c>
      <c r="Y703" s="1" t="s">
        <v>487</v>
      </c>
      <c r="Z703" s="1">
        <v>5770</v>
      </c>
    </row>
    <row r="704" spans="1:26" ht="42">
      <c r="A704" s="1" t="str">
        <f>"000MN1"</f>
        <v>000MN1</v>
      </c>
      <c r="B704" s="1" t="s">
        <v>3661</v>
      </c>
      <c r="C704" s="1" t="s">
        <v>3662</v>
      </c>
      <c r="D704" s="1" t="str">
        <f>"8022441297"</f>
        <v>8022441297</v>
      </c>
      <c r="E704" s="1">
        <v>4632</v>
      </c>
      <c r="F704" s="1" t="s">
        <v>28</v>
      </c>
      <c r="G704" s="1" t="s">
        <v>3663</v>
      </c>
      <c r="H704" s="1"/>
      <c r="I704" s="1">
        <v>2</v>
      </c>
      <c r="J704" s="1" t="s">
        <v>3664</v>
      </c>
      <c r="K704" s="1" t="s">
        <v>31</v>
      </c>
      <c r="L704" s="1" t="s">
        <v>120</v>
      </c>
      <c r="M704" s="1" t="s">
        <v>3665</v>
      </c>
      <c r="N704" s="2">
        <v>41760</v>
      </c>
      <c r="O704" s="1"/>
      <c r="P704" s="2">
        <v>42170</v>
      </c>
      <c r="Q704" s="1" t="s">
        <v>34</v>
      </c>
      <c r="R704" s="1"/>
      <c r="S704" s="1" t="s">
        <v>35</v>
      </c>
      <c r="T704" s="1">
        <v>44.359951500000001</v>
      </c>
      <c r="U704" s="1">
        <v>-72.717557699999901</v>
      </c>
      <c r="V704" s="1" t="s">
        <v>3666</v>
      </c>
      <c r="W704" s="1"/>
      <c r="X704" s="1" t="s">
        <v>37</v>
      </c>
      <c r="Y704" s="1" t="s">
        <v>123</v>
      </c>
      <c r="Z704" s="1">
        <v>5677</v>
      </c>
    </row>
    <row r="705" spans="1:26" ht="42">
      <c r="A705" s="1" t="str">
        <f>"000MN2"</f>
        <v>000MN2</v>
      </c>
      <c r="B705" s="1" t="s">
        <v>3667</v>
      </c>
      <c r="C705" s="1" t="s">
        <v>3668</v>
      </c>
      <c r="D705" s="1" t="str">
        <f>"8024343059"</f>
        <v>8024343059</v>
      </c>
      <c r="E705" s="1">
        <v>4633</v>
      </c>
      <c r="F705" s="1" t="s">
        <v>28</v>
      </c>
      <c r="G705" s="1" t="s">
        <v>3669</v>
      </c>
      <c r="H705" s="1"/>
      <c r="I705" s="1">
        <v>4</v>
      </c>
      <c r="J705" s="1" t="s">
        <v>3670</v>
      </c>
      <c r="K705" s="1" t="s">
        <v>43</v>
      </c>
      <c r="L705" s="1" t="s">
        <v>2394</v>
      </c>
      <c r="M705" s="1" t="s">
        <v>3671</v>
      </c>
      <c r="N705" s="2">
        <v>41733</v>
      </c>
      <c r="O705" s="1"/>
      <c r="P705" s="1"/>
      <c r="Q705" s="1" t="s">
        <v>34</v>
      </c>
      <c r="R705" s="1"/>
      <c r="S705" s="1" t="s">
        <v>35</v>
      </c>
      <c r="T705" s="1">
        <v>44.324893000000003</v>
      </c>
      <c r="U705" s="1">
        <v>-72.984538999999899</v>
      </c>
      <c r="V705" s="1" t="s">
        <v>3672</v>
      </c>
      <c r="W705" s="1"/>
      <c r="X705" s="1" t="s">
        <v>37</v>
      </c>
      <c r="Y705" s="1" t="s">
        <v>2397</v>
      </c>
      <c r="Z705" s="1">
        <v>5462</v>
      </c>
    </row>
    <row r="706" spans="1:26" ht="42">
      <c r="A706" s="1" t="str">
        <f>"000MN3"</f>
        <v>000MN3</v>
      </c>
      <c r="B706" s="1" t="s">
        <v>3673</v>
      </c>
      <c r="C706" s="1" t="s">
        <v>3674</v>
      </c>
      <c r="D706" s="1" t="str">
        <f>"8024343264"</f>
        <v>8024343264</v>
      </c>
      <c r="E706" s="1">
        <v>4634</v>
      </c>
      <c r="F706" s="1" t="s">
        <v>28</v>
      </c>
      <c r="G706" s="1" t="s">
        <v>3675</v>
      </c>
      <c r="H706" s="1"/>
      <c r="I706" s="1">
        <v>4</v>
      </c>
      <c r="J706" s="1" t="s">
        <v>3313</v>
      </c>
      <c r="K706" s="1" t="s">
        <v>43</v>
      </c>
      <c r="L706" s="1" t="s">
        <v>2394</v>
      </c>
      <c r="M706" s="1" t="s">
        <v>3676</v>
      </c>
      <c r="N706" s="2">
        <v>41729</v>
      </c>
      <c r="O706" s="1"/>
      <c r="P706" s="1"/>
      <c r="Q706" s="1" t="s">
        <v>34</v>
      </c>
      <c r="R706" s="1"/>
      <c r="S706" s="1" t="s">
        <v>35</v>
      </c>
      <c r="T706" s="1">
        <v>44.323234900000003</v>
      </c>
      <c r="U706" s="1">
        <v>-72.955369000000005</v>
      </c>
      <c r="V706" s="1" t="s">
        <v>3677</v>
      </c>
      <c r="W706" s="1"/>
      <c r="X706" s="1" t="s">
        <v>37</v>
      </c>
      <c r="Y706" s="1" t="s">
        <v>2397</v>
      </c>
      <c r="Z706" s="1">
        <v>5462</v>
      </c>
    </row>
    <row r="707" spans="1:26" ht="42">
      <c r="A707" s="1" t="str">
        <f>"000MN3"</f>
        <v>000MN3</v>
      </c>
      <c r="B707" s="1" t="s">
        <v>3673</v>
      </c>
      <c r="C707" s="1" t="s">
        <v>3674</v>
      </c>
      <c r="D707" s="1" t="str">
        <f>"8024343264"</f>
        <v>8024343264</v>
      </c>
      <c r="E707" s="1">
        <v>4634</v>
      </c>
      <c r="F707" s="1" t="s">
        <v>28</v>
      </c>
      <c r="G707" s="1" t="s">
        <v>3678</v>
      </c>
      <c r="H707" s="1"/>
      <c r="I707" s="1">
        <v>12</v>
      </c>
      <c r="J707" s="1" t="s">
        <v>3679</v>
      </c>
      <c r="K707" s="1" t="s">
        <v>43</v>
      </c>
      <c r="L707" s="1" t="s">
        <v>51</v>
      </c>
      <c r="M707" s="1" t="s">
        <v>3680</v>
      </c>
      <c r="N707" s="2">
        <v>41802</v>
      </c>
      <c r="O707" s="1"/>
      <c r="P707" s="1"/>
      <c r="Q707" s="1" t="s">
        <v>34</v>
      </c>
      <c r="R707" s="1"/>
      <c r="S707" s="1" t="s">
        <v>35</v>
      </c>
      <c r="T707" s="1">
        <v>44.401694296569701</v>
      </c>
      <c r="U707" s="1">
        <v>-73.041819334030095</v>
      </c>
      <c r="V707" s="1" t="s">
        <v>3681</v>
      </c>
      <c r="W707" s="1"/>
      <c r="X707" s="1" t="s">
        <v>37</v>
      </c>
      <c r="Y707" s="1" t="s">
        <v>54</v>
      </c>
      <c r="Z707" s="1">
        <v>5477</v>
      </c>
    </row>
    <row r="708" spans="1:26" ht="42">
      <c r="A708" s="1" t="str">
        <f>"000MN6"</f>
        <v>000MN6</v>
      </c>
      <c r="B708" s="1" t="s">
        <v>3682</v>
      </c>
      <c r="C708" s="1" t="s">
        <v>3683</v>
      </c>
      <c r="D708" s="1" t="str">
        <f>"7813441186"</f>
        <v>7813441186</v>
      </c>
      <c r="E708" s="1">
        <v>4635</v>
      </c>
      <c r="F708" s="1" t="s">
        <v>28</v>
      </c>
      <c r="G708" s="1" t="s">
        <v>3684</v>
      </c>
      <c r="H708" s="1"/>
      <c r="I708" s="1">
        <v>2</v>
      </c>
      <c r="J708" s="1" t="s">
        <v>3685</v>
      </c>
      <c r="K708" s="1" t="s">
        <v>68</v>
      </c>
      <c r="L708" s="1" t="s">
        <v>3686</v>
      </c>
      <c r="M708" s="1" t="s">
        <v>3687</v>
      </c>
      <c r="N708" s="2">
        <v>41760</v>
      </c>
      <c r="O708" s="1"/>
      <c r="P708" s="2">
        <v>42205</v>
      </c>
      <c r="Q708" s="1" t="s">
        <v>34</v>
      </c>
      <c r="R708" s="1"/>
      <c r="S708" s="1" t="s">
        <v>35</v>
      </c>
      <c r="T708" s="1">
        <v>44.005536498871002</v>
      </c>
      <c r="U708" s="1">
        <v>-72.136346340048405</v>
      </c>
      <c r="V708" s="1" t="s">
        <v>3688</v>
      </c>
      <c r="W708" s="1"/>
      <c r="X708" s="1" t="s">
        <v>37</v>
      </c>
      <c r="Y708" s="1" t="s">
        <v>3689</v>
      </c>
      <c r="Z708" s="1">
        <v>0</v>
      </c>
    </row>
    <row r="709" spans="1:26" ht="42">
      <c r="A709" s="1" t="str">
        <f>"000MXA"</f>
        <v>000MXA</v>
      </c>
      <c r="B709" s="1" t="s">
        <v>3690</v>
      </c>
      <c r="C709" s="1" t="s">
        <v>3691</v>
      </c>
      <c r="D709" s="1" t="str">
        <f>"8026333454"</f>
        <v>8026333454</v>
      </c>
      <c r="E709" s="1">
        <v>4639</v>
      </c>
      <c r="F709" s="1" t="s">
        <v>28</v>
      </c>
      <c r="G709" s="1" t="s">
        <v>3692</v>
      </c>
      <c r="H709" s="1"/>
      <c r="I709" s="1">
        <v>1</v>
      </c>
      <c r="J709" s="1" t="s">
        <v>520</v>
      </c>
      <c r="K709" s="1" t="s">
        <v>59</v>
      </c>
      <c r="L709" s="1" t="s">
        <v>3693</v>
      </c>
      <c r="M709" s="1" t="s">
        <v>3694</v>
      </c>
      <c r="N709" s="2">
        <v>41743</v>
      </c>
      <c r="O709" s="1"/>
      <c r="P709" s="1"/>
      <c r="Q709" s="1" t="s">
        <v>34</v>
      </c>
      <c r="R709" s="1"/>
      <c r="S709" s="1" t="s">
        <v>35</v>
      </c>
      <c r="T709" s="1">
        <v>44.317570000000003</v>
      </c>
      <c r="U709" s="1">
        <v>-72.121489999999994</v>
      </c>
      <c r="V709" s="1" t="s">
        <v>3695</v>
      </c>
      <c r="W709" s="1"/>
      <c r="X709" s="1" t="s">
        <v>37</v>
      </c>
      <c r="Y709" s="1" t="s">
        <v>3696</v>
      </c>
      <c r="Z709" s="1">
        <v>5821</v>
      </c>
    </row>
    <row r="710" spans="1:26" ht="42">
      <c r="A710" s="1" t="str">
        <f>"000MXC"</f>
        <v>000MXC</v>
      </c>
      <c r="B710" s="1" t="s">
        <v>3697</v>
      </c>
      <c r="C710" s="1" t="s">
        <v>3698</v>
      </c>
      <c r="D710" s="1" t="str">
        <f>"8022791673"</f>
        <v>8022791673</v>
      </c>
      <c r="E710" s="1">
        <v>4641</v>
      </c>
      <c r="F710" s="1" t="s">
        <v>28</v>
      </c>
      <c r="G710" s="1" t="s">
        <v>3699</v>
      </c>
      <c r="H710" s="1"/>
      <c r="I710" s="1">
        <v>3</v>
      </c>
      <c r="J710" s="1" t="s">
        <v>3700</v>
      </c>
      <c r="K710" s="1" t="s">
        <v>527</v>
      </c>
      <c r="L710" s="1" t="s">
        <v>2561</v>
      </c>
      <c r="M710" s="1" t="s">
        <v>3701</v>
      </c>
      <c r="N710" s="2">
        <v>41730</v>
      </c>
      <c r="O710" s="1"/>
      <c r="P710" s="1"/>
      <c r="Q710" s="1" t="s">
        <v>34</v>
      </c>
      <c r="R710" s="1"/>
      <c r="S710" s="1" t="s">
        <v>35</v>
      </c>
      <c r="T710" s="1">
        <v>44.851723</v>
      </c>
      <c r="U710" s="1">
        <v>-72.295699999999997</v>
      </c>
      <c r="V710" s="1" t="s">
        <v>3702</v>
      </c>
      <c r="W710" s="1"/>
      <c r="X710" s="1" t="s">
        <v>37</v>
      </c>
      <c r="Y710" s="1" t="s">
        <v>2564</v>
      </c>
      <c r="Z710" s="1">
        <v>5845</v>
      </c>
    </row>
    <row r="711" spans="1:26" ht="42">
      <c r="A711" s="1" t="str">
        <f>"000MXH"</f>
        <v>000MXH</v>
      </c>
      <c r="B711" s="1" t="s">
        <v>3703</v>
      </c>
      <c r="C711" s="1" t="s">
        <v>3704</v>
      </c>
      <c r="D711" s="1" t="str">
        <f>"8028496493"</f>
        <v>8028496493</v>
      </c>
      <c r="E711" s="1">
        <v>4643</v>
      </c>
      <c r="F711" s="1" t="s">
        <v>28</v>
      </c>
      <c r="G711" s="1" t="s">
        <v>3705</v>
      </c>
      <c r="H711" s="1"/>
      <c r="I711" s="1">
        <v>0</v>
      </c>
      <c r="J711" s="1" t="s">
        <v>3706</v>
      </c>
      <c r="K711" s="1" t="s">
        <v>152</v>
      </c>
      <c r="L711" s="1" t="s">
        <v>1048</v>
      </c>
      <c r="M711" s="1" t="s">
        <v>3707</v>
      </c>
      <c r="N711" s="2">
        <v>41795</v>
      </c>
      <c r="O711" s="1"/>
      <c r="P711" s="1"/>
      <c r="Q711" s="1" t="s">
        <v>34</v>
      </c>
      <c r="R711" s="1"/>
      <c r="S711" s="1" t="s">
        <v>35</v>
      </c>
      <c r="T711" s="1">
        <v>44.6629188</v>
      </c>
      <c r="U711" s="1">
        <v>-73.013838899999996</v>
      </c>
      <c r="V711" s="1" t="s">
        <v>3708</v>
      </c>
      <c r="W711" s="1"/>
      <c r="X711" s="1" t="s">
        <v>37</v>
      </c>
      <c r="Y711" s="1" t="s">
        <v>1051</v>
      </c>
      <c r="Z711" s="1">
        <v>5454</v>
      </c>
    </row>
    <row r="712" spans="1:26" ht="42">
      <c r="A712" s="1" t="str">
        <f>"000MXJ"</f>
        <v>000MXJ</v>
      </c>
      <c r="B712" s="1" t="s">
        <v>3709</v>
      </c>
      <c r="C712" s="1" t="s">
        <v>3710</v>
      </c>
      <c r="D712" s="1" t="str">
        <f>"8027778235"</f>
        <v>8027778235</v>
      </c>
      <c r="E712" s="1">
        <v>4644</v>
      </c>
      <c r="F712" s="1" t="s">
        <v>28</v>
      </c>
      <c r="G712" s="1" t="s">
        <v>3711</v>
      </c>
      <c r="H712" s="1"/>
      <c r="I712" s="1">
        <v>6</v>
      </c>
      <c r="J712" s="1" t="s">
        <v>3712</v>
      </c>
      <c r="K712" s="1" t="s">
        <v>152</v>
      </c>
      <c r="L712" s="1" t="s">
        <v>1062</v>
      </c>
      <c r="M712" s="1" t="s">
        <v>3713</v>
      </c>
      <c r="N712" s="2">
        <v>41776</v>
      </c>
      <c r="O712" s="1"/>
      <c r="P712" s="1"/>
      <c r="Q712" s="1" t="s">
        <v>34</v>
      </c>
      <c r="R712" s="1"/>
      <c r="S712" s="1" t="s">
        <v>35</v>
      </c>
      <c r="T712" s="1">
        <v>44.712429</v>
      </c>
      <c r="U712" s="1">
        <v>-73.171027999999893</v>
      </c>
      <c r="V712" s="1" t="s">
        <v>3714</v>
      </c>
      <c r="W712" s="1"/>
      <c r="X712" s="1" t="s">
        <v>37</v>
      </c>
      <c r="Y712" s="1" t="s">
        <v>1064</v>
      </c>
      <c r="Z712" s="1">
        <v>5468</v>
      </c>
    </row>
    <row r="713" spans="1:26" ht="42">
      <c r="A713" s="1" t="str">
        <f>"000MXJ"</f>
        <v>000MXJ</v>
      </c>
      <c r="B713" s="1" t="s">
        <v>3709</v>
      </c>
      <c r="C713" s="1" t="s">
        <v>3710</v>
      </c>
      <c r="D713" s="1" t="str">
        <f>"8027778235"</f>
        <v>8027778235</v>
      </c>
      <c r="E713" s="1">
        <v>4644</v>
      </c>
      <c r="F713" s="1" t="s">
        <v>28</v>
      </c>
      <c r="G713" s="1" t="s">
        <v>3715</v>
      </c>
      <c r="H713" s="1"/>
      <c r="I713" s="1">
        <v>3</v>
      </c>
      <c r="J713" s="1">
        <v>2</v>
      </c>
      <c r="K713" s="1" t="s">
        <v>152</v>
      </c>
      <c r="L713" s="1" t="s">
        <v>1054</v>
      </c>
      <c r="M713" s="1" t="s">
        <v>3716</v>
      </c>
      <c r="N713" s="2">
        <v>42887</v>
      </c>
      <c r="O713" s="1"/>
      <c r="P713" s="1"/>
      <c r="Q713" s="1" t="s">
        <v>34</v>
      </c>
      <c r="R713" s="1"/>
      <c r="S713" s="1" t="s">
        <v>35</v>
      </c>
      <c r="T713" s="1">
        <v>44.725631800000002</v>
      </c>
      <c r="U713" s="1">
        <v>-73.164200600000001</v>
      </c>
      <c r="V713" s="1" t="s">
        <v>3717</v>
      </c>
      <c r="W713" s="1"/>
      <c r="X713" s="1" t="s">
        <v>37</v>
      </c>
      <c r="Y713" s="1" t="s">
        <v>152</v>
      </c>
      <c r="Z713" s="1">
        <v>5478</v>
      </c>
    </row>
    <row r="714" spans="1:26" ht="42">
      <c r="A714" s="1" t="str">
        <f>"000MXK"</f>
        <v>000MXK</v>
      </c>
      <c r="B714" s="1" t="s">
        <v>3718</v>
      </c>
      <c r="C714" s="1" t="s">
        <v>3719</v>
      </c>
      <c r="D714" s="1" t="str">
        <f>"8022748500"</f>
        <v>8022748500</v>
      </c>
      <c r="E714" s="1">
        <v>4645</v>
      </c>
      <c r="F714" s="1" t="s">
        <v>28</v>
      </c>
      <c r="G714" s="1" t="s">
        <v>3720</v>
      </c>
      <c r="H714" s="1"/>
      <c r="I714" s="1">
        <v>9</v>
      </c>
      <c r="J714" s="1" t="s">
        <v>111</v>
      </c>
      <c r="K714" s="1" t="s">
        <v>59</v>
      </c>
      <c r="L714" s="1" t="s">
        <v>3204</v>
      </c>
      <c r="M714" s="1" t="s">
        <v>3721</v>
      </c>
      <c r="N714" s="2">
        <v>41795</v>
      </c>
      <c r="O714" s="1"/>
      <c r="P714" s="1"/>
      <c r="Q714" s="1" t="s">
        <v>34</v>
      </c>
      <c r="R714" s="1"/>
      <c r="S714" s="1" t="s">
        <v>35</v>
      </c>
      <c r="T714" s="1">
        <v>44.592689999999997</v>
      </c>
      <c r="U714" s="1">
        <v>-71.946906999999996</v>
      </c>
      <c r="V714" s="1" t="s">
        <v>3722</v>
      </c>
      <c r="W714" s="1"/>
      <c r="X714" s="1" t="s">
        <v>37</v>
      </c>
      <c r="Y714" s="1" t="s">
        <v>3723</v>
      </c>
      <c r="Z714" s="1">
        <v>5832</v>
      </c>
    </row>
    <row r="715" spans="1:26" ht="42">
      <c r="A715" s="1" t="str">
        <f>"000MXM"</f>
        <v>000MXM</v>
      </c>
      <c r="B715" s="1" t="s">
        <v>3724</v>
      </c>
      <c r="C715" s="1" t="s">
        <v>3725</v>
      </c>
      <c r="D715" s="1" t="str">
        <f>"8022932022"</f>
        <v>8022932022</v>
      </c>
      <c r="E715" s="1">
        <v>4646</v>
      </c>
      <c r="F715" s="1" t="s">
        <v>28</v>
      </c>
      <c r="G715" s="1" t="s">
        <v>3726</v>
      </c>
      <c r="H715" s="1"/>
      <c r="I715" s="1">
        <v>9</v>
      </c>
      <c r="J715" s="1" t="s">
        <v>3727</v>
      </c>
      <c r="K715" s="1" t="s">
        <v>135</v>
      </c>
      <c r="L715" s="1" t="s">
        <v>3728</v>
      </c>
      <c r="M715" s="1" t="s">
        <v>3729</v>
      </c>
      <c r="N715" s="2">
        <v>41778</v>
      </c>
      <c r="O715" s="1"/>
      <c r="P715" s="1"/>
      <c r="Q715" s="1" t="s">
        <v>34</v>
      </c>
      <c r="R715" s="1"/>
      <c r="S715" s="1" t="s">
        <v>35</v>
      </c>
      <c r="T715" s="1">
        <v>43.350054</v>
      </c>
      <c r="U715" s="1">
        <v>-73.033437999999904</v>
      </c>
      <c r="V715" s="1" t="s">
        <v>3730</v>
      </c>
      <c r="W715" s="1"/>
      <c r="X715" s="1" t="s">
        <v>37</v>
      </c>
      <c r="Y715" s="1" t="s">
        <v>3731</v>
      </c>
      <c r="Z715" s="1">
        <v>5739</v>
      </c>
    </row>
    <row r="716" spans="1:26" ht="42">
      <c r="A716" s="1" t="str">
        <f>"000MXN"</f>
        <v>000MXN</v>
      </c>
      <c r="B716" s="1" t="s">
        <v>3732</v>
      </c>
      <c r="C716" s="1" t="s">
        <v>3733</v>
      </c>
      <c r="D716" s="1" t="str">
        <f>"8028752614"</f>
        <v>8028752614</v>
      </c>
      <c r="E716" s="1">
        <v>4647</v>
      </c>
      <c r="F716" s="1" t="s">
        <v>28</v>
      </c>
      <c r="G716" s="1" t="s">
        <v>3734</v>
      </c>
      <c r="H716" s="1"/>
      <c r="I716" s="1">
        <v>1</v>
      </c>
      <c r="J716" s="1" t="s">
        <v>3735</v>
      </c>
      <c r="K716" s="1" t="s">
        <v>77</v>
      </c>
      <c r="L716" s="1" t="s">
        <v>2647</v>
      </c>
      <c r="M716" s="1" t="s">
        <v>3736</v>
      </c>
      <c r="N716" s="2">
        <v>41767</v>
      </c>
      <c r="O716" s="1"/>
      <c r="P716" s="1"/>
      <c r="Q716" s="1" t="s">
        <v>34</v>
      </c>
      <c r="R716" s="1"/>
      <c r="S716" s="1" t="s">
        <v>35</v>
      </c>
      <c r="T716" s="1">
        <v>43.278098</v>
      </c>
      <c r="U716" s="1">
        <v>-72.552492999999998</v>
      </c>
      <c r="V716" s="1" t="s">
        <v>3737</v>
      </c>
      <c r="W716" s="1"/>
      <c r="X716" s="1" t="s">
        <v>37</v>
      </c>
      <c r="Y716" s="1" t="s">
        <v>2650</v>
      </c>
      <c r="Z716" s="1">
        <v>5143</v>
      </c>
    </row>
    <row r="717" spans="1:26" ht="42">
      <c r="A717" s="1" t="str">
        <f>"000MXV"</f>
        <v>000MXV</v>
      </c>
      <c r="B717" s="1" t="s">
        <v>3738</v>
      </c>
      <c r="C717" s="1" t="s">
        <v>3739</v>
      </c>
      <c r="D717" s="1" t="str">
        <f>"8025585580"</f>
        <v>8025585580</v>
      </c>
      <c r="E717" s="1">
        <v>4650</v>
      </c>
      <c r="F717" s="1" t="s">
        <v>28</v>
      </c>
      <c r="G717" s="1" t="s">
        <v>3740</v>
      </c>
      <c r="H717" s="1"/>
      <c r="I717" s="1">
        <v>4</v>
      </c>
      <c r="J717" s="1" t="s">
        <v>3741</v>
      </c>
      <c r="K717" s="1" t="s">
        <v>144</v>
      </c>
      <c r="L717" s="1" t="s">
        <v>411</v>
      </c>
      <c r="M717" s="1" t="s">
        <v>3742</v>
      </c>
      <c r="N717" s="2">
        <v>41766</v>
      </c>
      <c r="O717" s="1"/>
      <c r="P717" s="1"/>
      <c r="Q717" s="1" t="s">
        <v>34</v>
      </c>
      <c r="R717" s="1"/>
      <c r="S717" s="1" t="s">
        <v>35</v>
      </c>
      <c r="T717" s="1">
        <v>43.051983</v>
      </c>
      <c r="U717" s="1">
        <v>-72.471297999999905</v>
      </c>
      <c r="V717" s="1" t="s">
        <v>3743</v>
      </c>
      <c r="W717" s="1"/>
      <c r="X717" s="1" t="s">
        <v>37</v>
      </c>
      <c r="Y717" s="1" t="s">
        <v>3744</v>
      </c>
      <c r="Z717" s="1">
        <v>5158</v>
      </c>
    </row>
    <row r="718" spans="1:26" ht="42">
      <c r="A718" s="1" t="str">
        <f>"000MXV"</f>
        <v>000MXV</v>
      </c>
      <c r="B718" s="1" t="s">
        <v>3738</v>
      </c>
      <c r="C718" s="1" t="s">
        <v>3739</v>
      </c>
      <c r="D718" s="1" t="str">
        <f>"8025585580"</f>
        <v>8025585580</v>
      </c>
      <c r="E718" s="1">
        <v>4650</v>
      </c>
      <c r="F718" s="1" t="s">
        <v>28</v>
      </c>
      <c r="G718" s="1" t="s">
        <v>3745</v>
      </c>
      <c r="H718" s="1"/>
      <c r="I718" s="1">
        <v>4</v>
      </c>
      <c r="J718" s="1" t="s">
        <v>520</v>
      </c>
      <c r="K718" s="1" t="s">
        <v>77</v>
      </c>
      <c r="L718" s="1" t="s">
        <v>325</v>
      </c>
      <c r="M718" s="1" t="s">
        <v>3746</v>
      </c>
      <c r="N718" s="2">
        <v>41766</v>
      </c>
      <c r="O718" s="1"/>
      <c r="P718" s="2">
        <v>42689</v>
      </c>
      <c r="Q718" s="1" t="s">
        <v>34</v>
      </c>
      <c r="R718" s="1"/>
      <c r="S718" s="1" t="s">
        <v>35</v>
      </c>
      <c r="T718" s="1">
        <v>43.3733194</v>
      </c>
      <c r="U718" s="1">
        <v>-72.477443800000003</v>
      </c>
      <c r="V718" s="1" t="s">
        <v>3747</v>
      </c>
      <c r="W718" s="1"/>
      <c r="X718" s="1" t="s">
        <v>37</v>
      </c>
      <c r="Y718" s="1" t="s">
        <v>3219</v>
      </c>
      <c r="Z718" s="1">
        <v>5000</v>
      </c>
    </row>
    <row r="719" spans="1:26" ht="42">
      <c r="A719" s="1" t="str">
        <f>"000MXV"</f>
        <v>000MXV</v>
      </c>
      <c r="B719" s="1" t="s">
        <v>3738</v>
      </c>
      <c r="C719" s="1" t="s">
        <v>3739</v>
      </c>
      <c r="D719" s="1" t="str">
        <f>"8025585580"</f>
        <v>8025585580</v>
      </c>
      <c r="E719" s="1">
        <v>4650</v>
      </c>
      <c r="F719" s="1" t="s">
        <v>28</v>
      </c>
      <c r="G719" s="1" t="s">
        <v>3748</v>
      </c>
      <c r="H719" s="1"/>
      <c r="I719" s="1">
        <v>1</v>
      </c>
      <c r="J719" s="1" t="s">
        <v>3749</v>
      </c>
      <c r="K719" s="1" t="s">
        <v>144</v>
      </c>
      <c r="L719" s="1" t="s">
        <v>411</v>
      </c>
      <c r="M719" s="1" t="s">
        <v>3750</v>
      </c>
      <c r="N719" s="2">
        <v>43249</v>
      </c>
      <c r="O719" s="1"/>
      <c r="P719" s="1"/>
      <c r="Q719" s="1" t="s">
        <v>34</v>
      </c>
      <c r="R719" s="1"/>
      <c r="S719" s="1" t="s">
        <v>35</v>
      </c>
      <c r="T719" s="1"/>
      <c r="U719" s="1"/>
      <c r="V719" s="1" t="s">
        <v>3751</v>
      </c>
      <c r="W719" s="1"/>
      <c r="X719" s="1" t="s">
        <v>37</v>
      </c>
      <c r="Y719" s="1" t="s">
        <v>3752</v>
      </c>
      <c r="Z719" s="1">
        <v>5346</v>
      </c>
    </row>
    <row r="720" spans="1:26" ht="42">
      <c r="A720" s="1" t="str">
        <f>"000MXY"</f>
        <v>000MXY</v>
      </c>
      <c r="B720" s="1" t="s">
        <v>3753</v>
      </c>
      <c r="C720" s="1" t="s">
        <v>3754</v>
      </c>
      <c r="D720" s="1" t="str">
        <f>"8023750212"</f>
        <v>8023750212</v>
      </c>
      <c r="E720" s="1">
        <v>4653</v>
      </c>
      <c r="F720" s="1" t="s">
        <v>28</v>
      </c>
      <c r="G720" s="1" t="s">
        <v>3755</v>
      </c>
      <c r="H720" s="1"/>
      <c r="I720" s="1">
        <v>6</v>
      </c>
      <c r="J720" s="1" t="s">
        <v>3756</v>
      </c>
      <c r="K720" s="1" t="s">
        <v>187</v>
      </c>
      <c r="L720" s="1" t="s">
        <v>285</v>
      </c>
      <c r="M720" s="1" t="s">
        <v>3757</v>
      </c>
      <c r="N720" s="2">
        <v>41768</v>
      </c>
      <c r="O720" s="1"/>
      <c r="P720" s="1"/>
      <c r="Q720" s="1" t="s">
        <v>34</v>
      </c>
      <c r="R720" s="1"/>
      <c r="S720" s="1" t="s">
        <v>35</v>
      </c>
      <c r="T720" s="1">
        <v>43.147791599999998</v>
      </c>
      <c r="U720" s="1">
        <v>-73.199424299999905</v>
      </c>
      <c r="V720" s="1" t="s">
        <v>3758</v>
      </c>
      <c r="W720" s="1"/>
      <c r="X720" s="1" t="s">
        <v>37</v>
      </c>
      <c r="Y720" s="1" t="s">
        <v>288</v>
      </c>
      <c r="Z720" s="1">
        <v>5250</v>
      </c>
    </row>
    <row r="721" spans="1:26" ht="42">
      <c r="A721" s="1" t="str">
        <f>"000MXZ"</f>
        <v>000MXZ</v>
      </c>
      <c r="B721" s="1" t="s">
        <v>3759</v>
      </c>
      <c r="C721" s="1" t="s">
        <v>3760</v>
      </c>
      <c r="D721" s="1" t="str">
        <f>"8022932077"</f>
        <v>8022932077</v>
      </c>
      <c r="E721" s="1">
        <v>4654</v>
      </c>
      <c r="F721" s="1" t="s">
        <v>28</v>
      </c>
      <c r="G721" s="1" t="s">
        <v>3761</v>
      </c>
      <c r="H721" s="1"/>
      <c r="I721" s="1">
        <v>3</v>
      </c>
      <c r="J721" s="1" t="s">
        <v>3762</v>
      </c>
      <c r="K721" s="1" t="s">
        <v>135</v>
      </c>
      <c r="L721" s="1" t="s">
        <v>3728</v>
      </c>
      <c r="M721" s="1" t="s">
        <v>3763</v>
      </c>
      <c r="N721" s="2">
        <v>41795</v>
      </c>
      <c r="O721" s="1"/>
      <c r="P721" s="1"/>
      <c r="Q721" s="1" t="s">
        <v>34</v>
      </c>
      <c r="R721" s="1"/>
      <c r="S721" s="1" t="s">
        <v>35</v>
      </c>
      <c r="T721" s="1">
        <v>43.368251999999998</v>
      </c>
      <c r="U721" s="1">
        <v>-73.014640999999898</v>
      </c>
      <c r="V721" s="1" t="s">
        <v>3764</v>
      </c>
      <c r="W721" s="1"/>
      <c r="X721" s="1" t="s">
        <v>37</v>
      </c>
      <c r="Y721" s="1" t="s">
        <v>3731</v>
      </c>
      <c r="Z721" s="1">
        <v>5739</v>
      </c>
    </row>
    <row r="722" spans="1:26" ht="42">
      <c r="A722" s="1" t="str">
        <f>"000MZW"</f>
        <v>000MZW</v>
      </c>
      <c r="B722" s="1" t="s">
        <v>3765</v>
      </c>
      <c r="C722" s="1" t="s">
        <v>3766</v>
      </c>
      <c r="D722" s="1" t="str">
        <f>"8026448332"</f>
        <v>8026448332</v>
      </c>
      <c r="E722" s="1">
        <v>4657</v>
      </c>
      <c r="F722" s="1" t="s">
        <v>28</v>
      </c>
      <c r="G722" s="1" t="s">
        <v>3767</v>
      </c>
      <c r="H722" s="1"/>
      <c r="I722" s="1">
        <v>8</v>
      </c>
      <c r="J722" s="1" t="s">
        <v>3768</v>
      </c>
      <c r="K722" s="1" t="s">
        <v>170</v>
      </c>
      <c r="L722" s="1" t="s">
        <v>2661</v>
      </c>
      <c r="M722" s="1" t="s">
        <v>3769</v>
      </c>
      <c r="N722" s="2">
        <v>41788</v>
      </c>
      <c r="O722" s="1"/>
      <c r="P722" s="1"/>
      <c r="Q722" s="1" t="s">
        <v>34</v>
      </c>
      <c r="R722" s="1"/>
      <c r="S722" s="1" t="s">
        <v>35</v>
      </c>
      <c r="T722" s="1">
        <v>44.645133999999999</v>
      </c>
      <c r="U722" s="1">
        <v>-72.855095000000006</v>
      </c>
      <c r="V722" s="1" t="s">
        <v>3770</v>
      </c>
      <c r="W722" s="1"/>
      <c r="X722" s="1" t="s">
        <v>37</v>
      </c>
      <c r="Y722" s="1" t="s">
        <v>2664</v>
      </c>
      <c r="Z722" s="1">
        <v>5464</v>
      </c>
    </row>
    <row r="723" spans="1:26" ht="42">
      <c r="A723" s="1" t="str">
        <f>"000MZZ"</f>
        <v>000MZZ</v>
      </c>
      <c r="B723" s="1" t="s">
        <v>3771</v>
      </c>
      <c r="C723" s="1" t="s">
        <v>3772</v>
      </c>
      <c r="D723" s="1" t="str">
        <f>"8023240027"</f>
        <v>8023240027</v>
      </c>
      <c r="E723" s="1">
        <v>4660</v>
      </c>
      <c r="F723" s="1" t="s">
        <v>28</v>
      </c>
      <c r="G723" s="1" t="s">
        <v>3773</v>
      </c>
      <c r="H723" s="1"/>
      <c r="I723" s="1">
        <v>2</v>
      </c>
      <c r="J723" s="1" t="s">
        <v>3774</v>
      </c>
      <c r="K723" s="1" t="s">
        <v>333</v>
      </c>
      <c r="L723" s="1" t="s">
        <v>687</v>
      </c>
      <c r="M723" s="1" t="s">
        <v>3775</v>
      </c>
      <c r="N723" s="2">
        <v>41803</v>
      </c>
      <c r="O723" s="1"/>
      <c r="P723" s="1"/>
      <c r="Q723" s="1" t="s">
        <v>34</v>
      </c>
      <c r="R723" s="1"/>
      <c r="S723" s="1" t="s">
        <v>35</v>
      </c>
      <c r="T723" s="1">
        <v>44.142738000000001</v>
      </c>
      <c r="U723" s="1">
        <v>-73.218780999999893</v>
      </c>
      <c r="V723" s="1" t="s">
        <v>3776</v>
      </c>
      <c r="W723" s="1"/>
      <c r="X723" s="1" t="s">
        <v>37</v>
      </c>
      <c r="Y723" s="1" t="s">
        <v>795</v>
      </c>
      <c r="Z723" s="1">
        <v>5491</v>
      </c>
    </row>
    <row r="724" spans="1:26" ht="42">
      <c r="A724" s="1" t="str">
        <f>"000N01"</f>
        <v>000N01</v>
      </c>
      <c r="B724" s="1" t="s">
        <v>3777</v>
      </c>
      <c r="C724" s="1" t="s">
        <v>3778</v>
      </c>
      <c r="D724" s="1" t="str">
        <f>"8024854278"</f>
        <v>8024854278</v>
      </c>
      <c r="E724" s="1">
        <v>4661</v>
      </c>
      <c r="F724" s="1" t="s">
        <v>28</v>
      </c>
      <c r="G724" s="1" t="s">
        <v>3779</v>
      </c>
      <c r="H724" s="1"/>
      <c r="I724" s="1">
        <v>3</v>
      </c>
      <c r="J724" s="1" t="s">
        <v>3780</v>
      </c>
      <c r="K724" s="1" t="s">
        <v>31</v>
      </c>
      <c r="L724" s="1" t="s">
        <v>3781</v>
      </c>
      <c r="M724" s="1" t="s">
        <v>3782</v>
      </c>
      <c r="N724" s="2">
        <v>41767</v>
      </c>
      <c r="O724" s="1"/>
      <c r="P724" s="2">
        <v>42985</v>
      </c>
      <c r="Q724" s="1" t="s">
        <v>34</v>
      </c>
      <c r="R724" s="1"/>
      <c r="S724" s="1" t="s">
        <v>35</v>
      </c>
      <c r="T724" s="1">
        <v>44.051417999999998</v>
      </c>
      <c r="U724" s="1">
        <v>-72.740012999999905</v>
      </c>
      <c r="V724" s="1" t="s">
        <v>3783</v>
      </c>
      <c r="W724" s="1"/>
      <c r="X724" s="1" t="s">
        <v>37</v>
      </c>
      <c r="Y724" s="1" t="s">
        <v>3784</v>
      </c>
      <c r="Z724" s="1">
        <v>5669</v>
      </c>
    </row>
    <row r="725" spans="1:26" ht="42">
      <c r="A725" s="1" t="str">
        <f>"000N01"</f>
        <v>000N01</v>
      </c>
      <c r="B725" s="1" t="s">
        <v>3777</v>
      </c>
      <c r="C725" s="1" t="s">
        <v>3778</v>
      </c>
      <c r="D725" s="1" t="str">
        <f>"8024854278"</f>
        <v>8024854278</v>
      </c>
      <c r="E725" s="1">
        <v>4661</v>
      </c>
      <c r="F725" s="1" t="s">
        <v>28</v>
      </c>
      <c r="G725" s="1" t="s">
        <v>3785</v>
      </c>
      <c r="H725" s="1"/>
      <c r="I725" s="1">
        <v>2</v>
      </c>
      <c r="J725" s="1">
        <v>2</v>
      </c>
      <c r="K725" s="1" t="s">
        <v>31</v>
      </c>
      <c r="L725" s="1" t="s">
        <v>786</v>
      </c>
      <c r="M725" s="1" t="s">
        <v>3786</v>
      </c>
      <c r="N725" s="2">
        <v>42524</v>
      </c>
      <c r="O725" s="1"/>
      <c r="P725" s="2">
        <v>42999</v>
      </c>
      <c r="Q725" s="1" t="s">
        <v>34</v>
      </c>
      <c r="R725" s="1"/>
      <c r="S725" s="1" t="s">
        <v>35</v>
      </c>
      <c r="T725" s="1">
        <v>44.216576000000003</v>
      </c>
      <c r="U725" s="1">
        <v>-72.4368438999999</v>
      </c>
      <c r="V725" s="1" t="s">
        <v>3787</v>
      </c>
      <c r="W725" s="1"/>
      <c r="X725" s="1" t="s">
        <v>37</v>
      </c>
      <c r="Y725" s="1" t="s">
        <v>716</v>
      </c>
      <c r="Z725" s="1">
        <v>5641</v>
      </c>
    </row>
    <row r="726" spans="1:26" ht="42">
      <c r="A726" s="1" t="str">
        <f>"000N11"</f>
        <v>000N11</v>
      </c>
      <c r="B726" s="1" t="s">
        <v>3788</v>
      </c>
      <c r="C726" s="1" t="s">
        <v>3789</v>
      </c>
      <c r="D726" s="1" t="str">
        <f>"8034858586"</f>
        <v>8034858586</v>
      </c>
      <c r="E726" s="1">
        <v>5126</v>
      </c>
      <c r="F726" s="1" t="s">
        <v>28</v>
      </c>
      <c r="G726" s="1" t="s">
        <v>3790</v>
      </c>
      <c r="H726" s="1"/>
      <c r="I726" s="1">
        <v>1</v>
      </c>
      <c r="J726" s="1" t="s">
        <v>470</v>
      </c>
      <c r="K726" s="1" t="s">
        <v>31</v>
      </c>
      <c r="L726" s="1" t="s">
        <v>702</v>
      </c>
      <c r="M726" s="1" t="s">
        <v>3791</v>
      </c>
      <c r="N726" s="2">
        <v>42865</v>
      </c>
      <c r="O726" s="1"/>
      <c r="P726" s="1"/>
      <c r="Q726" s="1" t="s">
        <v>34</v>
      </c>
      <c r="R726" s="1"/>
      <c r="S726" s="1" t="s">
        <v>35</v>
      </c>
      <c r="T726" s="1"/>
      <c r="U726" s="1"/>
      <c r="V726" s="1" t="s">
        <v>3792</v>
      </c>
      <c r="W726" s="1"/>
      <c r="X726" s="1" t="s">
        <v>37</v>
      </c>
      <c r="Y726" s="1" t="s">
        <v>705</v>
      </c>
      <c r="Z726" s="1">
        <v>5663</v>
      </c>
    </row>
    <row r="727" spans="1:26" ht="42">
      <c r="A727" s="1" t="str">
        <f>"000N4W"</f>
        <v>000N4W</v>
      </c>
      <c r="B727" s="1" t="s">
        <v>3793</v>
      </c>
      <c r="C727" s="1" t="s">
        <v>3794</v>
      </c>
      <c r="D727" s="1" t="str">
        <f>"8024752699"</f>
        <v>8024752699</v>
      </c>
      <c r="E727" s="1">
        <v>4663</v>
      </c>
      <c r="F727" s="1" t="s">
        <v>28</v>
      </c>
      <c r="G727" s="1" t="s">
        <v>3795</v>
      </c>
      <c r="H727" s="1"/>
      <c r="I727" s="1">
        <v>11</v>
      </c>
      <c r="J727" s="1" t="s">
        <v>3796</v>
      </c>
      <c r="K727" s="1" t="s">
        <v>333</v>
      </c>
      <c r="L727" s="1" t="s">
        <v>645</v>
      </c>
      <c r="M727" s="1" t="s">
        <v>3797</v>
      </c>
      <c r="N727" s="2">
        <v>41792</v>
      </c>
      <c r="O727" s="1"/>
      <c r="P727" s="2">
        <v>42160</v>
      </c>
      <c r="Q727" s="1" t="s">
        <v>34</v>
      </c>
      <c r="R727" s="1"/>
      <c r="S727" s="1" t="s">
        <v>35</v>
      </c>
      <c r="T727" s="1">
        <v>44.135184000000002</v>
      </c>
      <c r="U727" s="1">
        <v>-73.355263999999906</v>
      </c>
      <c r="V727" s="1" t="s">
        <v>3798</v>
      </c>
      <c r="W727" s="1"/>
      <c r="X727" s="1" t="s">
        <v>37</v>
      </c>
      <c r="Y727" s="1" t="s">
        <v>648</v>
      </c>
      <c r="Z727" s="1" t="s">
        <v>3799</v>
      </c>
    </row>
    <row r="728" spans="1:26" ht="42">
      <c r="A728" s="1" t="str">
        <f>"000N51"</f>
        <v>000N51</v>
      </c>
      <c r="B728" s="1" t="s">
        <v>3800</v>
      </c>
      <c r="C728" s="1" t="s">
        <v>3801</v>
      </c>
      <c r="D728" s="1" t="str">
        <f>"8022256348"</f>
        <v>8022256348</v>
      </c>
      <c r="E728" s="1">
        <v>4664</v>
      </c>
      <c r="F728" s="1" t="s">
        <v>28</v>
      </c>
      <c r="G728" s="1" t="s">
        <v>3802</v>
      </c>
      <c r="H728" s="1"/>
      <c r="I728" s="1">
        <v>4</v>
      </c>
      <c r="J728" s="1" t="s">
        <v>3803</v>
      </c>
      <c r="K728" s="1" t="s">
        <v>31</v>
      </c>
      <c r="L728" s="1" t="s">
        <v>1293</v>
      </c>
      <c r="M728" s="1" t="s">
        <v>3804</v>
      </c>
      <c r="N728" s="2">
        <v>41767</v>
      </c>
      <c r="O728" s="1"/>
      <c r="P728" s="1"/>
      <c r="Q728" s="1" t="s">
        <v>34</v>
      </c>
      <c r="R728" s="1"/>
      <c r="S728" s="1" t="s">
        <v>35</v>
      </c>
      <c r="T728" s="1">
        <v>44.265793000000002</v>
      </c>
      <c r="U728" s="1">
        <v>-72.559424999999905</v>
      </c>
      <c r="V728" s="1" t="s">
        <v>3805</v>
      </c>
      <c r="W728" s="1"/>
      <c r="X728" s="1" t="s">
        <v>37</v>
      </c>
      <c r="Y728" s="1" t="s">
        <v>802</v>
      </c>
      <c r="Z728" s="1">
        <v>5602</v>
      </c>
    </row>
    <row r="729" spans="1:26" ht="42">
      <c r="A729" s="1" t="str">
        <f>"000N57"</f>
        <v>000N57</v>
      </c>
      <c r="B729" s="1" t="s">
        <v>3806</v>
      </c>
      <c r="C729" s="1" t="s">
        <v>3807</v>
      </c>
      <c r="D729" s="1" t="str">
        <f>"8123066595"</f>
        <v>8123066595</v>
      </c>
      <c r="E729" s="1">
        <v>4667</v>
      </c>
      <c r="F729" s="1" t="s">
        <v>28</v>
      </c>
      <c r="G729" s="1" t="s">
        <v>3808</v>
      </c>
      <c r="H729" s="1"/>
      <c r="I729" s="1">
        <v>2</v>
      </c>
      <c r="J729" s="1" t="s">
        <v>3809</v>
      </c>
      <c r="K729" s="1" t="s">
        <v>77</v>
      </c>
      <c r="L729" s="1" t="s">
        <v>372</v>
      </c>
      <c r="M729" s="1" t="s">
        <v>3810</v>
      </c>
      <c r="N729" s="2">
        <v>41768</v>
      </c>
      <c r="O729" s="1"/>
      <c r="P729" s="1"/>
      <c r="Q729" s="1" t="s">
        <v>34</v>
      </c>
      <c r="R729" s="1"/>
      <c r="S729" s="1" t="s">
        <v>35</v>
      </c>
      <c r="T729" s="1">
        <v>43.245134399999998</v>
      </c>
      <c r="U729" s="1">
        <v>-72.494658700000002</v>
      </c>
      <c r="V729" s="1" t="s">
        <v>3811</v>
      </c>
      <c r="W729" s="1"/>
      <c r="X729" s="1" t="s">
        <v>37</v>
      </c>
      <c r="Y729" s="1" t="s">
        <v>375</v>
      </c>
      <c r="Z729" s="1">
        <v>5156</v>
      </c>
    </row>
    <row r="730" spans="1:26" ht="42">
      <c r="A730" s="1" t="str">
        <f>"000N58"</f>
        <v>000N58</v>
      </c>
      <c r="B730" s="1" t="s">
        <v>3812</v>
      </c>
      <c r="C730" s="1" t="s">
        <v>3813</v>
      </c>
      <c r="D730" s="1" t="str">
        <f>"8028816829"</f>
        <v>8028816829</v>
      </c>
      <c r="E730" s="1">
        <v>4668</v>
      </c>
      <c r="F730" s="1" t="s">
        <v>28</v>
      </c>
      <c r="G730" s="1" t="s">
        <v>3814</v>
      </c>
      <c r="H730" s="1"/>
      <c r="I730" s="1">
        <v>1</v>
      </c>
      <c r="J730" s="1" t="s">
        <v>3815</v>
      </c>
      <c r="K730" s="1" t="s">
        <v>43</v>
      </c>
      <c r="L730" s="1" t="s">
        <v>44</v>
      </c>
      <c r="M730" s="1" t="s">
        <v>3816</v>
      </c>
      <c r="N730" s="2">
        <v>41764</v>
      </c>
      <c r="O730" s="1"/>
      <c r="P730" s="1"/>
      <c r="Q730" s="1" t="s">
        <v>34</v>
      </c>
      <c r="R730" s="1"/>
      <c r="S730" s="1" t="s">
        <v>35</v>
      </c>
      <c r="T730" s="1">
        <v>44.514111778391303</v>
      </c>
      <c r="U730" s="1">
        <v>-73.269174098968506</v>
      </c>
      <c r="V730" s="1" t="s">
        <v>3817</v>
      </c>
      <c r="W730" s="1"/>
      <c r="X730" s="1" t="s">
        <v>37</v>
      </c>
      <c r="Y730" s="1" t="s">
        <v>46</v>
      </c>
      <c r="Z730" s="1">
        <v>5408</v>
      </c>
    </row>
    <row r="731" spans="1:26" ht="42">
      <c r="A731" s="1" t="str">
        <f>"000N5A"</f>
        <v>000N5A</v>
      </c>
      <c r="B731" s="1" t="s">
        <v>3818</v>
      </c>
      <c r="C731" s="1" t="s">
        <v>3819</v>
      </c>
      <c r="D731" s="1" t="str">
        <f>"8023187004"</f>
        <v>8023187004</v>
      </c>
      <c r="E731" s="1">
        <v>4670</v>
      </c>
      <c r="F731" s="1" t="s">
        <v>28</v>
      </c>
      <c r="G731" s="1" t="s">
        <v>3820</v>
      </c>
      <c r="H731" s="1"/>
      <c r="I731" s="1">
        <v>2</v>
      </c>
      <c r="J731" s="1" t="s">
        <v>3821</v>
      </c>
      <c r="K731" s="1" t="s">
        <v>43</v>
      </c>
      <c r="L731" s="1" t="s">
        <v>44</v>
      </c>
      <c r="M731" s="1" t="s">
        <v>3822</v>
      </c>
      <c r="N731" s="2">
        <v>41730</v>
      </c>
      <c r="O731" s="1"/>
      <c r="P731" s="1"/>
      <c r="Q731" s="1" t="s">
        <v>34</v>
      </c>
      <c r="R731" s="1"/>
      <c r="S731" s="1" t="s">
        <v>35</v>
      </c>
      <c r="T731" s="1">
        <v>44.461326999999997</v>
      </c>
      <c r="U731" s="1">
        <v>-73.211709999999897</v>
      </c>
      <c r="V731" s="1" t="s">
        <v>3823</v>
      </c>
      <c r="W731" s="1"/>
      <c r="X731" s="1" t="s">
        <v>37</v>
      </c>
      <c r="Y731" s="1" t="s">
        <v>46</v>
      </c>
      <c r="Z731" s="1">
        <v>5401</v>
      </c>
    </row>
    <row r="732" spans="1:26" ht="42">
      <c r="A732" s="1" t="str">
        <f>"000N5F"</f>
        <v>000N5F</v>
      </c>
      <c r="B732" s="1" t="s">
        <v>3824</v>
      </c>
      <c r="C732" s="1" t="s">
        <v>3825</v>
      </c>
      <c r="D732" s="1" t="str">
        <f>"8023738378"</f>
        <v>8023738378</v>
      </c>
      <c r="E732" s="1">
        <v>4674</v>
      </c>
      <c r="F732" s="1" t="s">
        <v>28</v>
      </c>
      <c r="G732" s="1" t="s">
        <v>3826</v>
      </c>
      <c r="H732" s="1"/>
      <c r="I732" s="1">
        <v>0</v>
      </c>
      <c r="J732" s="1" t="s">
        <v>470</v>
      </c>
      <c r="K732" s="1" t="s">
        <v>68</v>
      </c>
      <c r="L732" s="1" t="s">
        <v>3686</v>
      </c>
      <c r="M732" s="1" t="s">
        <v>1909</v>
      </c>
      <c r="N732" s="2">
        <v>41766</v>
      </c>
      <c r="O732" s="2">
        <v>42689</v>
      </c>
      <c r="P732" s="2">
        <v>42185</v>
      </c>
      <c r="Q732" s="1" t="s">
        <v>34</v>
      </c>
      <c r="R732" s="1"/>
      <c r="S732" s="1" t="s">
        <v>35</v>
      </c>
      <c r="T732" s="1">
        <v>44.037143999999998</v>
      </c>
      <c r="U732" s="1">
        <v>-72.154992999999905</v>
      </c>
      <c r="V732" s="1" t="s">
        <v>3827</v>
      </c>
      <c r="W732" s="1"/>
      <c r="X732" s="1" t="s">
        <v>37</v>
      </c>
      <c r="Y732" s="1" t="s">
        <v>3689</v>
      </c>
      <c r="Z732" s="1">
        <v>5033</v>
      </c>
    </row>
    <row r="733" spans="1:26" ht="42">
      <c r="A733" s="1" t="str">
        <f>"000N5F"</f>
        <v>000N5F</v>
      </c>
      <c r="B733" s="1" t="s">
        <v>3824</v>
      </c>
      <c r="C733" s="1" t="s">
        <v>3825</v>
      </c>
      <c r="D733" s="1" t="str">
        <f>"8023738378"</f>
        <v>8023738378</v>
      </c>
      <c r="E733" s="1">
        <v>4674</v>
      </c>
      <c r="F733" s="1" t="s">
        <v>28</v>
      </c>
      <c r="G733" s="1" t="s">
        <v>3828</v>
      </c>
      <c r="H733" s="1"/>
      <c r="I733" s="1">
        <v>5</v>
      </c>
      <c r="J733" s="1">
        <v>1</v>
      </c>
      <c r="K733" s="1" t="s">
        <v>43</v>
      </c>
      <c r="L733" s="1" t="s">
        <v>728</v>
      </c>
      <c r="M733" s="1" t="s">
        <v>3829</v>
      </c>
      <c r="N733" s="2">
        <v>42689</v>
      </c>
      <c r="O733" s="1"/>
      <c r="P733" s="1"/>
      <c r="Q733" s="1" t="s">
        <v>34</v>
      </c>
      <c r="R733" s="1"/>
      <c r="S733" s="1" t="s">
        <v>35</v>
      </c>
      <c r="T733" s="1">
        <v>44.290134999999999</v>
      </c>
      <c r="U733" s="1">
        <v>-73.182564999999997</v>
      </c>
      <c r="V733" s="1" t="s">
        <v>3830</v>
      </c>
      <c r="W733" s="1"/>
      <c r="X733" s="1" t="s">
        <v>37</v>
      </c>
      <c r="Y733" s="1" t="s">
        <v>736</v>
      </c>
      <c r="Z733" s="1">
        <v>5445</v>
      </c>
    </row>
    <row r="734" spans="1:26" ht="42">
      <c r="A734" s="1" t="str">
        <f>"000N5H"</f>
        <v>000N5H</v>
      </c>
      <c r="B734" s="1" t="s">
        <v>3831</v>
      </c>
      <c r="C734" s="1" t="s">
        <v>3832</v>
      </c>
      <c r="D734" s="1" t="str">
        <f>"8023237474"</f>
        <v>8023237474</v>
      </c>
      <c r="E734" s="1">
        <v>4676</v>
      </c>
      <c r="F734" s="1" t="s">
        <v>28</v>
      </c>
      <c r="G734" s="1" t="s">
        <v>3833</v>
      </c>
      <c r="H734" s="1"/>
      <c r="I734" s="1">
        <v>2</v>
      </c>
      <c r="J734" s="1" t="s">
        <v>470</v>
      </c>
      <c r="K734" s="1" t="s">
        <v>527</v>
      </c>
      <c r="L734" s="1" t="s">
        <v>1411</v>
      </c>
      <c r="M734" s="1" t="s">
        <v>3834</v>
      </c>
      <c r="N734" s="2">
        <v>41850</v>
      </c>
      <c r="O734" s="1"/>
      <c r="P734" s="1"/>
      <c r="Q734" s="1" t="s">
        <v>34</v>
      </c>
      <c r="R734" s="1"/>
      <c r="S734" s="1" t="s">
        <v>35</v>
      </c>
      <c r="T734" s="1">
        <v>44.885065999999902</v>
      </c>
      <c r="U734" s="1">
        <v>-72.180141699999893</v>
      </c>
      <c r="V734" s="1" t="s">
        <v>3835</v>
      </c>
      <c r="W734" s="1"/>
      <c r="X734" s="1" t="s">
        <v>37</v>
      </c>
      <c r="Y734" s="1" t="s">
        <v>3836</v>
      </c>
      <c r="Z734" s="1">
        <v>5825</v>
      </c>
    </row>
    <row r="735" spans="1:26" ht="42">
      <c r="A735" s="1" t="str">
        <f>"000N72"</f>
        <v>000N72</v>
      </c>
      <c r="B735" s="1" t="s">
        <v>3837</v>
      </c>
      <c r="C735" s="1" t="s">
        <v>3838</v>
      </c>
      <c r="D735" s="1" t="str">
        <f>"8025352583"</f>
        <v>8025352583</v>
      </c>
      <c r="E735" s="1">
        <v>4677</v>
      </c>
      <c r="F735" s="1" t="s">
        <v>28</v>
      </c>
      <c r="G735" s="1" t="s">
        <v>3839</v>
      </c>
      <c r="H735" s="1"/>
      <c r="I735" s="1">
        <v>4</v>
      </c>
      <c r="J735" s="1" t="s">
        <v>3840</v>
      </c>
      <c r="K735" s="1" t="s">
        <v>59</v>
      </c>
      <c r="L735" s="1" t="s">
        <v>2466</v>
      </c>
      <c r="M735" s="1" t="s">
        <v>3841</v>
      </c>
      <c r="N735" s="2">
        <v>41853</v>
      </c>
      <c r="O735" s="1"/>
      <c r="P735" s="2">
        <v>41858</v>
      </c>
      <c r="Q735" s="1" t="s">
        <v>34</v>
      </c>
      <c r="R735" s="1"/>
      <c r="S735" s="1" t="s">
        <v>35</v>
      </c>
      <c r="T735" s="1">
        <v>44.436734999999999</v>
      </c>
      <c r="U735" s="1">
        <v>-71.980065599999904</v>
      </c>
      <c r="V735" s="1" t="s">
        <v>3842</v>
      </c>
      <c r="W735" s="1"/>
      <c r="X735" s="1" t="s">
        <v>37</v>
      </c>
      <c r="Y735" s="1" t="s">
        <v>3843</v>
      </c>
      <c r="Z735" s="1">
        <v>5819</v>
      </c>
    </row>
    <row r="736" spans="1:26" ht="42">
      <c r="A736" s="1" t="str">
        <f>"000N78"</f>
        <v>000N78</v>
      </c>
      <c r="B736" s="1" t="s">
        <v>3844</v>
      </c>
      <c r="C736" s="1" t="s">
        <v>3845</v>
      </c>
      <c r="D736" s="1" t="str">
        <f>"8027934954"</f>
        <v>8027934954</v>
      </c>
      <c r="E736" s="1">
        <v>4679</v>
      </c>
      <c r="F736" s="1" t="s">
        <v>28</v>
      </c>
      <c r="G736" s="1" t="s">
        <v>3846</v>
      </c>
      <c r="H736" s="1"/>
      <c r="I736" s="1">
        <v>2</v>
      </c>
      <c r="J736" s="1" t="s">
        <v>3847</v>
      </c>
      <c r="K736" s="1" t="s">
        <v>31</v>
      </c>
      <c r="L736" s="1" t="s">
        <v>702</v>
      </c>
      <c r="M736" s="1" t="s">
        <v>3848</v>
      </c>
      <c r="N736" s="2">
        <v>41830</v>
      </c>
      <c r="O736" s="1"/>
      <c r="P736" s="1"/>
      <c r="Q736" s="1" t="s">
        <v>34</v>
      </c>
      <c r="R736" s="1"/>
      <c r="S736" s="1" t="s">
        <v>35</v>
      </c>
      <c r="T736" s="1">
        <v>44.121738000000001</v>
      </c>
      <c r="U736" s="1">
        <v>-72.660644999999903</v>
      </c>
      <c r="V736" s="1" t="s">
        <v>3849</v>
      </c>
      <c r="W736" s="1"/>
      <c r="X736" s="1" t="s">
        <v>37</v>
      </c>
      <c r="Y736" s="1" t="s">
        <v>705</v>
      </c>
      <c r="Z736" s="1">
        <v>5663</v>
      </c>
    </row>
    <row r="737" spans="1:26" ht="42">
      <c r="A737" s="1" t="str">
        <f>"000N78"</f>
        <v>000N78</v>
      </c>
      <c r="B737" s="1" t="s">
        <v>3844</v>
      </c>
      <c r="C737" s="1" t="s">
        <v>3845</v>
      </c>
      <c r="D737" s="1" t="str">
        <f>"8027934954"</f>
        <v>8027934954</v>
      </c>
      <c r="E737" s="1">
        <v>4679</v>
      </c>
      <c r="F737" s="1" t="s">
        <v>28</v>
      </c>
      <c r="G737" s="1" t="s">
        <v>3850</v>
      </c>
      <c r="H737" s="1"/>
      <c r="I737" s="1">
        <v>1</v>
      </c>
      <c r="J737" s="1">
        <v>2</v>
      </c>
      <c r="K737" s="1" t="s">
        <v>31</v>
      </c>
      <c r="L737" s="1" t="s">
        <v>716</v>
      </c>
      <c r="M737" s="1" t="s">
        <v>3851</v>
      </c>
      <c r="N737" s="2">
        <v>42954</v>
      </c>
      <c r="O737" s="1"/>
      <c r="P737" s="1"/>
      <c r="Q737" s="1" t="s">
        <v>34</v>
      </c>
      <c r="R737" s="1"/>
      <c r="S737" s="1" t="s">
        <v>35</v>
      </c>
      <c r="T737" s="1"/>
      <c r="U737" s="1"/>
      <c r="V737" s="1" t="s">
        <v>158</v>
      </c>
      <c r="W737" s="1"/>
      <c r="X737" s="1" t="s">
        <v>37</v>
      </c>
      <c r="Y737" s="1" t="s">
        <v>3852</v>
      </c>
      <c r="Z737" s="1">
        <v>0</v>
      </c>
    </row>
    <row r="738" spans="1:26" ht="42">
      <c r="A738" s="1" t="str">
        <f>"000N7F"</f>
        <v>000N7F</v>
      </c>
      <c r="B738" s="1" t="s">
        <v>3853</v>
      </c>
      <c r="C738" s="1" t="s">
        <v>3854</v>
      </c>
      <c r="D738" s="1" t="str">
        <f>"8022539698"</f>
        <v>8022539698</v>
      </c>
      <c r="E738" s="1">
        <v>4683</v>
      </c>
      <c r="F738" s="1" t="s">
        <v>28</v>
      </c>
      <c r="G738" s="1" t="s">
        <v>3855</v>
      </c>
      <c r="H738" s="1"/>
      <c r="I738" s="1">
        <v>12</v>
      </c>
      <c r="J738" s="1" t="s">
        <v>3856</v>
      </c>
      <c r="K738" s="1" t="s">
        <v>170</v>
      </c>
      <c r="L738" s="1" t="s">
        <v>3857</v>
      </c>
      <c r="M738" s="1" t="s">
        <v>3856</v>
      </c>
      <c r="N738" s="2">
        <v>41803</v>
      </c>
      <c r="O738" s="1"/>
      <c r="P738" s="1"/>
      <c r="Q738" s="1" t="s">
        <v>34</v>
      </c>
      <c r="R738" s="1"/>
      <c r="S738" s="1" t="s">
        <v>35</v>
      </c>
      <c r="T738" s="1">
        <v>44.451050000000002</v>
      </c>
      <c r="U738" s="1">
        <v>-72.726676999999995</v>
      </c>
      <c r="V738" s="1" t="s">
        <v>3858</v>
      </c>
      <c r="W738" s="1"/>
      <c r="X738" s="1" t="s">
        <v>37</v>
      </c>
      <c r="Y738" s="1" t="s">
        <v>3859</v>
      </c>
      <c r="Z738" s="1">
        <v>5672</v>
      </c>
    </row>
    <row r="739" spans="1:26" ht="42">
      <c r="A739" s="1" t="str">
        <f>"000N7G"</f>
        <v>000N7G</v>
      </c>
      <c r="B739" s="1" t="s">
        <v>3860</v>
      </c>
      <c r="C739" s="1" t="s">
        <v>3861</v>
      </c>
      <c r="D739" s="1" t="str">
        <f>"8027933398"</f>
        <v>8027933398</v>
      </c>
      <c r="E739" s="1">
        <v>4684</v>
      </c>
      <c r="F739" s="1" t="s">
        <v>28</v>
      </c>
      <c r="G739" s="1" t="s">
        <v>3862</v>
      </c>
      <c r="H739" s="1"/>
      <c r="I739" s="1">
        <v>2</v>
      </c>
      <c r="J739" s="1" t="s">
        <v>3863</v>
      </c>
      <c r="K739" s="1" t="s">
        <v>43</v>
      </c>
      <c r="L739" s="1" t="s">
        <v>723</v>
      </c>
      <c r="M739" s="1" t="s">
        <v>3864</v>
      </c>
      <c r="N739" s="2">
        <v>41806</v>
      </c>
      <c r="O739" s="1"/>
      <c r="P739" s="2">
        <v>42542</v>
      </c>
      <c r="Q739" s="1" t="s">
        <v>34</v>
      </c>
      <c r="R739" s="1"/>
      <c r="S739" s="1" t="s">
        <v>35</v>
      </c>
      <c r="T739" s="1">
        <v>44.416608948657398</v>
      </c>
      <c r="U739" s="1">
        <v>-73.252764344215393</v>
      </c>
      <c r="V739" s="1" t="s">
        <v>3865</v>
      </c>
      <c r="W739" s="1"/>
      <c r="X739" s="1" t="s">
        <v>37</v>
      </c>
      <c r="Y739" s="1" t="s">
        <v>725</v>
      </c>
      <c r="Z739" s="1">
        <v>5482</v>
      </c>
    </row>
    <row r="740" spans="1:26" ht="42">
      <c r="A740" s="1" t="str">
        <f>"000N7K"</f>
        <v>000N7K</v>
      </c>
      <c r="B740" s="1" t="s">
        <v>3866</v>
      </c>
      <c r="C740" s="1" t="s">
        <v>3867</v>
      </c>
      <c r="D740" s="1" t="str">
        <f>"8028995444"</f>
        <v>8028995444</v>
      </c>
      <c r="E740" s="1">
        <v>4687</v>
      </c>
      <c r="F740" s="1" t="s">
        <v>28</v>
      </c>
      <c r="G740" s="1" t="s">
        <v>3868</v>
      </c>
      <c r="H740" s="1"/>
      <c r="I740" s="1">
        <v>1</v>
      </c>
      <c r="J740" s="1" t="s">
        <v>3869</v>
      </c>
      <c r="K740" s="1" t="s">
        <v>43</v>
      </c>
      <c r="L740" s="1" t="s">
        <v>364</v>
      </c>
      <c r="M740" s="1" t="s">
        <v>3870</v>
      </c>
      <c r="N740" s="2">
        <v>41817</v>
      </c>
      <c r="O740" s="1"/>
      <c r="P740" s="2">
        <v>42562</v>
      </c>
      <c r="Q740" s="1" t="s">
        <v>34</v>
      </c>
      <c r="R740" s="1"/>
      <c r="S740" s="1" t="s">
        <v>35</v>
      </c>
      <c r="T740" s="1">
        <v>44.471012999999999</v>
      </c>
      <c r="U740" s="1">
        <v>-72.980817000000002</v>
      </c>
      <c r="V740" s="1" t="s">
        <v>3871</v>
      </c>
      <c r="W740" s="1"/>
      <c r="X740" s="1" t="s">
        <v>37</v>
      </c>
      <c r="Y740" s="1" t="s">
        <v>367</v>
      </c>
      <c r="Z740" s="1">
        <v>5465</v>
      </c>
    </row>
    <row r="741" spans="1:26" ht="42">
      <c r="A741" s="1" t="str">
        <f>"000N89"</f>
        <v>000N89</v>
      </c>
      <c r="B741" s="1" t="s">
        <v>3872</v>
      </c>
      <c r="C741" s="1" t="s">
        <v>3873</v>
      </c>
      <c r="D741" s="1" t="str">
        <f>"8027386101"</f>
        <v>8027386101</v>
      </c>
      <c r="E741" s="1">
        <v>4688</v>
      </c>
      <c r="F741" s="1" t="s">
        <v>28</v>
      </c>
      <c r="G741" s="1" t="s">
        <v>3874</v>
      </c>
      <c r="H741" s="1"/>
      <c r="I741" s="1">
        <v>2</v>
      </c>
      <c r="J741" s="1" t="s">
        <v>3875</v>
      </c>
      <c r="K741" s="1" t="s">
        <v>77</v>
      </c>
      <c r="L741" s="1" t="s">
        <v>78</v>
      </c>
      <c r="M741" s="1" t="s">
        <v>3876</v>
      </c>
      <c r="N741" s="2">
        <v>41821</v>
      </c>
      <c r="O741" s="1"/>
      <c r="P741" s="1"/>
      <c r="Q741" s="1" t="s">
        <v>34</v>
      </c>
      <c r="R741" s="1"/>
      <c r="S741" s="1" t="s">
        <v>35</v>
      </c>
      <c r="T741" s="1">
        <v>43.343366000000003</v>
      </c>
      <c r="U741" s="1">
        <v>-72.707542999999902</v>
      </c>
      <c r="V741" s="1" t="s">
        <v>3877</v>
      </c>
      <c r="W741" s="1"/>
      <c r="X741" s="1" t="s">
        <v>37</v>
      </c>
      <c r="Y741" s="1" t="s">
        <v>81</v>
      </c>
      <c r="Z741" s="1">
        <v>5149</v>
      </c>
    </row>
    <row r="742" spans="1:26" ht="42">
      <c r="A742" s="1" t="str">
        <f>"000N8A"</f>
        <v>000N8A</v>
      </c>
      <c r="B742" s="1" t="s">
        <v>3878</v>
      </c>
      <c r="C742" s="1" t="s">
        <v>3879</v>
      </c>
      <c r="D742" s="1" t="str">
        <f>"8028881765"</f>
        <v>8028881765</v>
      </c>
      <c r="E742" s="1">
        <v>4689</v>
      </c>
      <c r="F742" s="1" t="s">
        <v>28</v>
      </c>
      <c r="G742" s="1" t="s">
        <v>3880</v>
      </c>
      <c r="H742" s="1"/>
      <c r="I742" s="1">
        <v>3</v>
      </c>
      <c r="J742" s="1" t="s">
        <v>3881</v>
      </c>
      <c r="K742" s="1" t="s">
        <v>170</v>
      </c>
      <c r="L742" s="1" t="s">
        <v>1614</v>
      </c>
      <c r="M742" s="1" t="s">
        <v>3882</v>
      </c>
      <c r="N742" s="2">
        <v>41778</v>
      </c>
      <c r="O742" s="1"/>
      <c r="P742" s="1"/>
      <c r="Q742" s="1" t="s">
        <v>34</v>
      </c>
      <c r="R742" s="1"/>
      <c r="S742" s="1" t="s">
        <v>35</v>
      </c>
      <c r="T742" s="1">
        <v>44.544356999999998</v>
      </c>
      <c r="U742" s="1">
        <v>-72.518241999999901</v>
      </c>
      <c r="V742" s="1" t="s">
        <v>3883</v>
      </c>
      <c r="W742" s="1"/>
      <c r="X742" s="1" t="s">
        <v>37</v>
      </c>
      <c r="Y742" s="1" t="s">
        <v>3884</v>
      </c>
      <c r="Z742" s="1">
        <v>5657</v>
      </c>
    </row>
    <row r="743" spans="1:26" ht="42">
      <c r="A743" s="1" t="str">
        <f>"000N8C"</f>
        <v>000N8C</v>
      </c>
      <c r="B743" s="1" t="s">
        <v>3885</v>
      </c>
      <c r="C743" s="1" t="s">
        <v>3886</v>
      </c>
      <c r="D743" s="1" t="str">
        <f>"7036151859"</f>
        <v>7036151859</v>
      </c>
      <c r="E743" s="1">
        <v>4691</v>
      </c>
      <c r="F743" s="1" t="s">
        <v>28</v>
      </c>
      <c r="G743" s="1" t="s">
        <v>3887</v>
      </c>
      <c r="H743" s="1"/>
      <c r="I743" s="1">
        <v>2</v>
      </c>
      <c r="J743" s="1" t="s">
        <v>3888</v>
      </c>
      <c r="K743" s="1" t="s">
        <v>187</v>
      </c>
      <c r="L743" s="1" t="s">
        <v>242</v>
      </c>
      <c r="M743" s="1" t="s">
        <v>3889</v>
      </c>
      <c r="N743" s="2">
        <v>41757</v>
      </c>
      <c r="O743" s="1"/>
      <c r="P743" s="1"/>
      <c r="Q743" s="1" t="s">
        <v>34</v>
      </c>
      <c r="R743" s="1"/>
      <c r="S743" s="1" t="s">
        <v>35</v>
      </c>
      <c r="T743" s="1">
        <v>42.827010999999999</v>
      </c>
      <c r="U743" s="1">
        <v>-73.259032999999903</v>
      </c>
      <c r="V743" s="1" t="s">
        <v>3890</v>
      </c>
      <c r="W743" s="1"/>
      <c r="X743" s="1" t="s">
        <v>37</v>
      </c>
      <c r="Y743" s="1" t="s">
        <v>3891</v>
      </c>
      <c r="Z743" s="1">
        <v>5260</v>
      </c>
    </row>
    <row r="744" spans="1:26" ht="42">
      <c r="A744" s="1" t="str">
        <f>"000N8D"</f>
        <v>000N8D</v>
      </c>
      <c r="B744" s="1" t="s">
        <v>3892</v>
      </c>
      <c r="C744" s="1" t="s">
        <v>3893</v>
      </c>
      <c r="D744" s="1" t="str">
        <f>"8022295613"</f>
        <v>8022295613</v>
      </c>
      <c r="E744" s="1">
        <v>4692</v>
      </c>
      <c r="F744" s="1" t="s">
        <v>28</v>
      </c>
      <c r="G744" s="1" t="s">
        <v>3894</v>
      </c>
      <c r="H744" s="1"/>
      <c r="I744" s="1">
        <v>4</v>
      </c>
      <c r="J744" s="1" t="s">
        <v>3895</v>
      </c>
      <c r="K744" s="1" t="s">
        <v>31</v>
      </c>
      <c r="L744" s="1" t="s">
        <v>2345</v>
      </c>
      <c r="M744" s="1" t="s">
        <v>3896</v>
      </c>
      <c r="N744" s="2">
        <v>41854</v>
      </c>
      <c r="O744" s="1"/>
      <c r="P744" s="2">
        <v>42146</v>
      </c>
      <c r="Q744" s="1" t="s">
        <v>34</v>
      </c>
      <c r="R744" s="1"/>
      <c r="S744" s="1" t="s">
        <v>35</v>
      </c>
      <c r="T744" s="1">
        <v>44.321334999999998</v>
      </c>
      <c r="U744" s="1">
        <v>-72.626494999999906</v>
      </c>
      <c r="V744" s="1" t="s">
        <v>3897</v>
      </c>
      <c r="W744" s="1"/>
      <c r="X744" s="1" t="s">
        <v>37</v>
      </c>
      <c r="Y744" s="1" t="s">
        <v>2348</v>
      </c>
      <c r="Z744" s="1">
        <v>5602</v>
      </c>
    </row>
    <row r="745" spans="1:26" ht="28">
      <c r="A745" s="1" t="str">
        <f>"000N8H"</f>
        <v>000N8H</v>
      </c>
      <c r="B745" s="1" t="s">
        <v>3898</v>
      </c>
      <c r="C745" s="1" t="s">
        <v>3899</v>
      </c>
      <c r="D745" s="1"/>
      <c r="E745" s="1">
        <v>4694</v>
      </c>
      <c r="F745" s="1" t="s">
        <v>28</v>
      </c>
      <c r="G745" s="1" t="s">
        <v>3900</v>
      </c>
      <c r="H745" s="1"/>
      <c r="I745" s="1">
        <v>5</v>
      </c>
      <c r="J745" s="1" t="s">
        <v>3901</v>
      </c>
      <c r="K745" s="1" t="s">
        <v>187</v>
      </c>
      <c r="L745" s="1" t="s">
        <v>2975</v>
      </c>
      <c r="M745" s="1" t="s">
        <v>3902</v>
      </c>
      <c r="N745" s="2">
        <v>41745</v>
      </c>
      <c r="O745" s="1"/>
      <c r="P745" s="2">
        <v>42962</v>
      </c>
      <c r="Q745" s="1" t="s">
        <v>34</v>
      </c>
      <c r="R745" s="1"/>
      <c r="S745" s="1" t="s">
        <v>35</v>
      </c>
      <c r="T745" s="1">
        <v>43.0965018554935</v>
      </c>
      <c r="U745" s="1">
        <v>-73.204436302185002</v>
      </c>
      <c r="V745" s="1" t="s">
        <v>3903</v>
      </c>
      <c r="W745" s="1"/>
      <c r="X745" s="1" t="s">
        <v>37</v>
      </c>
      <c r="Y745" s="1" t="s">
        <v>3904</v>
      </c>
      <c r="Z745" s="1">
        <v>5000</v>
      </c>
    </row>
    <row r="746" spans="1:26" ht="42">
      <c r="A746" s="1" t="str">
        <f>"000N8M"</f>
        <v>000N8M</v>
      </c>
      <c r="B746" s="1" t="s">
        <v>3905</v>
      </c>
      <c r="C746" s="1" t="s">
        <v>3906</v>
      </c>
      <c r="D746" s="1" t="str">
        <f>"8022725883"</f>
        <v>8022725883</v>
      </c>
      <c r="E746" s="1">
        <v>4697</v>
      </c>
      <c r="F746" s="1" t="s">
        <v>28</v>
      </c>
      <c r="G746" s="1" t="s">
        <v>3907</v>
      </c>
      <c r="H746" s="1"/>
      <c r="I746" s="1">
        <v>2</v>
      </c>
      <c r="J746" s="1" t="s">
        <v>3908</v>
      </c>
      <c r="K746" s="1" t="s">
        <v>43</v>
      </c>
      <c r="L746" s="1" t="s">
        <v>3909</v>
      </c>
      <c r="M746" s="1" t="s">
        <v>3910</v>
      </c>
      <c r="N746" s="2">
        <v>41811</v>
      </c>
      <c r="O746" s="1"/>
      <c r="P746" s="1"/>
      <c r="Q746" s="1" t="s">
        <v>34</v>
      </c>
      <c r="R746" s="1"/>
      <c r="S746" s="1" t="s">
        <v>35</v>
      </c>
      <c r="T746" s="1">
        <v>44.418647346648697</v>
      </c>
      <c r="U746" s="1">
        <v>-72.851259112358093</v>
      </c>
      <c r="V746" s="1" t="s">
        <v>3911</v>
      </c>
      <c r="W746" s="1"/>
      <c r="X746" s="1" t="s">
        <v>37</v>
      </c>
      <c r="Y746" s="1" t="s">
        <v>3912</v>
      </c>
      <c r="Z746" s="1">
        <v>5477</v>
      </c>
    </row>
    <row r="747" spans="1:26" ht="42">
      <c r="A747" s="1" t="str">
        <f>"000N9J"</f>
        <v>000N9J</v>
      </c>
      <c r="B747" s="1" t="s">
        <v>3913</v>
      </c>
      <c r="C747" s="1" t="s">
        <v>3914</v>
      </c>
      <c r="D747" s="1" t="str">
        <f>"8024252609"</f>
        <v>8024252609</v>
      </c>
      <c r="E747" s="1">
        <v>4698</v>
      </c>
      <c r="F747" s="1" t="s">
        <v>28</v>
      </c>
      <c r="G747" s="1" t="s">
        <v>3915</v>
      </c>
      <c r="H747" s="1"/>
      <c r="I747" s="1">
        <v>3</v>
      </c>
      <c r="J747" s="1" t="s">
        <v>3916</v>
      </c>
      <c r="K747" s="1" t="s">
        <v>43</v>
      </c>
      <c r="L747" s="1" t="s">
        <v>728</v>
      </c>
      <c r="M747" s="1" t="s">
        <v>3917</v>
      </c>
      <c r="N747" s="2">
        <v>41878</v>
      </c>
      <c r="O747" s="1"/>
      <c r="P747" s="2">
        <v>42947</v>
      </c>
      <c r="Q747" s="1" t="s">
        <v>34</v>
      </c>
      <c r="R747" s="1"/>
      <c r="S747" s="1" t="s">
        <v>35</v>
      </c>
      <c r="T747" s="1">
        <v>44.324817402408598</v>
      </c>
      <c r="U747" s="1">
        <v>-73.220731392502699</v>
      </c>
      <c r="V747" s="1" t="s">
        <v>3918</v>
      </c>
      <c r="W747" s="1"/>
      <c r="X747" s="1" t="s">
        <v>37</v>
      </c>
      <c r="Y747" s="1" t="s">
        <v>736</v>
      </c>
      <c r="Z747" s="1">
        <v>5445</v>
      </c>
    </row>
    <row r="748" spans="1:26" ht="42">
      <c r="A748" s="1" t="str">
        <f>"000NC3"</f>
        <v>000NC3</v>
      </c>
      <c r="B748" s="1" t="s">
        <v>3919</v>
      </c>
      <c r="C748" s="1" t="s">
        <v>3920</v>
      </c>
      <c r="D748" s="1" t="str">
        <f>"8029996091"</f>
        <v>8029996091</v>
      </c>
      <c r="E748" s="1">
        <v>4702</v>
      </c>
      <c r="F748" s="1" t="s">
        <v>28</v>
      </c>
      <c r="G748" s="1" t="s">
        <v>3921</v>
      </c>
      <c r="H748" s="1"/>
      <c r="I748" s="1">
        <v>1</v>
      </c>
      <c r="J748" s="1" t="s">
        <v>3922</v>
      </c>
      <c r="K748" s="1" t="s">
        <v>527</v>
      </c>
      <c r="L748" s="1" t="s">
        <v>2668</v>
      </c>
      <c r="M748" s="1" t="s">
        <v>3923</v>
      </c>
      <c r="N748" s="2">
        <v>41890</v>
      </c>
      <c r="O748" s="1"/>
      <c r="P748" s="1"/>
      <c r="Q748" s="1" t="s">
        <v>34</v>
      </c>
      <c r="R748" s="1"/>
      <c r="S748" s="1" t="s">
        <v>35</v>
      </c>
      <c r="T748" s="1">
        <v>44.679008000000003</v>
      </c>
      <c r="U748" s="1">
        <v>-72.384399000000002</v>
      </c>
      <c r="V748" s="1" t="s">
        <v>3924</v>
      </c>
      <c r="W748" s="1"/>
      <c r="X748" s="1" t="s">
        <v>37</v>
      </c>
      <c r="Y748" s="1" t="s">
        <v>3925</v>
      </c>
      <c r="Z748" s="1">
        <v>5827</v>
      </c>
    </row>
    <row r="749" spans="1:26" ht="42">
      <c r="A749" s="1" t="str">
        <f>"000NC5"</f>
        <v>000NC5</v>
      </c>
      <c r="B749" s="1" t="s">
        <v>3926</v>
      </c>
      <c r="C749" s="1" t="s">
        <v>3927</v>
      </c>
      <c r="D749" s="1" t="str">
        <f>"5083305472"</f>
        <v>5083305472</v>
      </c>
      <c r="E749" s="1">
        <v>4704</v>
      </c>
      <c r="F749" s="1" t="s">
        <v>28</v>
      </c>
      <c r="G749" s="1" t="s">
        <v>3928</v>
      </c>
      <c r="H749" s="1"/>
      <c r="I749" s="1">
        <v>1</v>
      </c>
      <c r="J749" s="1" t="s">
        <v>3929</v>
      </c>
      <c r="K749" s="1" t="s">
        <v>187</v>
      </c>
      <c r="L749" s="1" t="s">
        <v>293</v>
      </c>
      <c r="M749" s="1" t="s">
        <v>3930</v>
      </c>
      <c r="N749" s="2">
        <v>41788</v>
      </c>
      <c r="O749" s="1"/>
      <c r="P749" s="1"/>
      <c r="Q749" s="1" t="s">
        <v>34</v>
      </c>
      <c r="R749" s="1"/>
      <c r="S749" s="1" t="s">
        <v>35</v>
      </c>
      <c r="T749" s="1">
        <v>42.956721999999999</v>
      </c>
      <c r="U749" s="1">
        <v>-73.215763899999999</v>
      </c>
      <c r="V749" s="1" t="s">
        <v>3931</v>
      </c>
      <c r="W749" s="1"/>
      <c r="X749" s="1" t="s">
        <v>37</v>
      </c>
      <c r="Y749" s="1" t="s">
        <v>296</v>
      </c>
      <c r="Z749" s="1">
        <v>5262</v>
      </c>
    </row>
    <row r="750" spans="1:26" ht="42">
      <c r="A750" s="1" t="str">
        <f>"000NC5"</f>
        <v>000NC5</v>
      </c>
      <c r="B750" s="1" t="s">
        <v>3926</v>
      </c>
      <c r="C750" s="1" t="s">
        <v>3927</v>
      </c>
      <c r="D750" s="1" t="str">
        <f>"5083305472"</f>
        <v>5083305472</v>
      </c>
      <c r="E750" s="1">
        <v>4704</v>
      </c>
      <c r="F750" s="1" t="s">
        <v>28</v>
      </c>
      <c r="G750" s="1" t="s">
        <v>3932</v>
      </c>
      <c r="H750" s="1"/>
      <c r="I750" s="1">
        <v>1</v>
      </c>
      <c r="J750" s="1">
        <v>2</v>
      </c>
      <c r="K750" s="1" t="s">
        <v>187</v>
      </c>
      <c r="L750" s="1" t="s">
        <v>3933</v>
      </c>
      <c r="M750" s="1" t="s">
        <v>3934</v>
      </c>
      <c r="N750" s="2">
        <v>42171</v>
      </c>
      <c r="O750" s="1"/>
      <c r="P750" s="1"/>
      <c r="Q750" s="1" t="s">
        <v>34</v>
      </c>
      <c r="R750" s="1"/>
      <c r="S750" s="1" t="s">
        <v>35</v>
      </c>
      <c r="T750" s="1">
        <v>42.882480999999999</v>
      </c>
      <c r="U750" s="1">
        <v>-73.084205999999995</v>
      </c>
      <c r="V750" s="1" t="s">
        <v>3935</v>
      </c>
      <c r="W750" s="1"/>
      <c r="X750" s="1" t="s">
        <v>37</v>
      </c>
      <c r="Y750" s="1" t="s">
        <v>3936</v>
      </c>
      <c r="Z750" s="1">
        <v>5201</v>
      </c>
    </row>
    <row r="751" spans="1:26" ht="42">
      <c r="A751" s="1" t="str">
        <f>"000NC8"</f>
        <v>000NC8</v>
      </c>
      <c r="B751" s="1" t="s">
        <v>3937</v>
      </c>
      <c r="C751" s="1" t="s">
        <v>3938</v>
      </c>
      <c r="D751" s="1" t="str">
        <f>"8022733873"</f>
        <v>8022733873</v>
      </c>
      <c r="E751" s="1">
        <v>4707</v>
      </c>
      <c r="F751" s="1" t="s">
        <v>28</v>
      </c>
      <c r="G751" s="1" t="s">
        <v>3939</v>
      </c>
      <c r="H751" s="1"/>
      <c r="I751" s="1">
        <v>7</v>
      </c>
      <c r="J751" s="1" t="s">
        <v>3940</v>
      </c>
      <c r="K751" s="1" t="s">
        <v>135</v>
      </c>
      <c r="L751" s="1" t="s">
        <v>1850</v>
      </c>
      <c r="M751" s="1" t="s">
        <v>3941</v>
      </c>
      <c r="N751" s="2">
        <v>41887</v>
      </c>
      <c r="O751" s="1"/>
      <c r="P751" s="1"/>
      <c r="Q751" s="1" t="s">
        <v>34</v>
      </c>
      <c r="R751" s="1"/>
      <c r="S751" s="1" t="s">
        <v>35</v>
      </c>
      <c r="T751" s="1">
        <v>43.720792104846304</v>
      </c>
      <c r="U751" s="1">
        <v>-73.226966857910099</v>
      </c>
      <c r="V751" s="1" t="s">
        <v>3942</v>
      </c>
      <c r="W751" s="1"/>
      <c r="X751" s="1" t="s">
        <v>37</v>
      </c>
      <c r="Y751" s="1" t="s">
        <v>3943</v>
      </c>
      <c r="Z751" s="1">
        <v>5732</v>
      </c>
    </row>
    <row r="752" spans="1:26" ht="42">
      <c r="A752" s="1" t="str">
        <f>"000NCC"</f>
        <v>000NCC</v>
      </c>
      <c r="B752" s="1" t="s">
        <v>3944</v>
      </c>
      <c r="C752" s="1" t="s">
        <v>3945</v>
      </c>
      <c r="D752" s="1" t="str">
        <f>"8023160549"</f>
        <v>8023160549</v>
      </c>
      <c r="E752" s="1">
        <v>4711</v>
      </c>
      <c r="F752" s="1" t="s">
        <v>28</v>
      </c>
      <c r="G752" s="1" t="s">
        <v>3946</v>
      </c>
      <c r="H752" s="1"/>
      <c r="I752" s="1">
        <v>2</v>
      </c>
      <c r="J752" s="1" t="s">
        <v>3947</v>
      </c>
      <c r="K752" s="1" t="s">
        <v>43</v>
      </c>
      <c r="L752" s="1" t="s">
        <v>778</v>
      </c>
      <c r="M752" s="1" t="s">
        <v>3948</v>
      </c>
      <c r="N752" s="2">
        <v>41806</v>
      </c>
      <c r="O752" s="1"/>
      <c r="P752" s="1"/>
      <c r="Q752" s="1" t="s">
        <v>34</v>
      </c>
      <c r="R752" s="1"/>
      <c r="S752" s="1" t="s">
        <v>35</v>
      </c>
      <c r="T752" s="1">
        <v>44.553882999999999</v>
      </c>
      <c r="U752" s="1">
        <v>-73.172931000000005</v>
      </c>
      <c r="V752" s="1" t="s">
        <v>3949</v>
      </c>
      <c r="W752" s="1"/>
      <c r="X752" s="1" t="s">
        <v>37</v>
      </c>
      <c r="Y752" s="1" t="s">
        <v>781</v>
      </c>
      <c r="Z752" s="1">
        <v>5446</v>
      </c>
    </row>
    <row r="753" spans="1:26" ht="42">
      <c r="A753" s="1" t="str">
        <f>"000NCK"</f>
        <v>000NCK</v>
      </c>
      <c r="B753" s="1" t="s">
        <v>3950</v>
      </c>
      <c r="C753" s="1" t="s">
        <v>3951</v>
      </c>
      <c r="D753" s="1" t="str">
        <f>"8023657246"</f>
        <v>8023657246</v>
      </c>
      <c r="E753" s="1">
        <v>4715</v>
      </c>
      <c r="F753" s="1" t="s">
        <v>28</v>
      </c>
      <c r="G753" s="1" t="s">
        <v>3952</v>
      </c>
      <c r="H753" s="1"/>
      <c r="I753" s="1">
        <v>3</v>
      </c>
      <c r="J753" s="1" t="s">
        <v>3953</v>
      </c>
      <c r="K753" s="1" t="s">
        <v>144</v>
      </c>
      <c r="L753" s="1" t="s">
        <v>356</v>
      </c>
      <c r="M753" s="1" t="s">
        <v>3954</v>
      </c>
      <c r="N753" s="2">
        <v>41810</v>
      </c>
      <c r="O753" s="1"/>
      <c r="P753" s="1"/>
      <c r="Q753" s="1" t="s">
        <v>34</v>
      </c>
      <c r="R753" s="1"/>
      <c r="S753" s="1" t="s">
        <v>35</v>
      </c>
      <c r="T753" s="1">
        <v>42.951239882542303</v>
      </c>
      <c r="U753" s="1">
        <v>-72.647802829742403</v>
      </c>
      <c r="V753" s="1" t="s">
        <v>3955</v>
      </c>
      <c r="W753" s="1"/>
      <c r="X753" s="1" t="s">
        <v>37</v>
      </c>
      <c r="Y753" s="1" t="s">
        <v>1370</v>
      </c>
      <c r="Z753" s="1">
        <v>5345</v>
      </c>
    </row>
    <row r="754" spans="1:26" ht="42">
      <c r="A754" s="1" t="str">
        <f>"000NCM"</f>
        <v>000NCM</v>
      </c>
      <c r="B754" s="1" t="s">
        <v>3956</v>
      </c>
      <c r="C754" s="1" t="s">
        <v>3957</v>
      </c>
      <c r="D754" s="1" t="str">
        <f>"8022539430"</f>
        <v>8022539430</v>
      </c>
      <c r="E754" s="1">
        <v>4716</v>
      </c>
      <c r="F754" s="1" t="s">
        <v>28</v>
      </c>
      <c r="G754" s="1" t="s">
        <v>3958</v>
      </c>
      <c r="H754" s="1"/>
      <c r="I754" s="1">
        <v>2</v>
      </c>
      <c r="J754" s="1" t="s">
        <v>3959</v>
      </c>
      <c r="K754" s="1" t="s">
        <v>170</v>
      </c>
      <c r="L754" s="1" t="s">
        <v>3857</v>
      </c>
      <c r="M754" s="1" t="s">
        <v>3960</v>
      </c>
      <c r="N754" s="2">
        <v>41762</v>
      </c>
      <c r="O754" s="1"/>
      <c r="P754" s="1"/>
      <c r="Q754" s="1" t="s">
        <v>34</v>
      </c>
      <c r="R754" s="1"/>
      <c r="S754" s="1" t="s">
        <v>35</v>
      </c>
      <c r="T754" s="1">
        <v>44.446252000000001</v>
      </c>
      <c r="U754" s="1">
        <v>-72.687027999999998</v>
      </c>
      <c r="V754" s="1" t="s">
        <v>3961</v>
      </c>
      <c r="W754" s="1"/>
      <c r="X754" s="1" t="s">
        <v>37</v>
      </c>
      <c r="Y754" s="1" t="s">
        <v>3859</v>
      </c>
      <c r="Z754" s="1">
        <v>5672</v>
      </c>
    </row>
    <row r="755" spans="1:26" ht="42">
      <c r="A755" s="1" t="str">
        <f>"000NCN"</f>
        <v>000NCN</v>
      </c>
      <c r="B755" s="1" t="s">
        <v>3962</v>
      </c>
      <c r="C755" s="1" t="s">
        <v>3963</v>
      </c>
      <c r="D755" s="1" t="str">
        <f>"8028819816"</f>
        <v>8028819816</v>
      </c>
      <c r="E755" s="1">
        <v>4717</v>
      </c>
      <c r="F755" s="1" t="s">
        <v>28</v>
      </c>
      <c r="G755" s="1" t="s">
        <v>3964</v>
      </c>
      <c r="H755" s="1"/>
      <c r="I755" s="1">
        <v>1</v>
      </c>
      <c r="J755" s="1" t="s">
        <v>3965</v>
      </c>
      <c r="K755" s="1" t="s">
        <v>135</v>
      </c>
      <c r="L755" s="1" t="s">
        <v>871</v>
      </c>
      <c r="M755" s="1" t="s">
        <v>3966</v>
      </c>
      <c r="N755" s="2">
        <v>41730</v>
      </c>
      <c r="O755" s="1"/>
      <c r="P755" s="1"/>
      <c r="Q755" s="1" t="s">
        <v>34</v>
      </c>
      <c r="R755" s="1"/>
      <c r="S755" s="1" t="s">
        <v>35</v>
      </c>
      <c r="T755" s="1">
        <v>43.829097999999902</v>
      </c>
      <c r="U755" s="1">
        <v>-73.201377999999906</v>
      </c>
      <c r="V755" s="1" t="s">
        <v>3967</v>
      </c>
      <c r="W755" s="1"/>
      <c r="X755" s="1" t="s">
        <v>37</v>
      </c>
      <c r="Y755" s="1" t="s">
        <v>874</v>
      </c>
      <c r="Z755" s="1">
        <v>5778</v>
      </c>
    </row>
    <row r="756" spans="1:26" ht="42">
      <c r="A756" s="1" t="str">
        <f>"000NCV"</f>
        <v>000NCV</v>
      </c>
      <c r="B756" s="1" t="s">
        <v>3968</v>
      </c>
      <c r="C756" s="1" t="s">
        <v>3969</v>
      </c>
      <c r="D756" s="1" t="str">
        <f>"8025987702"</f>
        <v>8025987702</v>
      </c>
      <c r="E756" s="1">
        <v>4720</v>
      </c>
      <c r="F756" s="1" t="s">
        <v>28</v>
      </c>
      <c r="G756" s="1" t="s">
        <v>3970</v>
      </c>
      <c r="H756" s="1"/>
      <c r="I756" s="1">
        <v>1</v>
      </c>
      <c r="J756" s="1" t="s">
        <v>3971</v>
      </c>
      <c r="K756" s="1" t="s">
        <v>43</v>
      </c>
      <c r="L756" s="1" t="s">
        <v>44</v>
      </c>
      <c r="M756" s="1" t="s">
        <v>3972</v>
      </c>
      <c r="N756" s="2">
        <v>41844</v>
      </c>
      <c r="O756" s="1"/>
      <c r="P756" s="1"/>
      <c r="Q756" s="1" t="s">
        <v>34</v>
      </c>
      <c r="R756" s="1"/>
      <c r="S756" s="1" t="s">
        <v>35</v>
      </c>
      <c r="T756" s="1">
        <v>44.488227999999999</v>
      </c>
      <c r="U756" s="1">
        <v>-73.224026999999893</v>
      </c>
      <c r="V756" s="1" t="s">
        <v>3973</v>
      </c>
      <c r="W756" s="1"/>
      <c r="X756" s="1" t="s">
        <v>37</v>
      </c>
      <c r="Y756" s="1" t="s">
        <v>46</v>
      </c>
      <c r="Z756" s="1">
        <v>5401</v>
      </c>
    </row>
    <row r="757" spans="1:26" ht="42">
      <c r="A757" s="1" t="str">
        <f>"000NCX"</f>
        <v>000NCX</v>
      </c>
      <c r="B757" s="1" t="s">
        <v>3974</v>
      </c>
      <c r="C757" s="1" t="s">
        <v>3975</v>
      </c>
      <c r="D757" s="1" t="str">
        <f>"8027632548"</f>
        <v>8027632548</v>
      </c>
      <c r="E757" s="1">
        <v>4722</v>
      </c>
      <c r="F757" s="1" t="s">
        <v>28</v>
      </c>
      <c r="G757" s="1" t="s">
        <v>3976</v>
      </c>
      <c r="H757" s="1"/>
      <c r="I757" s="1">
        <v>1</v>
      </c>
      <c r="J757" s="1" t="s">
        <v>3977</v>
      </c>
      <c r="K757" s="1" t="s">
        <v>77</v>
      </c>
      <c r="L757" s="1" t="s">
        <v>1391</v>
      </c>
      <c r="M757" s="1" t="s">
        <v>3978</v>
      </c>
      <c r="N757" s="2">
        <v>41750</v>
      </c>
      <c r="O757" s="1"/>
      <c r="P757" s="2">
        <v>42916</v>
      </c>
      <c r="Q757" s="1" t="s">
        <v>34</v>
      </c>
      <c r="R757" s="1"/>
      <c r="S757" s="1" t="s">
        <v>35</v>
      </c>
      <c r="T757" s="1">
        <v>43.848259400000003</v>
      </c>
      <c r="U757" s="1">
        <v>-72.499361499999907</v>
      </c>
      <c r="V757" s="1" t="s">
        <v>3979</v>
      </c>
      <c r="W757" s="1"/>
      <c r="X757" s="1" t="s">
        <v>37</v>
      </c>
      <c r="Y757" s="1" t="s">
        <v>1398</v>
      </c>
      <c r="Z757" s="1">
        <v>5068</v>
      </c>
    </row>
    <row r="758" spans="1:26" ht="42">
      <c r="A758" s="1" t="str">
        <f>"000NCZ"</f>
        <v>000NCZ</v>
      </c>
      <c r="B758" s="1" t="s">
        <v>3980</v>
      </c>
      <c r="C758" s="1" t="s">
        <v>3981</v>
      </c>
      <c r="D758" s="1" t="str">
        <f>"8028633860"</f>
        <v>8028633860</v>
      </c>
      <c r="E758" s="1">
        <v>4724</v>
      </c>
      <c r="F758" s="1" t="s">
        <v>28</v>
      </c>
      <c r="G758" s="1" t="s">
        <v>3982</v>
      </c>
      <c r="H758" s="1"/>
      <c r="I758" s="1">
        <v>4</v>
      </c>
      <c r="J758" s="1" t="s">
        <v>3983</v>
      </c>
      <c r="K758" s="1" t="s">
        <v>43</v>
      </c>
      <c r="L758" s="1" t="s">
        <v>44</v>
      </c>
      <c r="M758" s="1" t="s">
        <v>3984</v>
      </c>
      <c r="N758" s="2">
        <v>41828</v>
      </c>
      <c r="O758" s="1"/>
      <c r="P758" s="2">
        <v>42541</v>
      </c>
      <c r="Q758" s="1" t="s">
        <v>34</v>
      </c>
      <c r="R758" s="1"/>
      <c r="S758" s="1" t="s">
        <v>35</v>
      </c>
      <c r="T758" s="1">
        <v>44.477630458215998</v>
      </c>
      <c r="U758" s="1">
        <v>-73.189373016357393</v>
      </c>
      <c r="V758" s="1" t="s">
        <v>3985</v>
      </c>
      <c r="W758" s="1"/>
      <c r="X758" s="1" t="s">
        <v>37</v>
      </c>
      <c r="Y758" s="1" t="s">
        <v>46</v>
      </c>
      <c r="Z758" s="1">
        <v>5401</v>
      </c>
    </row>
    <row r="759" spans="1:26" ht="42">
      <c r="A759" s="1" t="str">
        <f>"000ND1"</f>
        <v>000ND1</v>
      </c>
      <c r="B759" s="1" t="s">
        <v>3986</v>
      </c>
      <c r="C759" s="1" t="s">
        <v>3987</v>
      </c>
      <c r="D759" s="1" t="str">
        <f>"8029223613"</f>
        <v>8029223613</v>
      </c>
      <c r="E759" s="1">
        <v>4726</v>
      </c>
      <c r="F759" s="1" t="s">
        <v>28</v>
      </c>
      <c r="G759" s="1" t="s">
        <v>3988</v>
      </c>
      <c r="H759" s="1"/>
      <c r="I759" s="1">
        <v>2</v>
      </c>
      <c r="J759" s="1" t="s">
        <v>3989</v>
      </c>
      <c r="K759" s="1" t="s">
        <v>43</v>
      </c>
      <c r="L759" s="1" t="s">
        <v>364</v>
      </c>
      <c r="M759" s="1" t="s">
        <v>3990</v>
      </c>
      <c r="N759" s="2">
        <v>41787</v>
      </c>
      <c r="O759" s="1"/>
      <c r="P759" s="2">
        <v>42576</v>
      </c>
      <c r="Q759" s="1" t="s">
        <v>34</v>
      </c>
      <c r="R759" s="1"/>
      <c r="S759" s="1" t="s">
        <v>35</v>
      </c>
      <c r="T759" s="1">
        <v>44.487098000000003</v>
      </c>
      <c r="U759" s="1">
        <v>-72.989889000000005</v>
      </c>
      <c r="V759" s="1" t="s">
        <v>3991</v>
      </c>
      <c r="W759" s="1"/>
      <c r="X759" s="1" t="s">
        <v>37</v>
      </c>
      <c r="Y759" s="1" t="s">
        <v>367</v>
      </c>
      <c r="Z759" s="1">
        <v>5464</v>
      </c>
    </row>
    <row r="760" spans="1:26" ht="42">
      <c r="A760" s="1" t="str">
        <f>"000ND3"</f>
        <v>000ND3</v>
      </c>
      <c r="B760" s="1" t="s">
        <v>3992</v>
      </c>
      <c r="C760" s="1" t="s">
        <v>3993</v>
      </c>
      <c r="D760" s="1" t="str">
        <f>"8027485461"</f>
        <v>8027485461</v>
      </c>
      <c r="E760" s="1">
        <v>4728</v>
      </c>
      <c r="F760" s="1" t="s">
        <v>28</v>
      </c>
      <c r="G760" s="1" t="s">
        <v>3994</v>
      </c>
      <c r="H760" s="1"/>
      <c r="I760" s="1">
        <v>2</v>
      </c>
      <c r="J760" s="1" t="s">
        <v>3995</v>
      </c>
      <c r="K760" s="1" t="s">
        <v>59</v>
      </c>
      <c r="L760" s="1" t="s">
        <v>3996</v>
      </c>
      <c r="M760" s="1" t="s">
        <v>3997</v>
      </c>
      <c r="N760" s="2">
        <v>41831</v>
      </c>
      <c r="O760" s="1"/>
      <c r="P760" s="1"/>
      <c r="Q760" s="1" t="s">
        <v>34</v>
      </c>
      <c r="R760" s="1"/>
      <c r="S760" s="1" t="s">
        <v>35</v>
      </c>
      <c r="T760" s="1">
        <v>44.362403999999998</v>
      </c>
      <c r="U760" s="1">
        <v>-71.890670999999998</v>
      </c>
      <c r="V760" s="1" t="s">
        <v>3998</v>
      </c>
      <c r="W760" s="1"/>
      <c r="X760" s="1" t="s">
        <v>37</v>
      </c>
      <c r="Y760" s="1" t="s">
        <v>3999</v>
      </c>
      <c r="Z760" s="1">
        <v>5819</v>
      </c>
    </row>
    <row r="761" spans="1:26" ht="42">
      <c r="A761" s="1" t="str">
        <f>"000ND4"</f>
        <v>000ND4</v>
      </c>
      <c r="B761" s="1" t="s">
        <v>4000</v>
      </c>
      <c r="C761" s="1" t="s">
        <v>4001</v>
      </c>
      <c r="D761" s="1" t="str">
        <f>"8025272862"</f>
        <v>8025272862</v>
      </c>
      <c r="E761" s="1">
        <v>4729</v>
      </c>
      <c r="F761" s="1" t="s">
        <v>28</v>
      </c>
      <c r="G761" s="1" t="s">
        <v>4002</v>
      </c>
      <c r="H761" s="1"/>
      <c r="I761" s="1">
        <v>1</v>
      </c>
      <c r="J761" s="1" t="s">
        <v>4003</v>
      </c>
      <c r="K761" s="1" t="s">
        <v>152</v>
      </c>
      <c r="L761" s="1" t="s">
        <v>1514</v>
      </c>
      <c r="M761" s="1" t="s">
        <v>4004</v>
      </c>
      <c r="N761" s="2">
        <v>41824</v>
      </c>
      <c r="O761" s="1"/>
      <c r="P761" s="1"/>
      <c r="Q761" s="1" t="s">
        <v>34</v>
      </c>
      <c r="R761" s="1"/>
      <c r="S761" s="1" t="s">
        <v>35</v>
      </c>
      <c r="T761" s="1">
        <v>44.885952000000003</v>
      </c>
      <c r="U761" s="1">
        <v>-72.999161000000001</v>
      </c>
      <c r="V761" s="1" t="s">
        <v>4005</v>
      </c>
      <c r="W761" s="1"/>
      <c r="X761" s="1" t="s">
        <v>37</v>
      </c>
      <c r="Y761" s="1" t="s">
        <v>4006</v>
      </c>
      <c r="Z761" s="1">
        <v>5485</v>
      </c>
    </row>
    <row r="762" spans="1:26" ht="42">
      <c r="A762" s="1" t="str">
        <f>"000ND6"</f>
        <v>000ND6</v>
      </c>
      <c r="B762" s="1" t="s">
        <v>4007</v>
      </c>
      <c r="C762" s="1" t="s">
        <v>4008</v>
      </c>
      <c r="D762" s="1" t="str">
        <f>"8023098325"</f>
        <v>8023098325</v>
      </c>
      <c r="E762" s="1">
        <v>4731</v>
      </c>
      <c r="F762" s="1" t="s">
        <v>28</v>
      </c>
      <c r="G762" s="1" t="s">
        <v>4009</v>
      </c>
      <c r="H762" s="1"/>
      <c r="I762" s="1">
        <v>2</v>
      </c>
      <c r="J762" s="1" t="s">
        <v>4010</v>
      </c>
      <c r="K762" s="1" t="s">
        <v>152</v>
      </c>
      <c r="L762" s="1" t="s">
        <v>1048</v>
      </c>
      <c r="M762" s="1" t="s">
        <v>4011</v>
      </c>
      <c r="N762" s="2">
        <v>41873</v>
      </c>
      <c r="O762" s="1"/>
      <c r="P762" s="1"/>
      <c r="Q762" s="1" t="s">
        <v>34</v>
      </c>
      <c r="R762" s="1"/>
      <c r="S762" s="1" t="s">
        <v>35</v>
      </c>
      <c r="T762" s="1">
        <v>44.667299800000002</v>
      </c>
      <c r="U762" s="1">
        <v>-73.023763099999996</v>
      </c>
      <c r="V762" s="1" t="s">
        <v>4012</v>
      </c>
      <c r="W762" s="1"/>
      <c r="X762" s="1" t="s">
        <v>37</v>
      </c>
      <c r="Y762" s="1" t="s">
        <v>1051</v>
      </c>
      <c r="Z762" s="1">
        <v>5454</v>
      </c>
    </row>
    <row r="763" spans="1:26" ht="42">
      <c r="A763" s="1" t="str">
        <f>"000ND6"</f>
        <v>000ND6</v>
      </c>
      <c r="B763" s="1" t="s">
        <v>4007</v>
      </c>
      <c r="C763" s="1" t="s">
        <v>4008</v>
      </c>
      <c r="D763" s="1" t="str">
        <f>"8023098325"</f>
        <v>8023098325</v>
      </c>
      <c r="E763" s="1">
        <v>4731</v>
      </c>
      <c r="F763" s="1" t="s">
        <v>28</v>
      </c>
      <c r="G763" s="1" t="s">
        <v>4013</v>
      </c>
      <c r="H763" s="1"/>
      <c r="I763" s="1">
        <v>0</v>
      </c>
      <c r="J763" s="1" t="s">
        <v>4014</v>
      </c>
      <c r="K763" s="1" t="s">
        <v>152</v>
      </c>
      <c r="L763" s="1" t="s">
        <v>1048</v>
      </c>
      <c r="M763" s="1" t="s">
        <v>4015</v>
      </c>
      <c r="N763" s="2">
        <v>42639</v>
      </c>
      <c r="O763" s="1"/>
      <c r="P763" s="1"/>
      <c r="Q763" s="1" t="s">
        <v>34</v>
      </c>
      <c r="R763" s="1"/>
      <c r="S763" s="1" t="s">
        <v>35</v>
      </c>
      <c r="T763" s="1"/>
      <c r="U763" s="1"/>
      <c r="V763" s="1" t="s">
        <v>4016</v>
      </c>
      <c r="W763" s="1"/>
      <c r="X763" s="1" t="s">
        <v>37</v>
      </c>
      <c r="Y763" s="1" t="s">
        <v>1051</v>
      </c>
      <c r="Z763" s="1">
        <v>5454</v>
      </c>
    </row>
    <row r="764" spans="1:26" ht="42">
      <c r="A764" s="1" t="str">
        <f>"000NDH"</f>
        <v>000NDH</v>
      </c>
      <c r="B764" s="1" t="s">
        <v>4017</v>
      </c>
      <c r="C764" s="1" t="s">
        <v>4018</v>
      </c>
      <c r="D764" s="1" t="str">
        <f>"8023809330"</f>
        <v>8023809330</v>
      </c>
      <c r="E764" s="1">
        <v>4737</v>
      </c>
      <c r="F764" s="1" t="s">
        <v>28</v>
      </c>
      <c r="G764" s="1" t="s">
        <v>4019</v>
      </c>
      <c r="H764" s="1"/>
      <c r="I764" s="1">
        <v>8</v>
      </c>
      <c r="J764" s="1" t="s">
        <v>4020</v>
      </c>
      <c r="K764" s="1" t="s">
        <v>144</v>
      </c>
      <c r="L764" s="1" t="s">
        <v>492</v>
      </c>
      <c r="M764" s="1" t="s">
        <v>4021</v>
      </c>
      <c r="N764" s="2">
        <v>41760</v>
      </c>
      <c r="O764" s="1"/>
      <c r="P764" s="1"/>
      <c r="Q764" s="1" t="s">
        <v>34</v>
      </c>
      <c r="R764" s="1"/>
      <c r="S764" s="1" t="s">
        <v>35</v>
      </c>
      <c r="T764" s="1">
        <v>42.858432399999998</v>
      </c>
      <c r="U764" s="1">
        <v>-72.567030799999998</v>
      </c>
      <c r="V764" s="1" t="s">
        <v>4022</v>
      </c>
      <c r="W764" s="1"/>
      <c r="X764" s="1" t="s">
        <v>37</v>
      </c>
      <c r="Y764" s="1" t="s">
        <v>619</v>
      </c>
      <c r="Z764" s="1">
        <v>5301</v>
      </c>
    </row>
    <row r="765" spans="1:26" ht="42">
      <c r="A765" s="1" t="str">
        <f>"000NDN"</f>
        <v>000NDN</v>
      </c>
      <c r="B765" s="1" t="s">
        <v>4023</v>
      </c>
      <c r="C765" s="1" t="s">
        <v>4024</v>
      </c>
      <c r="D765" s="1" t="str">
        <f>"8028992275"</f>
        <v>8028992275</v>
      </c>
      <c r="E765" s="1">
        <v>5028</v>
      </c>
      <c r="F765" s="1" t="s">
        <v>28</v>
      </c>
      <c r="G765" s="1" t="s">
        <v>4025</v>
      </c>
      <c r="H765" s="1"/>
      <c r="I765" s="1">
        <v>1</v>
      </c>
      <c r="J765" s="1" t="s">
        <v>4026</v>
      </c>
      <c r="K765" s="1" t="s">
        <v>43</v>
      </c>
      <c r="L765" s="1" t="s">
        <v>112</v>
      </c>
      <c r="M765" s="1" t="s">
        <v>4027</v>
      </c>
      <c r="N765" s="2">
        <v>42550</v>
      </c>
      <c r="O765" s="1"/>
      <c r="P765" s="1"/>
      <c r="Q765" s="1" t="s">
        <v>34</v>
      </c>
      <c r="R765" s="1"/>
      <c r="S765" s="1" t="s">
        <v>35</v>
      </c>
      <c r="T765" s="1"/>
      <c r="U765" s="1"/>
      <c r="V765" s="1" t="s">
        <v>4028</v>
      </c>
      <c r="W765" s="1"/>
      <c r="X765" s="1" t="s">
        <v>37</v>
      </c>
      <c r="Y765" s="1" t="s">
        <v>115</v>
      </c>
      <c r="Z765" s="1">
        <v>5489</v>
      </c>
    </row>
    <row r="766" spans="1:26" ht="42">
      <c r="A766" s="1" t="str">
        <f>"000NMJ"</f>
        <v>000NMJ</v>
      </c>
      <c r="B766" s="1" t="s">
        <v>4029</v>
      </c>
      <c r="C766" s="1" t="s">
        <v>4030</v>
      </c>
      <c r="D766" s="1" t="str">
        <f>"5084399166"</f>
        <v>5084399166</v>
      </c>
      <c r="E766" s="1">
        <v>4750</v>
      </c>
      <c r="F766" s="1" t="s">
        <v>28</v>
      </c>
      <c r="G766" s="1" t="s">
        <v>4031</v>
      </c>
      <c r="H766" s="1"/>
      <c r="I766" s="1">
        <v>1</v>
      </c>
      <c r="J766" s="1" t="s">
        <v>4032</v>
      </c>
      <c r="K766" s="1" t="s">
        <v>428</v>
      </c>
      <c r="L766" s="1" t="s">
        <v>1458</v>
      </c>
      <c r="M766" s="1" t="s">
        <v>4033</v>
      </c>
      <c r="N766" s="2">
        <v>42038</v>
      </c>
      <c r="O766" s="1"/>
      <c r="P766" s="1"/>
      <c r="Q766" s="1" t="s">
        <v>34</v>
      </c>
      <c r="R766" s="1"/>
      <c r="S766" s="1" t="s">
        <v>35</v>
      </c>
      <c r="T766" s="1">
        <v>44.617218000000001</v>
      </c>
      <c r="U766" s="1">
        <v>-73.296859999999896</v>
      </c>
      <c r="V766" s="1" t="s">
        <v>4034</v>
      </c>
      <c r="W766" s="1"/>
      <c r="X766" s="1" t="s">
        <v>37</v>
      </c>
      <c r="Y766" s="1" t="s">
        <v>1460</v>
      </c>
      <c r="Z766" s="1">
        <v>5486</v>
      </c>
    </row>
    <row r="767" spans="1:26" ht="42">
      <c r="A767" s="1" t="str">
        <f>"000NMK"</f>
        <v>000NMK</v>
      </c>
      <c r="B767" s="1" t="s">
        <v>4035</v>
      </c>
      <c r="C767" s="1" t="s">
        <v>4036</v>
      </c>
      <c r="D767" s="1" t="str">
        <f>"8026495167"</f>
        <v>8026495167</v>
      </c>
      <c r="E767" s="1">
        <v>4751</v>
      </c>
      <c r="F767" s="1" t="s">
        <v>28</v>
      </c>
      <c r="G767" s="1" t="s">
        <v>4037</v>
      </c>
      <c r="H767" s="1"/>
      <c r="I767" s="1">
        <v>1</v>
      </c>
      <c r="J767" s="1" t="s">
        <v>4038</v>
      </c>
      <c r="K767" s="1" t="s">
        <v>77</v>
      </c>
      <c r="L767" s="1" t="s">
        <v>638</v>
      </c>
      <c r="M767" s="1" t="s">
        <v>4039</v>
      </c>
      <c r="N767" s="2">
        <v>42027</v>
      </c>
      <c r="O767" s="1"/>
      <c r="P767" s="2">
        <v>42929</v>
      </c>
      <c r="Q767" s="1" t="s">
        <v>34</v>
      </c>
      <c r="R767" s="1"/>
      <c r="S767" s="1" t="s">
        <v>35</v>
      </c>
      <c r="T767" s="1">
        <v>43.748314000000001</v>
      </c>
      <c r="U767" s="1">
        <v>-72.312911999999898</v>
      </c>
      <c r="V767" s="1" t="s">
        <v>4040</v>
      </c>
      <c r="W767" s="1"/>
      <c r="X767" s="1" t="s">
        <v>37</v>
      </c>
      <c r="Y767" s="1" t="s">
        <v>640</v>
      </c>
      <c r="Z767" s="1">
        <v>5055</v>
      </c>
    </row>
    <row r="768" spans="1:26" ht="42">
      <c r="A768" s="1" t="str">
        <f>"000NMX"</f>
        <v>000NMX</v>
      </c>
      <c r="B768" s="1" t="s">
        <v>4041</v>
      </c>
      <c r="C768" s="1" t="s">
        <v>4042</v>
      </c>
      <c r="D768" s="1" t="str">
        <f>"8027609417"</f>
        <v>8027609417</v>
      </c>
      <c r="E768" s="1">
        <v>4752</v>
      </c>
      <c r="F768" s="1" t="s">
        <v>28</v>
      </c>
      <c r="G768" s="1" t="s">
        <v>4043</v>
      </c>
      <c r="H768" s="1"/>
      <c r="I768" s="1">
        <v>3</v>
      </c>
      <c r="J768" s="1" t="s">
        <v>4044</v>
      </c>
      <c r="K768" s="1" t="s">
        <v>170</v>
      </c>
      <c r="L768" s="1" t="s">
        <v>3857</v>
      </c>
      <c r="M768" s="1" t="s">
        <v>4045</v>
      </c>
      <c r="N768" s="2">
        <v>42040</v>
      </c>
      <c r="O768" s="1"/>
      <c r="P768" s="1"/>
      <c r="Q768" s="1" t="s">
        <v>34</v>
      </c>
      <c r="R768" s="1"/>
      <c r="S768" s="1" t="s">
        <v>35</v>
      </c>
      <c r="T768" s="1">
        <v>44.438146471881701</v>
      </c>
      <c r="U768" s="1">
        <v>-72.6998162269592</v>
      </c>
      <c r="V768" s="1" t="s">
        <v>4046</v>
      </c>
      <c r="W768" s="1"/>
      <c r="X768" s="1" t="s">
        <v>37</v>
      </c>
      <c r="Y768" s="1" t="s">
        <v>3859</v>
      </c>
      <c r="Z768" s="1">
        <v>5672</v>
      </c>
    </row>
    <row r="769" spans="1:26" ht="42">
      <c r="A769" s="1" t="str">
        <f>"000NMY"</f>
        <v>000NMY</v>
      </c>
      <c r="B769" s="1" t="s">
        <v>4047</v>
      </c>
      <c r="C769" s="1" t="s">
        <v>4048</v>
      </c>
      <c r="D769" s="1" t="str">
        <f>"8023634579"</f>
        <v>8023634579</v>
      </c>
      <c r="E769" s="1">
        <v>4753</v>
      </c>
      <c r="F769" s="1" t="s">
        <v>28</v>
      </c>
      <c r="G769" s="1" t="s">
        <v>4049</v>
      </c>
      <c r="H769" s="1"/>
      <c r="I769" s="1">
        <v>4</v>
      </c>
      <c r="J769" s="1" t="s">
        <v>520</v>
      </c>
      <c r="K769" s="1" t="s">
        <v>43</v>
      </c>
      <c r="L769" s="1" t="s">
        <v>1077</v>
      </c>
      <c r="M769" s="1" t="s">
        <v>4050</v>
      </c>
      <c r="N769" s="2">
        <v>42031</v>
      </c>
      <c r="O769" s="1"/>
      <c r="P769" s="1"/>
      <c r="Q769" s="1" t="s">
        <v>34</v>
      </c>
      <c r="R769" s="1"/>
      <c r="S769" s="1" t="s">
        <v>35</v>
      </c>
      <c r="T769" s="1">
        <v>44.449576999999998</v>
      </c>
      <c r="U769" s="1">
        <v>-73.054946999999899</v>
      </c>
      <c r="V769" s="1" t="s">
        <v>4051</v>
      </c>
      <c r="W769" s="1"/>
      <c r="X769" s="1" t="s">
        <v>37</v>
      </c>
      <c r="Y769" s="1" t="s">
        <v>1080</v>
      </c>
      <c r="Z769" s="1">
        <v>5000</v>
      </c>
    </row>
    <row r="770" spans="1:26" ht="42">
      <c r="A770" s="1" t="str">
        <f>"000NMY"</f>
        <v>000NMY</v>
      </c>
      <c r="B770" s="1" t="s">
        <v>4047</v>
      </c>
      <c r="C770" s="1" t="s">
        <v>4048</v>
      </c>
      <c r="D770" s="1" t="str">
        <f>"8023634579"</f>
        <v>8023634579</v>
      </c>
      <c r="E770" s="1">
        <v>4753</v>
      </c>
      <c r="F770" s="1" t="s">
        <v>28</v>
      </c>
      <c r="G770" s="1" t="s">
        <v>4052</v>
      </c>
      <c r="H770" s="1"/>
      <c r="I770" s="1">
        <v>3</v>
      </c>
      <c r="J770" s="1" t="s">
        <v>4053</v>
      </c>
      <c r="K770" s="1" t="s">
        <v>43</v>
      </c>
      <c r="L770" s="1" t="s">
        <v>728</v>
      </c>
      <c r="M770" s="1" t="s">
        <v>4054</v>
      </c>
      <c r="N770" s="2">
        <v>42885</v>
      </c>
      <c r="O770" s="1"/>
      <c r="P770" s="1"/>
      <c r="Q770" s="1" t="s">
        <v>34</v>
      </c>
      <c r="R770" s="1"/>
      <c r="S770" s="1" t="s">
        <v>35</v>
      </c>
      <c r="T770" s="1">
        <v>44.307876499999999</v>
      </c>
      <c r="U770" s="1">
        <v>-73.278482499999996</v>
      </c>
      <c r="V770" s="1" t="s">
        <v>4055</v>
      </c>
      <c r="W770" s="1"/>
      <c r="X770" s="1" t="s">
        <v>37</v>
      </c>
      <c r="Y770" s="1" t="s">
        <v>736</v>
      </c>
      <c r="Z770" s="1">
        <v>5445</v>
      </c>
    </row>
    <row r="771" spans="1:26" ht="42">
      <c r="A771" s="1" t="str">
        <f>"000NN2"</f>
        <v>000NN2</v>
      </c>
      <c r="B771" s="1" t="s">
        <v>4056</v>
      </c>
      <c r="C771" s="1" t="s">
        <v>4057</v>
      </c>
      <c r="D771" s="1" t="str">
        <f>"8028390245"</f>
        <v>8028390245</v>
      </c>
      <c r="E771" s="1">
        <v>4754</v>
      </c>
      <c r="F771" s="1" t="s">
        <v>28</v>
      </c>
      <c r="G771" s="1" t="s">
        <v>4058</v>
      </c>
      <c r="H771" s="1"/>
      <c r="I771" s="1">
        <v>1</v>
      </c>
      <c r="J771" s="1" t="s">
        <v>4059</v>
      </c>
      <c r="K771" s="1" t="s">
        <v>31</v>
      </c>
      <c r="L771" s="1" t="s">
        <v>1303</v>
      </c>
      <c r="M771" s="1" t="s">
        <v>4060</v>
      </c>
      <c r="N771" s="2">
        <v>42041</v>
      </c>
      <c r="O771" s="1"/>
      <c r="P771" s="2">
        <v>42228</v>
      </c>
      <c r="Q771" s="1" t="s">
        <v>34</v>
      </c>
      <c r="R771" s="1"/>
      <c r="S771" s="1" t="s">
        <v>35</v>
      </c>
      <c r="T771" s="1">
        <v>44.270160999999902</v>
      </c>
      <c r="U771" s="1">
        <v>-72.499373999999904</v>
      </c>
      <c r="V771" s="1" t="s">
        <v>4061</v>
      </c>
      <c r="W771" s="1"/>
      <c r="X771" s="1" t="s">
        <v>37</v>
      </c>
      <c r="Y771" s="1" t="s">
        <v>1306</v>
      </c>
      <c r="Z771" s="1">
        <v>5651</v>
      </c>
    </row>
    <row r="772" spans="1:26" ht="42">
      <c r="A772" s="1" t="str">
        <f>"000NN8"</f>
        <v>000NN8</v>
      </c>
      <c r="B772" s="1" t="s">
        <v>4062</v>
      </c>
      <c r="C772" s="1" t="s">
        <v>4063</v>
      </c>
      <c r="D772" s="1" t="str">
        <f>"8024880375"</f>
        <v>8024880375</v>
      </c>
      <c r="E772" s="1">
        <v>4755</v>
      </c>
      <c r="F772" s="1" t="s">
        <v>28</v>
      </c>
      <c r="G772" s="1" t="s">
        <v>4064</v>
      </c>
      <c r="H772" s="1"/>
      <c r="I772" s="1">
        <v>3</v>
      </c>
      <c r="J772" s="1" t="s">
        <v>4065</v>
      </c>
      <c r="K772" s="1" t="s">
        <v>43</v>
      </c>
      <c r="L772" s="1"/>
      <c r="M772" s="1" t="s">
        <v>4066</v>
      </c>
      <c r="N772" s="2">
        <v>42036</v>
      </c>
      <c r="O772" s="1"/>
      <c r="P772" s="1"/>
      <c r="Q772" s="1" t="s">
        <v>34</v>
      </c>
      <c r="R772" s="1"/>
      <c r="S772" s="1" t="s">
        <v>35</v>
      </c>
      <c r="T772" s="1">
        <v>44.487894999999902</v>
      </c>
      <c r="U772" s="1">
        <v>-73.116961000000003</v>
      </c>
      <c r="V772" s="1" t="s">
        <v>4067</v>
      </c>
      <c r="W772" s="1"/>
      <c r="X772" s="1" t="s">
        <v>37</v>
      </c>
      <c r="Y772" s="1" t="s">
        <v>4068</v>
      </c>
      <c r="Z772" s="1">
        <v>5452</v>
      </c>
    </row>
    <row r="773" spans="1:26" ht="42">
      <c r="A773" s="1" t="str">
        <f>"000NNM"</f>
        <v>000NNM</v>
      </c>
      <c r="B773" s="1" t="s">
        <v>4069</v>
      </c>
      <c r="C773" s="1" t="s">
        <v>4070</v>
      </c>
      <c r="D773" s="1" t="str">
        <f>"8028499767"</f>
        <v>8028499767</v>
      </c>
      <c r="E773" s="1">
        <v>4756</v>
      </c>
      <c r="F773" s="1" t="s">
        <v>28</v>
      </c>
      <c r="G773" s="1" t="s">
        <v>4071</v>
      </c>
      <c r="H773" s="1"/>
      <c r="I773" s="1">
        <v>2</v>
      </c>
      <c r="J773" s="1" t="s">
        <v>4072</v>
      </c>
      <c r="K773" s="1" t="s">
        <v>152</v>
      </c>
      <c r="L773" s="1" t="s">
        <v>4073</v>
      </c>
      <c r="M773" s="1" t="s">
        <v>4074</v>
      </c>
      <c r="N773" s="2">
        <v>42052</v>
      </c>
      <c r="O773" s="1"/>
      <c r="P773" s="1"/>
      <c r="Q773" s="1" t="s">
        <v>34</v>
      </c>
      <c r="R773" s="1"/>
      <c r="S773" s="1" t="s">
        <v>35</v>
      </c>
      <c r="T773" s="1">
        <v>44.722999700000003</v>
      </c>
      <c r="U773" s="1">
        <v>-72.884001099999907</v>
      </c>
      <c r="V773" s="1" t="s">
        <v>4075</v>
      </c>
      <c r="W773" s="1"/>
      <c r="X773" s="1" t="s">
        <v>37</v>
      </c>
      <c r="Y773" s="1" t="s">
        <v>4076</v>
      </c>
      <c r="Z773" s="1">
        <v>5464</v>
      </c>
    </row>
    <row r="774" spans="1:26" ht="42">
      <c r="A774" s="1" t="str">
        <f>"000NQ3"</f>
        <v>000NQ3</v>
      </c>
      <c r="B774" s="1" t="s">
        <v>4077</v>
      </c>
      <c r="C774" s="1" t="s">
        <v>4078</v>
      </c>
      <c r="D774" s="1" t="str">
        <f>"8028787304"</f>
        <v>8028787304</v>
      </c>
      <c r="E774" s="1">
        <v>4757</v>
      </c>
      <c r="F774" s="1" t="s">
        <v>28</v>
      </c>
      <c r="G774" s="1" t="s">
        <v>4079</v>
      </c>
      <c r="H774" s="1"/>
      <c r="I774" s="1">
        <v>1</v>
      </c>
      <c r="J774" s="1" t="s">
        <v>4080</v>
      </c>
      <c r="K774" s="1" t="s">
        <v>43</v>
      </c>
      <c r="L774" s="1" t="s">
        <v>1077</v>
      </c>
      <c r="M774" s="1" t="s">
        <v>4081</v>
      </c>
      <c r="N774" s="2">
        <v>42035</v>
      </c>
      <c r="O774" s="1"/>
      <c r="P774" s="1"/>
      <c r="Q774" s="1" t="s">
        <v>34</v>
      </c>
      <c r="R774" s="1"/>
      <c r="S774" s="1" t="s">
        <v>35</v>
      </c>
      <c r="T774" s="1">
        <v>44.428466999999998</v>
      </c>
      <c r="U774" s="1">
        <v>-73.107757999999905</v>
      </c>
      <c r="V774" s="1" t="s">
        <v>4082</v>
      </c>
      <c r="W774" s="1"/>
      <c r="X774" s="1" t="s">
        <v>37</v>
      </c>
      <c r="Y774" s="1" t="s">
        <v>1080</v>
      </c>
      <c r="Z774" s="1">
        <v>5495</v>
      </c>
    </row>
    <row r="775" spans="1:26" ht="42">
      <c r="A775" s="1" t="str">
        <f>"000Q41"</f>
        <v>000Q41</v>
      </c>
      <c r="B775" s="1" t="s">
        <v>4083</v>
      </c>
      <c r="C775" s="1" t="s">
        <v>4084</v>
      </c>
      <c r="D775" s="1" t="str">
        <f>"2063100019"</f>
        <v>2063100019</v>
      </c>
      <c r="E775" s="1">
        <v>4763</v>
      </c>
      <c r="F775" s="1" t="s">
        <v>28</v>
      </c>
      <c r="G775" s="1" t="s">
        <v>4085</v>
      </c>
      <c r="H775" s="1"/>
      <c r="I775" s="1">
        <v>3</v>
      </c>
      <c r="J775" s="1" t="s">
        <v>4086</v>
      </c>
      <c r="K775" s="1" t="s">
        <v>77</v>
      </c>
      <c r="L775" s="1" t="s">
        <v>638</v>
      </c>
      <c r="M775" s="1" t="s">
        <v>4087</v>
      </c>
      <c r="N775" s="2">
        <v>42081</v>
      </c>
      <c r="O775" s="1"/>
      <c r="P775" s="2">
        <v>43269</v>
      </c>
      <c r="Q775" s="1" t="s">
        <v>34</v>
      </c>
      <c r="R775" s="1"/>
      <c r="S775" s="1" t="s">
        <v>35</v>
      </c>
      <c r="T775" s="1">
        <v>43.712933</v>
      </c>
      <c r="U775" s="1">
        <v>-72.30941</v>
      </c>
      <c r="V775" s="1" t="s">
        <v>4088</v>
      </c>
      <c r="W775" s="1"/>
      <c r="X775" s="1" t="s">
        <v>37</v>
      </c>
      <c r="Y775" s="1" t="s">
        <v>640</v>
      </c>
      <c r="Z775" s="1">
        <v>5055</v>
      </c>
    </row>
    <row r="776" spans="1:26" ht="42">
      <c r="A776" s="1" t="str">
        <f>"000Q73"</f>
        <v>000Q73</v>
      </c>
      <c r="B776" s="1" t="s">
        <v>4089</v>
      </c>
      <c r="C776" s="1" t="s">
        <v>4090</v>
      </c>
      <c r="D776" s="1" t="str">
        <f>"8025843809"</f>
        <v>8025843809</v>
      </c>
      <c r="E776" s="1">
        <v>4766</v>
      </c>
      <c r="F776" s="1" t="s">
        <v>28</v>
      </c>
      <c r="G776" s="1" t="s">
        <v>4091</v>
      </c>
      <c r="H776" s="1"/>
      <c r="I776" s="1">
        <v>2</v>
      </c>
      <c r="J776" s="1" t="s">
        <v>4092</v>
      </c>
      <c r="K776" s="1" t="s">
        <v>68</v>
      </c>
      <c r="L776" s="1" t="s">
        <v>1375</v>
      </c>
      <c r="M776" s="1" t="s">
        <v>4093</v>
      </c>
      <c r="N776" s="2">
        <v>42086</v>
      </c>
      <c r="O776" s="1"/>
      <c r="P776" s="1"/>
      <c r="Q776" s="1" t="s">
        <v>34</v>
      </c>
      <c r="R776" s="1"/>
      <c r="S776" s="1" t="s">
        <v>35</v>
      </c>
      <c r="T776" s="1">
        <v>44.168703395918797</v>
      </c>
      <c r="U776" s="1">
        <v>-72.149775624275193</v>
      </c>
      <c r="V776" s="1" t="s">
        <v>4094</v>
      </c>
      <c r="W776" s="1"/>
      <c r="X776" s="1" t="s">
        <v>37</v>
      </c>
      <c r="Y776" s="1" t="s">
        <v>4095</v>
      </c>
      <c r="Z776" s="1">
        <v>5069</v>
      </c>
    </row>
    <row r="777" spans="1:26" ht="42">
      <c r="A777" s="1" t="str">
        <f>"000QAB"</f>
        <v>000QAB</v>
      </c>
      <c r="B777" s="1" t="s">
        <v>4096</v>
      </c>
      <c r="C777" s="1" t="s">
        <v>4097</v>
      </c>
      <c r="D777" s="1" t="str">
        <f>"8023467166"</f>
        <v>8023467166</v>
      </c>
      <c r="E777" s="1">
        <v>4768</v>
      </c>
      <c r="F777" s="1" t="s">
        <v>28</v>
      </c>
      <c r="G777" s="1" t="s">
        <v>4098</v>
      </c>
      <c r="H777" s="1"/>
      <c r="I777" s="1">
        <v>1</v>
      </c>
      <c r="J777" s="1">
        <v>1</v>
      </c>
      <c r="K777" s="1" t="s">
        <v>187</v>
      </c>
      <c r="L777" s="1" t="s">
        <v>242</v>
      </c>
      <c r="M777" s="1" t="s">
        <v>4099</v>
      </c>
      <c r="N777" s="2">
        <v>42108</v>
      </c>
      <c r="O777" s="1"/>
      <c r="P777" s="1"/>
      <c r="Q777" s="1" t="s">
        <v>34</v>
      </c>
      <c r="R777" s="1"/>
      <c r="S777" s="1" t="s">
        <v>35</v>
      </c>
      <c r="T777" s="1">
        <v>42.821311998223898</v>
      </c>
      <c r="U777" s="1">
        <v>-73.222439289093003</v>
      </c>
      <c r="V777" s="1" t="s">
        <v>4100</v>
      </c>
      <c r="W777" s="1"/>
      <c r="X777" s="1" t="s">
        <v>37</v>
      </c>
      <c r="Y777" s="1" t="s">
        <v>187</v>
      </c>
      <c r="Z777" s="1">
        <v>5201</v>
      </c>
    </row>
    <row r="778" spans="1:26" ht="42">
      <c r="A778" s="1" t="str">
        <f>"000QAG"</f>
        <v>000QAG</v>
      </c>
      <c r="B778" s="1" t="s">
        <v>4101</v>
      </c>
      <c r="C778" s="1" t="s">
        <v>4102</v>
      </c>
      <c r="D778" s="1" t="str">
        <f>"8029892276"</f>
        <v>8029892276</v>
      </c>
      <c r="E778" s="1">
        <v>4772</v>
      </c>
      <c r="F778" s="1" t="s">
        <v>28</v>
      </c>
      <c r="G778" s="1" t="s">
        <v>4103</v>
      </c>
      <c r="H778" s="1"/>
      <c r="I778" s="1">
        <v>2</v>
      </c>
      <c r="J778" s="1">
        <v>1</v>
      </c>
      <c r="K778" s="1" t="s">
        <v>43</v>
      </c>
      <c r="L778" s="1" t="s">
        <v>728</v>
      </c>
      <c r="M778" s="1" t="s">
        <v>4104</v>
      </c>
      <c r="N778" s="2">
        <v>42108</v>
      </c>
      <c r="O778" s="1"/>
      <c r="P778" s="1"/>
      <c r="Q778" s="1" t="s">
        <v>34</v>
      </c>
      <c r="R778" s="1"/>
      <c r="S778" s="1" t="s">
        <v>35</v>
      </c>
      <c r="T778" s="1">
        <v>44.256457507785797</v>
      </c>
      <c r="U778" s="1">
        <v>-73.123476505279498</v>
      </c>
      <c r="V778" s="1" t="s">
        <v>4105</v>
      </c>
      <c r="W778" s="1"/>
      <c r="X778" s="1" t="s">
        <v>37</v>
      </c>
      <c r="Y778" s="1" t="s">
        <v>4106</v>
      </c>
      <c r="Z778" s="1">
        <v>5473</v>
      </c>
    </row>
    <row r="779" spans="1:26" ht="42">
      <c r="A779" s="1" t="str">
        <f>"000QAK"</f>
        <v>000QAK</v>
      </c>
      <c r="B779" s="1" t="s">
        <v>4107</v>
      </c>
      <c r="C779" s="1" t="s">
        <v>4108</v>
      </c>
      <c r="D779" s="1" t="str">
        <f>"8027300138"</f>
        <v>8027300138</v>
      </c>
      <c r="E779" s="1">
        <v>4774</v>
      </c>
      <c r="F779" s="1" t="s">
        <v>28</v>
      </c>
      <c r="G779" s="1" t="s">
        <v>4109</v>
      </c>
      <c r="H779" s="1"/>
      <c r="I779" s="1">
        <v>2</v>
      </c>
      <c r="J779" s="1">
        <v>1</v>
      </c>
      <c r="K779" s="1" t="s">
        <v>135</v>
      </c>
      <c r="L779" s="1" t="s">
        <v>2516</v>
      </c>
      <c r="M779" s="1" t="s">
        <v>4110</v>
      </c>
      <c r="N779" s="2">
        <v>42108</v>
      </c>
      <c r="O779" s="1"/>
      <c r="P779" s="1"/>
      <c r="Q779" s="1" t="s">
        <v>34</v>
      </c>
      <c r="R779" s="1"/>
      <c r="S779" s="1" t="s">
        <v>35</v>
      </c>
      <c r="T779" s="1">
        <v>43.638261999999997</v>
      </c>
      <c r="U779" s="1">
        <v>-72.998435999999899</v>
      </c>
      <c r="V779" s="1" t="s">
        <v>4111</v>
      </c>
      <c r="W779" s="1"/>
      <c r="X779" s="1" t="s">
        <v>37</v>
      </c>
      <c r="Y779" s="1" t="s">
        <v>135</v>
      </c>
      <c r="Z779" s="1">
        <v>5701</v>
      </c>
    </row>
    <row r="780" spans="1:26" ht="42">
      <c r="A780" s="1" t="str">
        <f>"000QAM"</f>
        <v>000QAM</v>
      </c>
      <c r="B780" s="1" t="s">
        <v>4112</v>
      </c>
      <c r="C780" s="1" t="s">
        <v>4113</v>
      </c>
      <c r="D780" s="1" t="str">
        <f>"5183216739"</f>
        <v>5183216739</v>
      </c>
      <c r="E780" s="1">
        <v>4775</v>
      </c>
      <c r="F780" s="1" t="s">
        <v>28</v>
      </c>
      <c r="G780" s="1" t="s">
        <v>4114</v>
      </c>
      <c r="H780" s="1"/>
      <c r="I780" s="1">
        <v>3</v>
      </c>
      <c r="J780" s="1" t="s">
        <v>4115</v>
      </c>
      <c r="K780" s="1" t="s">
        <v>187</v>
      </c>
      <c r="L780" s="1" t="s">
        <v>188</v>
      </c>
      <c r="M780" s="1" t="s">
        <v>4116</v>
      </c>
      <c r="N780" s="2">
        <v>42108</v>
      </c>
      <c r="O780" s="1"/>
      <c r="P780" s="2">
        <v>42550</v>
      </c>
      <c r="Q780" s="1" t="s">
        <v>34</v>
      </c>
      <c r="R780" s="1"/>
      <c r="S780" s="1" t="s">
        <v>1127</v>
      </c>
      <c r="T780" s="1">
        <v>42.896224134910703</v>
      </c>
      <c r="U780" s="1">
        <v>-73.231235593557301</v>
      </c>
      <c r="V780" s="1" t="s">
        <v>4117</v>
      </c>
      <c r="W780" s="1"/>
      <c r="X780" s="1" t="s">
        <v>37</v>
      </c>
      <c r="Y780" s="1" t="s">
        <v>187</v>
      </c>
      <c r="Z780" s="1">
        <v>5201</v>
      </c>
    </row>
    <row r="781" spans="1:26" ht="28">
      <c r="A781" s="1" t="str">
        <f>"000QAY"</f>
        <v>000QAY</v>
      </c>
      <c r="B781" s="1" t="s">
        <v>4118</v>
      </c>
      <c r="C781" s="1" t="s">
        <v>4119</v>
      </c>
      <c r="D781" s="1"/>
      <c r="E781" s="1">
        <v>4782</v>
      </c>
      <c r="F781" s="1" t="s">
        <v>28</v>
      </c>
      <c r="G781" s="1" t="s">
        <v>4120</v>
      </c>
      <c r="H781" s="1"/>
      <c r="I781" s="1">
        <v>53</v>
      </c>
      <c r="J781" s="1" t="s">
        <v>4121</v>
      </c>
      <c r="K781" s="1" t="s">
        <v>428</v>
      </c>
      <c r="L781" s="1" t="s">
        <v>1522</v>
      </c>
      <c r="M781" s="1" t="s">
        <v>4122</v>
      </c>
      <c r="N781" s="2">
        <v>42109</v>
      </c>
      <c r="O781" s="1"/>
      <c r="P781" s="1"/>
      <c r="Q781" s="1" t="s">
        <v>34</v>
      </c>
      <c r="R781" s="1"/>
      <c r="S781" s="1" t="s">
        <v>35</v>
      </c>
      <c r="T781" s="1">
        <v>44.783282999999997</v>
      </c>
      <c r="U781" s="1">
        <v>-73.311324999999997</v>
      </c>
      <c r="V781" s="1" t="s">
        <v>4123</v>
      </c>
      <c r="W781" s="1"/>
      <c r="X781" s="1" t="s">
        <v>37</v>
      </c>
      <c r="Y781" s="1" t="s">
        <v>1521</v>
      </c>
      <c r="Z781" s="1">
        <v>5474</v>
      </c>
    </row>
    <row r="782" spans="1:26" ht="42">
      <c r="A782" s="1" t="str">
        <f>"000QB1"</f>
        <v>000QB1</v>
      </c>
      <c r="B782" s="1" t="s">
        <v>4124</v>
      </c>
      <c r="C782" s="1" t="s">
        <v>4125</v>
      </c>
      <c r="D782" s="1" t="str">
        <f>"8023253874"</f>
        <v>8023253874</v>
      </c>
      <c r="E782" s="1">
        <v>4784</v>
      </c>
      <c r="F782" s="1" t="s">
        <v>28</v>
      </c>
      <c r="G782" s="1" t="s">
        <v>4126</v>
      </c>
      <c r="H782" s="1"/>
      <c r="I782" s="1">
        <v>2</v>
      </c>
      <c r="J782" s="1" t="s">
        <v>4127</v>
      </c>
      <c r="K782" s="1" t="s">
        <v>135</v>
      </c>
      <c r="L782" s="1" t="s">
        <v>582</v>
      </c>
      <c r="M782" s="1" t="s">
        <v>4128</v>
      </c>
      <c r="N782" s="2">
        <v>42098</v>
      </c>
      <c r="O782" s="1"/>
      <c r="P782" s="1"/>
      <c r="Q782" s="1" t="s">
        <v>34</v>
      </c>
      <c r="R782" s="1"/>
      <c r="S782" s="1" t="s">
        <v>35</v>
      </c>
      <c r="T782" s="1">
        <v>43.343635900000002</v>
      </c>
      <c r="U782" s="1">
        <v>-73.178206999999901</v>
      </c>
      <c r="V782" s="1" t="s">
        <v>4129</v>
      </c>
      <c r="W782" s="1"/>
      <c r="X782" s="1" t="s">
        <v>37</v>
      </c>
      <c r="Y782" s="1" t="s">
        <v>583</v>
      </c>
      <c r="Z782" s="1" t="s">
        <v>4130</v>
      </c>
    </row>
    <row r="783" spans="1:26" ht="42">
      <c r="A783" s="1" t="str">
        <f>"000QB2"</f>
        <v>000QB2</v>
      </c>
      <c r="B783" s="1" t="s">
        <v>4131</v>
      </c>
      <c r="C783" s="1" t="s">
        <v>4132</v>
      </c>
      <c r="D783" s="1" t="str">
        <f>"8022791459"</f>
        <v>8022791459</v>
      </c>
      <c r="E783" s="1">
        <v>4785</v>
      </c>
      <c r="F783" s="1" t="s">
        <v>28</v>
      </c>
      <c r="G783" s="1" t="s">
        <v>4133</v>
      </c>
      <c r="H783" s="1"/>
      <c r="I783" s="1">
        <v>4</v>
      </c>
      <c r="J783" s="1" t="s">
        <v>4134</v>
      </c>
      <c r="K783" s="1" t="s">
        <v>31</v>
      </c>
      <c r="L783" s="1" t="s">
        <v>716</v>
      </c>
      <c r="M783" s="1" t="s">
        <v>4135</v>
      </c>
      <c r="N783" s="2">
        <v>42109</v>
      </c>
      <c r="O783" s="1"/>
      <c r="P783" s="2">
        <v>42230</v>
      </c>
      <c r="Q783" s="1" t="s">
        <v>34</v>
      </c>
      <c r="R783" s="1"/>
      <c r="S783" s="1" t="s">
        <v>35</v>
      </c>
      <c r="T783" s="1">
        <v>44.228395646492999</v>
      </c>
      <c r="U783" s="1">
        <v>-72.520322799682603</v>
      </c>
      <c r="V783" s="1" t="s">
        <v>4136</v>
      </c>
      <c r="W783" s="1"/>
      <c r="X783" s="1" t="s">
        <v>37</v>
      </c>
      <c r="Y783" s="1" t="s">
        <v>237</v>
      </c>
      <c r="Z783" s="1">
        <v>5641</v>
      </c>
    </row>
    <row r="784" spans="1:26" ht="42">
      <c r="A784" s="1" t="str">
        <f>"000QC4"</f>
        <v>000QC4</v>
      </c>
      <c r="B784" s="1" t="s">
        <v>4137</v>
      </c>
      <c r="C784" s="1" t="s">
        <v>4138</v>
      </c>
      <c r="D784" s="1" t="str">
        <f>"8025862360"</f>
        <v>8025862360</v>
      </c>
      <c r="E784" s="1">
        <v>4786</v>
      </c>
      <c r="F784" s="1" t="s">
        <v>28</v>
      </c>
      <c r="G784" s="1" t="s">
        <v>4139</v>
      </c>
      <c r="H784" s="1"/>
      <c r="I784" s="1">
        <v>2</v>
      </c>
      <c r="J784" s="1" t="s">
        <v>4140</v>
      </c>
      <c r="K784" s="1" t="s">
        <v>43</v>
      </c>
      <c r="L784" s="1" t="s">
        <v>1077</v>
      </c>
      <c r="M784" s="1" t="s">
        <v>4141</v>
      </c>
      <c r="N784" s="2">
        <v>42545</v>
      </c>
      <c r="O784" s="1"/>
      <c r="P784" s="1"/>
      <c r="Q784" s="1" t="s">
        <v>34</v>
      </c>
      <c r="R784" s="1"/>
      <c r="S784" s="1" t="s">
        <v>35</v>
      </c>
      <c r="T784" s="1">
        <v>44.453259000000003</v>
      </c>
      <c r="U784" s="1">
        <v>-73.057593999999995</v>
      </c>
      <c r="V784" s="1" t="s">
        <v>4142</v>
      </c>
      <c r="W784" s="1"/>
      <c r="X784" s="1" t="s">
        <v>37</v>
      </c>
      <c r="Y784" s="1" t="s">
        <v>1080</v>
      </c>
      <c r="Z784" s="1">
        <v>5495</v>
      </c>
    </row>
    <row r="785" spans="1:26" ht="42">
      <c r="A785" s="1" t="str">
        <f>"000QCZ"</f>
        <v>000QCZ</v>
      </c>
      <c r="B785" s="1" t="s">
        <v>4143</v>
      </c>
      <c r="C785" s="1" t="s">
        <v>4144</v>
      </c>
      <c r="D785" s="1" t="str">
        <f>"8023497011"</f>
        <v>8023497011</v>
      </c>
      <c r="E785" s="1">
        <v>5193</v>
      </c>
      <c r="F785" s="1" t="s">
        <v>28</v>
      </c>
      <c r="G785" s="1" t="s">
        <v>4145</v>
      </c>
      <c r="H785" s="1"/>
      <c r="I785" s="1">
        <v>1</v>
      </c>
      <c r="J785" s="1" t="s">
        <v>4146</v>
      </c>
      <c r="K785" s="1" t="s">
        <v>43</v>
      </c>
      <c r="L785" s="1" t="s">
        <v>348</v>
      </c>
      <c r="M785" s="1" t="s">
        <v>4147</v>
      </c>
      <c r="N785" s="2">
        <v>42922</v>
      </c>
      <c r="O785" s="1"/>
      <c r="P785" s="1"/>
      <c r="Q785" s="1" t="s">
        <v>34</v>
      </c>
      <c r="R785" s="1"/>
      <c r="S785" s="1" t="s">
        <v>35</v>
      </c>
      <c r="T785" s="1"/>
      <c r="U785" s="1"/>
      <c r="V785" s="1" t="s">
        <v>4148</v>
      </c>
      <c r="W785" s="1"/>
      <c r="X785" s="1" t="s">
        <v>37</v>
      </c>
      <c r="Y785" s="1" t="s">
        <v>351</v>
      </c>
      <c r="Z785" s="1" t="s">
        <v>4149</v>
      </c>
    </row>
    <row r="786" spans="1:26" ht="42">
      <c r="A786" s="1" t="str">
        <f>"000QFJ"</f>
        <v>000QFJ</v>
      </c>
      <c r="B786" s="1" t="s">
        <v>4150</v>
      </c>
      <c r="C786" s="1" t="s">
        <v>4151</v>
      </c>
      <c r="D786" s="1" t="str">
        <f>"8024395126"</f>
        <v>8024395126</v>
      </c>
      <c r="E786" s="1">
        <v>4788</v>
      </c>
      <c r="F786" s="1" t="s">
        <v>28</v>
      </c>
      <c r="G786" s="1" t="s">
        <v>4152</v>
      </c>
      <c r="H786" s="1"/>
      <c r="I786" s="1">
        <v>1</v>
      </c>
      <c r="J786" s="1" t="s">
        <v>4153</v>
      </c>
      <c r="K786" s="1" t="s">
        <v>68</v>
      </c>
      <c r="L786" s="1" t="s">
        <v>2111</v>
      </c>
      <c r="M786" s="1" t="s">
        <v>4154</v>
      </c>
      <c r="N786" s="2">
        <v>42167</v>
      </c>
      <c r="O786" s="1"/>
      <c r="P786" s="2">
        <v>42880</v>
      </c>
      <c r="Q786" s="1" t="s">
        <v>34</v>
      </c>
      <c r="R786" s="1"/>
      <c r="S786" s="1" t="s">
        <v>35</v>
      </c>
      <c r="T786" s="1">
        <v>44.060904000000001</v>
      </c>
      <c r="U786" s="1">
        <v>-72.189190100000005</v>
      </c>
      <c r="V786" s="1" t="s">
        <v>4155</v>
      </c>
      <c r="W786" s="1"/>
      <c r="X786" s="1" t="s">
        <v>37</v>
      </c>
      <c r="Y786" s="1" t="s">
        <v>4156</v>
      </c>
      <c r="Z786" s="1">
        <v>5040</v>
      </c>
    </row>
    <row r="787" spans="1:26" ht="28">
      <c r="A787" s="1" t="str">
        <f>"000QFM"</f>
        <v>000QFM</v>
      </c>
      <c r="B787" s="1" t="s">
        <v>4157</v>
      </c>
      <c r="C787" s="1" t="s">
        <v>4158</v>
      </c>
      <c r="D787" s="1"/>
      <c r="E787" s="1">
        <v>4790</v>
      </c>
      <c r="F787" s="1" t="s">
        <v>28</v>
      </c>
      <c r="G787" s="1" t="s">
        <v>4159</v>
      </c>
      <c r="H787" s="1"/>
      <c r="I787" s="1">
        <v>2</v>
      </c>
      <c r="J787" s="1" t="s">
        <v>4160</v>
      </c>
      <c r="K787" s="1" t="s">
        <v>144</v>
      </c>
      <c r="L787" s="1" t="s">
        <v>4161</v>
      </c>
      <c r="M787" s="1" t="s">
        <v>4162</v>
      </c>
      <c r="N787" s="2">
        <v>42198</v>
      </c>
      <c r="O787" s="1"/>
      <c r="P787" s="1"/>
      <c r="Q787" s="1" t="s">
        <v>34</v>
      </c>
      <c r="R787" s="1"/>
      <c r="S787" s="1" t="s">
        <v>35</v>
      </c>
      <c r="T787" s="1">
        <v>42.816395</v>
      </c>
      <c r="U787" s="1">
        <v>-72.593024999999997</v>
      </c>
      <c r="V787" s="1" t="s">
        <v>4163</v>
      </c>
      <c r="W787" s="1"/>
      <c r="X787" s="1" t="s">
        <v>37</v>
      </c>
      <c r="Y787" s="1" t="s">
        <v>4164</v>
      </c>
      <c r="Z787" s="1">
        <v>5301</v>
      </c>
    </row>
    <row r="788" spans="1:26" ht="42">
      <c r="A788" s="1" t="str">
        <f>"000QFV"</f>
        <v>000QFV</v>
      </c>
      <c r="B788" s="1" t="s">
        <v>4165</v>
      </c>
      <c r="C788" s="1" t="s">
        <v>4166</v>
      </c>
      <c r="D788" s="1" t="str">
        <f>"8025400812"</f>
        <v>8025400812</v>
      </c>
      <c r="E788" s="1">
        <v>4792</v>
      </c>
      <c r="F788" s="1" t="s">
        <v>28</v>
      </c>
      <c r="G788" s="1" t="s">
        <v>4167</v>
      </c>
      <c r="H788" s="1"/>
      <c r="I788" s="1">
        <v>1</v>
      </c>
      <c r="J788" s="1" t="s">
        <v>4168</v>
      </c>
      <c r="K788" s="1" t="s">
        <v>43</v>
      </c>
      <c r="L788" s="1" t="s">
        <v>44</v>
      </c>
      <c r="M788" s="1" t="s">
        <v>4169</v>
      </c>
      <c r="N788" s="2">
        <v>42187</v>
      </c>
      <c r="O788" s="1"/>
      <c r="P788" s="1"/>
      <c r="Q788" s="1" t="s">
        <v>34</v>
      </c>
      <c r="R788" s="1"/>
      <c r="S788" s="1" t="s">
        <v>35</v>
      </c>
      <c r="T788" s="1">
        <v>44.484743999999999</v>
      </c>
      <c r="U788" s="1">
        <v>-73.201739999999901</v>
      </c>
      <c r="V788" s="1" t="s">
        <v>4170</v>
      </c>
      <c r="W788" s="1"/>
      <c r="X788" s="1" t="s">
        <v>37</v>
      </c>
      <c r="Y788" s="1" t="s">
        <v>46</v>
      </c>
      <c r="Z788" s="1">
        <v>5401</v>
      </c>
    </row>
    <row r="789" spans="1:26" ht="42">
      <c r="A789" s="1" t="str">
        <f>"000QFX"</f>
        <v>000QFX</v>
      </c>
      <c r="B789" s="1" t="s">
        <v>4171</v>
      </c>
      <c r="C789" s="1" t="s">
        <v>4172</v>
      </c>
      <c r="D789" s="1" t="str">
        <f>"8028893324"</f>
        <v>8028893324</v>
      </c>
      <c r="E789" s="1">
        <v>4793</v>
      </c>
      <c r="F789" s="1" t="s">
        <v>28</v>
      </c>
      <c r="G789" s="1" t="s">
        <v>4173</v>
      </c>
      <c r="H789" s="1"/>
      <c r="I789" s="1">
        <v>3</v>
      </c>
      <c r="J789" s="1" t="s">
        <v>4174</v>
      </c>
      <c r="K789" s="1" t="s">
        <v>68</v>
      </c>
      <c r="L789" s="1" t="s">
        <v>2852</v>
      </c>
      <c r="M789" s="1" t="s">
        <v>4175</v>
      </c>
      <c r="N789" s="2">
        <v>42129</v>
      </c>
      <c r="O789" s="1"/>
      <c r="P789" s="2">
        <v>42936</v>
      </c>
      <c r="Q789" s="1" t="s">
        <v>34</v>
      </c>
      <c r="R789" s="1"/>
      <c r="S789" s="1" t="s">
        <v>35</v>
      </c>
      <c r="T789" s="1">
        <v>43.882458</v>
      </c>
      <c r="U789" s="1">
        <v>-72.516616999999997</v>
      </c>
      <c r="V789" s="1" t="s">
        <v>4176</v>
      </c>
      <c r="W789" s="1"/>
      <c r="X789" s="1" t="s">
        <v>37</v>
      </c>
      <c r="Y789" s="1" t="s">
        <v>2854</v>
      </c>
      <c r="Z789" s="1">
        <v>5077</v>
      </c>
    </row>
    <row r="790" spans="1:26" ht="42">
      <c r="A790" s="1" t="str">
        <f>"000QGQ"</f>
        <v>000QGQ</v>
      </c>
      <c r="B790" s="1" t="s">
        <v>4177</v>
      </c>
      <c r="C790" s="1" t="s">
        <v>4178</v>
      </c>
      <c r="D790" s="1" t="str">
        <f>"8024532847"</f>
        <v>8024532847</v>
      </c>
      <c r="E790" s="1">
        <v>4795</v>
      </c>
      <c r="F790" s="1" t="s">
        <v>28</v>
      </c>
      <c r="G790" s="1" t="s">
        <v>4179</v>
      </c>
      <c r="H790" s="1"/>
      <c r="I790" s="1">
        <v>0</v>
      </c>
      <c r="J790" s="1" t="s">
        <v>4180</v>
      </c>
      <c r="K790" s="1" t="s">
        <v>333</v>
      </c>
      <c r="L790" s="1" t="s">
        <v>807</v>
      </c>
      <c r="M790" s="1" t="s">
        <v>4181</v>
      </c>
      <c r="N790" s="2">
        <v>42095</v>
      </c>
      <c r="O790" s="1"/>
      <c r="P790" s="2">
        <v>43206</v>
      </c>
      <c r="Q790" s="1" t="s">
        <v>34</v>
      </c>
      <c r="R790" s="1"/>
      <c r="S790" s="1" t="s">
        <v>35</v>
      </c>
      <c r="T790" s="1">
        <v>44.265566471407801</v>
      </c>
      <c r="U790" s="1">
        <v>-73.101380467414799</v>
      </c>
      <c r="V790" s="1" t="s">
        <v>4182</v>
      </c>
      <c r="W790" s="1"/>
      <c r="X790" s="1" t="s">
        <v>37</v>
      </c>
      <c r="Y790" s="1" t="s">
        <v>879</v>
      </c>
      <c r="Z790" s="1">
        <v>5443</v>
      </c>
    </row>
    <row r="791" spans="1:26" ht="42">
      <c r="A791" s="1" t="str">
        <f>"000QGV"</f>
        <v>000QGV</v>
      </c>
      <c r="B791" s="1" t="s">
        <v>4183</v>
      </c>
      <c r="C791" s="1" t="s">
        <v>4184</v>
      </c>
      <c r="D791" s="1" t="str">
        <f>"8023887781"</f>
        <v>8023887781</v>
      </c>
      <c r="E791" s="1">
        <v>4796</v>
      </c>
      <c r="F791" s="1" t="s">
        <v>28</v>
      </c>
      <c r="G791" s="1" t="s">
        <v>4185</v>
      </c>
      <c r="H791" s="1"/>
      <c r="I791" s="1">
        <v>2</v>
      </c>
      <c r="J791" s="1" t="s">
        <v>4186</v>
      </c>
      <c r="K791" s="1" t="s">
        <v>333</v>
      </c>
      <c r="L791" s="1" t="s">
        <v>457</v>
      </c>
      <c r="M791" s="1" t="s">
        <v>4187</v>
      </c>
      <c r="N791" s="2">
        <v>42119</v>
      </c>
      <c r="O791" s="1"/>
      <c r="P791" s="1"/>
      <c r="Q791" s="1" t="s">
        <v>34</v>
      </c>
      <c r="R791" s="1"/>
      <c r="S791" s="1" t="s">
        <v>35</v>
      </c>
      <c r="T791" s="1">
        <v>44.031395000000003</v>
      </c>
      <c r="U791" s="1">
        <v>-73.139579999999995</v>
      </c>
      <c r="V791" s="1" t="s">
        <v>4188</v>
      </c>
      <c r="W791" s="1"/>
      <c r="X791" s="1" t="s">
        <v>37</v>
      </c>
      <c r="Y791" s="1" t="s">
        <v>460</v>
      </c>
      <c r="Z791" s="1">
        <v>5753</v>
      </c>
    </row>
    <row r="792" spans="1:26" ht="42">
      <c r="A792" s="1" t="str">
        <f>"000QGX"</f>
        <v>000QGX</v>
      </c>
      <c r="B792" s="1" t="s">
        <v>4189</v>
      </c>
      <c r="C792" s="1" t="s">
        <v>4190</v>
      </c>
      <c r="D792" s="1" t="str">
        <f>"8024790766"</f>
        <v>8024790766</v>
      </c>
      <c r="E792" s="1">
        <v>4798</v>
      </c>
      <c r="F792" s="1" t="s">
        <v>28</v>
      </c>
      <c r="G792" s="1" t="s">
        <v>4191</v>
      </c>
      <c r="H792" s="1"/>
      <c r="I792" s="1">
        <v>1</v>
      </c>
      <c r="J792" s="1" t="s">
        <v>4192</v>
      </c>
      <c r="K792" s="1" t="s">
        <v>31</v>
      </c>
      <c r="L792" s="1" t="s">
        <v>229</v>
      </c>
      <c r="M792" s="1" t="s">
        <v>4193</v>
      </c>
      <c r="N792" s="2">
        <v>42134</v>
      </c>
      <c r="O792" s="1"/>
      <c r="P792" s="2">
        <v>42545</v>
      </c>
      <c r="Q792" s="1" t="s">
        <v>34</v>
      </c>
      <c r="R792" s="1"/>
      <c r="S792" s="1" t="s">
        <v>35</v>
      </c>
      <c r="T792" s="1">
        <v>44.200360799999999</v>
      </c>
      <c r="U792" s="1">
        <v>-72.495995699999895</v>
      </c>
      <c r="V792" s="1" t="s">
        <v>4194</v>
      </c>
      <c r="W792" s="1"/>
      <c r="X792" s="1" t="s">
        <v>37</v>
      </c>
      <c r="Y792" s="1" t="s">
        <v>237</v>
      </c>
      <c r="Z792" s="1">
        <v>5641</v>
      </c>
    </row>
    <row r="793" spans="1:26" ht="42">
      <c r="A793" s="1" t="str">
        <f>"000QGY"</f>
        <v>000QGY</v>
      </c>
      <c r="B793" s="1" t="s">
        <v>4195</v>
      </c>
      <c r="C793" s="1" t="s">
        <v>4196</v>
      </c>
      <c r="D793" s="1" t="str">
        <f>"8025050774"</f>
        <v>8025050774</v>
      </c>
      <c r="E793" s="1">
        <v>4799</v>
      </c>
      <c r="F793" s="1" t="s">
        <v>28</v>
      </c>
      <c r="G793" s="1" t="s">
        <v>4197</v>
      </c>
      <c r="H793" s="1"/>
      <c r="I793" s="1">
        <v>1</v>
      </c>
      <c r="J793" s="1" t="s">
        <v>4198</v>
      </c>
      <c r="K793" s="1" t="s">
        <v>31</v>
      </c>
      <c r="L793" s="1" t="s">
        <v>4199</v>
      </c>
      <c r="M793" s="1" t="s">
        <v>4200</v>
      </c>
      <c r="N793" s="2">
        <v>42137</v>
      </c>
      <c r="O793" s="1"/>
      <c r="P793" s="2">
        <v>42898</v>
      </c>
      <c r="Q793" s="1" t="s">
        <v>34</v>
      </c>
      <c r="R793" s="1"/>
      <c r="S793" s="1" t="s">
        <v>35</v>
      </c>
      <c r="T793" s="1">
        <v>44.164880077256903</v>
      </c>
      <c r="U793" s="1">
        <v>-72.868173792917304</v>
      </c>
      <c r="V793" s="1" t="s">
        <v>4201</v>
      </c>
      <c r="W793" s="1"/>
      <c r="X793" s="1" t="s">
        <v>37</v>
      </c>
      <c r="Y793" s="1" t="s">
        <v>4202</v>
      </c>
      <c r="Z793" s="1">
        <v>5673</v>
      </c>
    </row>
    <row r="794" spans="1:26" ht="42">
      <c r="A794" s="1" t="str">
        <f>"000QH7"</f>
        <v>000QH7</v>
      </c>
      <c r="B794" s="1" t="s">
        <v>4203</v>
      </c>
      <c r="C794" s="1" t="s">
        <v>4204</v>
      </c>
      <c r="D794" s="1" t="str">
        <f>"8023874039"</f>
        <v>8023874039</v>
      </c>
      <c r="E794" s="1">
        <v>4800</v>
      </c>
      <c r="F794" s="1" t="s">
        <v>28</v>
      </c>
      <c r="G794" s="1" t="s">
        <v>4205</v>
      </c>
      <c r="H794" s="1"/>
      <c r="I794" s="1">
        <v>1</v>
      </c>
      <c r="J794" s="1" t="s">
        <v>4206</v>
      </c>
      <c r="K794" s="1" t="s">
        <v>144</v>
      </c>
      <c r="L794" s="1" t="s">
        <v>767</v>
      </c>
      <c r="M794" s="1" t="s">
        <v>4207</v>
      </c>
      <c r="N794" s="2">
        <v>42139</v>
      </c>
      <c r="O794" s="1"/>
      <c r="P794" s="1"/>
      <c r="Q794" s="1" t="s">
        <v>34</v>
      </c>
      <c r="R794" s="1"/>
      <c r="S794" s="1" t="s">
        <v>35</v>
      </c>
      <c r="T794" s="1">
        <v>43.014540112455897</v>
      </c>
      <c r="U794" s="1">
        <v>-72.542043328285203</v>
      </c>
      <c r="V794" s="1" t="s">
        <v>4208</v>
      </c>
      <c r="W794" s="1"/>
      <c r="X794" s="1" t="s">
        <v>37</v>
      </c>
      <c r="Y794" s="1" t="s">
        <v>414</v>
      </c>
      <c r="Z794" s="1">
        <v>5346</v>
      </c>
    </row>
    <row r="795" spans="1:26" ht="42">
      <c r="A795" s="1" t="str">
        <f>"000QJ5"</f>
        <v>000QJ5</v>
      </c>
      <c r="B795" s="1" t="s">
        <v>4209</v>
      </c>
      <c r="C795" s="1" t="s">
        <v>4210</v>
      </c>
      <c r="D795" s="1" t="str">
        <f>"8028490544"</f>
        <v>8028490544</v>
      </c>
      <c r="E795" s="1">
        <v>4802</v>
      </c>
      <c r="F795" s="1" t="s">
        <v>28</v>
      </c>
      <c r="G795" s="1" t="s">
        <v>4211</v>
      </c>
      <c r="H795" s="1"/>
      <c r="I795" s="1">
        <v>1</v>
      </c>
      <c r="J795" s="1" t="s">
        <v>4212</v>
      </c>
      <c r="K795" s="1" t="s">
        <v>152</v>
      </c>
      <c r="L795" s="1" t="s">
        <v>1048</v>
      </c>
      <c r="M795" s="1" t="s">
        <v>4213</v>
      </c>
      <c r="N795" s="2">
        <v>42171</v>
      </c>
      <c r="O795" s="1"/>
      <c r="P795" s="1"/>
      <c r="Q795" s="1" t="s">
        <v>34</v>
      </c>
      <c r="R795" s="1"/>
      <c r="S795" s="1" t="s">
        <v>35</v>
      </c>
      <c r="T795" s="1">
        <v>44.65408</v>
      </c>
      <c r="U795" s="1">
        <v>-72.953605899999999</v>
      </c>
      <c r="V795" s="1" t="s">
        <v>4214</v>
      </c>
      <c r="W795" s="1"/>
      <c r="X795" s="1" t="s">
        <v>37</v>
      </c>
      <c r="Y795" s="1" t="s">
        <v>1051</v>
      </c>
      <c r="Z795" s="1">
        <v>5454</v>
      </c>
    </row>
    <row r="796" spans="1:26" ht="42">
      <c r="A796" s="1" t="str">
        <f>"000QJ7"</f>
        <v>000QJ7</v>
      </c>
      <c r="B796" s="1" t="s">
        <v>4215</v>
      </c>
      <c r="C796" s="1" t="s">
        <v>4216</v>
      </c>
      <c r="D796" s="1" t="str">
        <f>"8024535769"</f>
        <v>8024535769</v>
      </c>
      <c r="E796" s="1">
        <v>4804</v>
      </c>
      <c r="F796" s="1" t="s">
        <v>28</v>
      </c>
      <c r="G796" s="1" t="s">
        <v>4217</v>
      </c>
      <c r="H796" s="1"/>
      <c r="I796" s="1">
        <v>5</v>
      </c>
      <c r="J796" s="1">
        <v>1</v>
      </c>
      <c r="K796" s="1" t="s">
        <v>333</v>
      </c>
      <c r="L796" s="1" t="s">
        <v>807</v>
      </c>
      <c r="M796" s="1" t="s">
        <v>4218</v>
      </c>
      <c r="N796" s="2">
        <v>42146</v>
      </c>
      <c r="O796" s="1"/>
      <c r="P796" s="1"/>
      <c r="Q796" s="1" t="s">
        <v>34</v>
      </c>
      <c r="R796" s="1"/>
      <c r="S796" s="1" t="s">
        <v>35</v>
      </c>
      <c r="T796" s="1">
        <v>44.205835</v>
      </c>
      <c r="U796" s="1">
        <v>-73.127488999999898</v>
      </c>
      <c r="V796" s="1" t="s">
        <v>4219</v>
      </c>
      <c r="W796" s="1"/>
      <c r="X796" s="1" t="s">
        <v>37</v>
      </c>
      <c r="Y796" s="1" t="s">
        <v>1791</v>
      </c>
      <c r="Z796" s="1">
        <v>5443</v>
      </c>
    </row>
    <row r="797" spans="1:26" ht="42">
      <c r="A797" s="1" t="str">
        <f>"000QJ7"</f>
        <v>000QJ7</v>
      </c>
      <c r="B797" s="1" t="s">
        <v>4215</v>
      </c>
      <c r="C797" s="1" t="s">
        <v>4216</v>
      </c>
      <c r="D797" s="1" t="str">
        <f>"8024535769"</f>
        <v>8024535769</v>
      </c>
      <c r="E797" s="1">
        <v>4804</v>
      </c>
      <c r="F797" s="1" t="s">
        <v>28</v>
      </c>
      <c r="G797" s="1" t="s">
        <v>4220</v>
      </c>
      <c r="H797" s="1"/>
      <c r="I797" s="1">
        <v>6</v>
      </c>
      <c r="J797" s="1">
        <v>2</v>
      </c>
      <c r="K797" s="1" t="s">
        <v>333</v>
      </c>
      <c r="L797" s="1" t="s">
        <v>807</v>
      </c>
      <c r="M797" s="1" t="s">
        <v>4221</v>
      </c>
      <c r="N797" s="2">
        <v>42522</v>
      </c>
      <c r="O797" s="1"/>
      <c r="P797" s="1"/>
      <c r="Q797" s="1" t="s">
        <v>34</v>
      </c>
      <c r="R797" s="1"/>
      <c r="S797" s="1" t="s">
        <v>35</v>
      </c>
      <c r="T797" s="1">
        <v>44.247452000000003</v>
      </c>
      <c r="U797" s="1">
        <v>-73.099570999999898</v>
      </c>
      <c r="V797" s="1" t="s">
        <v>4222</v>
      </c>
      <c r="W797" s="1"/>
      <c r="X797" s="1" t="s">
        <v>37</v>
      </c>
      <c r="Y797" s="1" t="s">
        <v>879</v>
      </c>
      <c r="Z797" s="1">
        <v>5443</v>
      </c>
    </row>
    <row r="798" spans="1:26" ht="42">
      <c r="A798" s="1" t="str">
        <f>"000QJ9"</f>
        <v>000QJ9</v>
      </c>
      <c r="B798" s="1" t="s">
        <v>4223</v>
      </c>
      <c r="C798" s="1" t="s">
        <v>4224</v>
      </c>
      <c r="D798" s="1" t="str">
        <f>"8027600610"</f>
        <v>8027600610</v>
      </c>
      <c r="E798" s="1">
        <v>4806</v>
      </c>
      <c r="F798" s="1" t="s">
        <v>28</v>
      </c>
      <c r="G798" s="1" t="s">
        <v>4225</v>
      </c>
      <c r="H798" s="1"/>
      <c r="I798" s="1">
        <v>2</v>
      </c>
      <c r="J798" s="1" t="s">
        <v>876</v>
      </c>
      <c r="K798" s="1" t="s">
        <v>333</v>
      </c>
      <c r="L798" s="1" t="s">
        <v>876</v>
      </c>
      <c r="M798" s="1" t="s">
        <v>4226</v>
      </c>
      <c r="N798" s="2">
        <v>42146</v>
      </c>
      <c r="O798" s="1"/>
      <c r="P798" s="1"/>
      <c r="Q798" s="1" t="s">
        <v>34</v>
      </c>
      <c r="R798" s="1"/>
      <c r="S798" s="1" t="s">
        <v>35</v>
      </c>
      <c r="T798" s="1">
        <v>44.156005999999998</v>
      </c>
      <c r="U798" s="1">
        <v>-73.104484999999997</v>
      </c>
      <c r="V798" s="1" t="s">
        <v>4227</v>
      </c>
      <c r="W798" s="1"/>
      <c r="X798" s="1" t="s">
        <v>37</v>
      </c>
      <c r="Y798" s="1" t="s">
        <v>879</v>
      </c>
      <c r="Z798" s="1">
        <v>5443</v>
      </c>
    </row>
    <row r="799" spans="1:26" ht="42">
      <c r="A799" s="1" t="str">
        <f>"000QK8"</f>
        <v>000QK8</v>
      </c>
      <c r="B799" s="1" t="s">
        <v>4228</v>
      </c>
      <c r="C799" s="1" t="s">
        <v>4229</v>
      </c>
      <c r="D799" s="1" t="str">
        <f>"8027650200"</f>
        <v>8027650200</v>
      </c>
      <c r="E799" s="1">
        <v>4815</v>
      </c>
      <c r="F799" s="1" t="s">
        <v>28</v>
      </c>
      <c r="G799" s="1" t="s">
        <v>4230</v>
      </c>
      <c r="H799" s="1"/>
      <c r="I799" s="1">
        <v>5</v>
      </c>
      <c r="J799" s="1" t="s">
        <v>4231</v>
      </c>
      <c r="K799" s="1" t="s">
        <v>77</v>
      </c>
      <c r="L799" s="1"/>
      <c r="M799" s="1" t="s">
        <v>4232</v>
      </c>
      <c r="N799" s="2">
        <v>42152</v>
      </c>
      <c r="O799" s="1"/>
      <c r="P799" s="2">
        <v>43267</v>
      </c>
      <c r="Q799" s="1" t="s">
        <v>34</v>
      </c>
      <c r="R799" s="1"/>
      <c r="S799" s="1" t="s">
        <v>35</v>
      </c>
      <c r="T799" s="1">
        <v>43.787841999999998</v>
      </c>
      <c r="U799" s="1">
        <v>-72.343163000000004</v>
      </c>
      <c r="V799" s="1" t="s">
        <v>4233</v>
      </c>
      <c r="W799" s="1"/>
      <c r="X799" s="1" t="s">
        <v>37</v>
      </c>
      <c r="Y799" s="1" t="s">
        <v>640</v>
      </c>
      <c r="Z799" s="1">
        <v>5055</v>
      </c>
    </row>
    <row r="800" spans="1:26" ht="42">
      <c r="A800" s="1" t="str">
        <f>"000QK8"</f>
        <v>000QK8</v>
      </c>
      <c r="B800" s="1" t="s">
        <v>4228</v>
      </c>
      <c r="C800" s="1" t="s">
        <v>4229</v>
      </c>
      <c r="D800" s="1" t="str">
        <f>"8027650200"</f>
        <v>8027650200</v>
      </c>
      <c r="E800" s="1">
        <v>4815</v>
      </c>
      <c r="F800" s="1" t="s">
        <v>28</v>
      </c>
      <c r="G800" s="1" t="s">
        <v>4234</v>
      </c>
      <c r="H800" s="1"/>
      <c r="I800" s="1">
        <v>1</v>
      </c>
      <c r="J800" s="1" t="s">
        <v>4235</v>
      </c>
      <c r="K800" s="1" t="s">
        <v>159</v>
      </c>
      <c r="L800" s="1"/>
      <c r="M800" s="1" t="s">
        <v>4236</v>
      </c>
      <c r="N800" s="2">
        <v>42930</v>
      </c>
      <c r="O800" s="1"/>
      <c r="P800" s="2">
        <v>43267</v>
      </c>
      <c r="Q800" s="1" t="s">
        <v>34</v>
      </c>
      <c r="R800" s="1"/>
      <c r="S800" s="1" t="s">
        <v>35</v>
      </c>
      <c r="T800" s="1"/>
      <c r="U800" s="1"/>
      <c r="V800" s="1" t="s">
        <v>4237</v>
      </c>
      <c r="W800" s="1"/>
      <c r="X800" s="1" t="s">
        <v>37</v>
      </c>
      <c r="Y800" s="1" t="s">
        <v>4238</v>
      </c>
      <c r="Z800" s="1">
        <v>5055</v>
      </c>
    </row>
    <row r="801" spans="1:26" ht="42">
      <c r="A801" s="1" t="str">
        <f>"000QK9"</f>
        <v>000QK9</v>
      </c>
      <c r="B801" s="1" t="s">
        <v>4239</v>
      </c>
      <c r="C801" s="1" t="s">
        <v>4240</v>
      </c>
      <c r="D801" s="1" t="str">
        <f>"8028882466"</f>
        <v>8028882466</v>
      </c>
      <c r="E801" s="1">
        <v>4816</v>
      </c>
      <c r="F801" s="1" t="s">
        <v>28</v>
      </c>
      <c r="G801" s="1" t="s">
        <v>4241</v>
      </c>
      <c r="H801" s="1"/>
      <c r="I801" s="1">
        <v>1</v>
      </c>
      <c r="J801" s="1" t="s">
        <v>4242</v>
      </c>
      <c r="K801" s="1" t="s">
        <v>170</v>
      </c>
      <c r="L801" s="1" t="s">
        <v>3857</v>
      </c>
      <c r="M801" s="1" t="s">
        <v>4243</v>
      </c>
      <c r="N801" s="2">
        <v>42152</v>
      </c>
      <c r="O801" s="1"/>
      <c r="P801" s="1"/>
      <c r="Q801" s="1" t="s">
        <v>34</v>
      </c>
      <c r="R801" s="1"/>
      <c r="S801" s="1" t="s">
        <v>35</v>
      </c>
      <c r="T801" s="1">
        <v>44.481212900000003</v>
      </c>
      <c r="U801" s="1">
        <v>-72.642768999999902</v>
      </c>
      <c r="V801" s="1" t="s">
        <v>4244</v>
      </c>
      <c r="W801" s="1"/>
      <c r="X801" s="1" t="s">
        <v>37</v>
      </c>
      <c r="Y801" s="1" t="s">
        <v>3859</v>
      </c>
      <c r="Z801" s="1">
        <v>5672</v>
      </c>
    </row>
    <row r="802" spans="1:26" ht="42">
      <c r="A802" s="1" t="str">
        <f>"000QK9"</f>
        <v>000QK9</v>
      </c>
      <c r="B802" s="1" t="s">
        <v>4239</v>
      </c>
      <c r="C802" s="1" t="s">
        <v>4240</v>
      </c>
      <c r="D802" s="1" t="str">
        <f>"8028882466"</f>
        <v>8028882466</v>
      </c>
      <c r="E802" s="1">
        <v>4816</v>
      </c>
      <c r="F802" s="1" t="s">
        <v>28</v>
      </c>
      <c r="G802" s="1" t="s">
        <v>4245</v>
      </c>
      <c r="H802" s="1"/>
      <c r="I802" s="1">
        <v>1</v>
      </c>
      <c r="J802" s="1" t="s">
        <v>4246</v>
      </c>
      <c r="K802" s="1" t="s">
        <v>170</v>
      </c>
      <c r="L802" s="1" t="s">
        <v>380</v>
      </c>
      <c r="M802" s="1" t="s">
        <v>4243</v>
      </c>
      <c r="N802" s="2">
        <v>43270</v>
      </c>
      <c r="O802" s="1"/>
      <c r="P802" s="1"/>
      <c r="Q802" s="1" t="s">
        <v>34</v>
      </c>
      <c r="R802" s="1"/>
      <c r="S802" s="1" t="s">
        <v>35</v>
      </c>
      <c r="T802" s="1">
        <v>44.558802800000002</v>
      </c>
      <c r="U802" s="1">
        <v>-72.577841499999906</v>
      </c>
      <c r="V802" s="1" t="s">
        <v>4247</v>
      </c>
      <c r="W802" s="1"/>
      <c r="X802" s="1" t="s">
        <v>37</v>
      </c>
      <c r="Y802" s="1" t="s">
        <v>383</v>
      </c>
      <c r="Z802" s="1">
        <v>0</v>
      </c>
    </row>
    <row r="803" spans="1:26" ht="42">
      <c r="A803" s="1" t="str">
        <f>"000QKA"</f>
        <v>000QKA</v>
      </c>
      <c r="B803" s="1" t="s">
        <v>4248</v>
      </c>
      <c r="C803" s="1" t="s">
        <v>4249</v>
      </c>
      <c r="D803" s="1" t="str">
        <f>"8024462927"</f>
        <v>8024462927</v>
      </c>
      <c r="E803" s="1">
        <v>4817</v>
      </c>
      <c r="F803" s="1" t="s">
        <v>28</v>
      </c>
      <c r="G803" s="1" t="s">
        <v>4250</v>
      </c>
      <c r="H803" s="1"/>
      <c r="I803" s="1">
        <v>4</v>
      </c>
      <c r="J803" s="1" t="s">
        <v>1642</v>
      </c>
      <c r="K803" s="1" t="s">
        <v>135</v>
      </c>
      <c r="L803" s="1" t="s">
        <v>3728</v>
      </c>
      <c r="M803" s="1" t="s">
        <v>4251</v>
      </c>
      <c r="N803" s="2">
        <v>42152</v>
      </c>
      <c r="O803" s="1"/>
      <c r="P803" s="1"/>
      <c r="Q803" s="1" t="s">
        <v>34</v>
      </c>
      <c r="R803" s="1"/>
      <c r="S803" s="1" t="s">
        <v>35</v>
      </c>
      <c r="T803" s="1">
        <v>43.397433900000003</v>
      </c>
      <c r="U803" s="1">
        <v>-73.018538999999905</v>
      </c>
      <c r="V803" s="1" t="s">
        <v>4252</v>
      </c>
      <c r="W803" s="1"/>
      <c r="X803" s="1" t="s">
        <v>37</v>
      </c>
      <c r="Y803" s="1" t="s">
        <v>3731</v>
      </c>
      <c r="Z803" s="1">
        <v>5739</v>
      </c>
    </row>
    <row r="804" spans="1:26" ht="42">
      <c r="A804" s="1" t="str">
        <f>"000QKB"</f>
        <v>000QKB</v>
      </c>
      <c r="B804" s="1" t="s">
        <v>4253</v>
      </c>
      <c r="C804" s="1" t="s">
        <v>4254</v>
      </c>
      <c r="D804" s="1" t="str">
        <f>"8029991810"</f>
        <v>8029991810</v>
      </c>
      <c r="E804" s="1">
        <v>4818</v>
      </c>
      <c r="F804" s="1" t="s">
        <v>28</v>
      </c>
      <c r="G804" s="1" t="s">
        <v>4255</v>
      </c>
      <c r="H804" s="1"/>
      <c r="I804" s="1">
        <v>2</v>
      </c>
      <c r="J804" s="1" t="s">
        <v>4256</v>
      </c>
      <c r="K804" s="1" t="s">
        <v>333</v>
      </c>
      <c r="L804" s="1" t="s">
        <v>807</v>
      </c>
      <c r="M804" s="1" t="s">
        <v>4257</v>
      </c>
      <c r="N804" s="2">
        <v>42152</v>
      </c>
      <c r="O804" s="1"/>
      <c r="P804" s="1"/>
      <c r="Q804" s="1" t="s">
        <v>34</v>
      </c>
      <c r="R804" s="1"/>
      <c r="S804" s="1" t="s">
        <v>35</v>
      </c>
      <c r="T804" s="1">
        <v>44.201369</v>
      </c>
      <c r="U804" s="1">
        <v>-73.133313999999899</v>
      </c>
      <c r="V804" s="1" t="s">
        <v>4258</v>
      </c>
      <c r="W804" s="1"/>
      <c r="X804" s="1" t="s">
        <v>37</v>
      </c>
      <c r="Y804" s="1" t="s">
        <v>1791</v>
      </c>
      <c r="Z804" s="1">
        <v>5443</v>
      </c>
    </row>
    <row r="805" spans="1:26" ht="42">
      <c r="A805" s="1" t="str">
        <f>"000QKD"</f>
        <v>000QKD</v>
      </c>
      <c r="B805" s="1" t="s">
        <v>4259</v>
      </c>
      <c r="C805" s="1" t="s">
        <v>4260</v>
      </c>
      <c r="D805" s="1" t="str">
        <f>"8024896253"</f>
        <v>8024896253</v>
      </c>
      <c r="E805" s="1">
        <v>4820</v>
      </c>
      <c r="F805" s="1" t="s">
        <v>28</v>
      </c>
      <c r="G805" s="1" t="s">
        <v>4261</v>
      </c>
      <c r="H805" s="1"/>
      <c r="I805" s="1">
        <v>2</v>
      </c>
      <c r="J805" s="1" t="s">
        <v>4262</v>
      </c>
      <c r="K805" s="1" t="s">
        <v>43</v>
      </c>
      <c r="L805" s="1" t="s">
        <v>178</v>
      </c>
      <c r="M805" s="1" t="s">
        <v>4263</v>
      </c>
      <c r="N805" s="2">
        <v>42152</v>
      </c>
      <c r="O805" s="1"/>
      <c r="P805" s="1"/>
      <c r="Q805" s="1" t="s">
        <v>34</v>
      </c>
      <c r="R805" s="1"/>
      <c r="S805" s="1" t="s">
        <v>35</v>
      </c>
      <c r="T805" s="1">
        <v>44.500794900000002</v>
      </c>
      <c r="U805" s="1">
        <v>-73.127993000000004</v>
      </c>
      <c r="V805" s="1" t="s">
        <v>4264</v>
      </c>
      <c r="W805" s="1"/>
      <c r="X805" s="1" t="s">
        <v>37</v>
      </c>
      <c r="Y805" s="1" t="s">
        <v>181</v>
      </c>
      <c r="Z805" s="1">
        <v>5452</v>
      </c>
    </row>
    <row r="806" spans="1:26" ht="42">
      <c r="A806" s="1" t="str">
        <f>"000QKG"</f>
        <v>000QKG</v>
      </c>
      <c r="B806" s="1" t="s">
        <v>4265</v>
      </c>
      <c r="C806" s="1" t="s">
        <v>4266</v>
      </c>
      <c r="D806" s="1" t="str">
        <f>"8028931164"</f>
        <v>8028931164</v>
      </c>
      <c r="E806" s="1">
        <v>4822</v>
      </c>
      <c r="F806" s="1" t="s">
        <v>28</v>
      </c>
      <c r="G806" s="1" t="s">
        <v>4267</v>
      </c>
      <c r="H806" s="1"/>
      <c r="I806" s="1">
        <v>2</v>
      </c>
      <c r="J806" s="1" t="s">
        <v>4268</v>
      </c>
      <c r="K806" s="1" t="s">
        <v>43</v>
      </c>
      <c r="L806" s="1" t="s">
        <v>778</v>
      </c>
      <c r="M806" s="1" t="s">
        <v>4269</v>
      </c>
      <c r="N806" s="2">
        <v>42152</v>
      </c>
      <c r="O806" s="1"/>
      <c r="P806" s="1"/>
      <c r="Q806" s="1" t="s">
        <v>34</v>
      </c>
      <c r="R806" s="1"/>
      <c r="S806" s="1" t="s">
        <v>35</v>
      </c>
      <c r="T806" s="1">
        <v>44.592199999999998</v>
      </c>
      <c r="U806" s="1">
        <v>-73.212288000000001</v>
      </c>
      <c r="V806" s="1" t="s">
        <v>4270</v>
      </c>
      <c r="W806" s="1"/>
      <c r="X806" s="1" t="s">
        <v>37</v>
      </c>
      <c r="Y806" s="1" t="s">
        <v>781</v>
      </c>
      <c r="Z806" s="1">
        <v>5446</v>
      </c>
    </row>
    <row r="807" spans="1:26" ht="42">
      <c r="A807" s="1" t="str">
        <f>"000QKN"</f>
        <v>000QKN</v>
      </c>
      <c r="B807" s="1" t="s">
        <v>4271</v>
      </c>
      <c r="C807" s="1" t="s">
        <v>4272</v>
      </c>
      <c r="D807" s="1" t="str">
        <f>"8023536379"</f>
        <v>8023536379</v>
      </c>
      <c r="E807" s="1">
        <v>4827</v>
      </c>
      <c r="F807" s="1" t="s">
        <v>28</v>
      </c>
      <c r="G807" s="1" t="s">
        <v>4273</v>
      </c>
      <c r="H807" s="1"/>
      <c r="I807" s="1">
        <v>1</v>
      </c>
      <c r="J807" s="1" t="s">
        <v>4274</v>
      </c>
      <c r="K807" s="1" t="s">
        <v>187</v>
      </c>
      <c r="L807" s="1" t="s">
        <v>204</v>
      </c>
      <c r="M807" s="1" t="s">
        <v>4275</v>
      </c>
      <c r="N807" s="2">
        <v>42152</v>
      </c>
      <c r="O807" s="1"/>
      <c r="P807" s="1"/>
      <c r="Q807" s="1" t="s">
        <v>34</v>
      </c>
      <c r="R807" s="1"/>
      <c r="S807" s="1" t="s">
        <v>35</v>
      </c>
      <c r="T807" s="1">
        <v>43.307268899999997</v>
      </c>
      <c r="U807" s="1">
        <v>-73.093066099999902</v>
      </c>
      <c r="V807" s="1" t="s">
        <v>4276</v>
      </c>
      <c r="W807" s="1"/>
      <c r="X807" s="1" t="s">
        <v>37</v>
      </c>
      <c r="Y807" s="1" t="s">
        <v>205</v>
      </c>
      <c r="Z807" s="1">
        <v>5254</v>
      </c>
    </row>
    <row r="808" spans="1:26" ht="42">
      <c r="A808" s="1" t="str">
        <f>"000QM4"</f>
        <v>000QM4</v>
      </c>
      <c r="B808" s="1" t="s">
        <v>4277</v>
      </c>
      <c r="C808" s="1" t="s">
        <v>4278</v>
      </c>
      <c r="D808" s="1" t="str">
        <f>"8029221565"</f>
        <v>8029221565</v>
      </c>
      <c r="E808" s="1">
        <v>4836</v>
      </c>
      <c r="F808" s="1" t="s">
        <v>28</v>
      </c>
      <c r="G808" s="1" t="s">
        <v>4279</v>
      </c>
      <c r="H808" s="1"/>
      <c r="I808" s="1">
        <v>1</v>
      </c>
      <c r="J808" s="1" t="s">
        <v>4280</v>
      </c>
      <c r="K808" s="1" t="s">
        <v>68</v>
      </c>
      <c r="L808" s="1" t="s">
        <v>224</v>
      </c>
      <c r="M808" s="1" t="s">
        <v>4281</v>
      </c>
      <c r="N808" s="2">
        <v>42152</v>
      </c>
      <c r="O808" s="1"/>
      <c r="P808" s="1"/>
      <c r="Q808" s="1" t="s">
        <v>34</v>
      </c>
      <c r="R808" s="1"/>
      <c r="S808" s="1" t="s">
        <v>35</v>
      </c>
      <c r="T808" s="1">
        <v>44.106970843273501</v>
      </c>
      <c r="U808" s="1">
        <v>-72.503156661987305</v>
      </c>
      <c r="V808" s="1" t="s">
        <v>4282</v>
      </c>
      <c r="W808" s="1"/>
      <c r="X808" s="1" t="s">
        <v>37</v>
      </c>
      <c r="Y808" s="1" t="s">
        <v>227</v>
      </c>
      <c r="Z808" s="1">
        <v>5679</v>
      </c>
    </row>
    <row r="809" spans="1:26" ht="42">
      <c r="A809" s="1" t="str">
        <f>"000QM5"</f>
        <v>000QM5</v>
      </c>
      <c r="B809" s="1" t="s">
        <v>4283</v>
      </c>
      <c r="C809" s="1" t="s">
        <v>4284</v>
      </c>
      <c r="D809" s="1" t="str">
        <f>"8023721639"</f>
        <v>8023721639</v>
      </c>
      <c r="E809" s="1">
        <v>4837</v>
      </c>
      <c r="F809" s="1" t="s">
        <v>28</v>
      </c>
      <c r="G809" s="1" t="s">
        <v>4285</v>
      </c>
      <c r="H809" s="1"/>
      <c r="I809" s="1">
        <v>2</v>
      </c>
      <c r="J809" s="1">
        <v>1</v>
      </c>
      <c r="K809" s="1" t="s">
        <v>428</v>
      </c>
      <c r="L809" s="1" t="s">
        <v>429</v>
      </c>
      <c r="M809" s="1" t="s">
        <v>4286</v>
      </c>
      <c r="N809" s="2">
        <v>42152</v>
      </c>
      <c r="O809" s="1"/>
      <c r="P809" s="1"/>
      <c r="Q809" s="1" t="s">
        <v>34</v>
      </c>
      <c r="R809" s="1"/>
      <c r="S809" s="1" t="s">
        <v>35</v>
      </c>
      <c r="T809" s="1">
        <v>44.977993300000001</v>
      </c>
      <c r="U809" s="1">
        <v>-73.308226499999904</v>
      </c>
      <c r="V809" s="1" t="s">
        <v>4287</v>
      </c>
      <c r="W809" s="1"/>
      <c r="X809" s="1" t="s">
        <v>37</v>
      </c>
      <c r="Y809" s="1" t="s">
        <v>1527</v>
      </c>
      <c r="Z809" s="1">
        <v>5440</v>
      </c>
    </row>
    <row r="810" spans="1:26" ht="42">
      <c r="A810" s="1" t="str">
        <f>"000QM6"</f>
        <v>000QM6</v>
      </c>
      <c r="B810" s="1" t="s">
        <v>4288</v>
      </c>
      <c r="C810" s="1" t="s">
        <v>4289</v>
      </c>
      <c r="D810" s="1" t="str">
        <f>"8025851352"</f>
        <v>8025851352</v>
      </c>
      <c r="E810" s="1">
        <v>4838</v>
      </c>
      <c r="F810" s="1" t="s">
        <v>28</v>
      </c>
      <c r="G810" s="1" t="s">
        <v>4290</v>
      </c>
      <c r="H810" s="1"/>
      <c r="I810" s="1">
        <v>0</v>
      </c>
      <c r="J810" s="1" t="s">
        <v>4291</v>
      </c>
      <c r="K810" s="1" t="s">
        <v>31</v>
      </c>
      <c r="L810" s="1" t="s">
        <v>120</v>
      </c>
      <c r="M810" s="1" t="s">
        <v>4292</v>
      </c>
      <c r="N810" s="2">
        <v>42152</v>
      </c>
      <c r="O810" s="1"/>
      <c r="P810" s="1"/>
      <c r="Q810" s="1" t="s">
        <v>34</v>
      </c>
      <c r="R810" s="1"/>
      <c r="S810" s="1" t="s">
        <v>35</v>
      </c>
      <c r="T810" s="1">
        <v>44.393370099999999</v>
      </c>
      <c r="U810" s="1">
        <v>-72.706002999999995</v>
      </c>
      <c r="V810" s="1" t="s">
        <v>4293</v>
      </c>
      <c r="W810" s="1"/>
      <c r="X810" s="1" t="s">
        <v>37</v>
      </c>
      <c r="Y810" s="1" t="s">
        <v>123</v>
      </c>
      <c r="Z810" s="1">
        <v>5677</v>
      </c>
    </row>
    <row r="811" spans="1:26" ht="42">
      <c r="A811" s="1" t="str">
        <f>"000QM7"</f>
        <v>000QM7</v>
      </c>
      <c r="B811" s="1" t="s">
        <v>4294</v>
      </c>
      <c r="C811" s="1" t="s">
        <v>4295</v>
      </c>
      <c r="D811" s="1" t="str">
        <f>"8028492636"</f>
        <v>8028492636</v>
      </c>
      <c r="E811" s="1">
        <v>4839</v>
      </c>
      <c r="F811" s="1" t="s">
        <v>28</v>
      </c>
      <c r="G811" s="1" t="s">
        <v>4296</v>
      </c>
      <c r="H811" s="1"/>
      <c r="I811" s="1">
        <v>3</v>
      </c>
      <c r="J811" s="1" t="s">
        <v>4297</v>
      </c>
      <c r="K811" s="1" t="s">
        <v>152</v>
      </c>
      <c r="L811" s="1" t="s">
        <v>4073</v>
      </c>
      <c r="M811" s="1" t="s">
        <v>4298</v>
      </c>
      <c r="N811" s="2">
        <v>42152</v>
      </c>
      <c r="O811" s="1"/>
      <c r="P811" s="1"/>
      <c r="Q811" s="1" t="s">
        <v>34</v>
      </c>
      <c r="R811" s="1"/>
      <c r="S811" s="1" t="s">
        <v>35</v>
      </c>
      <c r="T811" s="1">
        <v>44.644822300000001</v>
      </c>
      <c r="U811" s="1">
        <v>-72.895494799999994</v>
      </c>
      <c r="V811" s="1" t="s">
        <v>4299</v>
      </c>
      <c r="W811" s="1"/>
      <c r="X811" s="1" t="s">
        <v>37</v>
      </c>
      <c r="Y811" s="1" t="s">
        <v>4300</v>
      </c>
      <c r="Z811" s="1">
        <v>5444</v>
      </c>
    </row>
    <row r="812" spans="1:26" ht="42">
      <c r="A812" s="1" t="str">
        <f>"000QMA"</f>
        <v>000QMA</v>
      </c>
      <c r="B812" s="1" t="s">
        <v>4301</v>
      </c>
      <c r="C812" s="1" t="s">
        <v>4302</v>
      </c>
      <c r="D812" s="1" t="str">
        <f>"8022793790"</f>
        <v>8022793790</v>
      </c>
      <c r="E812" s="1">
        <v>4842</v>
      </c>
      <c r="F812" s="1" t="s">
        <v>28</v>
      </c>
      <c r="G812" s="1" t="s">
        <v>4303</v>
      </c>
      <c r="H812" s="1"/>
      <c r="I812" s="1">
        <v>2</v>
      </c>
      <c r="J812" s="1" t="s">
        <v>4304</v>
      </c>
      <c r="K812" s="1" t="s">
        <v>31</v>
      </c>
      <c r="L812" s="1" t="s">
        <v>702</v>
      </c>
      <c r="M812" s="1" t="s">
        <v>4305</v>
      </c>
      <c r="N812" s="2">
        <v>42152</v>
      </c>
      <c r="O812" s="1"/>
      <c r="P812" s="1"/>
      <c r="Q812" s="1" t="s">
        <v>34</v>
      </c>
      <c r="R812" s="1"/>
      <c r="S812" s="1" t="s">
        <v>35</v>
      </c>
      <c r="T812" s="1">
        <v>44.162166900000003</v>
      </c>
      <c r="U812" s="1">
        <v>-72.648300000000006</v>
      </c>
      <c r="V812" s="1" t="s">
        <v>4306</v>
      </c>
      <c r="W812" s="1"/>
      <c r="X812" s="1" t="s">
        <v>37</v>
      </c>
      <c r="Y812" s="1" t="s">
        <v>705</v>
      </c>
      <c r="Z812" s="1">
        <v>5663</v>
      </c>
    </row>
    <row r="813" spans="1:26" ht="28">
      <c r="A813" s="1" t="str">
        <f>"000QMM"</f>
        <v>000QMM</v>
      </c>
      <c r="B813" s="1" t="s">
        <v>4307</v>
      </c>
      <c r="C813" s="1" t="s">
        <v>4308</v>
      </c>
      <c r="D813" s="1"/>
      <c r="E813" s="1">
        <v>4845</v>
      </c>
      <c r="F813" s="1" t="s">
        <v>28</v>
      </c>
      <c r="G813" s="1" t="s">
        <v>4309</v>
      </c>
      <c r="H813" s="1"/>
      <c r="I813" s="1">
        <v>2</v>
      </c>
      <c r="J813" s="1" t="s">
        <v>4310</v>
      </c>
      <c r="K813" s="1" t="s">
        <v>333</v>
      </c>
      <c r="L813" s="1" t="s">
        <v>679</v>
      </c>
      <c r="M813" s="1" t="s">
        <v>4311</v>
      </c>
      <c r="N813" s="2">
        <v>42156</v>
      </c>
      <c r="O813" s="1"/>
      <c r="P813" s="1"/>
      <c r="Q813" s="1" t="s">
        <v>34</v>
      </c>
      <c r="R813" s="1"/>
      <c r="S813" s="1" t="s">
        <v>35</v>
      </c>
      <c r="T813" s="1">
        <v>44.162419999999997</v>
      </c>
      <c r="U813" s="1">
        <v>-73.219321999999906</v>
      </c>
      <c r="V813" s="1" t="s">
        <v>4312</v>
      </c>
      <c r="W813" s="1"/>
      <c r="X813" s="1" t="s">
        <v>37</v>
      </c>
      <c r="Y813" s="1" t="s">
        <v>652</v>
      </c>
      <c r="Z813" s="1">
        <v>5491</v>
      </c>
    </row>
    <row r="814" spans="1:26" ht="42">
      <c r="A814" s="1" t="str">
        <f>"000QN5"</f>
        <v>000QN5</v>
      </c>
      <c r="B814" s="1" t="s">
        <v>4313</v>
      </c>
      <c r="C814" s="1" t="s">
        <v>4314</v>
      </c>
      <c r="D814" s="1" t="str">
        <f>"8505122694"</f>
        <v>8505122694</v>
      </c>
      <c r="E814" s="1">
        <v>4851</v>
      </c>
      <c r="F814" s="1" t="s">
        <v>28</v>
      </c>
      <c r="G814" s="1" t="s">
        <v>4315</v>
      </c>
      <c r="H814" s="1"/>
      <c r="I814" s="1">
        <v>1</v>
      </c>
      <c r="J814" s="1" t="s">
        <v>4316</v>
      </c>
      <c r="K814" s="1" t="s">
        <v>2925</v>
      </c>
      <c r="L814" s="1" t="s">
        <v>4317</v>
      </c>
      <c r="M814" s="1" t="s">
        <v>4318</v>
      </c>
      <c r="N814" s="2">
        <v>42157</v>
      </c>
      <c r="O814" s="1"/>
      <c r="P814" s="1"/>
      <c r="Q814" s="1" t="s">
        <v>34</v>
      </c>
      <c r="R814" s="1"/>
      <c r="S814" s="1" t="s">
        <v>35</v>
      </c>
      <c r="T814" s="1">
        <v>44.7553962</v>
      </c>
      <c r="U814" s="1">
        <v>-71.633945999999895</v>
      </c>
      <c r="V814" s="1" t="s">
        <v>4319</v>
      </c>
      <c r="W814" s="1"/>
      <c r="X814" s="1" t="s">
        <v>37</v>
      </c>
      <c r="Y814" s="1" t="s">
        <v>4320</v>
      </c>
      <c r="Z814" s="1">
        <v>5905</v>
      </c>
    </row>
    <row r="815" spans="1:26" ht="42">
      <c r="A815" s="1" t="str">
        <f>"000QN9"</f>
        <v>000QN9</v>
      </c>
      <c r="B815" s="1" t="s">
        <v>4321</v>
      </c>
      <c r="C815" s="1" t="s">
        <v>4322</v>
      </c>
      <c r="D815" s="1" t="str">
        <f>"8028969770"</f>
        <v>8028969770</v>
      </c>
      <c r="E815" s="1">
        <v>4853</v>
      </c>
      <c r="F815" s="1" t="s">
        <v>28</v>
      </c>
      <c r="G815" s="1" t="s">
        <v>4323</v>
      </c>
      <c r="H815" s="1"/>
      <c r="I815" s="1">
        <v>7</v>
      </c>
      <c r="J815" s="1" t="s">
        <v>4324</v>
      </c>
      <c r="K815" s="1" t="s">
        <v>144</v>
      </c>
      <c r="L815" s="1" t="s">
        <v>590</v>
      </c>
      <c r="M815" s="1" t="s">
        <v>4325</v>
      </c>
      <c r="N815" s="2">
        <v>42157</v>
      </c>
      <c r="O815" s="1"/>
      <c r="P815" s="2">
        <v>42915</v>
      </c>
      <c r="Q815" s="1" t="s">
        <v>34</v>
      </c>
      <c r="R815" s="1"/>
      <c r="S815" s="1" t="s">
        <v>35</v>
      </c>
      <c r="T815" s="1">
        <v>42.9617316</v>
      </c>
      <c r="U815" s="1">
        <v>-72.886993000000004</v>
      </c>
      <c r="V815" s="1" t="s">
        <v>4326</v>
      </c>
      <c r="W815" s="1" t="s">
        <v>4327</v>
      </c>
      <c r="X815" s="1" t="s">
        <v>37</v>
      </c>
      <c r="Y815" s="1" t="s">
        <v>4328</v>
      </c>
      <c r="Z815" s="1">
        <v>5356</v>
      </c>
    </row>
    <row r="816" spans="1:26" ht="42">
      <c r="A816" s="1" t="str">
        <f>"000QN9"</f>
        <v>000QN9</v>
      </c>
      <c r="B816" s="1" t="s">
        <v>4321</v>
      </c>
      <c r="C816" s="1" t="s">
        <v>4322</v>
      </c>
      <c r="D816" s="1" t="str">
        <f>"8028969770"</f>
        <v>8028969770</v>
      </c>
      <c r="E816" s="1">
        <v>4853</v>
      </c>
      <c r="F816" s="1" t="s">
        <v>28</v>
      </c>
      <c r="G816" s="1" t="s">
        <v>4329</v>
      </c>
      <c r="H816" s="1"/>
      <c r="I816" s="1">
        <v>3</v>
      </c>
      <c r="J816" s="1" t="s">
        <v>4330</v>
      </c>
      <c r="K816" s="1" t="s">
        <v>144</v>
      </c>
      <c r="L816" s="1" t="s">
        <v>3449</v>
      </c>
      <c r="M816" s="1" t="s">
        <v>4331</v>
      </c>
      <c r="N816" s="2">
        <v>43265</v>
      </c>
      <c r="O816" s="1"/>
      <c r="P816" s="1"/>
      <c r="Q816" s="1" t="s">
        <v>34</v>
      </c>
      <c r="R816" s="1"/>
      <c r="S816" s="1" t="s">
        <v>35</v>
      </c>
      <c r="T816" s="1"/>
      <c r="U816" s="1"/>
      <c r="V816" s="1" t="s">
        <v>4332</v>
      </c>
      <c r="W816" s="1"/>
      <c r="X816" s="1" t="s">
        <v>37</v>
      </c>
      <c r="Y816" s="1" t="s">
        <v>606</v>
      </c>
      <c r="Z816" s="1">
        <v>5360</v>
      </c>
    </row>
    <row r="817" spans="1:26" ht="42">
      <c r="A817" s="1" t="str">
        <f>"000QNB"</f>
        <v>000QNB</v>
      </c>
      <c r="B817" s="1" t="s">
        <v>4333</v>
      </c>
      <c r="C817" s="1" t="s">
        <v>4334</v>
      </c>
      <c r="D817" s="1" t="str">
        <f>"8024343389"</f>
        <v>8024343389</v>
      </c>
      <c r="E817" s="1">
        <v>4855</v>
      </c>
      <c r="F817" s="1" t="s">
        <v>28</v>
      </c>
      <c r="G817" s="1" t="s">
        <v>4335</v>
      </c>
      <c r="H817" s="1"/>
      <c r="I817" s="1">
        <v>2</v>
      </c>
      <c r="J817" s="1" t="s">
        <v>4336</v>
      </c>
      <c r="K817" s="1" t="s">
        <v>43</v>
      </c>
      <c r="L817" s="1" t="s">
        <v>51</v>
      </c>
      <c r="M817" s="1" t="s">
        <v>4337</v>
      </c>
      <c r="N817" s="2">
        <v>42157</v>
      </c>
      <c r="O817" s="1"/>
      <c r="P817" s="1"/>
      <c r="Q817" s="1" t="s">
        <v>34</v>
      </c>
      <c r="R817" s="1"/>
      <c r="S817" s="1" t="s">
        <v>35</v>
      </c>
      <c r="T817" s="1">
        <v>44.378920999999998</v>
      </c>
      <c r="U817" s="1">
        <v>-72.944847899999999</v>
      </c>
      <c r="V817" s="1" t="s">
        <v>4338</v>
      </c>
      <c r="W817" s="1"/>
      <c r="X817" s="1" t="s">
        <v>37</v>
      </c>
      <c r="Y817" s="1" t="s">
        <v>54</v>
      </c>
      <c r="Z817" s="1">
        <v>5477</v>
      </c>
    </row>
    <row r="818" spans="1:26" ht="42">
      <c r="A818" s="1" t="str">
        <f>"000QNG"</f>
        <v>000QNG</v>
      </c>
      <c r="B818" s="1" t="s">
        <v>4339</v>
      </c>
      <c r="C818" s="1" t="s">
        <v>4340</v>
      </c>
      <c r="D818" s="1" t="str">
        <f>"8023804958"</f>
        <v>8023804958</v>
      </c>
      <c r="E818" s="1">
        <v>4859</v>
      </c>
      <c r="F818" s="1" t="s">
        <v>28</v>
      </c>
      <c r="G818" s="1" t="s">
        <v>4341</v>
      </c>
      <c r="H818" s="1"/>
      <c r="I818" s="1">
        <v>10</v>
      </c>
      <c r="J818" s="1" t="s">
        <v>4342</v>
      </c>
      <c r="K818" s="1" t="s">
        <v>77</v>
      </c>
      <c r="L818" s="1" t="s">
        <v>2647</v>
      </c>
      <c r="M818" s="1" t="s">
        <v>4343</v>
      </c>
      <c r="N818" s="2">
        <v>42157</v>
      </c>
      <c r="O818" s="1"/>
      <c r="P818" s="1"/>
      <c r="Q818" s="1" t="s">
        <v>34</v>
      </c>
      <c r="R818" s="1"/>
      <c r="S818" s="1" t="s">
        <v>35</v>
      </c>
      <c r="T818" s="1">
        <v>43.214039</v>
      </c>
      <c r="U818" s="1">
        <v>-72.572707999999906</v>
      </c>
      <c r="V818" s="1" t="s">
        <v>4344</v>
      </c>
      <c r="W818" s="1"/>
      <c r="X818" s="1" t="s">
        <v>37</v>
      </c>
      <c r="Y818" s="1" t="s">
        <v>2650</v>
      </c>
      <c r="Z818" s="1">
        <v>5143</v>
      </c>
    </row>
    <row r="819" spans="1:26" ht="42">
      <c r="A819" s="1" t="str">
        <f>"000QNG"</f>
        <v>000QNG</v>
      </c>
      <c r="B819" s="1" t="s">
        <v>4339</v>
      </c>
      <c r="C819" s="1" t="s">
        <v>4340</v>
      </c>
      <c r="D819" s="1" t="str">
        <f>"8023804958"</f>
        <v>8023804958</v>
      </c>
      <c r="E819" s="1">
        <v>4859</v>
      </c>
      <c r="F819" s="1" t="s">
        <v>28</v>
      </c>
      <c r="G819" s="1" t="s">
        <v>4345</v>
      </c>
      <c r="H819" s="1"/>
      <c r="I819" s="1">
        <v>1</v>
      </c>
      <c r="J819" s="1">
        <v>2</v>
      </c>
      <c r="K819" s="1" t="s">
        <v>77</v>
      </c>
      <c r="L819" s="1" t="s">
        <v>2647</v>
      </c>
      <c r="M819" s="1" t="s">
        <v>4346</v>
      </c>
      <c r="N819" s="2">
        <v>42941</v>
      </c>
      <c r="O819" s="1"/>
      <c r="P819" s="1"/>
      <c r="Q819" s="1" t="s">
        <v>34</v>
      </c>
      <c r="R819" s="1"/>
      <c r="S819" s="1" t="s">
        <v>35</v>
      </c>
      <c r="T819" s="1">
        <v>43.267147000000001</v>
      </c>
      <c r="U819" s="1">
        <v>-72.607391000000007</v>
      </c>
      <c r="V819" s="1" t="s">
        <v>4347</v>
      </c>
      <c r="W819" s="1"/>
      <c r="X819" s="1" t="s">
        <v>37</v>
      </c>
      <c r="Y819" s="1" t="s">
        <v>2650</v>
      </c>
      <c r="Z819" s="1">
        <v>5143</v>
      </c>
    </row>
    <row r="820" spans="1:26" ht="42">
      <c r="A820" s="1" t="str">
        <f>"000QNK"</f>
        <v>000QNK</v>
      </c>
      <c r="B820" s="1" t="s">
        <v>4348</v>
      </c>
      <c r="C820" s="1" t="s">
        <v>4349</v>
      </c>
      <c r="D820" s="1" t="str">
        <f>"8026842205"</f>
        <v>8026842205</v>
      </c>
      <c r="E820" s="1">
        <v>4862</v>
      </c>
      <c r="F820" s="1" t="s">
        <v>28</v>
      </c>
      <c r="G820" s="1" t="s">
        <v>4350</v>
      </c>
      <c r="H820" s="1"/>
      <c r="I820" s="1">
        <v>0</v>
      </c>
      <c r="J820" s="1" t="s">
        <v>4351</v>
      </c>
      <c r="K820" s="1" t="s">
        <v>59</v>
      </c>
      <c r="L820" s="1" t="s">
        <v>301</v>
      </c>
      <c r="M820" s="1" t="s">
        <v>4352</v>
      </c>
      <c r="N820" s="2">
        <v>42157</v>
      </c>
      <c r="O820" s="1"/>
      <c r="P820" s="1"/>
      <c r="Q820" s="1" t="s">
        <v>34</v>
      </c>
      <c r="R820" s="1"/>
      <c r="S820" s="1" t="s">
        <v>35</v>
      </c>
      <c r="T820" s="1">
        <v>44.376965400000003</v>
      </c>
      <c r="U820" s="1">
        <v>-72.121355399999899</v>
      </c>
      <c r="V820" s="1" t="s">
        <v>4353</v>
      </c>
      <c r="W820" s="1"/>
      <c r="X820" s="1" t="s">
        <v>37</v>
      </c>
      <c r="Y820" s="1" t="s">
        <v>304</v>
      </c>
      <c r="Z820" s="1">
        <v>5828</v>
      </c>
    </row>
    <row r="821" spans="1:26" ht="42">
      <c r="A821" s="1" t="str">
        <f>"000QNN"</f>
        <v>000QNN</v>
      </c>
      <c r="B821" s="1" t="s">
        <v>4354</v>
      </c>
      <c r="C821" s="1" t="s">
        <v>4355</v>
      </c>
      <c r="D821" s="1" t="str">
        <f>"8023421460"</f>
        <v>8023421460</v>
      </c>
      <c r="E821" s="1">
        <v>4864</v>
      </c>
      <c r="F821" s="1" t="s">
        <v>28</v>
      </c>
      <c r="G821" s="1" t="s">
        <v>4356</v>
      </c>
      <c r="H821" s="1"/>
      <c r="I821" s="1">
        <v>2</v>
      </c>
      <c r="J821" s="1" t="s">
        <v>4357</v>
      </c>
      <c r="K821" s="1" t="s">
        <v>333</v>
      </c>
      <c r="L821" s="1" t="s">
        <v>679</v>
      </c>
      <c r="M821" s="1" t="s">
        <v>4358</v>
      </c>
      <c r="N821" s="2">
        <v>42157</v>
      </c>
      <c r="O821" s="1"/>
      <c r="P821" s="1"/>
      <c r="Q821" s="1" t="s">
        <v>34</v>
      </c>
      <c r="R821" s="1"/>
      <c r="S821" s="1" t="s">
        <v>35</v>
      </c>
      <c r="T821" s="1">
        <v>44.206866099999999</v>
      </c>
      <c r="U821" s="1">
        <v>-73.226760999999996</v>
      </c>
      <c r="V821" s="1" t="s">
        <v>4359</v>
      </c>
      <c r="W821" s="1"/>
      <c r="X821" s="1" t="s">
        <v>37</v>
      </c>
      <c r="Y821" s="1" t="s">
        <v>681</v>
      </c>
      <c r="Z821" s="1">
        <v>5456</v>
      </c>
    </row>
    <row r="822" spans="1:26" ht="42">
      <c r="A822" s="1" t="str">
        <f>"000QNP"</f>
        <v>000QNP</v>
      </c>
      <c r="B822" s="1" t="s">
        <v>4360</v>
      </c>
      <c r="C822" s="1" t="s">
        <v>4361</v>
      </c>
      <c r="D822" s="1" t="str">
        <f>"8025246236"</f>
        <v>8025246236</v>
      </c>
      <c r="E822" s="1">
        <v>4865</v>
      </c>
      <c r="F822" s="1" t="s">
        <v>28</v>
      </c>
      <c r="G822" s="1" t="s">
        <v>4362</v>
      </c>
      <c r="H822" s="1"/>
      <c r="I822" s="1">
        <v>6</v>
      </c>
      <c r="J822" s="1" t="s">
        <v>4363</v>
      </c>
      <c r="K822" s="1" t="s">
        <v>152</v>
      </c>
      <c r="L822" s="1" t="s">
        <v>1514</v>
      </c>
      <c r="M822" s="1" t="s">
        <v>4364</v>
      </c>
      <c r="N822" s="2">
        <v>42157</v>
      </c>
      <c r="O822" s="1"/>
      <c r="P822" s="1"/>
      <c r="Q822" s="1" t="s">
        <v>34</v>
      </c>
      <c r="R822" s="1"/>
      <c r="S822" s="1" t="s">
        <v>35</v>
      </c>
      <c r="T822" s="1">
        <v>44.8946714</v>
      </c>
      <c r="U822" s="1">
        <v>-73.008525199999994</v>
      </c>
      <c r="V822" s="1" t="s">
        <v>4365</v>
      </c>
      <c r="W822" s="1"/>
      <c r="X822" s="1" t="s">
        <v>37</v>
      </c>
      <c r="Y822" s="1" t="s">
        <v>1509</v>
      </c>
      <c r="Z822" s="1">
        <v>5483</v>
      </c>
    </row>
    <row r="823" spans="1:26" ht="42">
      <c r="A823" s="1" t="str">
        <f>"000QNQ"</f>
        <v>000QNQ</v>
      </c>
      <c r="B823" s="1" t="s">
        <v>4366</v>
      </c>
      <c r="C823" s="1" t="s">
        <v>4367</v>
      </c>
      <c r="D823" s="1" t="str">
        <f>"8022291733"</f>
        <v>8022291733</v>
      </c>
      <c r="E823" s="1">
        <v>4866</v>
      </c>
      <c r="F823" s="1" t="s">
        <v>28</v>
      </c>
      <c r="G823" s="1" t="s">
        <v>4368</v>
      </c>
      <c r="H823" s="1"/>
      <c r="I823" s="1">
        <v>1</v>
      </c>
      <c r="J823" s="1" t="s">
        <v>4369</v>
      </c>
      <c r="K823" s="1" t="s">
        <v>31</v>
      </c>
      <c r="L823" s="1" t="s">
        <v>786</v>
      </c>
      <c r="M823" s="1" t="s">
        <v>4370</v>
      </c>
      <c r="N823" s="2">
        <v>42157</v>
      </c>
      <c r="O823" s="1"/>
      <c r="P823" s="1"/>
      <c r="Q823" s="1" t="s">
        <v>34</v>
      </c>
      <c r="R823" s="1"/>
      <c r="S823" s="1" t="s">
        <v>35</v>
      </c>
      <c r="T823" s="1">
        <v>44.197668</v>
      </c>
      <c r="U823" s="1">
        <v>-72.659158999999903</v>
      </c>
      <c r="V823" s="1" t="s">
        <v>4371</v>
      </c>
      <c r="W823" s="1"/>
      <c r="X823" s="1" t="s">
        <v>37</v>
      </c>
      <c r="Y823" s="1" t="s">
        <v>4372</v>
      </c>
      <c r="Z823" s="1">
        <v>5663</v>
      </c>
    </row>
    <row r="824" spans="1:26" ht="42">
      <c r="A824" s="1" t="str">
        <f>"000QNX"</f>
        <v>000QNX</v>
      </c>
      <c r="B824" s="1" t="s">
        <v>4373</v>
      </c>
      <c r="C824" s="1" t="s">
        <v>4374</v>
      </c>
      <c r="D824" s="1" t="str">
        <f>"8023436293"</f>
        <v>8023436293</v>
      </c>
      <c r="E824" s="1">
        <v>4869</v>
      </c>
      <c r="F824" s="1" t="s">
        <v>28</v>
      </c>
      <c r="G824" s="1" t="s">
        <v>4375</v>
      </c>
      <c r="H824" s="1"/>
      <c r="I824" s="1">
        <v>4</v>
      </c>
      <c r="J824" s="1" t="s">
        <v>4376</v>
      </c>
      <c r="K824" s="1" t="s">
        <v>43</v>
      </c>
      <c r="L824" s="1" t="s">
        <v>44</v>
      </c>
      <c r="M824" s="1" t="s">
        <v>4377</v>
      </c>
      <c r="N824" s="2">
        <v>42157</v>
      </c>
      <c r="O824" s="1"/>
      <c r="P824" s="2">
        <v>42543</v>
      </c>
      <c r="Q824" s="1" t="s">
        <v>34</v>
      </c>
      <c r="R824" s="1"/>
      <c r="S824" s="1" t="s">
        <v>35</v>
      </c>
      <c r="T824" s="1">
        <v>44.513492085020303</v>
      </c>
      <c r="U824" s="1">
        <v>-73.255376815795898</v>
      </c>
      <c r="V824" s="1" t="s">
        <v>4378</v>
      </c>
      <c r="W824" s="1"/>
      <c r="X824" s="1" t="s">
        <v>37</v>
      </c>
      <c r="Y824" s="1" t="s">
        <v>46</v>
      </c>
      <c r="Z824" s="1">
        <v>5408</v>
      </c>
    </row>
    <row r="825" spans="1:26" ht="42">
      <c r="A825" s="1" t="str">
        <f>"000QNY"</f>
        <v>000QNY</v>
      </c>
      <c r="B825" s="1" t="s">
        <v>4379</v>
      </c>
      <c r="C825" s="1" t="s">
        <v>4380</v>
      </c>
      <c r="D825" s="1" t="str">
        <f>"8026492498"</f>
        <v>8026492498</v>
      </c>
      <c r="E825" s="1">
        <v>4870</v>
      </c>
      <c r="F825" s="1" t="s">
        <v>28</v>
      </c>
      <c r="G825" s="1" t="s">
        <v>4381</v>
      </c>
      <c r="H825" s="1"/>
      <c r="I825" s="1">
        <v>1</v>
      </c>
      <c r="J825" s="1" t="s">
        <v>4382</v>
      </c>
      <c r="K825" s="1" t="s">
        <v>77</v>
      </c>
      <c r="L825" s="1" t="s">
        <v>638</v>
      </c>
      <c r="M825" s="1" t="s">
        <v>4383</v>
      </c>
      <c r="N825" s="2">
        <v>42157</v>
      </c>
      <c r="O825" s="1"/>
      <c r="P825" s="2">
        <v>43267</v>
      </c>
      <c r="Q825" s="1" t="s">
        <v>34</v>
      </c>
      <c r="R825" s="1"/>
      <c r="S825" s="1" t="s">
        <v>35</v>
      </c>
      <c r="T825" s="1">
        <v>43.760486999999998</v>
      </c>
      <c r="U825" s="1">
        <v>-72.3829498999999</v>
      </c>
      <c r="V825" s="1" t="s">
        <v>4384</v>
      </c>
      <c r="W825" s="1"/>
      <c r="X825" s="1" t="s">
        <v>37</v>
      </c>
      <c r="Y825" s="1" t="s">
        <v>640</v>
      </c>
      <c r="Z825" s="1">
        <v>5055</v>
      </c>
    </row>
    <row r="826" spans="1:26" ht="42">
      <c r="A826" s="1" t="str">
        <f>"000QP4"</f>
        <v>000QP4</v>
      </c>
      <c r="B826" s="1" t="s">
        <v>4385</v>
      </c>
      <c r="C826" s="1" t="s">
        <v>4386</v>
      </c>
      <c r="D826" s="1" t="str">
        <f>"8024964660"</f>
        <v>8024964660</v>
      </c>
      <c r="E826" s="1">
        <v>4873</v>
      </c>
      <c r="F826" s="1" t="s">
        <v>28</v>
      </c>
      <c r="G826" s="1" t="s">
        <v>4387</v>
      </c>
      <c r="H826" s="1"/>
      <c r="I826" s="1">
        <v>3</v>
      </c>
      <c r="J826" s="1" t="s">
        <v>4388</v>
      </c>
      <c r="K826" s="1" t="s">
        <v>31</v>
      </c>
      <c r="L826" s="1" t="s">
        <v>94</v>
      </c>
      <c r="M826" s="1" t="s">
        <v>4389</v>
      </c>
      <c r="N826" s="2">
        <v>42157</v>
      </c>
      <c r="O826" s="1"/>
      <c r="P826" s="1"/>
      <c r="Q826" s="1" t="s">
        <v>34</v>
      </c>
      <c r="R826" s="1"/>
      <c r="S826" s="1" t="s">
        <v>35</v>
      </c>
      <c r="T826" s="1">
        <v>44.174866000000002</v>
      </c>
      <c r="U826" s="1">
        <v>-72.783990000000003</v>
      </c>
      <c r="V826" s="1" t="s">
        <v>4390</v>
      </c>
      <c r="W826" s="1"/>
      <c r="X826" s="1" t="s">
        <v>37</v>
      </c>
      <c r="Y826" s="1" t="s">
        <v>96</v>
      </c>
      <c r="Z826" s="1">
        <v>5673</v>
      </c>
    </row>
    <row r="827" spans="1:26" ht="42">
      <c r="A827" s="1" t="str">
        <f>"000QPH"</f>
        <v>000QPH</v>
      </c>
      <c r="B827" s="1" t="s">
        <v>4391</v>
      </c>
      <c r="C827" s="1" t="s">
        <v>4392</v>
      </c>
      <c r="D827" s="1" t="str">
        <f>"8028884494"</f>
        <v>8028884494</v>
      </c>
      <c r="E827" s="1">
        <v>4874</v>
      </c>
      <c r="F827" s="1" t="s">
        <v>28</v>
      </c>
      <c r="G827" s="1" t="s">
        <v>4393</v>
      </c>
      <c r="H827" s="1"/>
      <c r="I827" s="1">
        <v>2</v>
      </c>
      <c r="J827" s="1">
        <v>1</v>
      </c>
      <c r="K827" s="1" t="s">
        <v>170</v>
      </c>
      <c r="L827" s="1" t="s">
        <v>1318</v>
      </c>
      <c r="M827" s="1" t="s">
        <v>4394</v>
      </c>
      <c r="N827" s="2">
        <v>42160</v>
      </c>
      <c r="O827" s="1"/>
      <c r="P827" s="1"/>
      <c r="Q827" s="1" t="s">
        <v>34</v>
      </c>
      <c r="R827" s="1"/>
      <c r="S827" s="1" t="s">
        <v>35</v>
      </c>
      <c r="T827" s="1">
        <v>44.5502453</v>
      </c>
      <c r="U827" s="1">
        <v>-72.520502500000006</v>
      </c>
      <c r="V827" s="1" t="s">
        <v>4395</v>
      </c>
      <c r="W827" s="1"/>
      <c r="X827" s="1" t="s">
        <v>37</v>
      </c>
      <c r="Y827" s="1" t="s">
        <v>1321</v>
      </c>
      <c r="Z827" s="1">
        <v>5680</v>
      </c>
    </row>
    <row r="828" spans="1:26" ht="42">
      <c r="A828" s="1" t="str">
        <f>"000QQD"</f>
        <v>000QQD</v>
      </c>
      <c r="B828" s="1" t="s">
        <v>4396</v>
      </c>
      <c r="C828" s="1" t="s">
        <v>4397</v>
      </c>
      <c r="D828" s="1" t="str">
        <f>"8025785389"</f>
        <v>8025785389</v>
      </c>
      <c r="E828" s="1">
        <v>4879</v>
      </c>
      <c r="F828" s="1" t="s">
        <v>28</v>
      </c>
      <c r="G828" s="1" t="s">
        <v>4398</v>
      </c>
      <c r="H828" s="1"/>
      <c r="I828" s="1">
        <v>2</v>
      </c>
      <c r="J828" s="1">
        <v>1</v>
      </c>
      <c r="K828" s="1" t="s">
        <v>43</v>
      </c>
      <c r="L828" s="1" t="s">
        <v>2127</v>
      </c>
      <c r="M828" s="1" t="s">
        <v>4399</v>
      </c>
      <c r="N828" s="2">
        <v>42165</v>
      </c>
      <c r="O828" s="1"/>
      <c r="P828" s="1"/>
      <c r="Q828" s="1" t="s">
        <v>34</v>
      </c>
      <c r="R828" s="1"/>
      <c r="S828" s="1" t="s">
        <v>35</v>
      </c>
      <c r="T828" s="1">
        <v>44.384901199999902</v>
      </c>
      <c r="U828" s="1">
        <v>-73.110349799999995</v>
      </c>
      <c r="V828" s="1" t="s">
        <v>4400</v>
      </c>
      <c r="W828" s="1"/>
      <c r="X828" s="1" t="s">
        <v>37</v>
      </c>
      <c r="Y828" s="1" t="s">
        <v>2130</v>
      </c>
      <c r="Z828" s="1">
        <v>5495</v>
      </c>
    </row>
    <row r="829" spans="1:26" ht="42">
      <c r="A829" s="1" t="str">
        <f>"000QQG"</f>
        <v>000QQG</v>
      </c>
      <c r="B829" s="1" t="s">
        <v>4401</v>
      </c>
      <c r="C829" s="1" t="s">
        <v>4402</v>
      </c>
      <c r="D829" s="1" t="str">
        <f>"8028720691"</f>
        <v>8028720691</v>
      </c>
      <c r="E829" s="1">
        <v>4881</v>
      </c>
      <c r="F829" s="1" t="s">
        <v>28</v>
      </c>
      <c r="G829" s="1" t="s">
        <v>4403</v>
      </c>
      <c r="H829" s="1"/>
      <c r="I829" s="1">
        <v>2</v>
      </c>
      <c r="J829" s="1" t="s">
        <v>4404</v>
      </c>
      <c r="K829" s="1" t="s">
        <v>43</v>
      </c>
      <c r="L829" s="1" t="s">
        <v>1077</v>
      </c>
      <c r="M829" s="1" t="s">
        <v>4405</v>
      </c>
      <c r="N829" s="2">
        <v>42166</v>
      </c>
      <c r="O829" s="1"/>
      <c r="P829" s="1"/>
      <c r="Q829" s="1" t="s">
        <v>34</v>
      </c>
      <c r="R829" s="1"/>
      <c r="S829" s="1" t="s">
        <v>35</v>
      </c>
      <c r="T829" s="1">
        <v>44.470721999999903</v>
      </c>
      <c r="U829" s="1">
        <v>-73.117812999999998</v>
      </c>
      <c r="V829" s="1" t="s">
        <v>4406</v>
      </c>
      <c r="W829" s="1"/>
      <c r="X829" s="1" t="s">
        <v>37</v>
      </c>
      <c r="Y829" s="1" t="s">
        <v>1080</v>
      </c>
      <c r="Z829" s="1">
        <v>5495</v>
      </c>
    </row>
    <row r="830" spans="1:26" ht="28">
      <c r="A830" s="1" t="str">
        <f>"000QQM"</f>
        <v>000QQM</v>
      </c>
      <c r="B830" s="1" t="s">
        <v>4407</v>
      </c>
      <c r="C830" s="1" t="s">
        <v>4408</v>
      </c>
      <c r="D830" s="1"/>
      <c r="E830" s="1">
        <v>4882</v>
      </c>
      <c r="F830" s="1" t="s">
        <v>28</v>
      </c>
      <c r="G830" s="1" t="s">
        <v>4409</v>
      </c>
      <c r="H830" s="1"/>
      <c r="I830" s="1">
        <v>2</v>
      </c>
      <c r="J830" s="1" t="s">
        <v>4410</v>
      </c>
      <c r="K830" s="1" t="s">
        <v>43</v>
      </c>
      <c r="L830" s="1" t="s">
        <v>2127</v>
      </c>
      <c r="M830" s="1" t="s">
        <v>4411</v>
      </c>
      <c r="N830" s="2">
        <v>42166</v>
      </c>
      <c r="O830" s="1"/>
      <c r="P830" s="1"/>
      <c r="Q830" s="1" t="s">
        <v>34</v>
      </c>
      <c r="R830" s="1"/>
      <c r="S830" s="1" t="s">
        <v>35</v>
      </c>
      <c r="T830" s="1">
        <v>44.369644000000001</v>
      </c>
      <c r="U830" s="1">
        <v>-73.101417999999896</v>
      </c>
      <c r="V830" s="1" t="s">
        <v>4412</v>
      </c>
      <c r="W830" s="1"/>
      <c r="X830" s="1" t="s">
        <v>37</v>
      </c>
      <c r="Y830" s="1" t="s">
        <v>4413</v>
      </c>
      <c r="Z830" s="1">
        <v>5495</v>
      </c>
    </row>
    <row r="831" spans="1:26" ht="42">
      <c r="A831" s="1" t="str">
        <f>"000QQV"</f>
        <v>000QQV</v>
      </c>
      <c r="B831" s="1" t="s">
        <v>4414</v>
      </c>
      <c r="C831" s="1" t="s">
        <v>4415</v>
      </c>
      <c r="D831" s="1" t="str">
        <f>"8024673929"</f>
        <v>8024673929</v>
      </c>
      <c r="E831" s="1">
        <v>4883</v>
      </c>
      <c r="F831" s="1" t="s">
        <v>28</v>
      </c>
      <c r="G831" s="1" t="s">
        <v>4416</v>
      </c>
      <c r="H831" s="1"/>
      <c r="I831" s="1">
        <v>0</v>
      </c>
      <c r="J831" s="1">
        <v>1</v>
      </c>
      <c r="K831" s="1" t="s">
        <v>59</v>
      </c>
      <c r="L831" s="1" t="s">
        <v>4417</v>
      </c>
      <c r="M831" s="1" t="s">
        <v>4418</v>
      </c>
      <c r="N831" s="2">
        <v>42167</v>
      </c>
      <c r="O831" s="1"/>
      <c r="P831" s="1"/>
      <c r="Q831" s="1" t="s">
        <v>34</v>
      </c>
      <c r="R831" s="1"/>
      <c r="S831" s="1" t="s">
        <v>35</v>
      </c>
      <c r="T831" s="1">
        <v>44.675870799999998</v>
      </c>
      <c r="U831" s="1">
        <v>-71.995412499999901</v>
      </c>
      <c r="V831" s="1" t="s">
        <v>4419</v>
      </c>
      <c r="W831" s="1"/>
      <c r="X831" s="1" t="s">
        <v>37</v>
      </c>
      <c r="Y831" s="1" t="s">
        <v>4420</v>
      </c>
      <c r="Z831" s="1">
        <v>5871</v>
      </c>
    </row>
    <row r="832" spans="1:26" ht="42">
      <c r="A832" s="1" t="str">
        <f>"000QVV"</f>
        <v>000QVV</v>
      </c>
      <c r="B832" s="1" t="s">
        <v>4421</v>
      </c>
      <c r="C832" s="1" t="s">
        <v>4422</v>
      </c>
      <c r="D832" s="1" t="str">
        <f>"8023432223"</f>
        <v>8023432223</v>
      </c>
      <c r="E832" s="1">
        <v>4886</v>
      </c>
      <c r="F832" s="1" t="s">
        <v>28</v>
      </c>
      <c r="G832" s="1" t="s">
        <v>4423</v>
      </c>
      <c r="H832" s="1"/>
      <c r="I832" s="1">
        <v>9</v>
      </c>
      <c r="J832" s="1" t="s">
        <v>876</v>
      </c>
      <c r="K832" s="1" t="s">
        <v>333</v>
      </c>
      <c r="L832" s="1" t="s">
        <v>807</v>
      </c>
      <c r="M832" s="1" t="s">
        <v>4424</v>
      </c>
      <c r="N832" s="2">
        <v>42174</v>
      </c>
      <c r="O832" s="1"/>
      <c r="P832" s="1"/>
      <c r="Q832" s="1" t="s">
        <v>34</v>
      </c>
      <c r="R832" s="1"/>
      <c r="S832" s="1" t="s">
        <v>35</v>
      </c>
      <c r="T832" s="1">
        <v>44.205070999999997</v>
      </c>
      <c r="U832" s="1">
        <v>-73.105039499999904</v>
      </c>
      <c r="V832" s="1" t="s">
        <v>4425</v>
      </c>
      <c r="W832" s="1"/>
      <c r="X832" s="1" t="s">
        <v>37</v>
      </c>
      <c r="Y832" s="1" t="s">
        <v>879</v>
      </c>
      <c r="Z832" s="1">
        <v>5443</v>
      </c>
    </row>
    <row r="833" spans="1:26" ht="42">
      <c r="A833" s="1" t="str">
        <f>"000QW2"</f>
        <v>000QW2</v>
      </c>
      <c r="B833" s="1" t="s">
        <v>4426</v>
      </c>
      <c r="C833" s="1" t="s">
        <v>4427</v>
      </c>
      <c r="D833" s="1" t="str">
        <f>"8025785793"</f>
        <v>8025785793</v>
      </c>
      <c r="E833" s="1">
        <v>4888</v>
      </c>
      <c r="F833" s="1" t="s">
        <v>28</v>
      </c>
      <c r="G833" s="1" t="s">
        <v>4428</v>
      </c>
      <c r="H833" s="1"/>
      <c r="I833" s="1">
        <v>1</v>
      </c>
      <c r="J833" s="1" t="s">
        <v>4429</v>
      </c>
      <c r="K833" s="1" t="s">
        <v>43</v>
      </c>
      <c r="L833" s="1" t="s">
        <v>44</v>
      </c>
      <c r="M833" s="1" t="s">
        <v>4430</v>
      </c>
      <c r="N833" s="2">
        <v>42177</v>
      </c>
      <c r="O833" s="1"/>
      <c r="P833" s="2">
        <v>42556</v>
      </c>
      <c r="Q833" s="1" t="s">
        <v>34</v>
      </c>
      <c r="R833" s="1"/>
      <c r="S833" s="1" t="s">
        <v>35</v>
      </c>
      <c r="T833" s="1">
        <v>44.487198499999998</v>
      </c>
      <c r="U833" s="1">
        <v>-73.223748499999999</v>
      </c>
      <c r="V833" s="1" t="s">
        <v>4431</v>
      </c>
      <c r="W833" s="1"/>
      <c r="X833" s="1" t="s">
        <v>37</v>
      </c>
      <c r="Y833" s="1" t="s">
        <v>46</v>
      </c>
      <c r="Z833" s="1">
        <v>5401</v>
      </c>
    </row>
    <row r="834" spans="1:26" ht="28">
      <c r="A834" s="1" t="str">
        <f>"000QWK"</f>
        <v>000QWK</v>
      </c>
      <c r="B834" s="1" t="s">
        <v>4432</v>
      </c>
      <c r="C834" s="1" t="s">
        <v>4433</v>
      </c>
      <c r="D834" s="1"/>
      <c r="E834" s="1">
        <v>4890</v>
      </c>
      <c r="F834" s="1" t="s">
        <v>28</v>
      </c>
      <c r="G834" s="1" t="s">
        <v>4434</v>
      </c>
      <c r="H834" s="1"/>
      <c r="I834" s="1">
        <v>2</v>
      </c>
      <c r="J834" s="1" t="s">
        <v>171</v>
      </c>
      <c r="K834" s="1" t="s">
        <v>170</v>
      </c>
      <c r="L834" s="1" t="s">
        <v>171</v>
      </c>
      <c r="M834" s="1" t="s">
        <v>4435</v>
      </c>
      <c r="N834" s="2">
        <v>42181</v>
      </c>
      <c r="O834" s="1"/>
      <c r="P834" s="1"/>
      <c r="Q834" s="1" t="s">
        <v>34</v>
      </c>
      <c r="R834" s="1"/>
      <c r="S834" s="1" t="s">
        <v>35</v>
      </c>
      <c r="T834" s="1">
        <v>44.635952000000003</v>
      </c>
      <c r="U834" s="1">
        <v>-72.6805398999999</v>
      </c>
      <c r="V834" s="1" t="s">
        <v>4436</v>
      </c>
      <c r="W834" s="1"/>
      <c r="X834" s="1" t="s">
        <v>37</v>
      </c>
      <c r="Y834" s="1" t="s">
        <v>173</v>
      </c>
      <c r="Z834" s="1">
        <v>5656</v>
      </c>
    </row>
    <row r="835" spans="1:26" ht="42">
      <c r="A835" s="1" t="str">
        <f>"000QX3"</f>
        <v>000QX3</v>
      </c>
      <c r="B835" s="1" t="s">
        <v>4437</v>
      </c>
      <c r="C835" s="1" t="s">
        <v>4438</v>
      </c>
      <c r="D835" s="1" t="str">
        <f>"8023246036"</f>
        <v>8023246036</v>
      </c>
      <c r="E835" s="1">
        <v>4891</v>
      </c>
      <c r="F835" s="1" t="s">
        <v>28</v>
      </c>
      <c r="G835" s="1" t="s">
        <v>4439</v>
      </c>
      <c r="H835" s="1"/>
      <c r="I835" s="1">
        <v>3</v>
      </c>
      <c r="J835" s="1" t="s">
        <v>4440</v>
      </c>
      <c r="K835" s="1" t="s">
        <v>43</v>
      </c>
      <c r="L835" s="1" t="s">
        <v>728</v>
      </c>
      <c r="M835" s="1" t="s">
        <v>4441</v>
      </c>
      <c r="N835" s="2">
        <v>42187</v>
      </c>
      <c r="O835" s="1"/>
      <c r="P835" s="1"/>
      <c r="Q835" s="1" t="s">
        <v>34</v>
      </c>
      <c r="R835" s="1"/>
      <c r="S835" s="1" t="s">
        <v>35</v>
      </c>
      <c r="T835" s="1">
        <v>44.321742999999998</v>
      </c>
      <c r="U835" s="1">
        <v>-73.222031000000001</v>
      </c>
      <c r="V835" s="1" t="s">
        <v>4442</v>
      </c>
      <c r="W835" s="1"/>
      <c r="X835" s="1" t="s">
        <v>37</v>
      </c>
      <c r="Y835" s="1" t="s">
        <v>736</v>
      </c>
      <c r="Z835" s="1">
        <v>5445</v>
      </c>
    </row>
    <row r="836" spans="1:26" ht="42">
      <c r="A836" s="1" t="str">
        <f>"000QXG"</f>
        <v>000QXG</v>
      </c>
      <c r="B836" s="1" t="s">
        <v>4443</v>
      </c>
      <c r="C836" s="1" t="s">
        <v>4444</v>
      </c>
      <c r="D836" s="1" t="str">
        <f>"8022334297"</f>
        <v>8022334297</v>
      </c>
      <c r="E836" s="1">
        <v>4897</v>
      </c>
      <c r="F836" s="1" t="s">
        <v>28</v>
      </c>
      <c r="G836" s="1" t="s">
        <v>4445</v>
      </c>
      <c r="H836" s="1"/>
      <c r="I836" s="1">
        <v>6</v>
      </c>
      <c r="J836" s="1" t="s">
        <v>2493</v>
      </c>
      <c r="K836" s="1" t="s">
        <v>43</v>
      </c>
      <c r="L836" s="1" t="s">
        <v>348</v>
      </c>
      <c r="M836" s="1" t="s">
        <v>4446</v>
      </c>
      <c r="N836" s="2">
        <v>42192</v>
      </c>
      <c r="O836" s="1"/>
      <c r="P836" s="1"/>
      <c r="Q836" s="1" t="s">
        <v>34</v>
      </c>
      <c r="R836" s="1"/>
      <c r="S836" s="1" t="s">
        <v>35</v>
      </c>
      <c r="T836" s="1">
        <v>44.352913999999998</v>
      </c>
      <c r="U836" s="1">
        <v>-73.130186999999907</v>
      </c>
      <c r="V836" s="1" t="s">
        <v>4447</v>
      </c>
      <c r="W836" s="1"/>
      <c r="X836" s="1" t="s">
        <v>37</v>
      </c>
      <c r="Y836" s="1" t="s">
        <v>351</v>
      </c>
      <c r="Z836" s="1">
        <v>5461</v>
      </c>
    </row>
    <row r="837" spans="1:26" ht="42">
      <c r="A837" s="1" t="str">
        <f>"000QXH"</f>
        <v>000QXH</v>
      </c>
      <c r="B837" s="1" t="s">
        <v>4448</v>
      </c>
      <c r="C837" s="1" t="s">
        <v>4449</v>
      </c>
      <c r="D837" s="1" t="str">
        <f>"8024344334"</f>
        <v>8024344334</v>
      </c>
      <c r="E837" s="1">
        <v>4898</v>
      </c>
      <c r="F837" s="1" t="s">
        <v>28</v>
      </c>
      <c r="G837" s="1" t="s">
        <v>4450</v>
      </c>
      <c r="H837" s="1"/>
      <c r="I837" s="1">
        <v>2</v>
      </c>
      <c r="J837" s="1">
        <v>1</v>
      </c>
      <c r="K837" s="1" t="s">
        <v>43</v>
      </c>
      <c r="L837" s="1" t="s">
        <v>51</v>
      </c>
      <c r="M837" s="1" t="s">
        <v>4451</v>
      </c>
      <c r="N837" s="2">
        <v>42192</v>
      </c>
      <c r="O837" s="1"/>
      <c r="P837" s="1"/>
      <c r="Q837" s="1" t="s">
        <v>34</v>
      </c>
      <c r="R837" s="1"/>
      <c r="S837" s="1" t="s">
        <v>35</v>
      </c>
      <c r="T837" s="1">
        <v>44.371074999999998</v>
      </c>
      <c r="U837" s="1">
        <v>-72.955771999999996</v>
      </c>
      <c r="V837" s="1" t="s">
        <v>4452</v>
      </c>
      <c r="W837" s="1"/>
      <c r="X837" s="1" t="s">
        <v>37</v>
      </c>
      <c r="Y837" s="1" t="s">
        <v>54</v>
      </c>
      <c r="Z837" s="1">
        <v>5477</v>
      </c>
    </row>
    <row r="838" spans="1:26" ht="42">
      <c r="A838" s="1" t="str">
        <f>"000QXK"</f>
        <v>000QXK</v>
      </c>
      <c r="B838" s="1" t="s">
        <v>4453</v>
      </c>
      <c r="C838" s="1" t="s">
        <v>4454</v>
      </c>
      <c r="D838" s="1" t="str">
        <f>"8023777151"</f>
        <v>8023777151</v>
      </c>
      <c r="E838" s="1">
        <v>4899</v>
      </c>
      <c r="F838" s="1" t="s">
        <v>28</v>
      </c>
      <c r="G838" s="1" t="s">
        <v>4455</v>
      </c>
      <c r="H838" s="1"/>
      <c r="I838" s="1">
        <v>3</v>
      </c>
      <c r="J838" s="1">
        <v>1</v>
      </c>
      <c r="K838" s="1" t="s">
        <v>333</v>
      </c>
      <c r="L838" s="1" t="s">
        <v>691</v>
      </c>
      <c r="M838" s="1" t="s">
        <v>4456</v>
      </c>
      <c r="N838" s="2">
        <v>42192</v>
      </c>
      <c r="O838" s="1"/>
      <c r="P838" s="1"/>
      <c r="Q838" s="1" t="s">
        <v>34</v>
      </c>
      <c r="R838" s="1"/>
      <c r="S838" s="1" t="s">
        <v>35</v>
      </c>
      <c r="T838" s="1">
        <v>43.790745000000001</v>
      </c>
      <c r="U838" s="1">
        <v>-73.329482999999897</v>
      </c>
      <c r="V838" s="1" t="s">
        <v>4457</v>
      </c>
      <c r="W838" s="1"/>
      <c r="X838" s="1" t="s">
        <v>37</v>
      </c>
      <c r="Y838" s="1" t="s">
        <v>693</v>
      </c>
      <c r="Z838" s="1">
        <v>5760</v>
      </c>
    </row>
    <row r="839" spans="1:26" ht="42">
      <c r="A839" s="1" t="str">
        <f>"000QXQ"</f>
        <v>000QXQ</v>
      </c>
      <c r="B839" s="1" t="s">
        <v>4458</v>
      </c>
      <c r="C839" s="1" t="s">
        <v>4459</v>
      </c>
      <c r="D839" s="1" t="str">
        <f>"9148305361"</f>
        <v>9148305361</v>
      </c>
      <c r="E839" s="1">
        <v>4900</v>
      </c>
      <c r="F839" s="1" t="s">
        <v>28</v>
      </c>
      <c r="G839" s="1" t="s">
        <v>4460</v>
      </c>
      <c r="H839" s="1"/>
      <c r="I839" s="1">
        <v>1</v>
      </c>
      <c r="J839" s="1" t="s">
        <v>4461</v>
      </c>
      <c r="K839" s="1" t="s">
        <v>43</v>
      </c>
      <c r="L839" s="1" t="s">
        <v>728</v>
      </c>
      <c r="M839" s="1" t="s">
        <v>4462</v>
      </c>
      <c r="N839" s="2">
        <v>42195</v>
      </c>
      <c r="O839" s="1"/>
      <c r="P839" s="1"/>
      <c r="Q839" s="1" t="s">
        <v>34</v>
      </c>
      <c r="R839" s="1"/>
      <c r="S839" s="1" t="s">
        <v>35</v>
      </c>
      <c r="T839" s="1">
        <v>44.324159999999999</v>
      </c>
      <c r="U839" s="1">
        <v>-73.236885999999998</v>
      </c>
      <c r="V839" s="1" t="s">
        <v>4463</v>
      </c>
      <c r="W839" s="1"/>
      <c r="X839" s="1" t="s">
        <v>37</v>
      </c>
      <c r="Y839" s="1" t="s">
        <v>736</v>
      </c>
      <c r="Z839" s="1">
        <v>5445</v>
      </c>
    </row>
    <row r="840" spans="1:26" ht="42">
      <c r="A840" s="1" t="str">
        <f>"000QXV"</f>
        <v>000QXV</v>
      </c>
      <c r="B840" s="1" t="s">
        <v>4464</v>
      </c>
      <c r="C840" s="1" t="s">
        <v>4465</v>
      </c>
      <c r="D840" s="1" t="str">
        <f>"8022237687"</f>
        <v>8022237687</v>
      </c>
      <c r="E840" s="1">
        <v>4901</v>
      </c>
      <c r="F840" s="1" t="s">
        <v>28</v>
      </c>
      <c r="G840" s="1" t="s">
        <v>4466</v>
      </c>
      <c r="H840" s="1"/>
      <c r="I840" s="1">
        <v>1</v>
      </c>
      <c r="J840" s="1" t="s">
        <v>4464</v>
      </c>
      <c r="K840" s="1" t="s">
        <v>31</v>
      </c>
      <c r="L840" s="1" t="s">
        <v>672</v>
      </c>
      <c r="M840" s="1" t="s">
        <v>4467</v>
      </c>
      <c r="N840" s="2">
        <v>42195</v>
      </c>
      <c r="O840" s="1"/>
      <c r="P840" s="1"/>
      <c r="Q840" s="1" t="s">
        <v>105</v>
      </c>
      <c r="R840" s="1"/>
      <c r="S840" s="1" t="s">
        <v>35</v>
      </c>
      <c r="T840" s="1">
        <v>44.2798376</v>
      </c>
      <c r="U840" s="1">
        <v>-72.7245937</v>
      </c>
      <c r="V840" s="1" t="s">
        <v>4468</v>
      </c>
      <c r="W840" s="1"/>
      <c r="X840" s="1" t="s">
        <v>37</v>
      </c>
      <c r="Y840" s="1" t="s">
        <v>675</v>
      </c>
      <c r="Z840" s="1">
        <v>5660</v>
      </c>
    </row>
    <row r="841" spans="1:26" ht="28">
      <c r="A841" s="1" t="str">
        <f>"000QYJ"</f>
        <v>000QYJ</v>
      </c>
      <c r="B841" s="1" t="s">
        <v>4469</v>
      </c>
      <c r="C841" s="1" t="s">
        <v>4470</v>
      </c>
      <c r="D841" s="1"/>
      <c r="E841" s="1">
        <v>4902</v>
      </c>
      <c r="F841" s="1" t="s">
        <v>28</v>
      </c>
      <c r="G841" s="1" t="s">
        <v>4471</v>
      </c>
      <c r="H841" s="1"/>
      <c r="I841" s="1">
        <v>2</v>
      </c>
      <c r="J841" s="1" t="s">
        <v>4472</v>
      </c>
      <c r="K841" s="1" t="s">
        <v>333</v>
      </c>
      <c r="L841" s="1" t="s">
        <v>691</v>
      </c>
      <c r="M841" s="1" t="s">
        <v>4473</v>
      </c>
      <c r="N841" s="2">
        <v>42198</v>
      </c>
      <c r="O841" s="1"/>
      <c r="P841" s="2">
        <v>42223</v>
      </c>
      <c r="Q841" s="1" t="s">
        <v>34</v>
      </c>
      <c r="R841" s="1"/>
      <c r="S841" s="1" t="s">
        <v>35</v>
      </c>
      <c r="T841" s="1">
        <v>43.848018501156098</v>
      </c>
      <c r="U841" s="1">
        <v>-73.252995014190603</v>
      </c>
      <c r="V841" s="1" t="s">
        <v>4474</v>
      </c>
      <c r="W841" s="1"/>
      <c r="X841" s="1" t="s">
        <v>37</v>
      </c>
      <c r="Y841" s="1" t="s">
        <v>693</v>
      </c>
      <c r="Z841" s="1">
        <v>5760</v>
      </c>
    </row>
    <row r="842" spans="1:26" ht="28">
      <c r="A842" s="1" t="str">
        <f>"000QYK"</f>
        <v>000QYK</v>
      </c>
      <c r="B842" s="1" t="s">
        <v>4475</v>
      </c>
      <c r="C842" s="1" t="s">
        <v>4476</v>
      </c>
      <c r="D842" s="1"/>
      <c r="E842" s="1">
        <v>4903</v>
      </c>
      <c r="F842" s="1" t="s">
        <v>28</v>
      </c>
      <c r="G842" s="1" t="s">
        <v>4477</v>
      </c>
      <c r="H842" s="1"/>
      <c r="I842" s="1">
        <v>3</v>
      </c>
      <c r="J842" s="1" t="s">
        <v>4475</v>
      </c>
      <c r="K842" s="1" t="s">
        <v>333</v>
      </c>
      <c r="L842" s="1" t="s">
        <v>679</v>
      </c>
      <c r="M842" s="1" t="s">
        <v>4478</v>
      </c>
      <c r="N842" s="2">
        <v>42199</v>
      </c>
      <c r="O842" s="1"/>
      <c r="P842" s="1"/>
      <c r="Q842" s="1" t="s">
        <v>34</v>
      </c>
      <c r="R842" s="1"/>
      <c r="S842" s="1" t="s">
        <v>35</v>
      </c>
      <c r="T842" s="1">
        <v>44.195855199999997</v>
      </c>
      <c r="U842" s="1">
        <v>-73.361041599999993</v>
      </c>
      <c r="V842" s="1" t="s">
        <v>4479</v>
      </c>
      <c r="W842" s="1"/>
      <c r="X842" s="1" t="s">
        <v>37</v>
      </c>
      <c r="Y842" s="1" t="s">
        <v>652</v>
      </c>
      <c r="Z842" s="1">
        <v>5491</v>
      </c>
    </row>
    <row r="843" spans="1:26" ht="42">
      <c r="A843" s="1" t="str">
        <f>"000QYX"</f>
        <v>000QYX</v>
      </c>
      <c r="B843" s="1" t="s">
        <v>4480</v>
      </c>
      <c r="C843" s="1" t="s">
        <v>4481</v>
      </c>
      <c r="D843" s="1" t="str">
        <f>"8023188191"</f>
        <v>8023188191</v>
      </c>
      <c r="E843" s="1">
        <v>4904</v>
      </c>
      <c r="F843" s="1" t="s">
        <v>28</v>
      </c>
      <c r="G843" s="1" t="s">
        <v>4482</v>
      </c>
      <c r="H843" s="1"/>
      <c r="I843" s="1">
        <v>4</v>
      </c>
      <c r="J843" s="1" t="s">
        <v>4483</v>
      </c>
      <c r="K843" s="1" t="s">
        <v>43</v>
      </c>
      <c r="L843" s="1" t="s">
        <v>44</v>
      </c>
      <c r="M843" s="1" t="s">
        <v>4484</v>
      </c>
      <c r="N843" s="2">
        <v>42201</v>
      </c>
      <c r="O843" s="1"/>
      <c r="P843" s="2">
        <v>42548</v>
      </c>
      <c r="Q843" s="1" t="s">
        <v>34</v>
      </c>
      <c r="R843" s="1"/>
      <c r="S843" s="1" t="s">
        <v>35</v>
      </c>
      <c r="T843" s="1">
        <v>44.472729999999999</v>
      </c>
      <c r="U843" s="1">
        <v>-73.215090000000004</v>
      </c>
      <c r="V843" s="1" t="s">
        <v>4485</v>
      </c>
      <c r="W843" s="1"/>
      <c r="X843" s="1" t="s">
        <v>37</v>
      </c>
      <c r="Y843" s="1" t="s">
        <v>46</v>
      </c>
      <c r="Z843" s="1">
        <v>5401</v>
      </c>
    </row>
    <row r="844" spans="1:26" ht="42">
      <c r="A844" s="1" t="str">
        <f>"000QYX"</f>
        <v>000QYX</v>
      </c>
      <c r="B844" s="1" t="s">
        <v>4480</v>
      </c>
      <c r="C844" s="1" t="s">
        <v>4481</v>
      </c>
      <c r="D844" s="1" t="str">
        <f>"8023188191"</f>
        <v>8023188191</v>
      </c>
      <c r="E844" s="1">
        <v>4904</v>
      </c>
      <c r="F844" s="1" t="s">
        <v>28</v>
      </c>
      <c r="G844" s="1" t="s">
        <v>4486</v>
      </c>
      <c r="H844" s="1"/>
      <c r="I844" s="1">
        <v>3</v>
      </c>
      <c r="J844" s="1">
        <v>2</v>
      </c>
      <c r="K844" s="1" t="s">
        <v>43</v>
      </c>
      <c r="L844" s="1" t="s">
        <v>44</v>
      </c>
      <c r="M844" s="1" t="s">
        <v>4487</v>
      </c>
      <c r="N844" s="2">
        <v>42639</v>
      </c>
      <c r="O844" s="1"/>
      <c r="P844" s="1"/>
      <c r="Q844" s="1" t="s">
        <v>34</v>
      </c>
      <c r="R844" s="1"/>
      <c r="S844" s="1" t="s">
        <v>35</v>
      </c>
      <c r="T844" s="1">
        <v>44.502462999999999</v>
      </c>
      <c r="U844" s="1">
        <v>-73.211122499999902</v>
      </c>
      <c r="V844" s="1" t="s">
        <v>4488</v>
      </c>
      <c r="W844" s="1"/>
      <c r="X844" s="1" t="s">
        <v>37</v>
      </c>
      <c r="Y844" s="1" t="s">
        <v>44</v>
      </c>
      <c r="Z844" s="1">
        <v>5401</v>
      </c>
    </row>
    <row r="845" spans="1:26" ht="42">
      <c r="A845" s="1" t="str">
        <f>"000QZF"</f>
        <v>000QZF</v>
      </c>
      <c r="B845" s="1" t="s">
        <v>4489</v>
      </c>
      <c r="C845" s="1" t="s">
        <v>4490</v>
      </c>
      <c r="D845" s="1" t="str">
        <f>"8024534917"</f>
        <v>8024534917</v>
      </c>
      <c r="E845" s="1">
        <v>4906</v>
      </c>
      <c r="F845" s="1" t="s">
        <v>28</v>
      </c>
      <c r="G845" s="1" t="s">
        <v>4491</v>
      </c>
      <c r="H845" s="1"/>
      <c r="I845" s="1">
        <v>3</v>
      </c>
      <c r="J845" s="1" t="s">
        <v>4492</v>
      </c>
      <c r="K845" s="1" t="s">
        <v>333</v>
      </c>
      <c r="L845" s="1" t="s">
        <v>807</v>
      </c>
      <c r="M845" s="1" t="s">
        <v>4493</v>
      </c>
      <c r="N845" s="2">
        <v>42212</v>
      </c>
      <c r="O845" s="1"/>
      <c r="P845" s="1"/>
      <c r="Q845" s="1" t="s">
        <v>34</v>
      </c>
      <c r="R845" s="1"/>
      <c r="S845" s="1" t="s">
        <v>35</v>
      </c>
      <c r="T845" s="1">
        <v>44.266033899999996</v>
      </c>
      <c r="U845" s="1">
        <v>-73.116867999999997</v>
      </c>
      <c r="V845" s="1" t="s">
        <v>4494</v>
      </c>
      <c r="W845" s="1"/>
      <c r="X845" s="1" t="s">
        <v>37</v>
      </c>
      <c r="Y845" s="1" t="s">
        <v>4495</v>
      </c>
      <c r="Z845" s="1">
        <v>5443</v>
      </c>
    </row>
    <row r="846" spans="1:26" ht="42">
      <c r="A846" s="1" t="str">
        <f>"000V0F"</f>
        <v>000V0F</v>
      </c>
      <c r="B846" s="1" t="s">
        <v>4496</v>
      </c>
      <c r="C846" s="1" t="s">
        <v>4497</v>
      </c>
      <c r="D846" s="1" t="str">
        <f>"8023633552"</f>
        <v>8023633552</v>
      </c>
      <c r="E846" s="1">
        <v>4910</v>
      </c>
      <c r="F846" s="1" t="s">
        <v>28</v>
      </c>
      <c r="G846" s="1" t="s">
        <v>4498</v>
      </c>
      <c r="H846" s="1"/>
      <c r="I846" s="1">
        <v>4</v>
      </c>
      <c r="J846" s="1" t="s">
        <v>470</v>
      </c>
      <c r="K846" s="1" t="s">
        <v>159</v>
      </c>
      <c r="L846" s="1"/>
      <c r="M846" s="1" t="s">
        <v>4499</v>
      </c>
      <c r="N846" s="2">
        <v>42219</v>
      </c>
      <c r="O846" s="1"/>
      <c r="P846" s="1"/>
      <c r="Q846" s="1" t="s">
        <v>34</v>
      </c>
      <c r="R846" s="1"/>
      <c r="S846" s="1" t="s">
        <v>35</v>
      </c>
      <c r="T846" s="1"/>
      <c r="U846" s="1"/>
      <c r="V846" s="1" t="s">
        <v>4500</v>
      </c>
      <c r="W846" s="1"/>
      <c r="X846" s="1" t="s">
        <v>37</v>
      </c>
      <c r="Y846" s="1" t="s">
        <v>4501</v>
      </c>
      <c r="Z846" s="1">
        <v>5487</v>
      </c>
    </row>
    <row r="847" spans="1:26" ht="42">
      <c r="A847" s="1" t="str">
        <f>"000V0P"</f>
        <v>000V0P</v>
      </c>
      <c r="B847" s="1" t="s">
        <v>4502</v>
      </c>
      <c r="C847" s="1" t="s">
        <v>4503</v>
      </c>
      <c r="D847" s="1" t="str">
        <f>"8022951121"</f>
        <v>8022951121</v>
      </c>
      <c r="E847" s="1">
        <v>4912</v>
      </c>
      <c r="F847" s="1" t="s">
        <v>28</v>
      </c>
      <c r="G847" s="1" t="s">
        <v>4504</v>
      </c>
      <c r="H847" s="1"/>
      <c r="I847" s="1">
        <v>2</v>
      </c>
      <c r="J847" s="1" t="s">
        <v>4505</v>
      </c>
      <c r="K847" s="1" t="s">
        <v>77</v>
      </c>
      <c r="L847" s="1"/>
      <c r="M847" s="1" t="s">
        <v>4506</v>
      </c>
      <c r="N847" s="2">
        <v>42222</v>
      </c>
      <c r="O847" s="1"/>
      <c r="P847" s="2">
        <v>43168</v>
      </c>
      <c r="Q847" s="1" t="s">
        <v>34</v>
      </c>
      <c r="R847" s="1"/>
      <c r="S847" s="1" t="s">
        <v>35</v>
      </c>
      <c r="T847" s="1">
        <v>43.678801999999997</v>
      </c>
      <c r="U847" s="1">
        <v>-72.345427999999899</v>
      </c>
      <c r="V847" s="1" t="s">
        <v>4507</v>
      </c>
      <c r="W847" s="1"/>
      <c r="X847" s="1" t="s">
        <v>37</v>
      </c>
      <c r="Y847" s="1" t="s">
        <v>3160</v>
      </c>
      <c r="Z847" s="1">
        <v>5001</v>
      </c>
    </row>
    <row r="848" spans="1:26" ht="42">
      <c r="A848" s="1" t="str">
        <f>"000V0V"</f>
        <v>000V0V</v>
      </c>
      <c r="B848" s="1" t="s">
        <v>4508</v>
      </c>
      <c r="C848" s="1" t="s">
        <v>4509</v>
      </c>
      <c r="D848" s="1" t="str">
        <f>"4133467020"</f>
        <v>4133467020</v>
      </c>
      <c r="E848" s="1">
        <v>4913</v>
      </c>
      <c r="F848" s="1" t="s">
        <v>28</v>
      </c>
      <c r="G848" s="1" t="s">
        <v>4510</v>
      </c>
      <c r="H848" s="1"/>
      <c r="I848" s="1">
        <v>0</v>
      </c>
      <c r="J848" s="1" t="s">
        <v>188</v>
      </c>
      <c r="K848" s="1" t="s">
        <v>187</v>
      </c>
      <c r="L848" s="1" t="s">
        <v>188</v>
      </c>
      <c r="M848" s="1" t="s">
        <v>4511</v>
      </c>
      <c r="N848" s="2">
        <v>42223</v>
      </c>
      <c r="O848" s="1"/>
      <c r="P848" s="2">
        <v>43180</v>
      </c>
      <c r="Q848" s="1" t="s">
        <v>34</v>
      </c>
      <c r="R848" s="1"/>
      <c r="S848" s="1" t="s">
        <v>35</v>
      </c>
      <c r="T848" s="1">
        <v>42.883423000000001</v>
      </c>
      <c r="U848" s="1">
        <v>-73.222931000000003</v>
      </c>
      <c r="V848" s="1" t="s">
        <v>4512</v>
      </c>
      <c r="W848" s="1"/>
      <c r="X848" s="1" t="s">
        <v>37</v>
      </c>
      <c r="Y848" s="1" t="s">
        <v>187</v>
      </c>
      <c r="Z848" s="1">
        <v>5201</v>
      </c>
    </row>
    <row r="849" spans="1:26" ht="42">
      <c r="A849" s="1" t="str">
        <f>"000V2J"</f>
        <v>000V2J</v>
      </c>
      <c r="B849" s="1" t="s">
        <v>4513</v>
      </c>
      <c r="C849" s="1" t="s">
        <v>4514</v>
      </c>
      <c r="D849" s="1" t="str">
        <f>"8024633222"</f>
        <v>8024633222</v>
      </c>
      <c r="E849" s="1">
        <v>4916</v>
      </c>
      <c r="F849" s="1" t="s">
        <v>28</v>
      </c>
      <c r="G849" s="1" t="s">
        <v>4515</v>
      </c>
      <c r="H849" s="1"/>
      <c r="I849" s="1">
        <v>2</v>
      </c>
      <c r="J849" s="1">
        <v>1</v>
      </c>
      <c r="K849" s="1" t="s">
        <v>144</v>
      </c>
      <c r="L849" s="1" t="s">
        <v>1945</v>
      </c>
      <c r="M849" s="1" t="s">
        <v>4516</v>
      </c>
      <c r="N849" s="2">
        <v>42242</v>
      </c>
      <c r="O849" s="1"/>
      <c r="P849" s="1"/>
      <c r="Q849" s="1" t="s">
        <v>34</v>
      </c>
      <c r="R849" s="1"/>
      <c r="S849" s="1" t="s">
        <v>35</v>
      </c>
      <c r="T849" s="1">
        <v>43.201633000000001</v>
      </c>
      <c r="U849" s="1">
        <v>-72.451743999999906</v>
      </c>
      <c r="V849" s="1" t="s">
        <v>4517</v>
      </c>
      <c r="W849" s="1"/>
      <c r="X849" s="1" t="s">
        <v>37</v>
      </c>
      <c r="Y849" s="1" t="s">
        <v>1948</v>
      </c>
      <c r="Z849" s="1">
        <v>5101</v>
      </c>
    </row>
    <row r="850" spans="1:26" ht="42">
      <c r="A850" s="1" t="str">
        <f>"000V4D"</f>
        <v>000V4D</v>
      </c>
      <c r="B850" s="1" t="s">
        <v>4518</v>
      </c>
      <c r="C850" s="1" t="s">
        <v>4519</v>
      </c>
      <c r="D850" s="1" t="str">
        <f>"8022852290"</f>
        <v>8022852290</v>
      </c>
      <c r="E850" s="1">
        <v>4919</v>
      </c>
      <c r="F850" s="1" t="s">
        <v>28</v>
      </c>
      <c r="G850" s="1" t="s">
        <v>4520</v>
      </c>
      <c r="H850" s="1"/>
      <c r="I850" s="1">
        <v>14</v>
      </c>
      <c r="J850" s="1" t="s">
        <v>4518</v>
      </c>
      <c r="K850" s="1" t="s">
        <v>152</v>
      </c>
      <c r="L850" s="1" t="s">
        <v>1054</v>
      </c>
      <c r="M850" s="1" t="s">
        <v>4521</v>
      </c>
      <c r="N850" s="2">
        <v>42262</v>
      </c>
      <c r="O850" s="1"/>
      <c r="P850" s="1"/>
      <c r="Q850" s="1" t="s">
        <v>34</v>
      </c>
      <c r="R850" s="1"/>
      <c r="S850" s="1" t="s">
        <v>35</v>
      </c>
      <c r="T850" s="1">
        <v>44.996891099999999</v>
      </c>
      <c r="U850" s="1">
        <v>-72.909011699999994</v>
      </c>
      <c r="V850" s="1" t="s">
        <v>4522</v>
      </c>
      <c r="W850" s="1"/>
      <c r="X850" s="1" t="s">
        <v>37</v>
      </c>
      <c r="Y850" s="1" t="s">
        <v>152</v>
      </c>
      <c r="Z850" s="1">
        <v>5457</v>
      </c>
    </row>
    <row r="851" spans="1:26" ht="42">
      <c r="A851" s="1" t="str">
        <f>"000V4D"</f>
        <v>000V4D</v>
      </c>
      <c r="B851" s="1" t="s">
        <v>4518</v>
      </c>
      <c r="C851" s="1" t="s">
        <v>4519</v>
      </c>
      <c r="D851" s="1" t="str">
        <f>"8022852290"</f>
        <v>8022852290</v>
      </c>
      <c r="E851" s="1">
        <v>4919</v>
      </c>
      <c r="F851" s="1" t="s">
        <v>28</v>
      </c>
      <c r="G851" s="1" t="s">
        <v>4523</v>
      </c>
      <c r="H851" s="1"/>
      <c r="I851" s="1">
        <v>2</v>
      </c>
      <c r="J851" s="1" t="s">
        <v>4524</v>
      </c>
      <c r="K851" s="1" t="s">
        <v>152</v>
      </c>
      <c r="L851" s="1" t="s">
        <v>1054</v>
      </c>
      <c r="M851" s="1" t="s">
        <v>4525</v>
      </c>
      <c r="N851" s="2">
        <v>42635</v>
      </c>
      <c r="O851" s="1"/>
      <c r="P851" s="1"/>
      <c r="Q851" s="1" t="s">
        <v>34</v>
      </c>
      <c r="R851" s="1"/>
      <c r="S851" s="1" t="s">
        <v>35</v>
      </c>
      <c r="T851" s="1">
        <v>44.987200999999999</v>
      </c>
      <c r="U851" s="1">
        <v>-72.9085331</v>
      </c>
      <c r="V851" s="1" t="s">
        <v>4524</v>
      </c>
      <c r="W851" s="1"/>
      <c r="X851" s="1" t="s">
        <v>37</v>
      </c>
      <c r="Y851" s="1" t="s">
        <v>152</v>
      </c>
      <c r="Z851" s="1">
        <v>5457</v>
      </c>
    </row>
    <row r="852" spans="1:26" ht="42">
      <c r="A852" s="1" t="str">
        <f>"000V4D"</f>
        <v>000V4D</v>
      </c>
      <c r="B852" s="1" t="s">
        <v>4518</v>
      </c>
      <c r="C852" s="1" t="s">
        <v>4519</v>
      </c>
      <c r="D852" s="1" t="str">
        <f>"8022852290"</f>
        <v>8022852290</v>
      </c>
      <c r="E852" s="1">
        <v>4919</v>
      </c>
      <c r="F852" s="1" t="s">
        <v>28</v>
      </c>
      <c r="G852" s="1" t="s">
        <v>4526</v>
      </c>
      <c r="H852" s="1"/>
      <c r="I852" s="1">
        <v>2</v>
      </c>
      <c r="J852" s="1" t="s">
        <v>4527</v>
      </c>
      <c r="K852" s="1" t="s">
        <v>152</v>
      </c>
      <c r="L852" s="1" t="s">
        <v>1054</v>
      </c>
      <c r="M852" s="1" t="s">
        <v>4528</v>
      </c>
      <c r="N852" s="2">
        <v>42635</v>
      </c>
      <c r="O852" s="1"/>
      <c r="P852" s="1"/>
      <c r="Q852" s="1" t="s">
        <v>34</v>
      </c>
      <c r="R852" s="1"/>
      <c r="S852" s="1" t="s">
        <v>35</v>
      </c>
      <c r="T852" s="1">
        <v>44.970783699999998</v>
      </c>
      <c r="U852" s="1">
        <v>-72.968421199999995</v>
      </c>
      <c r="V852" s="1" t="s">
        <v>4527</v>
      </c>
      <c r="W852" s="1"/>
      <c r="X852" s="1" t="s">
        <v>37</v>
      </c>
      <c r="Y852" s="1" t="s">
        <v>152</v>
      </c>
      <c r="Z852" s="1">
        <v>5457</v>
      </c>
    </row>
    <row r="853" spans="1:26" ht="42">
      <c r="A853" s="1" t="str">
        <f>"000V4W"</f>
        <v>000V4W</v>
      </c>
      <c r="B853" s="1" t="s">
        <v>4529</v>
      </c>
      <c r="C853" s="1" t="s">
        <v>4530</v>
      </c>
      <c r="D853" s="1" t="str">
        <f>"8027632183"</f>
        <v>8027632183</v>
      </c>
      <c r="E853" s="1">
        <v>4921</v>
      </c>
      <c r="F853" s="1" t="s">
        <v>28</v>
      </c>
      <c r="G853" s="1" t="s">
        <v>4531</v>
      </c>
      <c r="H853" s="1"/>
      <c r="I853" s="1">
        <v>11</v>
      </c>
      <c r="J853" s="1" t="s">
        <v>4532</v>
      </c>
      <c r="K853" s="1" t="s">
        <v>77</v>
      </c>
      <c r="L853" s="1" t="s">
        <v>1391</v>
      </c>
      <c r="M853" s="1" t="s">
        <v>4533</v>
      </c>
      <c r="N853" s="2">
        <v>42268</v>
      </c>
      <c r="O853" s="1"/>
      <c r="P853" s="2">
        <v>42922</v>
      </c>
      <c r="Q853" s="1" t="s">
        <v>34</v>
      </c>
      <c r="R853" s="1"/>
      <c r="S853" s="1" t="s">
        <v>35</v>
      </c>
      <c r="T853" s="1">
        <v>43.781759000000001</v>
      </c>
      <c r="U853" s="1">
        <v>-72.520892000000003</v>
      </c>
      <c r="V853" s="1" t="s">
        <v>4534</v>
      </c>
      <c r="W853" s="1"/>
      <c r="X853" s="1" t="s">
        <v>37</v>
      </c>
      <c r="Y853" s="1" t="s">
        <v>1398</v>
      </c>
      <c r="Z853" s="1">
        <v>5068</v>
      </c>
    </row>
    <row r="854" spans="1:26" ht="42">
      <c r="A854" s="1" t="str">
        <f>"000V4W"</f>
        <v>000V4W</v>
      </c>
      <c r="B854" s="1" t="s">
        <v>4529</v>
      </c>
      <c r="C854" s="1" t="s">
        <v>4530</v>
      </c>
      <c r="D854" s="1" t="str">
        <f>"8027632183"</f>
        <v>8027632183</v>
      </c>
      <c r="E854" s="1">
        <v>4921</v>
      </c>
      <c r="F854" s="1" t="s">
        <v>28</v>
      </c>
      <c r="G854" s="1" t="s">
        <v>4535</v>
      </c>
      <c r="H854" s="1"/>
      <c r="I854" s="1">
        <v>4</v>
      </c>
      <c r="J854" s="1" t="s">
        <v>159</v>
      </c>
      <c r="K854" s="1" t="s">
        <v>77</v>
      </c>
      <c r="L854" s="1" t="s">
        <v>1391</v>
      </c>
      <c r="M854" s="1" t="s">
        <v>4536</v>
      </c>
      <c r="N854" s="2">
        <v>42674</v>
      </c>
      <c r="O854" s="1"/>
      <c r="P854" s="2">
        <v>42922</v>
      </c>
      <c r="Q854" s="1" t="s">
        <v>34</v>
      </c>
      <c r="R854" s="1"/>
      <c r="S854" s="1" t="s">
        <v>35</v>
      </c>
      <c r="T854" s="1"/>
      <c r="U854" s="1"/>
      <c r="V854" s="1" t="s">
        <v>158</v>
      </c>
      <c r="W854" s="1"/>
      <c r="X854" s="1" t="s">
        <v>37</v>
      </c>
      <c r="Y854" s="1" t="s">
        <v>1392</v>
      </c>
      <c r="Z854" s="1">
        <v>5068</v>
      </c>
    </row>
    <row r="855" spans="1:26" ht="42">
      <c r="A855" s="1" t="str">
        <f>"000V4X"</f>
        <v>000V4X</v>
      </c>
      <c r="B855" s="1" t="s">
        <v>4537</v>
      </c>
      <c r="C855" s="1" t="s">
        <v>4538</v>
      </c>
      <c r="D855" s="1" t="str">
        <f>"8022476057"</f>
        <v>8022476057</v>
      </c>
      <c r="E855" s="1">
        <v>4922</v>
      </c>
      <c r="F855" s="1" t="s">
        <v>28</v>
      </c>
      <c r="G855" s="1" t="s">
        <v>4539</v>
      </c>
      <c r="H855" s="1"/>
      <c r="I855" s="1">
        <v>1</v>
      </c>
      <c r="J855" s="1" t="s">
        <v>4540</v>
      </c>
      <c r="K855" s="1" t="s">
        <v>135</v>
      </c>
      <c r="L855" s="1" t="s">
        <v>1241</v>
      </c>
      <c r="M855" s="1" t="s">
        <v>1818</v>
      </c>
      <c r="N855" s="2">
        <v>42268</v>
      </c>
      <c r="O855" s="1"/>
      <c r="P855" s="2">
        <v>42258</v>
      </c>
      <c r="Q855" s="1" t="s">
        <v>34</v>
      </c>
      <c r="R855" s="1"/>
      <c r="S855" s="1" t="s">
        <v>35</v>
      </c>
      <c r="T855" s="1">
        <v>43.782984883054198</v>
      </c>
      <c r="U855" s="1">
        <v>-73.078554868698106</v>
      </c>
      <c r="V855" s="1" t="s">
        <v>4541</v>
      </c>
      <c r="W855" s="1"/>
      <c r="X855" s="1" t="s">
        <v>37</v>
      </c>
      <c r="Y855" s="1" t="s">
        <v>1244</v>
      </c>
      <c r="Z855" s="1">
        <v>5733</v>
      </c>
    </row>
    <row r="856" spans="1:26" ht="42">
      <c r="A856" s="1" t="str">
        <f>"000V4Y"</f>
        <v>000V4Y</v>
      </c>
      <c r="B856" s="1" t="s">
        <v>4542</v>
      </c>
      <c r="C856" s="1" t="s">
        <v>4543</v>
      </c>
      <c r="D856" s="1" t="str">
        <f>"8025985249"</f>
        <v>8025985249</v>
      </c>
      <c r="E856" s="1">
        <v>4923</v>
      </c>
      <c r="F856" s="1" t="s">
        <v>28</v>
      </c>
      <c r="G856" s="1" t="s">
        <v>4544</v>
      </c>
      <c r="H856" s="1"/>
      <c r="I856" s="1">
        <v>2</v>
      </c>
      <c r="J856" s="1" t="s">
        <v>4545</v>
      </c>
      <c r="K856" s="1" t="s">
        <v>43</v>
      </c>
      <c r="L856" s="1" t="s">
        <v>778</v>
      </c>
      <c r="M856" s="1" t="s">
        <v>4546</v>
      </c>
      <c r="N856" s="2">
        <v>42272</v>
      </c>
      <c r="O856" s="1"/>
      <c r="P856" s="1"/>
      <c r="Q856" s="1" t="s">
        <v>34</v>
      </c>
      <c r="R856" s="1"/>
      <c r="S856" s="1" t="s">
        <v>35</v>
      </c>
      <c r="T856" s="1">
        <v>44.602817999999999</v>
      </c>
      <c r="U856" s="1">
        <v>-73.213431999999997</v>
      </c>
      <c r="V856" s="1" t="s">
        <v>4547</v>
      </c>
      <c r="W856" s="1"/>
      <c r="X856" s="1" t="s">
        <v>37</v>
      </c>
      <c r="Y856" s="1" t="s">
        <v>781</v>
      </c>
      <c r="Z856" s="1">
        <v>5446</v>
      </c>
    </row>
    <row r="857" spans="1:26" ht="42">
      <c r="A857" s="1" t="str">
        <f>"000V4Y"</f>
        <v>000V4Y</v>
      </c>
      <c r="B857" s="1" t="s">
        <v>4542</v>
      </c>
      <c r="C857" s="1" t="s">
        <v>4543</v>
      </c>
      <c r="D857" s="1" t="str">
        <f>"8025985249"</f>
        <v>8025985249</v>
      </c>
      <c r="E857" s="1">
        <v>4923</v>
      </c>
      <c r="F857" s="1" t="s">
        <v>28</v>
      </c>
      <c r="G857" s="1" t="s">
        <v>4548</v>
      </c>
      <c r="H857" s="1"/>
      <c r="I857" s="1">
        <v>8</v>
      </c>
      <c r="J857" s="1" t="s">
        <v>4549</v>
      </c>
      <c r="K857" s="1" t="s">
        <v>428</v>
      </c>
      <c r="L857" s="1" t="s">
        <v>1458</v>
      </c>
      <c r="M857" s="1" t="s">
        <v>4550</v>
      </c>
      <c r="N857" s="2">
        <v>42272</v>
      </c>
      <c r="O857" s="1"/>
      <c r="P857" s="1"/>
      <c r="Q857" s="1" t="s">
        <v>34</v>
      </c>
      <c r="R857" s="1"/>
      <c r="S857" s="1" t="s">
        <v>35</v>
      </c>
      <c r="T857" s="1">
        <v>44.639606999999998</v>
      </c>
      <c r="U857" s="1">
        <v>-73.269563000000005</v>
      </c>
      <c r="V857" s="1" t="s">
        <v>4551</v>
      </c>
      <c r="W857" s="1"/>
      <c r="X857" s="1" t="s">
        <v>37</v>
      </c>
      <c r="Y857" s="1" t="s">
        <v>1460</v>
      </c>
      <c r="Z857" s="1">
        <v>5486</v>
      </c>
    </row>
    <row r="858" spans="1:26" ht="42">
      <c r="A858" s="1" t="str">
        <f>"000V4Y"</f>
        <v>000V4Y</v>
      </c>
      <c r="B858" s="1" t="s">
        <v>4542</v>
      </c>
      <c r="C858" s="1" t="s">
        <v>4543</v>
      </c>
      <c r="D858" s="1" t="str">
        <f>"8025985249"</f>
        <v>8025985249</v>
      </c>
      <c r="E858" s="1">
        <v>4923</v>
      </c>
      <c r="F858" s="1" t="s">
        <v>28</v>
      </c>
      <c r="G858" s="1" t="s">
        <v>4552</v>
      </c>
      <c r="H858" s="1"/>
      <c r="I858" s="1">
        <v>2</v>
      </c>
      <c r="J858" s="1" t="s">
        <v>4553</v>
      </c>
      <c r="K858" s="1" t="s">
        <v>428</v>
      </c>
      <c r="L858" s="1" t="s">
        <v>1458</v>
      </c>
      <c r="M858" s="1" t="s">
        <v>4554</v>
      </c>
      <c r="N858" s="2">
        <v>42272</v>
      </c>
      <c r="O858" s="1"/>
      <c r="P858" s="1"/>
      <c r="Q858" s="1" t="s">
        <v>34</v>
      </c>
      <c r="R858" s="1"/>
      <c r="S858" s="1" t="s">
        <v>35</v>
      </c>
      <c r="T858" s="1">
        <v>44.617560999999903</v>
      </c>
      <c r="U858" s="1">
        <v>-73.302146999999906</v>
      </c>
      <c r="V858" s="1" t="s">
        <v>4555</v>
      </c>
      <c r="W858" s="1"/>
      <c r="X858" s="1" t="s">
        <v>37</v>
      </c>
      <c r="Y858" s="1" t="s">
        <v>1460</v>
      </c>
      <c r="Z858" s="1">
        <v>5486</v>
      </c>
    </row>
    <row r="859" spans="1:26" ht="42">
      <c r="A859" s="1" t="str">
        <f>"000V4Y"</f>
        <v>000V4Y</v>
      </c>
      <c r="B859" s="1" t="s">
        <v>4542</v>
      </c>
      <c r="C859" s="1" t="s">
        <v>4543</v>
      </c>
      <c r="D859" s="1" t="str">
        <f>"8025985249"</f>
        <v>8025985249</v>
      </c>
      <c r="E859" s="1">
        <v>4923</v>
      </c>
      <c r="F859" s="1" t="s">
        <v>28</v>
      </c>
      <c r="G859" s="1" t="s">
        <v>4556</v>
      </c>
      <c r="H859" s="1"/>
      <c r="I859" s="1">
        <v>1</v>
      </c>
      <c r="J859" s="1" t="s">
        <v>4557</v>
      </c>
      <c r="K859" s="1" t="s">
        <v>428</v>
      </c>
      <c r="L859" s="1" t="s">
        <v>1458</v>
      </c>
      <c r="M859" s="1" t="s">
        <v>4558</v>
      </c>
      <c r="N859" s="2">
        <v>42272</v>
      </c>
      <c r="O859" s="1"/>
      <c r="P859" s="1"/>
      <c r="Q859" s="1" t="s">
        <v>34</v>
      </c>
      <c r="R859" s="1"/>
      <c r="S859" s="1" t="s">
        <v>35</v>
      </c>
      <c r="T859" s="1">
        <v>44.645007999999997</v>
      </c>
      <c r="U859" s="1">
        <v>-73.313682999999898</v>
      </c>
      <c r="V859" s="1" t="s">
        <v>4559</v>
      </c>
      <c r="W859" s="1"/>
      <c r="X859" s="1" t="s">
        <v>37</v>
      </c>
      <c r="Y859" s="1" t="s">
        <v>1460</v>
      </c>
      <c r="Z859" s="1">
        <v>5486</v>
      </c>
    </row>
    <row r="860" spans="1:26" ht="42">
      <c r="A860" s="1" t="str">
        <f>"000V4Y"</f>
        <v>000V4Y</v>
      </c>
      <c r="B860" s="1" t="s">
        <v>4542</v>
      </c>
      <c r="C860" s="1" t="s">
        <v>4543</v>
      </c>
      <c r="D860" s="1" t="str">
        <f>"8025985249"</f>
        <v>8025985249</v>
      </c>
      <c r="E860" s="1">
        <v>4923</v>
      </c>
      <c r="F860" s="1" t="s">
        <v>28</v>
      </c>
      <c r="G860" s="1" t="s">
        <v>4560</v>
      </c>
      <c r="H860" s="1"/>
      <c r="I860" s="1">
        <v>3</v>
      </c>
      <c r="J860" s="1" t="s">
        <v>4561</v>
      </c>
      <c r="K860" s="1" t="s">
        <v>428</v>
      </c>
      <c r="L860" s="1" t="s">
        <v>1416</v>
      </c>
      <c r="M860" s="1" t="s">
        <v>4562</v>
      </c>
      <c r="N860" s="2">
        <v>42272</v>
      </c>
      <c r="O860" s="1"/>
      <c r="P860" s="1"/>
      <c r="Q860" s="1" t="s">
        <v>34</v>
      </c>
      <c r="R860" s="1"/>
      <c r="S860" s="1" t="s">
        <v>35</v>
      </c>
      <c r="T860" s="1">
        <v>44.744067999999999</v>
      </c>
      <c r="U860" s="1">
        <v>-73.262069999999994</v>
      </c>
      <c r="V860" s="1" t="s">
        <v>4563</v>
      </c>
      <c r="W860" s="1"/>
      <c r="X860" s="1" t="s">
        <v>37</v>
      </c>
      <c r="Y860" s="1" t="s">
        <v>428</v>
      </c>
      <c r="Z860" s="1">
        <v>5458</v>
      </c>
    </row>
    <row r="861" spans="1:26" ht="42">
      <c r="A861" s="1" t="str">
        <f>"000V4Y"</f>
        <v>000V4Y</v>
      </c>
      <c r="B861" s="1" t="s">
        <v>4542</v>
      </c>
      <c r="C861" s="1" t="s">
        <v>4543</v>
      </c>
      <c r="D861" s="1" t="str">
        <f>"8025985249"</f>
        <v>8025985249</v>
      </c>
      <c r="E861" s="1">
        <v>4923</v>
      </c>
      <c r="F861" s="1" t="s">
        <v>28</v>
      </c>
      <c r="G861" s="1" t="s">
        <v>4564</v>
      </c>
      <c r="H861" s="1"/>
      <c r="I861" s="1">
        <v>6</v>
      </c>
      <c r="J861" s="1" t="s">
        <v>4565</v>
      </c>
      <c r="K861" s="1" t="s">
        <v>428</v>
      </c>
      <c r="L861" s="1" t="s">
        <v>1416</v>
      </c>
      <c r="M861" s="1" t="s">
        <v>4566</v>
      </c>
      <c r="N861" s="2">
        <v>42272</v>
      </c>
      <c r="O861" s="1"/>
      <c r="P861" s="1"/>
      <c r="Q861" s="1" t="s">
        <v>34</v>
      </c>
      <c r="R861" s="1"/>
      <c r="S861" s="1" t="s">
        <v>35</v>
      </c>
      <c r="T861" s="1">
        <v>44.726572300000001</v>
      </c>
      <c r="U861" s="1">
        <v>-73.323382799999905</v>
      </c>
      <c r="V861" s="1" t="s">
        <v>4567</v>
      </c>
      <c r="W861" s="1"/>
      <c r="X861" s="1" t="s">
        <v>37</v>
      </c>
      <c r="Y861" s="1" t="s">
        <v>428</v>
      </c>
      <c r="Z861" s="1">
        <v>5458</v>
      </c>
    </row>
    <row r="862" spans="1:26" ht="42">
      <c r="A862" s="1" t="str">
        <f>"000V4Y"</f>
        <v>000V4Y</v>
      </c>
      <c r="B862" s="1" t="s">
        <v>4542</v>
      </c>
      <c r="C862" s="1" t="s">
        <v>4543</v>
      </c>
      <c r="D862" s="1" t="str">
        <f>"8025985249"</f>
        <v>8025985249</v>
      </c>
      <c r="E862" s="1">
        <v>4923</v>
      </c>
      <c r="F862" s="1" t="s">
        <v>28</v>
      </c>
      <c r="G862" s="1" t="s">
        <v>4568</v>
      </c>
      <c r="H862" s="1"/>
      <c r="I862" s="1">
        <v>4</v>
      </c>
      <c r="J862" s="1" t="s">
        <v>4569</v>
      </c>
      <c r="K862" s="1" t="s">
        <v>428</v>
      </c>
      <c r="L862" s="1" t="s">
        <v>429</v>
      </c>
      <c r="M862" s="1" t="s">
        <v>4570</v>
      </c>
      <c r="N862" s="2">
        <v>42272</v>
      </c>
      <c r="O862" s="1"/>
      <c r="P862" s="1"/>
      <c r="Q862" s="1" t="s">
        <v>34</v>
      </c>
      <c r="R862" s="1"/>
      <c r="S862" s="1" t="s">
        <v>35</v>
      </c>
      <c r="T862" s="1">
        <v>44.885779300000003</v>
      </c>
      <c r="U862" s="1">
        <v>-73.277776799999899</v>
      </c>
      <c r="V862" s="1" t="s">
        <v>4571</v>
      </c>
      <c r="W862" s="1"/>
      <c r="X862" s="1" t="s">
        <v>37</v>
      </c>
      <c r="Y862" s="1" t="s">
        <v>1527</v>
      </c>
      <c r="Z862" s="1">
        <v>5440</v>
      </c>
    </row>
    <row r="863" spans="1:26" ht="42">
      <c r="A863" s="1" t="str">
        <f>"000V4Y"</f>
        <v>000V4Y</v>
      </c>
      <c r="B863" s="1" t="s">
        <v>4542</v>
      </c>
      <c r="C863" s="1" t="s">
        <v>4543</v>
      </c>
      <c r="D863" s="1" t="str">
        <f>"8025985249"</f>
        <v>8025985249</v>
      </c>
      <c r="E863" s="1">
        <v>4923</v>
      </c>
      <c r="F863" s="1" t="s">
        <v>28</v>
      </c>
      <c r="G863" s="1" t="s">
        <v>4572</v>
      </c>
      <c r="H863" s="1"/>
      <c r="I863" s="1">
        <v>7</v>
      </c>
      <c r="J863" s="1" t="s">
        <v>4573</v>
      </c>
      <c r="K863" s="1" t="s">
        <v>428</v>
      </c>
      <c r="L863" s="1" t="s">
        <v>1522</v>
      </c>
      <c r="M863" s="1" t="s">
        <v>4574</v>
      </c>
      <c r="N863" s="2">
        <v>42272</v>
      </c>
      <c r="O863" s="1"/>
      <c r="P863" s="1"/>
      <c r="Q863" s="1" t="s">
        <v>34</v>
      </c>
      <c r="R863" s="1"/>
      <c r="S863" s="1" t="s">
        <v>35</v>
      </c>
      <c r="T863" s="1">
        <v>44.785190499999999</v>
      </c>
      <c r="U863" s="1">
        <v>-73.293196299999906</v>
      </c>
      <c r="V863" s="1" t="s">
        <v>4575</v>
      </c>
      <c r="W863" s="1"/>
      <c r="X863" s="1" t="s">
        <v>37</v>
      </c>
      <c r="Y863" s="1" t="s">
        <v>1521</v>
      </c>
      <c r="Z863" s="1">
        <v>5474</v>
      </c>
    </row>
    <row r="864" spans="1:26" ht="42">
      <c r="A864" s="1" t="str">
        <f>"000V4Y"</f>
        <v>000V4Y</v>
      </c>
      <c r="B864" s="1" t="s">
        <v>4542</v>
      </c>
      <c r="C864" s="1" t="s">
        <v>4543</v>
      </c>
      <c r="D864" s="1" t="str">
        <f>"8025985249"</f>
        <v>8025985249</v>
      </c>
      <c r="E864" s="1">
        <v>4923</v>
      </c>
      <c r="F864" s="1" t="s">
        <v>28</v>
      </c>
      <c r="G864" s="1" t="s">
        <v>4576</v>
      </c>
      <c r="H864" s="1"/>
      <c r="I864" s="1">
        <v>2</v>
      </c>
      <c r="J864" s="1" t="s">
        <v>4577</v>
      </c>
      <c r="K864" s="1" t="s">
        <v>428</v>
      </c>
      <c r="L864" s="1" t="s">
        <v>1416</v>
      </c>
      <c r="M864" s="1" t="s">
        <v>4578</v>
      </c>
      <c r="N864" s="2">
        <v>42272</v>
      </c>
      <c r="O864" s="1"/>
      <c r="P864" s="1"/>
      <c r="Q864" s="1" t="s">
        <v>34</v>
      </c>
      <c r="R864" s="1"/>
      <c r="S864" s="1" t="s">
        <v>35</v>
      </c>
      <c r="T864" s="1">
        <v>44.735742999999999</v>
      </c>
      <c r="U864" s="1">
        <v>-73.309174999999897</v>
      </c>
      <c r="V864" s="1" t="s">
        <v>4579</v>
      </c>
      <c r="W864" s="1"/>
      <c r="X864" s="1" t="s">
        <v>37</v>
      </c>
      <c r="Y864" s="1" t="s">
        <v>428</v>
      </c>
      <c r="Z864" s="1">
        <v>5458</v>
      </c>
    </row>
    <row r="865" spans="1:26" ht="42">
      <c r="A865" s="1" t="str">
        <f>"000V5K"</f>
        <v>000V5K</v>
      </c>
      <c r="B865" s="1" t="s">
        <v>4580</v>
      </c>
      <c r="C865" s="1" t="s">
        <v>4581</v>
      </c>
      <c r="D865" s="1" t="str">
        <f>"8024222600"</f>
        <v>8024222600</v>
      </c>
      <c r="E865" s="1">
        <v>4927</v>
      </c>
      <c r="F865" s="1" t="s">
        <v>28</v>
      </c>
      <c r="G865" s="1" t="s">
        <v>4582</v>
      </c>
      <c r="H865" s="1"/>
      <c r="I865" s="1">
        <v>0</v>
      </c>
      <c r="J865" s="1" t="s">
        <v>4583</v>
      </c>
      <c r="K865" s="1" t="s">
        <v>77</v>
      </c>
      <c r="L865" s="1" t="s">
        <v>4584</v>
      </c>
      <c r="M865" s="1" t="s">
        <v>4585</v>
      </c>
      <c r="N865" s="2">
        <v>42282</v>
      </c>
      <c r="O865" s="2">
        <v>43252</v>
      </c>
      <c r="P865" s="1"/>
      <c r="Q865" s="1" t="s">
        <v>34</v>
      </c>
      <c r="R865" s="1"/>
      <c r="S865" s="1" t="s">
        <v>35</v>
      </c>
      <c r="T865" s="1">
        <v>43.531256399999997</v>
      </c>
      <c r="U865" s="1">
        <v>-72.746054399999906</v>
      </c>
      <c r="V865" s="1" t="s">
        <v>4586</v>
      </c>
      <c r="W865" s="1"/>
      <c r="X865" s="1" t="s">
        <v>37</v>
      </c>
      <c r="Y865" s="1" t="s">
        <v>4587</v>
      </c>
      <c r="Z865" s="1">
        <v>3264</v>
      </c>
    </row>
    <row r="866" spans="1:26" ht="42">
      <c r="A866" s="1" t="str">
        <f>"000V5K"</f>
        <v>000V5K</v>
      </c>
      <c r="B866" s="1" t="s">
        <v>4580</v>
      </c>
      <c r="C866" s="1" t="s">
        <v>4581</v>
      </c>
      <c r="D866" s="1" t="str">
        <f>"8024222600"</f>
        <v>8024222600</v>
      </c>
      <c r="E866" s="1">
        <v>4927</v>
      </c>
      <c r="F866" s="1" t="s">
        <v>28</v>
      </c>
      <c r="G866" s="1" t="s">
        <v>4588</v>
      </c>
      <c r="H866" s="1"/>
      <c r="I866" s="1">
        <v>5</v>
      </c>
      <c r="J866" s="1">
        <v>2</v>
      </c>
      <c r="K866" s="1" t="s">
        <v>77</v>
      </c>
      <c r="L866" s="1"/>
      <c r="M866" s="1" t="s">
        <v>4589</v>
      </c>
      <c r="N866" s="2">
        <v>42530</v>
      </c>
      <c r="O866" s="1"/>
      <c r="P866" s="1"/>
      <c r="Q866" s="1" t="s">
        <v>34</v>
      </c>
      <c r="R866" s="1"/>
      <c r="S866" s="1" t="s">
        <v>35</v>
      </c>
      <c r="T866" s="1">
        <v>43.613250999999998</v>
      </c>
      <c r="U866" s="1">
        <v>-72.776627000000005</v>
      </c>
      <c r="V866" s="1" t="s">
        <v>4590</v>
      </c>
      <c r="W866" s="1"/>
      <c r="X866" s="1" t="s">
        <v>37</v>
      </c>
      <c r="Y866" s="1" t="s">
        <v>2716</v>
      </c>
      <c r="Z866" s="1">
        <v>5751</v>
      </c>
    </row>
    <row r="867" spans="1:26" ht="28">
      <c r="A867" s="1" t="str">
        <f>"000V6B"</f>
        <v>000V6B</v>
      </c>
      <c r="B867" s="1" t="s">
        <v>4591</v>
      </c>
      <c r="C867" s="1" t="s">
        <v>4592</v>
      </c>
      <c r="D867" s="1"/>
      <c r="E867" s="1">
        <v>4928</v>
      </c>
      <c r="F867" s="1" t="s">
        <v>28</v>
      </c>
      <c r="G867" s="1" t="s">
        <v>4593</v>
      </c>
      <c r="H867" s="1"/>
      <c r="I867" s="1">
        <v>2</v>
      </c>
      <c r="J867" s="1">
        <v>1</v>
      </c>
      <c r="K867" s="1" t="s">
        <v>170</v>
      </c>
      <c r="L867" s="1" t="s">
        <v>3857</v>
      </c>
      <c r="M867" s="1" t="s">
        <v>4594</v>
      </c>
      <c r="N867" s="2">
        <v>42296</v>
      </c>
      <c r="O867" s="1"/>
      <c r="P867" s="1"/>
      <c r="Q867" s="1" t="s">
        <v>34</v>
      </c>
      <c r="R867" s="1"/>
      <c r="S867" s="1" t="s">
        <v>35</v>
      </c>
      <c r="T867" s="1">
        <v>44.502333999999998</v>
      </c>
      <c r="U867" s="1">
        <v>-72.711283999999907</v>
      </c>
      <c r="V867" s="1" t="s">
        <v>4595</v>
      </c>
      <c r="W867" s="1"/>
      <c r="X867" s="1" t="s">
        <v>37</v>
      </c>
      <c r="Y867" s="1" t="s">
        <v>3859</v>
      </c>
      <c r="Z867" s="1">
        <v>5672</v>
      </c>
    </row>
    <row r="868" spans="1:26" ht="42">
      <c r="A868" s="1" t="str">
        <f>"000V6Y"</f>
        <v>000V6Y</v>
      </c>
      <c r="B868" s="1" t="s">
        <v>4596</v>
      </c>
      <c r="C868" s="1" t="s">
        <v>4597</v>
      </c>
      <c r="D868" s="1" t="str">
        <f>"8027283117"</f>
        <v>8027283117</v>
      </c>
      <c r="E868" s="1">
        <v>4929</v>
      </c>
      <c r="F868" s="1" t="s">
        <v>28</v>
      </c>
      <c r="G868" s="1" t="s">
        <v>4598</v>
      </c>
      <c r="H868" s="1"/>
      <c r="I868" s="1">
        <v>1</v>
      </c>
      <c r="J868" s="1" t="s">
        <v>4599</v>
      </c>
      <c r="K868" s="1" t="s">
        <v>68</v>
      </c>
      <c r="L868" s="1" t="s">
        <v>250</v>
      </c>
      <c r="M868" s="1" t="s">
        <v>4600</v>
      </c>
      <c r="N868" s="2">
        <v>42305</v>
      </c>
      <c r="O868" s="1"/>
      <c r="P868" s="2">
        <v>42943</v>
      </c>
      <c r="Q868" s="1" t="s">
        <v>34</v>
      </c>
      <c r="R868" s="1"/>
      <c r="S868" s="1" t="s">
        <v>35</v>
      </c>
      <c r="T868" s="1">
        <v>43.951960999999997</v>
      </c>
      <c r="U868" s="1">
        <v>-72.718641999999903</v>
      </c>
      <c r="V868" s="1" t="s">
        <v>4601</v>
      </c>
      <c r="W868" s="1"/>
      <c r="X868" s="1" t="s">
        <v>37</v>
      </c>
      <c r="Y868" s="1" t="s">
        <v>253</v>
      </c>
      <c r="Z868" s="1">
        <v>5060</v>
      </c>
    </row>
    <row r="869" spans="1:26" ht="42">
      <c r="A869" s="1" t="str">
        <f>"000V6Y"</f>
        <v>000V6Y</v>
      </c>
      <c r="B869" s="1" t="s">
        <v>4596</v>
      </c>
      <c r="C869" s="1" t="s">
        <v>4597</v>
      </c>
      <c r="D869" s="1" t="str">
        <f>"8027283117"</f>
        <v>8027283117</v>
      </c>
      <c r="E869" s="1">
        <v>4929</v>
      </c>
      <c r="F869" s="1" t="s">
        <v>28</v>
      </c>
      <c r="G869" s="1" t="s">
        <v>4602</v>
      </c>
      <c r="H869" s="1"/>
      <c r="I869" s="1">
        <v>11</v>
      </c>
      <c r="J869" s="1" t="s">
        <v>4603</v>
      </c>
      <c r="K869" s="1" t="s">
        <v>77</v>
      </c>
      <c r="L869" s="1" t="s">
        <v>2879</v>
      </c>
      <c r="M869" s="1" t="s">
        <v>4600</v>
      </c>
      <c r="N869" s="2">
        <v>42305</v>
      </c>
      <c r="O869" s="1"/>
      <c r="P869" s="2">
        <v>42958</v>
      </c>
      <c r="Q869" s="1" t="s">
        <v>105</v>
      </c>
      <c r="R869" s="1"/>
      <c r="S869" s="1" t="s">
        <v>35</v>
      </c>
      <c r="T869" s="1">
        <v>43.869703100000002</v>
      </c>
      <c r="U869" s="1">
        <v>-72.644607100000002</v>
      </c>
      <c r="V869" s="1" t="s">
        <v>4604</v>
      </c>
      <c r="W869" s="1"/>
      <c r="X869" s="1" t="s">
        <v>37</v>
      </c>
      <c r="Y869" s="1" t="s">
        <v>2730</v>
      </c>
      <c r="Z869" s="1">
        <v>5032</v>
      </c>
    </row>
    <row r="870" spans="1:26" ht="42">
      <c r="A870" s="1" t="str">
        <f>"000V6Y"</f>
        <v>000V6Y</v>
      </c>
      <c r="B870" s="1" t="s">
        <v>4596</v>
      </c>
      <c r="C870" s="1" t="s">
        <v>4597</v>
      </c>
      <c r="D870" s="1" t="str">
        <f>"8027283117"</f>
        <v>8027283117</v>
      </c>
      <c r="E870" s="1">
        <v>4929</v>
      </c>
      <c r="F870" s="1" t="s">
        <v>28</v>
      </c>
      <c r="G870" s="1" t="s">
        <v>4605</v>
      </c>
      <c r="H870" s="1"/>
      <c r="I870" s="1">
        <v>3</v>
      </c>
      <c r="J870" s="1"/>
      <c r="K870" s="1" t="s">
        <v>159</v>
      </c>
      <c r="L870" s="1"/>
      <c r="M870" s="1"/>
      <c r="N870" s="2">
        <v>42958</v>
      </c>
      <c r="O870" s="1"/>
      <c r="P870" s="2">
        <v>42958</v>
      </c>
      <c r="Q870" s="1" t="s">
        <v>105</v>
      </c>
      <c r="R870" s="1"/>
      <c r="S870" s="1" t="s">
        <v>35</v>
      </c>
      <c r="T870" s="1"/>
      <c r="U870" s="1"/>
      <c r="V870" s="1" t="s">
        <v>4606</v>
      </c>
      <c r="W870" s="1"/>
      <c r="X870" s="1" t="s">
        <v>37</v>
      </c>
      <c r="Y870" s="1" t="s">
        <v>2730</v>
      </c>
      <c r="Z870" s="1">
        <v>5032</v>
      </c>
    </row>
    <row r="871" spans="1:26" ht="42">
      <c r="A871" s="1" t="str">
        <f>"000V6Z"</f>
        <v>000V6Z</v>
      </c>
      <c r="B871" s="1" t="s">
        <v>4607</v>
      </c>
      <c r="C871" s="1" t="s">
        <v>4608</v>
      </c>
      <c r="D871" s="1" t="str">
        <f>"8024467004"</f>
        <v>8024467004</v>
      </c>
      <c r="E871" s="1">
        <v>4930</v>
      </c>
      <c r="F871" s="1" t="s">
        <v>28</v>
      </c>
      <c r="G871" s="1" t="s">
        <v>4609</v>
      </c>
      <c r="H871" s="1"/>
      <c r="I871" s="1">
        <v>2</v>
      </c>
      <c r="J871" s="1" t="s">
        <v>4610</v>
      </c>
      <c r="K871" s="1" t="s">
        <v>135</v>
      </c>
      <c r="L871" s="1" t="s">
        <v>2119</v>
      </c>
      <c r="M871" s="1" t="s">
        <v>4611</v>
      </c>
      <c r="N871" s="2">
        <v>42311</v>
      </c>
      <c r="O871" s="1"/>
      <c r="P871" s="1"/>
      <c r="Q871" s="1" t="s">
        <v>34</v>
      </c>
      <c r="R871" s="1"/>
      <c r="S871" s="1" t="s">
        <v>35</v>
      </c>
      <c r="T871" s="1">
        <v>43.407958999999998</v>
      </c>
      <c r="U871" s="1">
        <v>-73.002847999999901</v>
      </c>
      <c r="V871" s="1" t="s">
        <v>4612</v>
      </c>
      <c r="W871" s="1"/>
      <c r="X871" s="1" t="s">
        <v>37</v>
      </c>
      <c r="Y871" s="1" t="s">
        <v>2122</v>
      </c>
      <c r="Z871" s="1">
        <v>5773</v>
      </c>
    </row>
    <row r="872" spans="1:26" ht="28">
      <c r="A872" s="1" t="str">
        <f>"000V7K"</f>
        <v>000V7K</v>
      </c>
      <c r="B872" s="1" t="s">
        <v>4613</v>
      </c>
      <c r="C872" s="1" t="s">
        <v>4614</v>
      </c>
      <c r="D872" s="1"/>
      <c r="E872" s="1">
        <v>4931</v>
      </c>
      <c r="F872" s="1" t="s">
        <v>28</v>
      </c>
      <c r="G872" s="1" t="s">
        <v>4615</v>
      </c>
      <c r="H872" s="1"/>
      <c r="I872" s="1">
        <v>4</v>
      </c>
      <c r="J872" s="1" t="s">
        <v>4616</v>
      </c>
      <c r="K872" s="1" t="s">
        <v>527</v>
      </c>
      <c r="L872" s="1" t="s">
        <v>4617</v>
      </c>
      <c r="M872" s="1" t="s">
        <v>4618</v>
      </c>
      <c r="N872" s="2">
        <v>42325</v>
      </c>
      <c r="O872" s="1"/>
      <c r="P872" s="1"/>
      <c r="Q872" s="1" t="s">
        <v>34</v>
      </c>
      <c r="R872" s="1"/>
      <c r="S872" s="1" t="s">
        <v>35</v>
      </c>
      <c r="T872" s="1">
        <v>44.825274999999998</v>
      </c>
      <c r="U872" s="1">
        <v>-72.108238</v>
      </c>
      <c r="V872" s="1" t="s">
        <v>4619</v>
      </c>
      <c r="W872" s="1"/>
      <c r="X872" s="1" t="s">
        <v>37</v>
      </c>
      <c r="Y872" s="1" t="s">
        <v>4620</v>
      </c>
      <c r="Z872" s="1">
        <v>5860</v>
      </c>
    </row>
    <row r="873" spans="1:26" ht="42">
      <c r="A873" s="1" t="str">
        <f>"000V7P"</f>
        <v>000V7P</v>
      </c>
      <c r="B873" s="1" t="s">
        <v>4621</v>
      </c>
      <c r="C873" s="1" t="s">
        <v>4622</v>
      </c>
      <c r="D873" s="1" t="str">
        <f>"8022879408"</f>
        <v>8022879408</v>
      </c>
      <c r="E873" s="1">
        <v>4932</v>
      </c>
      <c r="F873" s="1" t="s">
        <v>28</v>
      </c>
      <c r="G873" s="1" t="s">
        <v>4623</v>
      </c>
      <c r="H873" s="1"/>
      <c r="I873" s="1">
        <v>1</v>
      </c>
      <c r="J873" s="1">
        <v>1</v>
      </c>
      <c r="K873" s="1" t="s">
        <v>135</v>
      </c>
      <c r="L873" s="1" t="s">
        <v>2337</v>
      </c>
      <c r="M873" s="1" t="s">
        <v>4624</v>
      </c>
      <c r="N873" s="2">
        <v>42332</v>
      </c>
      <c r="O873" s="1"/>
      <c r="P873" s="1"/>
      <c r="Q873" s="1" t="s">
        <v>34</v>
      </c>
      <c r="R873" s="1"/>
      <c r="S873" s="1" t="s">
        <v>35</v>
      </c>
      <c r="T873" s="1">
        <v>43.475833000000002</v>
      </c>
      <c r="U873" s="1">
        <v>-73.148642999999893</v>
      </c>
      <c r="V873" s="1" t="s">
        <v>4625</v>
      </c>
      <c r="W873" s="1"/>
      <c r="X873" s="1" t="s">
        <v>37</v>
      </c>
      <c r="Y873" s="1" t="s">
        <v>2340</v>
      </c>
      <c r="Z873" s="1">
        <v>5789</v>
      </c>
    </row>
    <row r="874" spans="1:26" ht="42">
      <c r="A874" s="1" t="str">
        <f>"000V7P"</f>
        <v>000V7P</v>
      </c>
      <c r="B874" s="1" t="s">
        <v>4621</v>
      </c>
      <c r="C874" s="1" t="s">
        <v>4622</v>
      </c>
      <c r="D874" s="1" t="str">
        <f>"8022879408"</f>
        <v>8022879408</v>
      </c>
      <c r="E874" s="1">
        <v>4932</v>
      </c>
      <c r="F874" s="1" t="s">
        <v>28</v>
      </c>
      <c r="G874" s="1" t="s">
        <v>4626</v>
      </c>
      <c r="H874" s="1"/>
      <c r="I874" s="1">
        <v>2</v>
      </c>
      <c r="J874" s="1">
        <v>2</v>
      </c>
      <c r="K874" s="1" t="s">
        <v>135</v>
      </c>
      <c r="L874" s="1" t="s">
        <v>136</v>
      </c>
      <c r="M874" s="1" t="s">
        <v>4627</v>
      </c>
      <c r="N874" s="2">
        <v>42332</v>
      </c>
      <c r="O874" s="1"/>
      <c r="P874" s="1"/>
      <c r="Q874" s="1" t="s">
        <v>34</v>
      </c>
      <c r="R874" s="1"/>
      <c r="S874" s="1" t="s">
        <v>35</v>
      </c>
      <c r="T874" s="1">
        <v>43.550179</v>
      </c>
      <c r="U874" s="1">
        <v>-73.182761999999997</v>
      </c>
      <c r="V874" s="1" t="s">
        <v>4628</v>
      </c>
      <c r="W874" s="1"/>
      <c r="X874" s="1" t="s">
        <v>37</v>
      </c>
      <c r="Y874" s="1" t="s">
        <v>139</v>
      </c>
      <c r="Z874" s="1">
        <v>5764</v>
      </c>
    </row>
    <row r="875" spans="1:26" ht="42">
      <c r="A875" s="1" t="str">
        <f>"000V7P"</f>
        <v>000V7P</v>
      </c>
      <c r="B875" s="1" t="s">
        <v>4621</v>
      </c>
      <c r="C875" s="1" t="s">
        <v>4622</v>
      </c>
      <c r="D875" s="1" t="str">
        <f>"8022879408"</f>
        <v>8022879408</v>
      </c>
      <c r="E875" s="1">
        <v>4932</v>
      </c>
      <c r="F875" s="1" t="s">
        <v>28</v>
      </c>
      <c r="G875" s="1" t="s">
        <v>4629</v>
      </c>
      <c r="H875" s="1"/>
      <c r="I875" s="1">
        <v>1</v>
      </c>
      <c r="J875" s="1">
        <v>4</v>
      </c>
      <c r="K875" s="1" t="s">
        <v>135</v>
      </c>
      <c r="L875" s="1" t="s">
        <v>2337</v>
      </c>
      <c r="M875" s="1" t="s">
        <v>4630</v>
      </c>
      <c r="N875" s="2">
        <v>42930</v>
      </c>
      <c r="O875" s="1"/>
      <c r="P875" s="1"/>
      <c r="Q875" s="1" t="s">
        <v>34</v>
      </c>
      <c r="R875" s="1"/>
      <c r="S875" s="1" t="s">
        <v>35</v>
      </c>
      <c r="T875" s="1"/>
      <c r="U875" s="1"/>
      <c r="V875" s="1" t="s">
        <v>158</v>
      </c>
      <c r="W875" s="1"/>
      <c r="X875" s="1" t="s">
        <v>37</v>
      </c>
      <c r="Y875" s="1" t="s">
        <v>2337</v>
      </c>
      <c r="Z875" s="1">
        <v>0</v>
      </c>
    </row>
    <row r="876" spans="1:26" ht="42">
      <c r="A876" s="1" t="str">
        <f>"000V7P"</f>
        <v>000V7P</v>
      </c>
      <c r="B876" s="1" t="s">
        <v>4621</v>
      </c>
      <c r="C876" s="1" t="s">
        <v>4622</v>
      </c>
      <c r="D876" s="1" t="str">
        <f>"8022879408"</f>
        <v>8022879408</v>
      </c>
      <c r="E876" s="1">
        <v>4932</v>
      </c>
      <c r="F876" s="1" t="s">
        <v>28</v>
      </c>
      <c r="G876" s="1" t="s">
        <v>4631</v>
      </c>
      <c r="H876" s="1"/>
      <c r="I876" s="1">
        <v>1</v>
      </c>
      <c r="J876" s="1">
        <v>6</v>
      </c>
      <c r="K876" s="1" t="s">
        <v>135</v>
      </c>
      <c r="L876" s="1" t="s">
        <v>2337</v>
      </c>
      <c r="M876" s="1" t="s">
        <v>4627</v>
      </c>
      <c r="N876" s="2">
        <v>42930</v>
      </c>
      <c r="O876" s="1"/>
      <c r="P876" s="1"/>
      <c r="Q876" s="1" t="s">
        <v>34</v>
      </c>
      <c r="R876" s="1"/>
      <c r="S876" s="1" t="s">
        <v>35</v>
      </c>
      <c r="T876" s="1">
        <v>43.485651999999902</v>
      </c>
      <c r="U876" s="1">
        <v>-73.151770999999997</v>
      </c>
      <c r="V876" s="1" t="s">
        <v>158</v>
      </c>
      <c r="W876" s="1"/>
      <c r="X876" s="1" t="s">
        <v>37</v>
      </c>
      <c r="Y876" s="1" t="s">
        <v>2337</v>
      </c>
      <c r="Z876" s="1">
        <v>0</v>
      </c>
    </row>
    <row r="877" spans="1:26" ht="42">
      <c r="A877" s="1" t="str">
        <f>"000V7Q"</f>
        <v>000V7Q</v>
      </c>
      <c r="B877" s="1" t="s">
        <v>4632</v>
      </c>
      <c r="C877" s="1" t="s">
        <v>4633</v>
      </c>
      <c r="D877" s="1" t="str">
        <f>"8022870598"</f>
        <v>8022870598</v>
      </c>
      <c r="E877" s="1">
        <v>4933</v>
      </c>
      <c r="F877" s="1" t="s">
        <v>28</v>
      </c>
      <c r="G877" s="1" t="s">
        <v>4634</v>
      </c>
      <c r="H877" s="1"/>
      <c r="I877" s="1">
        <v>4</v>
      </c>
      <c r="J877" s="1" t="s">
        <v>4635</v>
      </c>
      <c r="K877" s="1" t="s">
        <v>135</v>
      </c>
      <c r="L877" s="1" t="s">
        <v>1630</v>
      </c>
      <c r="M877" s="1" t="s">
        <v>4636</v>
      </c>
      <c r="N877" s="2">
        <v>42333</v>
      </c>
      <c r="O877" s="1"/>
      <c r="P877" s="1"/>
      <c r="Q877" s="1" t="s">
        <v>34</v>
      </c>
      <c r="R877" s="1"/>
      <c r="S877" s="1" t="s">
        <v>35</v>
      </c>
      <c r="T877" s="1">
        <v>43.613955799999999</v>
      </c>
      <c r="U877" s="1">
        <v>-73.173601199999993</v>
      </c>
      <c r="V877" s="1" t="s">
        <v>4637</v>
      </c>
      <c r="W877" s="1"/>
      <c r="X877" s="1" t="s">
        <v>37</v>
      </c>
      <c r="Y877" s="1" t="s">
        <v>1633</v>
      </c>
      <c r="Z877" s="1">
        <v>5735</v>
      </c>
    </row>
    <row r="878" spans="1:26" ht="42">
      <c r="A878" s="1" t="str">
        <f>"000V9X"</f>
        <v>000V9X</v>
      </c>
      <c r="B878" s="1" t="s">
        <v>4638</v>
      </c>
      <c r="C878" s="1" t="s">
        <v>4639</v>
      </c>
      <c r="D878" s="1" t="str">
        <f>"8028773009"</f>
        <v>8028773009</v>
      </c>
      <c r="E878" s="1">
        <v>4934</v>
      </c>
      <c r="F878" s="1" t="s">
        <v>28</v>
      </c>
      <c r="G878" s="1" t="s">
        <v>4640</v>
      </c>
      <c r="H878" s="1"/>
      <c r="I878" s="1">
        <v>10</v>
      </c>
      <c r="J878" s="1" t="s">
        <v>4641</v>
      </c>
      <c r="K878" s="1" t="s">
        <v>333</v>
      </c>
      <c r="L878" s="1" t="s">
        <v>687</v>
      </c>
      <c r="M878" s="1" t="s">
        <v>4642</v>
      </c>
      <c r="N878" s="2">
        <v>42377</v>
      </c>
      <c r="O878" s="1"/>
      <c r="P878" s="1"/>
      <c r="Q878" s="1" t="s">
        <v>34</v>
      </c>
      <c r="R878" s="1"/>
      <c r="S878" s="1" t="s">
        <v>35</v>
      </c>
      <c r="T878" s="1">
        <v>44.1635317</v>
      </c>
      <c r="U878" s="1">
        <v>-73.236468299999999</v>
      </c>
      <c r="V878" s="1" t="s">
        <v>4643</v>
      </c>
      <c r="W878" s="1"/>
      <c r="X878" s="1" t="s">
        <v>37</v>
      </c>
      <c r="Y878" s="1" t="s">
        <v>795</v>
      </c>
      <c r="Z878" s="1">
        <v>5491</v>
      </c>
    </row>
    <row r="879" spans="1:26" ht="42">
      <c r="A879" s="1" t="str">
        <f>"000V9X"</f>
        <v>000V9X</v>
      </c>
      <c r="B879" s="1" t="s">
        <v>4638</v>
      </c>
      <c r="C879" s="1" t="s">
        <v>4639</v>
      </c>
      <c r="D879" s="1" t="str">
        <f>"8028773009"</f>
        <v>8028773009</v>
      </c>
      <c r="E879" s="1">
        <v>4934</v>
      </c>
      <c r="F879" s="1" t="s">
        <v>28</v>
      </c>
      <c r="G879" s="1" t="s">
        <v>4644</v>
      </c>
      <c r="H879" s="1"/>
      <c r="I879" s="1">
        <v>3</v>
      </c>
      <c r="J879" s="1" t="s">
        <v>4645</v>
      </c>
      <c r="K879" s="1" t="s">
        <v>333</v>
      </c>
      <c r="L879" s="1" t="s">
        <v>679</v>
      </c>
      <c r="M879" s="1" t="s">
        <v>4645</v>
      </c>
      <c r="N879" s="2">
        <v>42528</v>
      </c>
      <c r="O879" s="1"/>
      <c r="P879" s="1"/>
      <c r="Q879" s="1" t="s">
        <v>34</v>
      </c>
      <c r="R879" s="1"/>
      <c r="S879" s="1" t="s">
        <v>35</v>
      </c>
      <c r="T879" s="1">
        <v>44.179188000000003</v>
      </c>
      <c r="U879" s="1">
        <v>-73.308608999999905</v>
      </c>
      <c r="V879" s="1" t="s">
        <v>4646</v>
      </c>
      <c r="W879" s="1"/>
      <c r="X879" s="1" t="s">
        <v>37</v>
      </c>
      <c r="Y879" s="1" t="s">
        <v>479</v>
      </c>
      <c r="Z879" s="1">
        <v>5491</v>
      </c>
    </row>
    <row r="880" spans="1:26" ht="42">
      <c r="A880" s="1" t="str">
        <f>"000V9X"</f>
        <v>000V9X</v>
      </c>
      <c r="B880" s="1" t="s">
        <v>4638</v>
      </c>
      <c r="C880" s="1" t="s">
        <v>4639</v>
      </c>
      <c r="D880" s="1" t="str">
        <f>"8028773009"</f>
        <v>8028773009</v>
      </c>
      <c r="E880" s="1">
        <v>4934</v>
      </c>
      <c r="F880" s="1" t="s">
        <v>28</v>
      </c>
      <c r="G880" s="1" t="s">
        <v>4647</v>
      </c>
      <c r="H880" s="1"/>
      <c r="I880" s="1">
        <v>2</v>
      </c>
      <c r="J880" s="1" t="s">
        <v>4648</v>
      </c>
      <c r="K880" s="1" t="s">
        <v>333</v>
      </c>
      <c r="L880" s="1" t="s">
        <v>923</v>
      </c>
      <c r="M880" s="1" t="s">
        <v>4649</v>
      </c>
      <c r="N880" s="2">
        <v>42892</v>
      </c>
      <c r="O880" s="1"/>
      <c r="P880" s="1"/>
      <c r="Q880" s="1" t="s">
        <v>34</v>
      </c>
      <c r="R880" s="1"/>
      <c r="S880" s="1" t="s">
        <v>35</v>
      </c>
      <c r="T880" s="1">
        <v>44.083847400000003</v>
      </c>
      <c r="U880" s="1">
        <v>-73.302909299999996</v>
      </c>
      <c r="V880" s="1" t="s">
        <v>4650</v>
      </c>
      <c r="W880" s="1"/>
      <c r="X880" s="1" t="s">
        <v>37</v>
      </c>
      <c r="Y880" s="1" t="s">
        <v>333</v>
      </c>
      <c r="Z880" s="1">
        <v>5491</v>
      </c>
    </row>
    <row r="881" spans="1:26" ht="42">
      <c r="A881" s="1" t="str">
        <f>"000VAD"</f>
        <v>000VAD</v>
      </c>
      <c r="B881" s="1" t="s">
        <v>4651</v>
      </c>
      <c r="C881" s="1" t="s">
        <v>4652</v>
      </c>
      <c r="D881" s="1" t="str">
        <f>"8023992740"</f>
        <v>8023992740</v>
      </c>
      <c r="E881" s="1">
        <v>4936</v>
      </c>
      <c r="F881" s="1" t="s">
        <v>28</v>
      </c>
      <c r="G881" s="1" t="s">
        <v>4653</v>
      </c>
      <c r="H881" s="1"/>
      <c r="I881" s="1">
        <v>3</v>
      </c>
      <c r="J881" s="1" t="s">
        <v>4654</v>
      </c>
      <c r="K881" s="1" t="s">
        <v>43</v>
      </c>
      <c r="L881" s="1"/>
      <c r="M881" s="1" t="s">
        <v>4655</v>
      </c>
      <c r="N881" s="2">
        <v>42382</v>
      </c>
      <c r="O881" s="1"/>
      <c r="P881" s="1"/>
      <c r="Q881" s="1" t="s">
        <v>34</v>
      </c>
      <c r="R881" s="1"/>
      <c r="S881" s="1" t="s">
        <v>35</v>
      </c>
      <c r="T881" s="1">
        <v>44.432780999999999</v>
      </c>
      <c r="U881" s="1">
        <v>-73.187289999999905</v>
      </c>
      <c r="V881" s="1" t="s">
        <v>4656</v>
      </c>
      <c r="W881" s="1"/>
      <c r="X881" s="1" t="s">
        <v>37</v>
      </c>
      <c r="Y881" s="1" t="s">
        <v>1111</v>
      </c>
      <c r="Z881" s="1">
        <v>5403</v>
      </c>
    </row>
    <row r="882" spans="1:26" ht="42">
      <c r="A882" s="1" t="str">
        <f>"000VAG"</f>
        <v>000VAG</v>
      </c>
      <c r="B882" s="1" t="s">
        <v>4657</v>
      </c>
      <c r="C882" s="1" t="s">
        <v>4658</v>
      </c>
      <c r="D882" s="1" t="str">
        <f>"8025242952"</f>
        <v>8025242952</v>
      </c>
      <c r="E882" s="1">
        <v>4938</v>
      </c>
      <c r="F882" s="1" t="s">
        <v>28</v>
      </c>
      <c r="G882" s="1" t="s">
        <v>4659</v>
      </c>
      <c r="H882" s="1"/>
      <c r="I882" s="1">
        <v>5</v>
      </c>
      <c r="J882" s="1" t="s">
        <v>4660</v>
      </c>
      <c r="K882" s="1" t="s">
        <v>152</v>
      </c>
      <c r="L882" s="1" t="s">
        <v>1143</v>
      </c>
      <c r="M882" s="1" t="s">
        <v>4661</v>
      </c>
      <c r="N882" s="2">
        <v>42382</v>
      </c>
      <c r="O882" s="1"/>
      <c r="P882" s="1"/>
      <c r="Q882" s="1" t="s">
        <v>34</v>
      </c>
      <c r="R882" s="1"/>
      <c r="S882" s="1" t="s">
        <v>35</v>
      </c>
      <c r="T882" s="1">
        <v>44.841377000000001</v>
      </c>
      <c r="U882" s="1">
        <v>-73.112967999999995</v>
      </c>
      <c r="V882" s="1" t="s">
        <v>4662</v>
      </c>
      <c r="W882" s="1"/>
      <c r="X882" s="1" t="s">
        <v>37</v>
      </c>
      <c r="Y882" s="1" t="s">
        <v>3409</v>
      </c>
      <c r="Z882" s="1">
        <v>5478</v>
      </c>
    </row>
    <row r="883" spans="1:26" ht="42">
      <c r="A883" s="1" t="str">
        <f>"000VAG"</f>
        <v>000VAG</v>
      </c>
      <c r="B883" s="1" t="s">
        <v>4657</v>
      </c>
      <c r="C883" s="1" t="s">
        <v>4658</v>
      </c>
      <c r="D883" s="1" t="str">
        <f>"8025242952"</f>
        <v>8025242952</v>
      </c>
      <c r="E883" s="1">
        <v>4938</v>
      </c>
      <c r="F883" s="1" t="s">
        <v>28</v>
      </c>
      <c r="G883" s="1" t="s">
        <v>4663</v>
      </c>
      <c r="H883" s="1"/>
      <c r="I883" s="1">
        <v>5</v>
      </c>
      <c r="J883" s="1" t="s">
        <v>4664</v>
      </c>
      <c r="K883" s="1" t="s">
        <v>152</v>
      </c>
      <c r="L883" s="1" t="s">
        <v>1137</v>
      </c>
      <c r="M883" s="1" t="s">
        <v>4665</v>
      </c>
      <c r="N883" s="2">
        <v>42552</v>
      </c>
      <c r="O883" s="1"/>
      <c r="P883" s="1"/>
      <c r="Q883" s="1" t="s">
        <v>34</v>
      </c>
      <c r="R883" s="1"/>
      <c r="S883" s="1" t="s">
        <v>35</v>
      </c>
      <c r="T883" s="1">
        <v>44.864897900000003</v>
      </c>
      <c r="U883" s="1">
        <v>-73.125788</v>
      </c>
      <c r="V883" s="1" t="s">
        <v>4664</v>
      </c>
      <c r="W883" s="1"/>
      <c r="X883" s="1" t="s">
        <v>37</v>
      </c>
      <c r="Y883" s="1" t="s">
        <v>1140</v>
      </c>
      <c r="Z883" s="1">
        <v>5488</v>
      </c>
    </row>
    <row r="884" spans="1:26" ht="42">
      <c r="A884" s="1" t="str">
        <f>"000VB7"</f>
        <v>000VB7</v>
      </c>
      <c r="B884" s="1" t="s">
        <v>4666</v>
      </c>
      <c r="C884" s="1" t="s">
        <v>4667</v>
      </c>
      <c r="D884" s="1" t="str">
        <f>"8028754112"</f>
        <v>8028754112</v>
      </c>
      <c r="E884" s="1">
        <v>4939</v>
      </c>
      <c r="F884" s="1" t="s">
        <v>28</v>
      </c>
      <c r="G884" s="1" t="s">
        <v>4668</v>
      </c>
      <c r="H884" s="1"/>
      <c r="I884" s="1">
        <v>4</v>
      </c>
      <c r="J884" s="1" t="s">
        <v>4669</v>
      </c>
      <c r="K884" s="1" t="s">
        <v>77</v>
      </c>
      <c r="L884" s="1" t="s">
        <v>309</v>
      </c>
      <c r="M884" s="1" t="s">
        <v>4670</v>
      </c>
      <c r="N884" s="2">
        <v>42401</v>
      </c>
      <c r="O884" s="1"/>
      <c r="P884" s="1"/>
      <c r="Q884" s="1" t="s">
        <v>34</v>
      </c>
      <c r="R884" s="1"/>
      <c r="S884" s="1" t="s">
        <v>35</v>
      </c>
      <c r="T884" s="1"/>
      <c r="U884" s="1"/>
      <c r="V884" s="1" t="s">
        <v>4671</v>
      </c>
      <c r="W884" s="1"/>
      <c r="X884" s="1" t="s">
        <v>37</v>
      </c>
      <c r="Y884" s="1" t="s">
        <v>312</v>
      </c>
      <c r="Z884" s="1">
        <v>5143</v>
      </c>
    </row>
    <row r="885" spans="1:26" ht="42">
      <c r="A885" s="1" t="str">
        <f>"000VC3"</f>
        <v>000VC3</v>
      </c>
      <c r="B885" s="1" t="s">
        <v>4672</v>
      </c>
      <c r="C885" s="1" t="s">
        <v>4673</v>
      </c>
      <c r="D885" s="1" t="str">
        <f>"8028936501"</f>
        <v>8028936501</v>
      </c>
      <c r="E885" s="1">
        <v>4942</v>
      </c>
      <c r="F885" s="1" t="s">
        <v>28</v>
      </c>
      <c r="G885" s="1" t="s">
        <v>4674</v>
      </c>
      <c r="H885" s="1"/>
      <c r="I885" s="1">
        <v>1</v>
      </c>
      <c r="J885" s="1" t="s">
        <v>4675</v>
      </c>
      <c r="K885" s="1" t="s">
        <v>43</v>
      </c>
      <c r="L885" s="1" t="s">
        <v>728</v>
      </c>
      <c r="M885" s="1" t="s">
        <v>4676</v>
      </c>
      <c r="N885" s="2">
        <v>42417</v>
      </c>
      <c r="O885" s="1"/>
      <c r="P885" s="2">
        <v>42542</v>
      </c>
      <c r="Q885" s="1" t="s">
        <v>34</v>
      </c>
      <c r="R885" s="1"/>
      <c r="S885" s="1" t="s">
        <v>35</v>
      </c>
      <c r="T885" s="1">
        <v>44.3122811</v>
      </c>
      <c r="U885" s="1">
        <v>-73.231058700000006</v>
      </c>
      <c r="V885" s="1" t="s">
        <v>4677</v>
      </c>
      <c r="W885" s="1"/>
      <c r="X885" s="1" t="s">
        <v>37</v>
      </c>
      <c r="Y885" s="1" t="s">
        <v>736</v>
      </c>
      <c r="Z885" s="1">
        <v>5445</v>
      </c>
    </row>
    <row r="886" spans="1:26" ht="42">
      <c r="A886" s="1" t="str">
        <f>"000VJ0"</f>
        <v>000VJ0</v>
      </c>
      <c r="B886" s="1" t="s">
        <v>4678</v>
      </c>
      <c r="C886" s="1" t="s">
        <v>4679</v>
      </c>
      <c r="D886" s="1" t="str">
        <f>"8023633931"</f>
        <v>8023633931</v>
      </c>
      <c r="E886" s="1">
        <v>4943</v>
      </c>
      <c r="F886" s="1" t="s">
        <v>28</v>
      </c>
      <c r="G886" s="1" t="s">
        <v>4680</v>
      </c>
      <c r="H886" s="1"/>
      <c r="I886" s="1">
        <v>2</v>
      </c>
      <c r="J886" s="1" t="s">
        <v>4681</v>
      </c>
      <c r="K886" s="1" t="s">
        <v>43</v>
      </c>
      <c r="L886" s="1" t="s">
        <v>728</v>
      </c>
      <c r="M886" s="1" t="s">
        <v>4682</v>
      </c>
      <c r="N886" s="2">
        <v>42473</v>
      </c>
      <c r="O886" s="1"/>
      <c r="P886" s="2">
        <v>42542</v>
      </c>
      <c r="Q886" s="1" t="s">
        <v>34</v>
      </c>
      <c r="R886" s="1"/>
      <c r="S886" s="1" t="s">
        <v>35</v>
      </c>
      <c r="T886" s="1">
        <v>44.348315900000003</v>
      </c>
      <c r="U886" s="1">
        <v>-73.261809999999997</v>
      </c>
      <c r="V886" s="1" t="s">
        <v>4683</v>
      </c>
      <c r="W886" s="1"/>
      <c r="X886" s="1" t="s">
        <v>37</v>
      </c>
      <c r="Y886" s="1" t="s">
        <v>736</v>
      </c>
      <c r="Z886" s="1">
        <v>5445</v>
      </c>
    </row>
    <row r="887" spans="1:26" ht="42">
      <c r="A887" s="1" t="str">
        <f>"000VJ1"</f>
        <v>000VJ1</v>
      </c>
      <c r="B887" s="1" t="s">
        <v>4684</v>
      </c>
      <c r="C887" s="1" t="s">
        <v>4685</v>
      </c>
      <c r="D887" s="1" t="str">
        <f>"8028245896"</f>
        <v>8028245896</v>
      </c>
      <c r="E887" s="1">
        <v>4944</v>
      </c>
      <c r="F887" s="1" t="s">
        <v>28</v>
      </c>
      <c r="G887" s="1" t="s">
        <v>4686</v>
      </c>
      <c r="H887" s="1"/>
      <c r="I887" s="1">
        <v>1</v>
      </c>
      <c r="J887" s="1">
        <v>1</v>
      </c>
      <c r="K887" s="1" t="s">
        <v>144</v>
      </c>
      <c r="L887" s="1" t="s">
        <v>578</v>
      </c>
      <c r="M887" s="1" t="s">
        <v>4687</v>
      </c>
      <c r="N887" s="2">
        <v>42473</v>
      </c>
      <c r="O887" s="1"/>
      <c r="P887" s="1"/>
      <c r="Q887" s="1" t="s">
        <v>34</v>
      </c>
      <c r="R887" s="1"/>
      <c r="S887" s="1" t="s">
        <v>35</v>
      </c>
      <c r="T887" s="1">
        <v>43.233586000000003</v>
      </c>
      <c r="U887" s="1">
        <v>-72.841266000000005</v>
      </c>
      <c r="V887" s="1" t="s">
        <v>4688</v>
      </c>
      <c r="W887" s="1"/>
      <c r="X887" s="1" t="s">
        <v>37</v>
      </c>
      <c r="Y887" s="1" t="s">
        <v>579</v>
      </c>
      <c r="Z887" s="1">
        <v>5148</v>
      </c>
    </row>
    <row r="888" spans="1:26" ht="42">
      <c r="A888" s="1" t="str">
        <f>"000VJ2"</f>
        <v>000VJ2</v>
      </c>
      <c r="B888" s="1" t="s">
        <v>4689</v>
      </c>
      <c r="C888" s="1" t="s">
        <v>4690</v>
      </c>
      <c r="D888" s="1" t="str">
        <f>"6172661858"</f>
        <v>6172661858</v>
      </c>
      <c r="E888" s="1">
        <v>4945</v>
      </c>
      <c r="F888" s="1" t="s">
        <v>28</v>
      </c>
      <c r="G888" s="1" t="s">
        <v>4691</v>
      </c>
      <c r="H888" s="1"/>
      <c r="I888" s="1">
        <v>4</v>
      </c>
      <c r="J888" s="1" t="s">
        <v>4692</v>
      </c>
      <c r="K888" s="1" t="s">
        <v>77</v>
      </c>
      <c r="L888" s="1" t="s">
        <v>4693</v>
      </c>
      <c r="M888" s="1" t="s">
        <v>4694</v>
      </c>
      <c r="N888" s="2">
        <v>42473</v>
      </c>
      <c r="O888" s="1"/>
      <c r="P888" s="2">
        <v>43261</v>
      </c>
      <c r="Q888" s="1" t="s">
        <v>34</v>
      </c>
      <c r="R888" s="1"/>
      <c r="S888" s="1" t="s">
        <v>35</v>
      </c>
      <c r="T888" s="1">
        <v>43.717691299999998</v>
      </c>
      <c r="U888" s="1">
        <v>-72.466752400000004</v>
      </c>
      <c r="V888" s="1" t="s">
        <v>4695</v>
      </c>
      <c r="W888" s="1"/>
      <c r="X888" s="1" t="s">
        <v>37</v>
      </c>
      <c r="Y888" s="1" t="s">
        <v>4696</v>
      </c>
      <c r="Z888" s="1">
        <v>5053</v>
      </c>
    </row>
    <row r="889" spans="1:26" ht="42">
      <c r="A889" s="1" t="str">
        <f>"000VJ4"</f>
        <v>000VJ4</v>
      </c>
      <c r="B889" s="1" t="s">
        <v>4697</v>
      </c>
      <c r="C889" s="1" t="s">
        <v>4698</v>
      </c>
      <c r="D889" s="1" t="str">
        <f>"4134985748"</f>
        <v>4134985748</v>
      </c>
      <c r="E889" s="1">
        <v>4946</v>
      </c>
      <c r="F889" s="1" t="s">
        <v>28</v>
      </c>
      <c r="G889" s="1" t="s">
        <v>4699</v>
      </c>
      <c r="H889" s="1"/>
      <c r="I889" s="1">
        <v>6</v>
      </c>
      <c r="J889" s="1">
        <v>1</v>
      </c>
      <c r="K889" s="1" t="s">
        <v>144</v>
      </c>
      <c r="L889" s="1" t="s">
        <v>4700</v>
      </c>
      <c r="M889" s="1" t="s">
        <v>4701</v>
      </c>
      <c r="N889" s="2">
        <v>42473</v>
      </c>
      <c r="O889" s="1"/>
      <c r="P889" s="1"/>
      <c r="Q889" s="1" t="s">
        <v>34</v>
      </c>
      <c r="R889" s="1"/>
      <c r="S889" s="1" t="s">
        <v>35</v>
      </c>
      <c r="T889" s="1">
        <v>42.849220799999998</v>
      </c>
      <c r="U889" s="1">
        <v>-72.725548899999893</v>
      </c>
      <c r="V889" s="1" t="s">
        <v>4702</v>
      </c>
      <c r="W889" s="1"/>
      <c r="X889" s="1" t="s">
        <v>37</v>
      </c>
      <c r="Y889" s="1" t="s">
        <v>4703</v>
      </c>
      <c r="Z889" s="1">
        <v>5344</v>
      </c>
    </row>
    <row r="890" spans="1:26" ht="42">
      <c r="A890" s="1" t="str">
        <f>"000VKC"</f>
        <v>000VKC</v>
      </c>
      <c r="B890" s="1" t="s">
        <v>4704</v>
      </c>
      <c r="C890" s="1" t="s">
        <v>4705</v>
      </c>
      <c r="D890" s="1" t="str">
        <f>"8028999927"</f>
        <v>8028999927</v>
      </c>
      <c r="E890" s="1">
        <v>4948</v>
      </c>
      <c r="F890" s="1" t="s">
        <v>28</v>
      </c>
      <c r="G890" s="1" t="s">
        <v>4706</v>
      </c>
      <c r="H890" s="1"/>
      <c r="I890" s="1">
        <v>2</v>
      </c>
      <c r="J890" s="1">
        <v>1</v>
      </c>
      <c r="K890" s="1" t="s">
        <v>43</v>
      </c>
      <c r="L890" s="1" t="s">
        <v>112</v>
      </c>
      <c r="M890" s="1" t="s">
        <v>4707</v>
      </c>
      <c r="N890" s="2">
        <v>42481</v>
      </c>
      <c r="O890" s="1"/>
      <c r="P890" s="1"/>
      <c r="Q890" s="1" t="s">
        <v>34</v>
      </c>
      <c r="R890" s="1"/>
      <c r="S890" s="1" t="s">
        <v>35</v>
      </c>
      <c r="T890" s="1">
        <v>44.521169200000003</v>
      </c>
      <c r="U890" s="1">
        <v>-72.9387361</v>
      </c>
      <c r="V890" s="1" t="s">
        <v>4708</v>
      </c>
      <c r="W890" s="1"/>
      <c r="X890" s="1" t="s">
        <v>37</v>
      </c>
      <c r="Y890" s="1" t="s">
        <v>115</v>
      </c>
      <c r="Z890" s="1">
        <v>5489</v>
      </c>
    </row>
    <row r="891" spans="1:26" ht="42">
      <c r="A891" s="1" t="str">
        <f>"000VKG"</f>
        <v>000VKG</v>
      </c>
      <c r="B891" s="1" t="s">
        <v>4709</v>
      </c>
      <c r="C891" s="1" t="s">
        <v>4710</v>
      </c>
      <c r="D891" s="1" t="str">
        <f>"8133858482"</f>
        <v>8133858482</v>
      </c>
      <c r="E891" s="1">
        <v>4949</v>
      </c>
      <c r="F891" s="1" t="s">
        <v>28</v>
      </c>
      <c r="G891" s="1" t="s">
        <v>4711</v>
      </c>
      <c r="H891" s="1"/>
      <c r="I891" s="1">
        <v>2</v>
      </c>
      <c r="J891" s="1" t="s">
        <v>4712</v>
      </c>
      <c r="K891" s="1" t="s">
        <v>43</v>
      </c>
      <c r="L891" s="1"/>
      <c r="M891" s="1" t="s">
        <v>4713</v>
      </c>
      <c r="N891" s="2">
        <v>42487</v>
      </c>
      <c r="O891" s="1"/>
      <c r="P891" s="1"/>
      <c r="Q891" s="1" t="s">
        <v>34</v>
      </c>
      <c r="R891" s="1"/>
      <c r="S891" s="1" t="s">
        <v>35</v>
      </c>
      <c r="T891" s="1">
        <v>44.413104999999902</v>
      </c>
      <c r="U891" s="1">
        <v>-73.247703999999999</v>
      </c>
      <c r="V891" s="1" t="s">
        <v>4714</v>
      </c>
      <c r="W891" s="1"/>
      <c r="X891" s="1" t="s">
        <v>37</v>
      </c>
      <c r="Y891" s="1" t="s">
        <v>725</v>
      </c>
      <c r="Z891" s="1">
        <v>5482</v>
      </c>
    </row>
    <row r="892" spans="1:26" ht="42">
      <c r="A892" s="1" t="str">
        <f>"000VM2"</f>
        <v>000VM2</v>
      </c>
      <c r="B892" s="1" t="s">
        <v>4715</v>
      </c>
      <c r="C892" s="1" t="s">
        <v>4716</v>
      </c>
      <c r="D892" s="1" t="str">
        <f>"8028816539"</f>
        <v>8028816539</v>
      </c>
      <c r="E892" s="1">
        <v>4950</v>
      </c>
      <c r="F892" s="1" t="s">
        <v>28</v>
      </c>
      <c r="G892" s="1" t="s">
        <v>4717</v>
      </c>
      <c r="H892" s="1"/>
      <c r="I892" s="1">
        <v>2</v>
      </c>
      <c r="J892" s="1" t="s">
        <v>4718</v>
      </c>
      <c r="K892" s="1" t="s">
        <v>333</v>
      </c>
      <c r="L892" s="1" t="s">
        <v>807</v>
      </c>
      <c r="M892" s="1" t="s">
        <v>4719</v>
      </c>
      <c r="N892" s="2">
        <v>42493</v>
      </c>
      <c r="O892" s="1"/>
      <c r="P892" s="1"/>
      <c r="Q892" s="1" t="s">
        <v>34</v>
      </c>
      <c r="R892" s="1"/>
      <c r="S892" s="1" t="s">
        <v>35</v>
      </c>
      <c r="T892" s="1">
        <v>44.263947100000003</v>
      </c>
      <c r="U892" s="1">
        <v>-73.164956799999999</v>
      </c>
      <c r="V892" s="1" t="s">
        <v>4720</v>
      </c>
      <c r="W892" s="1"/>
      <c r="X892" s="1" t="s">
        <v>37</v>
      </c>
      <c r="Y892" s="1" t="s">
        <v>1791</v>
      </c>
      <c r="Z892" s="1">
        <v>5469</v>
      </c>
    </row>
    <row r="893" spans="1:26" ht="42">
      <c r="A893" s="1" t="str">
        <f>"000VM5"</f>
        <v>000VM5</v>
      </c>
      <c r="B893" s="1" t="s">
        <v>4721</v>
      </c>
      <c r="C893" s="1" t="s">
        <v>4722</v>
      </c>
      <c r="D893" s="1" t="str">
        <f>"8028492949"</f>
        <v>8028492949</v>
      </c>
      <c r="E893" s="1">
        <v>4953</v>
      </c>
      <c r="F893" s="1" t="s">
        <v>28</v>
      </c>
      <c r="G893" s="1" t="s">
        <v>4723</v>
      </c>
      <c r="H893" s="1"/>
      <c r="I893" s="1">
        <v>3</v>
      </c>
      <c r="J893" s="1" t="s">
        <v>4724</v>
      </c>
      <c r="K893" s="1" t="s">
        <v>152</v>
      </c>
      <c r="L893" s="1" t="s">
        <v>1048</v>
      </c>
      <c r="M893" s="1" t="s">
        <v>4725</v>
      </c>
      <c r="N893" s="2">
        <v>42493</v>
      </c>
      <c r="O893" s="1"/>
      <c r="P893" s="1"/>
      <c r="Q893" s="1" t="s">
        <v>34</v>
      </c>
      <c r="R893" s="1"/>
      <c r="S893" s="1" t="s">
        <v>35</v>
      </c>
      <c r="T893" s="1">
        <v>44.733462000000003</v>
      </c>
      <c r="U893" s="1">
        <v>-73.032589999999999</v>
      </c>
      <c r="V893" s="1" t="s">
        <v>4726</v>
      </c>
      <c r="W893" s="1"/>
      <c r="X893" s="1" t="s">
        <v>37</v>
      </c>
      <c r="Y893" s="1" t="s">
        <v>1051</v>
      </c>
      <c r="Z893" s="1">
        <v>5454</v>
      </c>
    </row>
    <row r="894" spans="1:26" ht="42">
      <c r="A894" s="1" t="str">
        <f>"000VN4"</f>
        <v>000VN4</v>
      </c>
      <c r="B894" s="1" t="s">
        <v>4727</v>
      </c>
      <c r="C894" s="1" t="s">
        <v>4728</v>
      </c>
      <c r="D894" s="1" t="str">
        <f>"6318739070"</f>
        <v>6318739070</v>
      </c>
      <c r="E894" s="1">
        <v>4956</v>
      </c>
      <c r="F894" s="1" t="s">
        <v>28</v>
      </c>
      <c r="G894" s="1" t="s">
        <v>4729</v>
      </c>
      <c r="H894" s="1"/>
      <c r="I894" s="1">
        <v>2</v>
      </c>
      <c r="J894" s="1" t="s">
        <v>4730</v>
      </c>
      <c r="K894" s="1" t="s">
        <v>144</v>
      </c>
      <c r="L894" s="1" t="s">
        <v>492</v>
      </c>
      <c r="M894" s="1" t="s">
        <v>4731</v>
      </c>
      <c r="N894" s="2">
        <v>42503</v>
      </c>
      <c r="O894" s="1"/>
      <c r="P894" s="1"/>
      <c r="Q894" s="1" t="s">
        <v>34</v>
      </c>
      <c r="R894" s="1"/>
      <c r="S894" s="1" t="s">
        <v>35</v>
      </c>
      <c r="T894" s="1">
        <v>42.833129999999997</v>
      </c>
      <c r="U894" s="1">
        <v>-72.641439999999903</v>
      </c>
      <c r="V894" s="1" t="s">
        <v>4732</v>
      </c>
      <c r="W894" s="1"/>
      <c r="X894" s="1" t="s">
        <v>37</v>
      </c>
      <c r="Y894" s="1" t="s">
        <v>619</v>
      </c>
      <c r="Z894" s="1">
        <v>5301</v>
      </c>
    </row>
    <row r="895" spans="1:26" ht="42">
      <c r="A895" s="1" t="str">
        <f>"000VNF"</f>
        <v>000VNF</v>
      </c>
      <c r="B895" s="1" t="s">
        <v>4733</v>
      </c>
      <c r="C895" s="1" t="s">
        <v>4734</v>
      </c>
      <c r="D895" s="1" t="str">
        <f>"8024463148"</f>
        <v>8024463148</v>
      </c>
      <c r="E895" s="1">
        <v>4957</v>
      </c>
      <c r="F895" s="1" t="s">
        <v>28</v>
      </c>
      <c r="G895" s="1" t="s">
        <v>4735</v>
      </c>
      <c r="H895" s="1"/>
      <c r="I895" s="1">
        <v>3</v>
      </c>
      <c r="J895" s="1" t="s">
        <v>4736</v>
      </c>
      <c r="K895" s="1" t="s">
        <v>135</v>
      </c>
      <c r="L895" s="1" t="s">
        <v>1214</v>
      </c>
      <c r="M895" s="1" t="s">
        <v>4737</v>
      </c>
      <c r="N895" s="2">
        <v>42506</v>
      </c>
      <c r="O895" s="1"/>
      <c r="P895" s="2">
        <v>42580</v>
      </c>
      <c r="Q895" s="1" t="s">
        <v>34</v>
      </c>
      <c r="R895" s="1"/>
      <c r="S895" s="1" t="s">
        <v>35</v>
      </c>
      <c r="T895" s="1">
        <v>43.413345796736898</v>
      </c>
      <c r="U895" s="1">
        <v>-73.048447059081795</v>
      </c>
      <c r="V895" s="1" t="s">
        <v>4738</v>
      </c>
      <c r="W895" s="1"/>
      <c r="X895" s="1" t="s">
        <v>37</v>
      </c>
      <c r="Y895" s="1" t="s">
        <v>1217</v>
      </c>
      <c r="Z895" s="1">
        <v>5773</v>
      </c>
    </row>
    <row r="896" spans="1:26" ht="42">
      <c r="A896" s="1" t="str">
        <f>"000VNG"</f>
        <v>000VNG</v>
      </c>
      <c r="B896" s="1" t="s">
        <v>4739</v>
      </c>
      <c r="C896" s="1" t="s">
        <v>4740</v>
      </c>
      <c r="D896" s="1" t="str">
        <f>"8025785821"</f>
        <v>8025785821</v>
      </c>
      <c r="E896" s="1">
        <v>4958</v>
      </c>
      <c r="F896" s="1" t="s">
        <v>28</v>
      </c>
      <c r="G896" s="1" t="s">
        <v>4741</v>
      </c>
      <c r="H896" s="1"/>
      <c r="I896" s="1">
        <v>1</v>
      </c>
      <c r="J896" s="1" t="s">
        <v>4742</v>
      </c>
      <c r="K896" s="1" t="s">
        <v>31</v>
      </c>
      <c r="L896" s="1" t="s">
        <v>120</v>
      </c>
      <c r="M896" s="1" t="s">
        <v>4743</v>
      </c>
      <c r="N896" s="2">
        <v>42506</v>
      </c>
      <c r="O896" s="1"/>
      <c r="P896" s="1"/>
      <c r="Q896" s="1" t="s">
        <v>34</v>
      </c>
      <c r="R896" s="1"/>
      <c r="S896" s="1" t="s">
        <v>35</v>
      </c>
      <c r="T896" s="1">
        <v>44.376005800000001</v>
      </c>
      <c r="U896" s="1">
        <v>-72.721862599999994</v>
      </c>
      <c r="V896" s="1" t="s">
        <v>4744</v>
      </c>
      <c r="W896" s="1"/>
      <c r="X896" s="1" t="s">
        <v>37</v>
      </c>
      <c r="Y896" s="1" t="s">
        <v>123</v>
      </c>
      <c r="Z896" s="1">
        <v>5677</v>
      </c>
    </row>
    <row r="897" spans="1:26" ht="42">
      <c r="A897" s="1" t="str">
        <f>"000VNJ"</f>
        <v>000VNJ</v>
      </c>
      <c r="B897" s="1" t="s">
        <v>4745</v>
      </c>
      <c r="C897" s="1" t="s">
        <v>4746</v>
      </c>
      <c r="D897" s="1" t="str">
        <f>"6034544426"</f>
        <v>6034544426</v>
      </c>
      <c r="E897" s="1">
        <v>4959</v>
      </c>
      <c r="F897" s="1" t="s">
        <v>28</v>
      </c>
      <c r="G897" s="1" t="s">
        <v>4747</v>
      </c>
      <c r="H897" s="1"/>
      <c r="I897" s="1">
        <v>3</v>
      </c>
      <c r="J897" s="1" t="s">
        <v>4748</v>
      </c>
      <c r="K897" s="1" t="s">
        <v>59</v>
      </c>
      <c r="L897" s="1" t="s">
        <v>3693</v>
      </c>
      <c r="M897" s="1" t="s">
        <v>4749</v>
      </c>
      <c r="N897" s="2">
        <v>42506</v>
      </c>
      <c r="O897" s="1"/>
      <c r="P897" s="1"/>
      <c r="Q897" s="1" t="s">
        <v>34</v>
      </c>
      <c r="R897" s="1"/>
      <c r="S897" s="1" t="s">
        <v>35</v>
      </c>
      <c r="T897" s="1">
        <v>44.3393181</v>
      </c>
      <c r="U897" s="1">
        <v>-72.117741599999903</v>
      </c>
      <c r="V897" s="1" t="s">
        <v>4750</v>
      </c>
      <c r="W897" s="1"/>
      <c r="X897" s="1" t="s">
        <v>37</v>
      </c>
      <c r="Y897" s="1" t="s">
        <v>4751</v>
      </c>
      <c r="Z897" s="1">
        <v>5821</v>
      </c>
    </row>
    <row r="898" spans="1:26" ht="42">
      <c r="A898" s="1" t="str">
        <f>"000VQQ"</f>
        <v>000VQQ</v>
      </c>
      <c r="B898" s="1" t="s">
        <v>4752</v>
      </c>
      <c r="C898" s="1" t="s">
        <v>4753</v>
      </c>
      <c r="D898" s="1" t="str">
        <f>"8027283698"</f>
        <v>8027283698</v>
      </c>
      <c r="E898" s="1">
        <v>4961</v>
      </c>
      <c r="F898" s="1" t="s">
        <v>28</v>
      </c>
      <c r="G898" s="1" t="s">
        <v>4754</v>
      </c>
      <c r="H898" s="1"/>
      <c r="I898" s="1">
        <v>2</v>
      </c>
      <c r="J898" s="1" t="s">
        <v>4755</v>
      </c>
      <c r="K898" s="1" t="s">
        <v>68</v>
      </c>
      <c r="L898" s="1" t="s">
        <v>2265</v>
      </c>
      <c r="M898" s="1" t="s">
        <v>4756</v>
      </c>
      <c r="N898" s="2">
        <v>42514</v>
      </c>
      <c r="O898" s="1"/>
      <c r="P898" s="1"/>
      <c r="Q898" s="1" t="s">
        <v>34</v>
      </c>
      <c r="R898" s="1"/>
      <c r="S898" s="1" t="s">
        <v>35</v>
      </c>
      <c r="T898" s="1">
        <v>44.050357699999999</v>
      </c>
      <c r="U898" s="1">
        <v>-72.654808099999897</v>
      </c>
      <c r="V898" s="1" t="s">
        <v>4757</v>
      </c>
      <c r="W898" s="1"/>
      <c r="X898" s="1" t="s">
        <v>37</v>
      </c>
      <c r="Y898" s="1" t="s">
        <v>4758</v>
      </c>
      <c r="Z898" s="1">
        <v>5060</v>
      </c>
    </row>
    <row r="899" spans="1:26" ht="42">
      <c r="A899" s="1" t="str">
        <f>"000VV3"</f>
        <v>000VV3</v>
      </c>
      <c r="B899" s="1" t="s">
        <v>4759</v>
      </c>
      <c r="C899" s="1" t="s">
        <v>4760</v>
      </c>
      <c r="D899" s="1" t="str">
        <f>"8024962364"</f>
        <v>8024962364</v>
      </c>
      <c r="E899" s="1">
        <v>4962</v>
      </c>
      <c r="F899" s="1" t="s">
        <v>28</v>
      </c>
      <c r="G899" s="1" t="s">
        <v>4761</v>
      </c>
      <c r="H899" s="1"/>
      <c r="I899" s="1">
        <v>1</v>
      </c>
      <c r="J899" s="1" t="s">
        <v>4762</v>
      </c>
      <c r="K899" s="1" t="s">
        <v>31</v>
      </c>
      <c r="L899" s="1" t="s">
        <v>94</v>
      </c>
      <c r="M899" s="1" t="s">
        <v>4763</v>
      </c>
      <c r="N899" s="2">
        <v>42514</v>
      </c>
      <c r="O899" s="1"/>
      <c r="P899" s="1"/>
      <c r="Q899" s="1" t="s">
        <v>34</v>
      </c>
      <c r="R899" s="1"/>
      <c r="S899" s="1" t="s">
        <v>35</v>
      </c>
      <c r="T899" s="1">
        <v>44.170506000000003</v>
      </c>
      <c r="U899" s="1">
        <v>-72.813498899999999</v>
      </c>
      <c r="V899" s="1" t="s">
        <v>4764</v>
      </c>
      <c r="W899" s="1"/>
      <c r="X899" s="1" t="s">
        <v>37</v>
      </c>
      <c r="Y899" s="1" t="s">
        <v>96</v>
      </c>
      <c r="Z899" s="1">
        <v>5673</v>
      </c>
    </row>
    <row r="900" spans="1:26" ht="42">
      <c r="A900" s="1" t="str">
        <f>"000VV4"</f>
        <v>000VV4</v>
      </c>
      <c r="B900" s="1" t="s">
        <v>4765</v>
      </c>
      <c r="C900" s="1" t="s">
        <v>4766</v>
      </c>
      <c r="D900" s="1" t="str">
        <f>"8022729676"</f>
        <v>8022729676</v>
      </c>
      <c r="E900" s="1">
        <v>4963</v>
      </c>
      <c r="F900" s="1" t="s">
        <v>28</v>
      </c>
      <c r="G900" s="1" t="s">
        <v>4767</v>
      </c>
      <c r="H900" s="1"/>
      <c r="I900" s="1">
        <v>0</v>
      </c>
      <c r="J900" s="1" t="s">
        <v>4768</v>
      </c>
      <c r="K900" s="1" t="s">
        <v>31</v>
      </c>
      <c r="L900" s="1" t="s">
        <v>1293</v>
      </c>
      <c r="M900" s="1" t="s">
        <v>4769</v>
      </c>
      <c r="N900" s="2">
        <v>42514</v>
      </c>
      <c r="O900" s="1"/>
      <c r="P900" s="1"/>
      <c r="Q900" s="1" t="s">
        <v>34</v>
      </c>
      <c r="R900" s="1"/>
      <c r="S900" s="1" t="s">
        <v>35</v>
      </c>
      <c r="T900" s="1">
        <v>44.270291</v>
      </c>
      <c r="U900" s="1">
        <v>-72.582921999999996</v>
      </c>
      <c r="V900" s="1" t="s">
        <v>4770</v>
      </c>
      <c r="W900" s="1"/>
      <c r="X900" s="1" t="s">
        <v>37</v>
      </c>
      <c r="Y900" s="1" t="s">
        <v>802</v>
      </c>
      <c r="Z900" s="1">
        <v>5602</v>
      </c>
    </row>
    <row r="901" spans="1:26" ht="42">
      <c r="A901" s="1" t="str">
        <f>"000VV7"</f>
        <v>000VV7</v>
      </c>
      <c r="B901" s="1" t="s">
        <v>4771</v>
      </c>
      <c r="C901" s="1" t="s">
        <v>4772</v>
      </c>
      <c r="D901" s="1" t="str">
        <f>"8028887800"</f>
        <v>8028887800</v>
      </c>
      <c r="E901" s="1">
        <v>4964</v>
      </c>
      <c r="F901" s="1" t="s">
        <v>28</v>
      </c>
      <c r="G901" s="1" t="s">
        <v>4773</v>
      </c>
      <c r="H901" s="1"/>
      <c r="I901" s="1">
        <v>2</v>
      </c>
      <c r="J901" s="1" t="s">
        <v>470</v>
      </c>
      <c r="K901" s="1" t="s">
        <v>170</v>
      </c>
      <c r="L901" s="1" t="s">
        <v>1769</v>
      </c>
      <c r="M901" s="1" t="s">
        <v>4774</v>
      </c>
      <c r="N901" s="2">
        <v>42515</v>
      </c>
      <c r="O901" s="1"/>
      <c r="P901" s="1"/>
      <c r="Q901" s="1" t="s">
        <v>34</v>
      </c>
      <c r="R901" s="1"/>
      <c r="S901" s="1" t="s">
        <v>35</v>
      </c>
      <c r="T901" s="1">
        <v>44.595134999999999</v>
      </c>
      <c r="U901" s="1">
        <v>-72.554084999999901</v>
      </c>
      <c r="V901" s="1" t="s">
        <v>4775</v>
      </c>
      <c r="W901" s="1"/>
      <c r="X901" s="1" t="s">
        <v>37</v>
      </c>
      <c r="Y901" s="1" t="s">
        <v>1772</v>
      </c>
      <c r="Z901" s="1">
        <v>5655</v>
      </c>
    </row>
    <row r="902" spans="1:26" ht="42">
      <c r="A902" s="1" t="str">
        <f>"000VVB"</f>
        <v>000VVB</v>
      </c>
      <c r="B902" s="1" t="s">
        <v>4776</v>
      </c>
      <c r="C902" s="1" t="s">
        <v>4777</v>
      </c>
      <c r="D902" s="1" t="str">
        <f>"8022473197"</f>
        <v>8022473197</v>
      </c>
      <c r="E902" s="1">
        <v>4966</v>
      </c>
      <c r="F902" s="1" t="s">
        <v>28</v>
      </c>
      <c r="G902" s="1" t="s">
        <v>4778</v>
      </c>
      <c r="H902" s="1"/>
      <c r="I902" s="1">
        <v>2</v>
      </c>
      <c r="J902" s="1" t="s">
        <v>4779</v>
      </c>
      <c r="K902" s="1" t="s">
        <v>333</v>
      </c>
      <c r="L902" s="1" t="s">
        <v>842</v>
      </c>
      <c r="M902" s="1" t="s">
        <v>4780</v>
      </c>
      <c r="N902" s="2">
        <v>42515</v>
      </c>
      <c r="O902" s="1"/>
      <c r="P902" s="1"/>
      <c r="Q902" s="1" t="s">
        <v>34</v>
      </c>
      <c r="R902" s="1"/>
      <c r="S902" s="1" t="s">
        <v>35</v>
      </c>
      <c r="T902" s="1">
        <v>43.876971999999903</v>
      </c>
      <c r="U902" s="1">
        <v>-73.097778000000005</v>
      </c>
      <c r="V902" s="1" t="s">
        <v>4781</v>
      </c>
      <c r="W902" s="1"/>
      <c r="X902" s="1" t="s">
        <v>37</v>
      </c>
      <c r="Y902" s="1" t="s">
        <v>845</v>
      </c>
      <c r="Z902" s="1">
        <v>5733</v>
      </c>
    </row>
    <row r="903" spans="1:26" ht="42">
      <c r="A903" s="1" t="str">
        <f>"000VVD"</f>
        <v>000VVD</v>
      </c>
      <c r="B903" s="1" t="s">
        <v>4782</v>
      </c>
      <c r="C903" s="1" t="s">
        <v>4783</v>
      </c>
      <c r="D903" s="1" t="str">
        <f>"8023248082"</f>
        <v>8023248082</v>
      </c>
      <c r="E903" s="1">
        <v>4967</v>
      </c>
      <c r="F903" s="1" t="s">
        <v>28</v>
      </c>
      <c r="G903" s="1" t="s">
        <v>4784</v>
      </c>
      <c r="H903" s="1"/>
      <c r="I903" s="1">
        <v>1</v>
      </c>
      <c r="J903" s="1" t="s">
        <v>4785</v>
      </c>
      <c r="K903" s="1" t="s">
        <v>159</v>
      </c>
      <c r="L903" s="1"/>
      <c r="M903" s="1" t="s">
        <v>4786</v>
      </c>
      <c r="N903" s="2">
        <v>42516</v>
      </c>
      <c r="O903" s="1"/>
      <c r="P903" s="1"/>
      <c r="Q903" s="1" t="s">
        <v>34</v>
      </c>
      <c r="R903" s="1"/>
      <c r="S903" s="1" t="s">
        <v>35</v>
      </c>
      <c r="T903" s="1">
        <v>44.683619</v>
      </c>
      <c r="U903" s="1">
        <v>-73.174099999999996</v>
      </c>
      <c r="V903" s="1" t="s">
        <v>4787</v>
      </c>
      <c r="W903" s="1"/>
      <c r="X903" s="1" t="s">
        <v>37</v>
      </c>
      <c r="Y903" s="1" t="s">
        <v>89</v>
      </c>
      <c r="Z903" s="1">
        <v>5468</v>
      </c>
    </row>
    <row r="904" spans="1:26" ht="42">
      <c r="A904" s="1" t="str">
        <f>"000VVG"</f>
        <v>000VVG</v>
      </c>
      <c r="B904" s="1" t="s">
        <v>4788</v>
      </c>
      <c r="C904" s="1" t="s">
        <v>4789</v>
      </c>
      <c r="D904" s="1" t="str">
        <f>"8027932736"</f>
        <v>8027932736</v>
      </c>
      <c r="E904" s="1">
        <v>4969</v>
      </c>
      <c r="F904" s="1" t="s">
        <v>28</v>
      </c>
      <c r="G904" s="1" t="s">
        <v>4790</v>
      </c>
      <c r="H904" s="1"/>
      <c r="I904" s="1">
        <v>1</v>
      </c>
      <c r="J904" s="1" t="s">
        <v>4791</v>
      </c>
      <c r="K904" s="1" t="s">
        <v>31</v>
      </c>
      <c r="L904" s="1" t="s">
        <v>1293</v>
      </c>
      <c r="M904" s="1" t="s">
        <v>4792</v>
      </c>
      <c r="N904" s="2">
        <v>42905</v>
      </c>
      <c r="O904" s="1"/>
      <c r="P904" s="1"/>
      <c r="Q904" s="1" t="s">
        <v>34</v>
      </c>
      <c r="R904" s="1"/>
      <c r="S904" s="1" t="s">
        <v>35</v>
      </c>
      <c r="T904" s="1"/>
      <c r="U904" s="1"/>
      <c r="V904" s="1" t="s">
        <v>4793</v>
      </c>
      <c r="W904" s="1"/>
      <c r="X904" s="1" t="s">
        <v>37</v>
      </c>
      <c r="Y904" s="1" t="s">
        <v>802</v>
      </c>
      <c r="Z904" s="1">
        <v>5602</v>
      </c>
    </row>
    <row r="905" spans="1:26" ht="42">
      <c r="A905" s="1" t="str">
        <f>"000VVH"</f>
        <v>000VVH</v>
      </c>
      <c r="B905" s="1" t="s">
        <v>4794</v>
      </c>
      <c r="C905" s="1" t="s">
        <v>4795</v>
      </c>
      <c r="D905" s="1" t="str">
        <f>"8025271274"</f>
        <v>8025271274</v>
      </c>
      <c r="E905" s="1">
        <v>4970</v>
      </c>
      <c r="F905" s="1" t="s">
        <v>28</v>
      </c>
      <c r="G905" s="1" t="s">
        <v>4796</v>
      </c>
      <c r="H905" s="1"/>
      <c r="I905" s="1">
        <v>1</v>
      </c>
      <c r="J905" s="1" t="s">
        <v>4797</v>
      </c>
      <c r="K905" s="1" t="s">
        <v>152</v>
      </c>
      <c r="L905" s="1" t="s">
        <v>4798</v>
      </c>
      <c r="M905" s="1" t="s">
        <v>4799</v>
      </c>
      <c r="N905" s="2">
        <v>42894</v>
      </c>
      <c r="O905" s="1"/>
      <c r="P905" s="1"/>
      <c r="Q905" s="1" t="s">
        <v>34</v>
      </c>
      <c r="R905" s="1"/>
      <c r="S905" s="1" t="s">
        <v>35</v>
      </c>
      <c r="T905" s="1"/>
      <c r="U905" s="1"/>
      <c r="V905" s="1" t="s">
        <v>4800</v>
      </c>
      <c r="W905" s="1"/>
      <c r="X905" s="1" t="s">
        <v>37</v>
      </c>
      <c r="Y905" s="1" t="s">
        <v>4801</v>
      </c>
      <c r="Z905" s="1">
        <v>5455</v>
      </c>
    </row>
    <row r="906" spans="1:26" ht="42">
      <c r="A906" s="1" t="str">
        <f>"000VVN"</f>
        <v>000VVN</v>
      </c>
      <c r="B906" s="1" t="s">
        <v>4802</v>
      </c>
      <c r="C906" s="1" t="s">
        <v>4803</v>
      </c>
      <c r="D906" s="1" t="str">
        <f>"8023564322"</f>
        <v>8023564322</v>
      </c>
      <c r="E906" s="1">
        <v>4973</v>
      </c>
      <c r="F906" s="1" t="s">
        <v>28</v>
      </c>
      <c r="G906" s="1" t="s">
        <v>4804</v>
      </c>
      <c r="H906" s="1"/>
      <c r="I906" s="1">
        <v>0</v>
      </c>
      <c r="J906" s="1">
        <v>1</v>
      </c>
      <c r="K906" s="1" t="s">
        <v>77</v>
      </c>
      <c r="L906" s="1" t="s">
        <v>372</v>
      </c>
      <c r="M906" s="1" t="s">
        <v>4805</v>
      </c>
      <c r="N906" s="2">
        <v>42517</v>
      </c>
      <c r="O906" s="2">
        <v>43221</v>
      </c>
      <c r="P906" s="1"/>
      <c r="Q906" s="1" t="s">
        <v>34</v>
      </c>
      <c r="R906" s="1"/>
      <c r="S906" s="1" t="s">
        <v>35</v>
      </c>
      <c r="T906" s="1">
        <v>43.2984078</v>
      </c>
      <c r="U906" s="1">
        <v>-72.482311699999897</v>
      </c>
      <c r="V906" s="1" t="s">
        <v>158</v>
      </c>
      <c r="W906" s="1"/>
      <c r="X906" s="1" t="s">
        <v>37</v>
      </c>
      <c r="Y906" s="1" t="s">
        <v>375</v>
      </c>
      <c r="Z906" s="1">
        <v>5156</v>
      </c>
    </row>
    <row r="907" spans="1:26" ht="42">
      <c r="A907" s="1" t="str">
        <f>"000VVN"</f>
        <v>000VVN</v>
      </c>
      <c r="B907" s="1" t="s">
        <v>4802</v>
      </c>
      <c r="C907" s="1" t="s">
        <v>4803</v>
      </c>
      <c r="D907" s="1" t="str">
        <f>"8023564322"</f>
        <v>8023564322</v>
      </c>
      <c r="E907" s="1">
        <v>4973</v>
      </c>
      <c r="F907" s="1" t="s">
        <v>28</v>
      </c>
      <c r="G907" s="1" t="s">
        <v>4806</v>
      </c>
      <c r="H907" s="1"/>
      <c r="I907" s="1">
        <v>3</v>
      </c>
      <c r="J907" s="1" t="s">
        <v>4807</v>
      </c>
      <c r="K907" s="1" t="s">
        <v>77</v>
      </c>
      <c r="L907" s="1" t="s">
        <v>372</v>
      </c>
      <c r="M907" s="1" t="s">
        <v>4808</v>
      </c>
      <c r="N907" s="2">
        <v>42517</v>
      </c>
      <c r="O907" s="1"/>
      <c r="P907" s="1"/>
      <c r="Q907" s="1" t="s">
        <v>34</v>
      </c>
      <c r="R907" s="1"/>
      <c r="S907" s="1" t="s">
        <v>35</v>
      </c>
      <c r="T907" s="1">
        <v>43.285769999999999</v>
      </c>
      <c r="U907" s="1">
        <v>-72.233789999999999</v>
      </c>
      <c r="V907" s="1" t="s">
        <v>4809</v>
      </c>
      <c r="W907" s="1"/>
      <c r="X907" s="1" t="s">
        <v>37</v>
      </c>
      <c r="Y907" s="1" t="s">
        <v>375</v>
      </c>
      <c r="Z907" s="1">
        <v>5156</v>
      </c>
    </row>
    <row r="908" spans="1:26" ht="42">
      <c r="A908" s="1" t="str">
        <f>"000VVN"</f>
        <v>000VVN</v>
      </c>
      <c r="B908" s="1" t="s">
        <v>4802</v>
      </c>
      <c r="C908" s="1" t="s">
        <v>4803</v>
      </c>
      <c r="D908" s="1" t="str">
        <f>"8023564322"</f>
        <v>8023564322</v>
      </c>
      <c r="E908" s="1">
        <v>4973</v>
      </c>
      <c r="F908" s="1" t="s">
        <v>28</v>
      </c>
      <c r="G908" s="1" t="s">
        <v>4810</v>
      </c>
      <c r="H908" s="1"/>
      <c r="I908" s="1">
        <v>16</v>
      </c>
      <c r="J908" s="1" t="s">
        <v>4811</v>
      </c>
      <c r="K908" s="1" t="s">
        <v>77</v>
      </c>
      <c r="L908" s="1" t="s">
        <v>1024</v>
      </c>
      <c r="M908" s="1" t="s">
        <v>4812</v>
      </c>
      <c r="N908" s="2">
        <v>42921</v>
      </c>
      <c r="O908" s="1"/>
      <c r="P908" s="1"/>
      <c r="Q908" s="1" t="s">
        <v>34</v>
      </c>
      <c r="R908" s="1"/>
      <c r="S908" s="1" t="s">
        <v>35</v>
      </c>
      <c r="T908" s="1">
        <v>43.274940000000001</v>
      </c>
      <c r="U908" s="1">
        <v>-72.309489999999997</v>
      </c>
      <c r="V908" s="1" t="s">
        <v>158</v>
      </c>
      <c r="W908" s="1"/>
      <c r="X908" s="1" t="s">
        <v>37</v>
      </c>
      <c r="Y908" s="1" t="s">
        <v>3285</v>
      </c>
      <c r="Z908" s="1">
        <v>0</v>
      </c>
    </row>
    <row r="909" spans="1:26" ht="42">
      <c r="A909" s="1" t="str">
        <f>"000VVN"</f>
        <v>000VVN</v>
      </c>
      <c r="B909" s="1" t="s">
        <v>4802</v>
      </c>
      <c r="C909" s="1" t="s">
        <v>4803</v>
      </c>
      <c r="D909" s="1" t="str">
        <f>"8023564322"</f>
        <v>8023564322</v>
      </c>
      <c r="E909" s="1">
        <v>4973</v>
      </c>
      <c r="F909" s="1" t="s">
        <v>28</v>
      </c>
      <c r="G909" s="1" t="s">
        <v>4813</v>
      </c>
      <c r="H909" s="1"/>
      <c r="I909" s="1">
        <v>16</v>
      </c>
      <c r="J909" s="1" t="s">
        <v>4814</v>
      </c>
      <c r="K909" s="1" t="s">
        <v>77</v>
      </c>
      <c r="L909" s="1" t="s">
        <v>325</v>
      </c>
      <c r="M909" s="1" t="s">
        <v>4815</v>
      </c>
      <c r="N909" s="2">
        <v>42921</v>
      </c>
      <c r="O909" s="1"/>
      <c r="P909" s="1"/>
      <c r="Q909" s="1" t="s">
        <v>34</v>
      </c>
      <c r="R909" s="1"/>
      <c r="S909" s="1" t="s">
        <v>35</v>
      </c>
      <c r="T909" s="1">
        <v>43.254820000000002</v>
      </c>
      <c r="U909" s="1">
        <v>-72.311850000000007</v>
      </c>
      <c r="V909" s="1"/>
      <c r="W909" s="1"/>
      <c r="X909" s="1" t="s">
        <v>37</v>
      </c>
      <c r="Y909" s="1"/>
      <c r="Z909" s="1"/>
    </row>
    <row r="910" spans="1:26" ht="42">
      <c r="A910" s="1" t="str">
        <f>"000VVN"</f>
        <v>000VVN</v>
      </c>
      <c r="B910" s="1" t="s">
        <v>4802</v>
      </c>
      <c r="C910" s="1" t="s">
        <v>4803</v>
      </c>
      <c r="D910" s="1" t="str">
        <f>"8023564322"</f>
        <v>8023564322</v>
      </c>
      <c r="E910" s="1">
        <v>4973</v>
      </c>
      <c r="F910" s="1" t="s">
        <v>28</v>
      </c>
      <c r="G910" s="1" t="s">
        <v>4816</v>
      </c>
      <c r="H910" s="1"/>
      <c r="I910" s="1">
        <v>16</v>
      </c>
      <c r="J910" s="1" t="s">
        <v>4817</v>
      </c>
      <c r="K910" s="1" t="s">
        <v>77</v>
      </c>
      <c r="L910" s="1"/>
      <c r="M910" s="1" t="s">
        <v>4818</v>
      </c>
      <c r="N910" s="2">
        <v>43251</v>
      </c>
      <c r="O910" s="1"/>
      <c r="P910" s="1"/>
      <c r="Q910" s="1" t="s">
        <v>34</v>
      </c>
      <c r="R910" s="1"/>
      <c r="S910" s="1" t="s">
        <v>35</v>
      </c>
      <c r="T910" s="1">
        <v>43.23021</v>
      </c>
      <c r="U910" s="1">
        <v>-72.30856</v>
      </c>
      <c r="V910" s="1"/>
      <c r="W910" s="1"/>
      <c r="X910" s="1" t="s">
        <v>37</v>
      </c>
      <c r="Y910" s="1"/>
      <c r="Z910" s="1"/>
    </row>
    <row r="911" spans="1:26" ht="42">
      <c r="A911" s="1" t="str">
        <f>"000VVN"</f>
        <v>000VVN</v>
      </c>
      <c r="B911" s="1" t="s">
        <v>4802</v>
      </c>
      <c r="C911" s="1" t="s">
        <v>4803</v>
      </c>
      <c r="D911" s="1" t="str">
        <f>"8023564322"</f>
        <v>8023564322</v>
      </c>
      <c r="E911" s="1">
        <v>4973</v>
      </c>
      <c r="F911" s="1" t="s">
        <v>28</v>
      </c>
      <c r="G911" s="1" t="s">
        <v>4819</v>
      </c>
      <c r="H911" s="1"/>
      <c r="I911" s="1">
        <v>16</v>
      </c>
      <c r="J911" s="1" t="s">
        <v>4820</v>
      </c>
      <c r="K911" s="1" t="s">
        <v>77</v>
      </c>
      <c r="L911" s="1" t="s">
        <v>1024</v>
      </c>
      <c r="M911" s="1" t="s">
        <v>4821</v>
      </c>
      <c r="N911" s="2">
        <v>43251</v>
      </c>
      <c r="O911" s="1"/>
      <c r="P911" s="1"/>
      <c r="Q911" s="1" t="s">
        <v>34</v>
      </c>
      <c r="R911" s="1"/>
      <c r="S911" s="1" t="s">
        <v>35</v>
      </c>
      <c r="T911" s="1">
        <v>45.789053667910103</v>
      </c>
      <c r="U911" s="1">
        <v>-70.265038716408696</v>
      </c>
      <c r="V911" s="1"/>
      <c r="W911" s="1"/>
      <c r="X911" s="1" t="s">
        <v>37</v>
      </c>
      <c r="Y911" s="1"/>
      <c r="Z911" s="1"/>
    </row>
    <row r="912" spans="1:26" ht="42">
      <c r="A912" s="1" t="str">
        <f>"000VVX"</f>
        <v>000VVX</v>
      </c>
      <c r="B912" s="1" t="s">
        <v>4822</v>
      </c>
      <c r="C912" s="1" t="s">
        <v>4823</v>
      </c>
      <c r="D912" s="1" t="str">
        <f>"8024854136"</f>
        <v>8024854136</v>
      </c>
      <c r="E912" s="1">
        <v>4975</v>
      </c>
      <c r="F912" s="1" t="s">
        <v>28</v>
      </c>
      <c r="G912" s="1" t="s">
        <v>4824</v>
      </c>
      <c r="H912" s="1"/>
      <c r="I912" s="1">
        <v>2</v>
      </c>
      <c r="J912" s="1" t="s">
        <v>470</v>
      </c>
      <c r="K912" s="1" t="s">
        <v>31</v>
      </c>
      <c r="L912" s="1" t="s">
        <v>702</v>
      </c>
      <c r="M912" s="1" t="s">
        <v>4825</v>
      </c>
      <c r="N912" s="2">
        <v>42517</v>
      </c>
      <c r="O912" s="1"/>
      <c r="P912" s="1"/>
      <c r="Q912" s="1" t="s">
        <v>34</v>
      </c>
      <c r="R912" s="1"/>
      <c r="S912" s="1" t="s">
        <v>35</v>
      </c>
      <c r="T912" s="1"/>
      <c r="U912" s="1"/>
      <c r="V912" s="1" t="s">
        <v>4826</v>
      </c>
      <c r="W912" s="1"/>
      <c r="X912" s="1" t="s">
        <v>37</v>
      </c>
      <c r="Y912" s="1" t="s">
        <v>705</v>
      </c>
      <c r="Z912" s="1">
        <v>5663</v>
      </c>
    </row>
    <row r="913" spans="1:26" ht="42">
      <c r="A913" s="1" t="str">
        <f>"000VVY"</f>
        <v>000VVY</v>
      </c>
      <c r="B913" s="1" t="s">
        <v>4827</v>
      </c>
      <c r="C913" s="1" t="s">
        <v>4828</v>
      </c>
      <c r="D913" s="1" t="str">
        <f>"8022295259"</f>
        <v>8022295259</v>
      </c>
      <c r="E913" s="1">
        <v>4976</v>
      </c>
      <c r="F913" s="1" t="s">
        <v>28</v>
      </c>
      <c r="G913" s="1" t="s">
        <v>4829</v>
      </c>
      <c r="H913" s="1"/>
      <c r="I913" s="1">
        <v>2</v>
      </c>
      <c r="J913" s="1">
        <v>1</v>
      </c>
      <c r="K913" s="1" t="s">
        <v>31</v>
      </c>
      <c r="L913" s="1" t="s">
        <v>1293</v>
      </c>
      <c r="M913" s="1" t="s">
        <v>4830</v>
      </c>
      <c r="N913" s="2">
        <v>42517</v>
      </c>
      <c r="O913" s="1"/>
      <c r="P913" s="2">
        <v>42760</v>
      </c>
      <c r="Q913" s="1" t="s">
        <v>34</v>
      </c>
      <c r="R913" s="1"/>
      <c r="S913" s="1" t="s">
        <v>35</v>
      </c>
      <c r="T913" s="1">
        <v>44.2724677</v>
      </c>
      <c r="U913" s="1">
        <v>-72.644320899999997</v>
      </c>
      <c r="V913" s="1" t="s">
        <v>4831</v>
      </c>
      <c r="W913" s="1"/>
      <c r="X913" s="1" t="s">
        <v>37</v>
      </c>
      <c r="Y913" s="1" t="s">
        <v>802</v>
      </c>
      <c r="Z913" s="1">
        <v>5620</v>
      </c>
    </row>
    <row r="914" spans="1:26" ht="42">
      <c r="A914" s="1" t="str">
        <f>"000VW0"</f>
        <v>000VW0</v>
      </c>
      <c r="B914" s="1" t="s">
        <v>4832</v>
      </c>
      <c r="C914" s="1" t="s">
        <v>4833</v>
      </c>
      <c r="D914" s="1" t="str">
        <f>"3606355878"</f>
        <v>3606355878</v>
      </c>
      <c r="E914" s="1">
        <v>4978</v>
      </c>
      <c r="F914" s="1" t="s">
        <v>28</v>
      </c>
      <c r="G914" s="1" t="s">
        <v>4834</v>
      </c>
      <c r="H914" s="1"/>
      <c r="I914" s="1">
        <v>2</v>
      </c>
      <c r="J914" s="1" t="s">
        <v>4835</v>
      </c>
      <c r="K914" s="1" t="s">
        <v>170</v>
      </c>
      <c r="L914" s="1" t="s">
        <v>171</v>
      </c>
      <c r="M914" s="1" t="s">
        <v>4836</v>
      </c>
      <c r="N914" s="2">
        <v>42517</v>
      </c>
      <c r="O914" s="1"/>
      <c r="P914" s="1"/>
      <c r="Q914" s="1" t="s">
        <v>34</v>
      </c>
      <c r="R914" s="1"/>
      <c r="S914" s="1" t="s">
        <v>35</v>
      </c>
      <c r="T914" s="1"/>
      <c r="U914" s="1"/>
      <c r="V914" s="1" t="s">
        <v>4837</v>
      </c>
      <c r="W914" s="1"/>
      <c r="X914" s="1" t="s">
        <v>37</v>
      </c>
      <c r="Y914" s="1" t="s">
        <v>173</v>
      </c>
      <c r="Z914" s="1">
        <v>5656</v>
      </c>
    </row>
    <row r="915" spans="1:26" ht="42">
      <c r="A915" s="1" t="str">
        <f>"000VW0"</f>
        <v>000VW0</v>
      </c>
      <c r="B915" s="1" t="s">
        <v>4832</v>
      </c>
      <c r="C915" s="1" t="s">
        <v>4833</v>
      </c>
      <c r="D915" s="1" t="str">
        <f>"3606355878"</f>
        <v>3606355878</v>
      </c>
      <c r="E915" s="1">
        <v>4978</v>
      </c>
      <c r="F915" s="1" t="s">
        <v>28</v>
      </c>
      <c r="G915" s="1" t="s">
        <v>4838</v>
      </c>
      <c r="H915" s="1"/>
      <c r="I915" s="1">
        <v>1</v>
      </c>
      <c r="J915" s="1">
        <v>2</v>
      </c>
      <c r="K915" s="1" t="s">
        <v>170</v>
      </c>
      <c r="L915" s="1" t="s">
        <v>1769</v>
      </c>
      <c r="M915" s="1" t="s">
        <v>4836</v>
      </c>
      <c r="N915" s="2">
        <v>43249</v>
      </c>
      <c r="O915" s="1"/>
      <c r="P915" s="1"/>
      <c r="Q915" s="1" t="s">
        <v>34</v>
      </c>
      <c r="R915" s="1"/>
      <c r="S915" s="1" t="s">
        <v>35</v>
      </c>
      <c r="T915" s="1">
        <v>44.626755000000003</v>
      </c>
      <c r="U915" s="1">
        <v>-72.625699599999905</v>
      </c>
      <c r="V915" s="1" t="s">
        <v>4839</v>
      </c>
      <c r="W915" s="1"/>
      <c r="X915" s="1" t="s">
        <v>37</v>
      </c>
      <c r="Y915" s="1" t="s">
        <v>1772</v>
      </c>
      <c r="Z915" s="1">
        <v>5655</v>
      </c>
    </row>
    <row r="916" spans="1:26" ht="28">
      <c r="A916" s="1" t="str">
        <f>"000VWB"</f>
        <v>000VWB</v>
      </c>
      <c r="B916" s="1" t="s">
        <v>4840</v>
      </c>
      <c r="C916" s="1" t="s">
        <v>4841</v>
      </c>
      <c r="D916" s="1"/>
      <c r="E916" s="1">
        <v>4980</v>
      </c>
      <c r="F916" s="1" t="s">
        <v>28</v>
      </c>
      <c r="G916" s="1" t="s">
        <v>4842</v>
      </c>
      <c r="H916" s="1"/>
      <c r="I916" s="1">
        <v>1</v>
      </c>
      <c r="J916" s="1" t="s">
        <v>4843</v>
      </c>
      <c r="K916" s="1" t="s">
        <v>187</v>
      </c>
      <c r="L916" s="1" t="s">
        <v>204</v>
      </c>
      <c r="M916" s="1" t="s">
        <v>4844</v>
      </c>
      <c r="N916" s="2">
        <v>42521</v>
      </c>
      <c r="O916" s="1"/>
      <c r="P916" s="1"/>
      <c r="Q916" s="1" t="s">
        <v>34</v>
      </c>
      <c r="R916" s="1"/>
      <c r="S916" s="1" t="s">
        <v>35</v>
      </c>
      <c r="T916" s="1">
        <v>43.269697999999998</v>
      </c>
      <c r="U916" s="1">
        <v>-73.105028000000004</v>
      </c>
      <c r="V916" s="1" t="s">
        <v>4845</v>
      </c>
      <c r="W916" s="1"/>
      <c r="X916" s="1" t="s">
        <v>37</v>
      </c>
      <c r="Y916" s="1" t="s">
        <v>205</v>
      </c>
      <c r="Z916" s="1">
        <v>5251</v>
      </c>
    </row>
    <row r="917" spans="1:26" ht="42">
      <c r="A917" s="1" t="str">
        <f>"000VWM"</f>
        <v>000VWM</v>
      </c>
      <c r="B917" s="1" t="s">
        <v>4846</v>
      </c>
      <c r="C917" s="1" t="s">
        <v>4847</v>
      </c>
      <c r="D917" s="1" t="str">
        <f>"8022635209"</f>
        <v>8022635209</v>
      </c>
      <c r="E917" s="1">
        <v>4981</v>
      </c>
      <c r="F917" s="1" t="s">
        <v>28</v>
      </c>
      <c r="G917" s="1" t="s">
        <v>4848</v>
      </c>
      <c r="H917" s="1"/>
      <c r="I917" s="1">
        <v>1</v>
      </c>
      <c r="J917" s="1" t="s">
        <v>4849</v>
      </c>
      <c r="K917" s="1" t="s">
        <v>77</v>
      </c>
      <c r="L917" s="1" t="s">
        <v>1024</v>
      </c>
      <c r="M917" s="1" t="s">
        <v>4850</v>
      </c>
      <c r="N917" s="2">
        <v>42522</v>
      </c>
      <c r="O917" s="1"/>
      <c r="P917" s="1"/>
      <c r="Q917" s="1" t="s">
        <v>34</v>
      </c>
      <c r="R917" s="1"/>
      <c r="S917" s="1" t="s">
        <v>35</v>
      </c>
      <c r="T917" s="1"/>
      <c r="U917" s="1"/>
      <c r="V917" s="1" t="s">
        <v>4851</v>
      </c>
      <c r="W917" s="1"/>
      <c r="X917" s="1" t="s">
        <v>37</v>
      </c>
      <c r="Y917" s="1" t="s">
        <v>4852</v>
      </c>
      <c r="Z917" s="1">
        <v>5143</v>
      </c>
    </row>
    <row r="918" spans="1:26" ht="42">
      <c r="A918" s="1" t="str">
        <f>"000VWP"</f>
        <v>000VWP</v>
      </c>
      <c r="B918" s="1" t="s">
        <v>4853</v>
      </c>
      <c r="C918" s="1" t="s">
        <v>4854</v>
      </c>
      <c r="D918" s="1" t="str">
        <f>"8022295814"</f>
        <v>8022295814</v>
      </c>
      <c r="E918" s="1">
        <v>4982</v>
      </c>
      <c r="F918" s="1" t="s">
        <v>28</v>
      </c>
      <c r="G918" s="1" t="s">
        <v>4855</v>
      </c>
      <c r="H918" s="1"/>
      <c r="I918" s="1">
        <v>2</v>
      </c>
      <c r="J918" s="1" t="s">
        <v>4856</v>
      </c>
      <c r="K918" s="1" t="s">
        <v>31</v>
      </c>
      <c r="L918" s="1" t="s">
        <v>672</v>
      </c>
      <c r="M918" s="1" t="s">
        <v>4857</v>
      </c>
      <c r="N918" s="2">
        <v>42522</v>
      </c>
      <c r="O918" s="1"/>
      <c r="P918" s="1"/>
      <c r="Q918" s="1" t="s">
        <v>34</v>
      </c>
      <c r="R918" s="1"/>
      <c r="S918" s="1" t="s">
        <v>35</v>
      </c>
      <c r="T918" s="1"/>
      <c r="U918" s="1"/>
      <c r="V918" s="1" t="s">
        <v>4858</v>
      </c>
      <c r="W918" s="1"/>
      <c r="X918" s="1" t="s">
        <v>37</v>
      </c>
      <c r="Y918" s="1" t="s">
        <v>675</v>
      </c>
      <c r="Z918" s="1">
        <v>5660</v>
      </c>
    </row>
    <row r="919" spans="1:26" ht="28">
      <c r="A919" s="1" t="str">
        <f>"000VX1"</f>
        <v>000VX1</v>
      </c>
      <c r="B919" s="1" t="s">
        <v>4859</v>
      </c>
      <c r="C919" s="1" t="s">
        <v>4860</v>
      </c>
      <c r="D919" s="1"/>
      <c r="E919" s="1">
        <v>4983</v>
      </c>
      <c r="F919" s="1" t="s">
        <v>28</v>
      </c>
      <c r="G919" s="1" t="s">
        <v>4861</v>
      </c>
      <c r="H919" s="1"/>
      <c r="I919" s="1">
        <v>1</v>
      </c>
      <c r="J919" s="1">
        <v>1</v>
      </c>
      <c r="K919" s="1" t="s">
        <v>187</v>
      </c>
      <c r="L919" s="1" t="s">
        <v>204</v>
      </c>
      <c r="M919" s="1" t="s">
        <v>4862</v>
      </c>
      <c r="N919" s="2">
        <v>42523</v>
      </c>
      <c r="O919" s="1"/>
      <c r="P919" s="1"/>
      <c r="Q919" s="1" t="s">
        <v>34</v>
      </c>
      <c r="R919" s="1"/>
      <c r="S919" s="1" t="s">
        <v>35</v>
      </c>
      <c r="T919" s="1">
        <v>43.247227000000002</v>
      </c>
      <c r="U919" s="1">
        <v>-72.993446000000006</v>
      </c>
      <c r="V919" s="1" t="s">
        <v>4863</v>
      </c>
      <c r="W919" s="1"/>
      <c r="X919" s="1" t="s">
        <v>37</v>
      </c>
      <c r="Y919" s="1" t="s">
        <v>4864</v>
      </c>
      <c r="Z919" s="1">
        <v>5253</v>
      </c>
    </row>
    <row r="920" spans="1:26" ht="42">
      <c r="A920" s="1" t="str">
        <f>"000VX2"</f>
        <v>000VX2</v>
      </c>
      <c r="B920" s="1" t="s">
        <v>4865</v>
      </c>
      <c r="C920" s="1" t="s">
        <v>4866</v>
      </c>
      <c r="D920" s="1" t="str">
        <f>"8023881457"</f>
        <v>8023881457</v>
      </c>
      <c r="E920" s="1">
        <v>4984</v>
      </c>
      <c r="F920" s="1" t="s">
        <v>28</v>
      </c>
      <c r="G920" s="1" t="s">
        <v>4867</v>
      </c>
      <c r="H920" s="1"/>
      <c r="I920" s="1">
        <v>2</v>
      </c>
      <c r="J920" s="1" t="s">
        <v>4868</v>
      </c>
      <c r="K920" s="1" t="s">
        <v>333</v>
      </c>
      <c r="L920" s="1" t="s">
        <v>457</v>
      </c>
      <c r="M920" s="1" t="s">
        <v>4869</v>
      </c>
      <c r="N920" s="2">
        <v>42523</v>
      </c>
      <c r="O920" s="1"/>
      <c r="P920" s="1"/>
      <c r="Q920" s="1" t="s">
        <v>34</v>
      </c>
      <c r="R920" s="1"/>
      <c r="S920" s="1" t="s">
        <v>35</v>
      </c>
      <c r="T920" s="1">
        <v>44.015337100000004</v>
      </c>
      <c r="U920" s="1">
        <v>-73.167339999999896</v>
      </c>
      <c r="V920" s="1" t="s">
        <v>4870</v>
      </c>
      <c r="W920" s="1"/>
      <c r="X920" s="1" t="s">
        <v>37</v>
      </c>
      <c r="Y920" s="1" t="s">
        <v>460</v>
      </c>
      <c r="Z920" s="1">
        <v>5753</v>
      </c>
    </row>
    <row r="921" spans="1:26" ht="42">
      <c r="A921" s="1" t="str">
        <f>"000VX3"</f>
        <v>000VX3</v>
      </c>
      <c r="B921" s="1" t="s">
        <v>4871</v>
      </c>
      <c r="C921" s="1" t="s">
        <v>4872</v>
      </c>
      <c r="D921" s="1" t="str">
        <f>"8027854077"</f>
        <v>8027854077</v>
      </c>
      <c r="E921" s="1">
        <v>4985</v>
      </c>
      <c r="F921" s="1" t="s">
        <v>28</v>
      </c>
      <c r="G921" s="1" t="s">
        <v>4873</v>
      </c>
      <c r="H921" s="1"/>
      <c r="I921" s="1">
        <v>2</v>
      </c>
      <c r="J921" s="1" t="s">
        <v>4874</v>
      </c>
      <c r="K921" s="1" t="s">
        <v>68</v>
      </c>
      <c r="L921" s="1" t="s">
        <v>69</v>
      </c>
      <c r="M921" s="1" t="s">
        <v>4875</v>
      </c>
      <c r="N921" s="2">
        <v>42523</v>
      </c>
      <c r="O921" s="1"/>
      <c r="P921" s="2">
        <v>42957</v>
      </c>
      <c r="Q921" s="1" t="s">
        <v>34</v>
      </c>
      <c r="R921" s="1"/>
      <c r="S921" s="1" t="s">
        <v>35</v>
      </c>
      <c r="T921" s="1">
        <v>43.799428499999998</v>
      </c>
      <c r="U921" s="1">
        <v>-72.242942799999895</v>
      </c>
      <c r="V921" s="1" t="s">
        <v>4876</v>
      </c>
      <c r="W921" s="1"/>
      <c r="X921" s="1" t="s">
        <v>37</v>
      </c>
      <c r="Y921" s="1" t="s">
        <v>4877</v>
      </c>
      <c r="Z921" s="1">
        <v>5075</v>
      </c>
    </row>
    <row r="922" spans="1:26" ht="42">
      <c r="A922" s="1" t="str">
        <f>"000VX5"</f>
        <v>000VX5</v>
      </c>
      <c r="B922" s="1" t="s">
        <v>4878</v>
      </c>
      <c r="C922" s="1" t="s">
        <v>4879</v>
      </c>
      <c r="D922" s="1" t="str">
        <f>"8028431005"</f>
        <v>8028431005</v>
      </c>
      <c r="E922" s="1">
        <v>4986</v>
      </c>
      <c r="F922" s="1" t="s">
        <v>28</v>
      </c>
      <c r="G922" s="1" t="s">
        <v>4880</v>
      </c>
      <c r="H922" s="1"/>
      <c r="I922" s="1">
        <v>4</v>
      </c>
      <c r="J922" s="1"/>
      <c r="K922" s="1" t="s">
        <v>144</v>
      </c>
      <c r="L922" s="1"/>
      <c r="M922" s="1" t="s">
        <v>4881</v>
      </c>
      <c r="N922" s="2">
        <v>42524</v>
      </c>
      <c r="O922" s="1"/>
      <c r="P922" s="1"/>
      <c r="Q922" s="1" t="s">
        <v>34</v>
      </c>
      <c r="R922" s="1"/>
      <c r="S922" s="1" t="s">
        <v>35</v>
      </c>
      <c r="T922" s="1">
        <v>43.178084382243803</v>
      </c>
      <c r="U922" s="1">
        <v>-72.586618423592796</v>
      </c>
      <c r="V922" s="1" t="s">
        <v>4882</v>
      </c>
      <c r="W922" s="1"/>
      <c r="X922" s="1" t="s">
        <v>37</v>
      </c>
      <c r="Y922" s="1" t="s">
        <v>4883</v>
      </c>
      <c r="Z922" s="1">
        <v>5146</v>
      </c>
    </row>
    <row r="923" spans="1:26" ht="42">
      <c r="A923" s="1" t="str">
        <f>"000VX6"</f>
        <v>000VX6</v>
      </c>
      <c r="B923" s="1" t="s">
        <v>4884</v>
      </c>
      <c r="C923" s="1" t="s">
        <v>4885</v>
      </c>
      <c r="D923" s="1" t="str">
        <f>"8022473323"</f>
        <v>8022473323</v>
      </c>
      <c r="E923" s="1">
        <v>4987</v>
      </c>
      <c r="F923" s="1" t="s">
        <v>28</v>
      </c>
      <c r="G923" s="1" t="s">
        <v>4886</v>
      </c>
      <c r="H923" s="1"/>
      <c r="I923" s="1">
        <v>7</v>
      </c>
      <c r="J923" s="1" t="s">
        <v>4887</v>
      </c>
      <c r="K923" s="1" t="s">
        <v>135</v>
      </c>
      <c r="L923" s="1" t="s">
        <v>1241</v>
      </c>
      <c r="M923" s="1" t="s">
        <v>4888</v>
      </c>
      <c r="N923" s="2">
        <v>42524</v>
      </c>
      <c r="O923" s="1"/>
      <c r="P923" s="2">
        <v>42972</v>
      </c>
      <c r="Q923" s="1" t="s">
        <v>34</v>
      </c>
      <c r="R923" s="1"/>
      <c r="S923" s="1" t="s">
        <v>35</v>
      </c>
      <c r="T923" s="1">
        <v>43.815117000000001</v>
      </c>
      <c r="U923" s="1">
        <v>-73.071418999999906</v>
      </c>
      <c r="V923" s="1" t="s">
        <v>4889</v>
      </c>
      <c r="W923" s="1"/>
      <c r="X923" s="1" t="s">
        <v>37</v>
      </c>
      <c r="Y923" s="1" t="s">
        <v>1244</v>
      </c>
      <c r="Z923" s="1">
        <v>5733</v>
      </c>
    </row>
    <row r="924" spans="1:26" ht="42">
      <c r="A924" s="1" t="str">
        <f>"000VX6"</f>
        <v>000VX6</v>
      </c>
      <c r="B924" s="1" t="s">
        <v>4884</v>
      </c>
      <c r="C924" s="1" t="s">
        <v>4885</v>
      </c>
      <c r="D924" s="1" t="str">
        <f>"8022473323"</f>
        <v>8022473323</v>
      </c>
      <c r="E924" s="1">
        <v>4987</v>
      </c>
      <c r="F924" s="1" t="s">
        <v>28</v>
      </c>
      <c r="G924" s="1" t="s">
        <v>4890</v>
      </c>
      <c r="H924" s="1"/>
      <c r="I924" s="1">
        <v>2</v>
      </c>
      <c r="J924" s="1">
        <v>2</v>
      </c>
      <c r="K924" s="1" t="s">
        <v>333</v>
      </c>
      <c r="L924" s="1" t="s">
        <v>842</v>
      </c>
      <c r="M924" s="1" t="s">
        <v>4891</v>
      </c>
      <c r="N924" s="2">
        <v>42949</v>
      </c>
      <c r="O924" s="1"/>
      <c r="P924" s="2">
        <v>42972</v>
      </c>
      <c r="Q924" s="1" t="s">
        <v>34</v>
      </c>
      <c r="R924" s="1"/>
      <c r="S924" s="1" t="s">
        <v>35</v>
      </c>
      <c r="T924" s="1"/>
      <c r="U924" s="1"/>
      <c r="V924" s="1" t="s">
        <v>4892</v>
      </c>
      <c r="W924" s="1"/>
      <c r="X924" s="1" t="s">
        <v>37</v>
      </c>
      <c r="Y924" s="1" t="s">
        <v>4893</v>
      </c>
      <c r="Z924" s="1">
        <v>5733</v>
      </c>
    </row>
    <row r="925" spans="1:26" ht="42">
      <c r="A925" s="1" t="str">
        <f>"000VXC"</f>
        <v>000VXC</v>
      </c>
      <c r="B925" s="1" t="s">
        <v>4894</v>
      </c>
      <c r="C925" s="1" t="s">
        <v>4895</v>
      </c>
      <c r="D925" s="1" t="str">
        <f>"8023694292"</f>
        <v>8023694292</v>
      </c>
      <c r="E925" s="1">
        <v>4988</v>
      </c>
      <c r="F925" s="1" t="s">
        <v>28</v>
      </c>
      <c r="G925" s="1" t="s">
        <v>4896</v>
      </c>
      <c r="H925" s="1"/>
      <c r="I925" s="1">
        <v>14</v>
      </c>
      <c r="J925" s="1" t="s">
        <v>4897</v>
      </c>
      <c r="K925" s="1" t="s">
        <v>77</v>
      </c>
      <c r="L925" s="1" t="s">
        <v>325</v>
      </c>
      <c r="M925" s="1" t="s">
        <v>4898</v>
      </c>
      <c r="N925" s="2">
        <v>42524</v>
      </c>
      <c r="O925" s="1"/>
      <c r="P925" s="1"/>
      <c r="Q925" s="1" t="s">
        <v>34</v>
      </c>
      <c r="R925" s="1"/>
      <c r="S925" s="1" t="s">
        <v>35</v>
      </c>
      <c r="T925" s="1"/>
      <c r="U925" s="1"/>
      <c r="V925" s="1" t="s">
        <v>4899</v>
      </c>
      <c r="W925" s="1"/>
      <c r="X925" s="1" t="s">
        <v>37</v>
      </c>
      <c r="Y925" s="1" t="s">
        <v>3219</v>
      </c>
      <c r="Z925" s="1">
        <v>5151</v>
      </c>
    </row>
    <row r="926" spans="1:26" ht="42">
      <c r="A926" s="1" t="str">
        <f>"000VXJ"</f>
        <v>000VXJ</v>
      </c>
      <c r="B926" s="1" t="s">
        <v>4900</v>
      </c>
      <c r="C926" s="1" t="s">
        <v>4901</v>
      </c>
      <c r="D926" s="1" t="str">
        <f>"8023798422"</f>
        <v>8023798422</v>
      </c>
      <c r="E926" s="1">
        <v>4989</v>
      </c>
      <c r="F926" s="1" t="s">
        <v>28</v>
      </c>
      <c r="G926" s="1" t="s">
        <v>4902</v>
      </c>
      <c r="H926" s="1"/>
      <c r="I926" s="1">
        <v>3</v>
      </c>
      <c r="J926" s="1">
        <v>1</v>
      </c>
      <c r="K926" s="1" t="s">
        <v>187</v>
      </c>
      <c r="L926" s="1" t="s">
        <v>293</v>
      </c>
      <c r="M926" s="1" t="s">
        <v>4903</v>
      </c>
      <c r="N926" s="2">
        <v>42528</v>
      </c>
      <c r="O926" s="1"/>
      <c r="P926" s="1"/>
      <c r="Q926" s="1" t="s">
        <v>34</v>
      </c>
      <c r="R926" s="1"/>
      <c r="S926" s="1" t="s">
        <v>35</v>
      </c>
      <c r="T926" s="1">
        <v>42.934030700000001</v>
      </c>
      <c r="U926" s="1">
        <v>-73.200837499999906</v>
      </c>
      <c r="V926" s="1" t="s">
        <v>4904</v>
      </c>
      <c r="W926" s="1"/>
      <c r="X926" s="1" t="s">
        <v>37</v>
      </c>
      <c r="Y926" s="1" t="s">
        <v>296</v>
      </c>
      <c r="Z926" s="1">
        <v>5262</v>
      </c>
    </row>
    <row r="927" spans="1:26" ht="42">
      <c r="A927" s="1" t="str">
        <f>"000VXM"</f>
        <v>000VXM</v>
      </c>
      <c r="B927" s="1" t="s">
        <v>4905</v>
      </c>
      <c r="C927" s="1" t="s">
        <v>4906</v>
      </c>
      <c r="D927" s="1" t="str">
        <f>"8028790373"</f>
        <v>8028790373</v>
      </c>
      <c r="E927" s="1">
        <v>4991</v>
      </c>
      <c r="F927" s="1" t="s">
        <v>28</v>
      </c>
      <c r="G927" s="1" t="s">
        <v>4907</v>
      </c>
      <c r="H927" s="1"/>
      <c r="I927" s="1">
        <v>2</v>
      </c>
      <c r="J927" s="1" t="s">
        <v>4908</v>
      </c>
      <c r="K927" s="1" t="s">
        <v>43</v>
      </c>
      <c r="L927" s="1"/>
      <c r="M927" s="1" t="s">
        <v>4909</v>
      </c>
      <c r="N927" s="2">
        <v>42528</v>
      </c>
      <c r="O927" s="1"/>
      <c r="P927" s="1"/>
      <c r="Q927" s="1" t="s">
        <v>34</v>
      </c>
      <c r="R927" s="1"/>
      <c r="S927" s="1" t="s">
        <v>35</v>
      </c>
      <c r="T927" s="1">
        <v>44.581582699999998</v>
      </c>
      <c r="U927" s="1">
        <v>-73.139522099999994</v>
      </c>
      <c r="V927" s="1" t="s">
        <v>4910</v>
      </c>
      <c r="W927" s="1"/>
      <c r="X927" s="1" t="s">
        <v>37</v>
      </c>
      <c r="Y927" s="1" t="s">
        <v>781</v>
      </c>
      <c r="Z927" s="1">
        <v>5446</v>
      </c>
    </row>
    <row r="928" spans="1:26" ht="42">
      <c r="A928" s="1" t="str">
        <f>"000VXV"</f>
        <v>000VXV</v>
      </c>
      <c r="B928" s="1" t="s">
        <v>4911</v>
      </c>
      <c r="C928" s="1" t="s">
        <v>4912</v>
      </c>
      <c r="D928" s="1" t="str">
        <f>"8023635866"</f>
        <v>8023635866</v>
      </c>
      <c r="E928" s="1">
        <v>4992</v>
      </c>
      <c r="F928" s="1" t="s">
        <v>28</v>
      </c>
      <c r="G928" s="1" t="s">
        <v>4913</v>
      </c>
      <c r="H928" s="1"/>
      <c r="I928" s="1">
        <v>1</v>
      </c>
      <c r="J928" s="1">
        <v>1</v>
      </c>
      <c r="K928" s="1" t="s">
        <v>43</v>
      </c>
      <c r="L928" s="1" t="s">
        <v>317</v>
      </c>
      <c r="M928" s="1" t="s">
        <v>4914</v>
      </c>
      <c r="N928" s="2">
        <v>42528</v>
      </c>
      <c r="O928" s="1"/>
      <c r="P928" s="1"/>
      <c r="Q928" s="1" t="s">
        <v>34</v>
      </c>
      <c r="R928" s="1"/>
      <c r="S928" s="1" t="s">
        <v>35</v>
      </c>
      <c r="T928" s="1">
        <v>44.635820000000002</v>
      </c>
      <c r="U928" s="1">
        <v>-73.048576999999995</v>
      </c>
      <c r="V928" s="1" t="s">
        <v>4915</v>
      </c>
      <c r="W928" s="1"/>
      <c r="X928" s="1" t="s">
        <v>37</v>
      </c>
      <c r="Y928" s="1" t="s">
        <v>320</v>
      </c>
      <c r="Z928" s="1">
        <v>5494</v>
      </c>
    </row>
    <row r="929" spans="1:26" ht="42">
      <c r="A929" s="1" t="str">
        <f>"000VXW"</f>
        <v>000VXW</v>
      </c>
      <c r="B929" s="1" t="s">
        <v>4916</v>
      </c>
      <c r="C929" s="1" t="s">
        <v>4917</v>
      </c>
      <c r="D929" s="1" t="str">
        <f>"8025632225"</f>
        <v>8025632225</v>
      </c>
      <c r="E929" s="1">
        <v>4993</v>
      </c>
      <c r="F929" s="1" t="s">
        <v>28</v>
      </c>
      <c r="G929" s="1" t="s">
        <v>4918</v>
      </c>
      <c r="H929" s="1"/>
      <c r="I929" s="1">
        <v>6</v>
      </c>
      <c r="J929" s="1" t="s">
        <v>4919</v>
      </c>
      <c r="K929" s="1" t="s">
        <v>31</v>
      </c>
      <c r="L929" s="1" t="s">
        <v>2147</v>
      </c>
      <c r="M929" s="1" t="s">
        <v>4920</v>
      </c>
      <c r="N929" s="2">
        <v>42528</v>
      </c>
      <c r="O929" s="1"/>
      <c r="P929" s="1"/>
      <c r="Q929" s="1" t="s">
        <v>34</v>
      </c>
      <c r="R929" s="1"/>
      <c r="S929" s="1" t="s">
        <v>35</v>
      </c>
      <c r="T929" s="1">
        <v>44.385216</v>
      </c>
      <c r="U929" s="1">
        <v>-72.311440000000005</v>
      </c>
      <c r="V929" s="1" t="s">
        <v>4921</v>
      </c>
      <c r="W929" s="1"/>
      <c r="X929" s="1" t="s">
        <v>37</v>
      </c>
      <c r="Y929" s="1" t="s">
        <v>2150</v>
      </c>
      <c r="Z929" s="1">
        <v>5647</v>
      </c>
    </row>
    <row r="930" spans="1:26" ht="42">
      <c r="A930" s="1" t="str">
        <f>"000VY9"</f>
        <v>000VY9</v>
      </c>
      <c r="B930" s="1" t="s">
        <v>4922</v>
      </c>
      <c r="C930" s="1" t="s">
        <v>4923</v>
      </c>
      <c r="D930" s="1" t="str">
        <f>"8024395353"</f>
        <v>8024395353</v>
      </c>
      <c r="E930" s="1">
        <v>4995</v>
      </c>
      <c r="F930" s="1" t="s">
        <v>28</v>
      </c>
      <c r="G930" s="1" t="s">
        <v>4924</v>
      </c>
      <c r="H930" s="1"/>
      <c r="I930" s="1">
        <v>2</v>
      </c>
      <c r="J930" s="1" t="s">
        <v>4925</v>
      </c>
      <c r="K930" s="1" t="s">
        <v>68</v>
      </c>
      <c r="L930" s="1" t="s">
        <v>4926</v>
      </c>
      <c r="M930" s="1" t="s">
        <v>4925</v>
      </c>
      <c r="N930" s="2">
        <v>42529</v>
      </c>
      <c r="O930" s="1"/>
      <c r="P930" s="2">
        <v>42943</v>
      </c>
      <c r="Q930" s="1" t="s">
        <v>34</v>
      </c>
      <c r="R930" s="1"/>
      <c r="S930" s="1" t="s">
        <v>35</v>
      </c>
      <c r="T930" s="1">
        <v>44.101509399999998</v>
      </c>
      <c r="U930" s="1">
        <v>-72.212888099999901</v>
      </c>
      <c r="V930" s="1" t="s">
        <v>4927</v>
      </c>
      <c r="W930" s="1"/>
      <c r="X930" s="1" t="s">
        <v>37</v>
      </c>
      <c r="Y930" s="1" t="s">
        <v>4928</v>
      </c>
      <c r="Z930" s="1">
        <v>5076</v>
      </c>
    </row>
    <row r="931" spans="1:26" ht="42">
      <c r="A931" s="1" t="str">
        <f>"000VYA"</f>
        <v>000VYA</v>
      </c>
      <c r="B931" s="1" t="s">
        <v>4929</v>
      </c>
      <c r="C931" s="1" t="s">
        <v>4930</v>
      </c>
      <c r="D931" s="1" t="str">
        <f>"8025785978"</f>
        <v>8025785978</v>
      </c>
      <c r="E931" s="1">
        <v>4996</v>
      </c>
      <c r="F931" s="1" t="s">
        <v>28</v>
      </c>
      <c r="G931" s="1" t="s">
        <v>4931</v>
      </c>
      <c r="H931" s="1"/>
      <c r="I931" s="1">
        <v>7</v>
      </c>
      <c r="J931" s="1" t="s">
        <v>4932</v>
      </c>
      <c r="K931" s="1" t="s">
        <v>43</v>
      </c>
      <c r="L931" s="1" t="s">
        <v>51</v>
      </c>
      <c r="M931" s="1" t="s">
        <v>4933</v>
      </c>
      <c r="N931" s="2">
        <v>42529</v>
      </c>
      <c r="O931" s="1"/>
      <c r="P931" s="1"/>
      <c r="Q931" s="1" t="s">
        <v>34</v>
      </c>
      <c r="R931" s="1"/>
      <c r="S931" s="1" t="s">
        <v>35</v>
      </c>
      <c r="T931" s="1">
        <v>44.373641399999997</v>
      </c>
      <c r="U931" s="1">
        <v>-73.061198300000001</v>
      </c>
      <c r="V931" s="1" t="s">
        <v>4934</v>
      </c>
      <c r="W931" s="1"/>
      <c r="X931" s="1" t="s">
        <v>37</v>
      </c>
      <c r="Y931" s="1" t="s">
        <v>54</v>
      </c>
      <c r="Z931" s="1">
        <v>5477</v>
      </c>
    </row>
    <row r="932" spans="1:26" ht="42">
      <c r="A932" s="1" t="str">
        <f>"000VYB"</f>
        <v>000VYB</v>
      </c>
      <c r="B932" s="1" t="s">
        <v>4935</v>
      </c>
      <c r="C932" s="1" t="s">
        <v>4936</v>
      </c>
      <c r="D932" s="1" t="str">
        <f>"8023451913"</f>
        <v>8023451913</v>
      </c>
      <c r="E932" s="1">
        <v>4997</v>
      </c>
      <c r="F932" s="1" t="s">
        <v>28</v>
      </c>
      <c r="G932" s="1" t="s">
        <v>4937</v>
      </c>
      <c r="H932" s="1"/>
      <c r="I932" s="1">
        <v>1</v>
      </c>
      <c r="J932" s="1" t="s">
        <v>4938</v>
      </c>
      <c r="K932" s="1" t="s">
        <v>144</v>
      </c>
      <c r="L932" s="1" t="s">
        <v>492</v>
      </c>
      <c r="M932" s="1" t="s">
        <v>4939</v>
      </c>
      <c r="N932" s="2">
        <v>42529</v>
      </c>
      <c r="O932" s="1"/>
      <c r="P932" s="1"/>
      <c r="Q932" s="1" t="s">
        <v>34</v>
      </c>
      <c r="R932" s="1"/>
      <c r="S932" s="1" t="s">
        <v>35</v>
      </c>
      <c r="T932" s="1">
        <v>42.832295999999999</v>
      </c>
      <c r="U932" s="1">
        <v>-72.585778000000005</v>
      </c>
      <c r="V932" s="1" t="s">
        <v>4940</v>
      </c>
      <c r="W932" s="1"/>
      <c r="X932" s="1" t="s">
        <v>37</v>
      </c>
      <c r="Y932" s="1" t="s">
        <v>619</v>
      </c>
      <c r="Z932" s="1">
        <v>5301</v>
      </c>
    </row>
    <row r="933" spans="1:26" ht="42">
      <c r="A933" s="1" t="str">
        <f>"000VYC"</f>
        <v>000VYC</v>
      </c>
      <c r="B933" s="1" t="s">
        <v>4941</v>
      </c>
      <c r="C933" s="1" t="s">
        <v>4942</v>
      </c>
      <c r="D933" s="1" t="str">
        <f>"8023334797"</f>
        <v>8023334797</v>
      </c>
      <c r="E933" s="1">
        <v>4998</v>
      </c>
      <c r="F933" s="1" t="s">
        <v>28</v>
      </c>
      <c r="G933" s="1" t="s">
        <v>4943</v>
      </c>
      <c r="H933" s="1"/>
      <c r="I933" s="1">
        <v>1</v>
      </c>
      <c r="J933" s="1" t="s">
        <v>4944</v>
      </c>
      <c r="K933" s="1" t="s">
        <v>68</v>
      </c>
      <c r="L933" s="1" t="s">
        <v>69</v>
      </c>
      <c r="M933" s="1" t="s">
        <v>4945</v>
      </c>
      <c r="N933" s="2">
        <v>42529</v>
      </c>
      <c r="O933" s="1"/>
      <c r="P933" s="2">
        <v>42577</v>
      </c>
      <c r="Q933" s="1" t="s">
        <v>34</v>
      </c>
      <c r="R933" s="1"/>
      <c r="S933" s="1" t="s">
        <v>35</v>
      </c>
      <c r="T933" s="1"/>
      <c r="U933" s="1"/>
      <c r="V933" s="1" t="s">
        <v>4946</v>
      </c>
      <c r="W933" s="1"/>
      <c r="X933" s="1" t="s">
        <v>37</v>
      </c>
      <c r="Y933" s="1" t="s">
        <v>502</v>
      </c>
      <c r="Z933" s="1">
        <v>5043</v>
      </c>
    </row>
    <row r="934" spans="1:26" ht="42">
      <c r="A934" s="1" t="str">
        <f>"000VYJ"</f>
        <v>000VYJ</v>
      </c>
      <c r="B934" s="1" t="s">
        <v>4947</v>
      </c>
      <c r="C934" s="1" t="s">
        <v>4948</v>
      </c>
      <c r="D934" s="1" t="str">
        <f>"8023551467"</f>
        <v>8023551467</v>
      </c>
      <c r="E934" s="1">
        <v>4999</v>
      </c>
      <c r="F934" s="1" t="s">
        <v>28</v>
      </c>
      <c r="G934" s="1" t="s">
        <v>4949</v>
      </c>
      <c r="H934" s="1"/>
      <c r="I934" s="1">
        <v>2</v>
      </c>
      <c r="J934" s="1" t="s">
        <v>4950</v>
      </c>
      <c r="K934" s="1" t="s">
        <v>43</v>
      </c>
      <c r="L934" s="1" t="s">
        <v>1077</v>
      </c>
      <c r="M934" s="1" t="s">
        <v>4951</v>
      </c>
      <c r="N934" s="2">
        <v>42530</v>
      </c>
      <c r="O934" s="1"/>
      <c r="P934" s="1"/>
      <c r="Q934" s="1" t="s">
        <v>34</v>
      </c>
      <c r="R934" s="1"/>
      <c r="S934" s="1" t="s">
        <v>35</v>
      </c>
      <c r="T934" s="1">
        <v>44.431786000000002</v>
      </c>
      <c r="U934" s="1">
        <v>-73.106902999999903</v>
      </c>
      <c r="V934" s="1" t="s">
        <v>4952</v>
      </c>
      <c r="W934" s="1"/>
      <c r="X934" s="1" t="s">
        <v>37</v>
      </c>
      <c r="Y934" s="1" t="s">
        <v>1080</v>
      </c>
      <c r="Z934" s="1">
        <v>5495</v>
      </c>
    </row>
    <row r="935" spans="1:26" ht="42">
      <c r="A935" s="1" t="str">
        <f>"000VZ6"</f>
        <v>000VZ6</v>
      </c>
      <c r="B935" s="1" t="s">
        <v>4953</v>
      </c>
      <c r="C935" s="1" t="s">
        <v>4954</v>
      </c>
      <c r="D935" s="1" t="str">
        <f>"4018623322"</f>
        <v>4018623322</v>
      </c>
      <c r="E935" s="1">
        <v>5000</v>
      </c>
      <c r="F935" s="1" t="s">
        <v>28</v>
      </c>
      <c r="G935" s="1" t="s">
        <v>4955</v>
      </c>
      <c r="H935" s="1"/>
      <c r="I935" s="1">
        <v>3</v>
      </c>
      <c r="J935" s="1" t="s">
        <v>4956</v>
      </c>
      <c r="K935" s="1" t="s">
        <v>43</v>
      </c>
      <c r="L935" s="1"/>
      <c r="M935" s="1" t="s">
        <v>4957</v>
      </c>
      <c r="N935" s="2">
        <v>42531</v>
      </c>
      <c r="O935" s="1"/>
      <c r="P935" s="1"/>
      <c r="Q935" s="1" t="s">
        <v>34</v>
      </c>
      <c r="R935" s="1"/>
      <c r="S935" s="1" t="s">
        <v>35</v>
      </c>
      <c r="T935" s="1">
        <v>44.477845623042903</v>
      </c>
      <c r="U935" s="1">
        <v>-73.189918505377094</v>
      </c>
      <c r="V935" s="1" t="s">
        <v>4958</v>
      </c>
      <c r="W935" s="1"/>
      <c r="X935" s="1" t="s">
        <v>37</v>
      </c>
      <c r="Y935" s="1" t="s">
        <v>46</v>
      </c>
      <c r="Z935" s="1">
        <v>5401</v>
      </c>
    </row>
    <row r="936" spans="1:26" ht="42">
      <c r="A936" s="1" t="str">
        <f>"000VZA"</f>
        <v>000VZA</v>
      </c>
      <c r="B936" s="1" t="s">
        <v>4959</v>
      </c>
      <c r="C936" s="1" t="s">
        <v>4960</v>
      </c>
      <c r="D936" s="1" t="str">
        <f>"8028865478"</f>
        <v>8028865478</v>
      </c>
      <c r="E936" s="1">
        <v>5001</v>
      </c>
      <c r="F936" s="1" t="s">
        <v>28</v>
      </c>
      <c r="G936" s="1" t="s">
        <v>4961</v>
      </c>
      <c r="H936" s="1"/>
      <c r="I936" s="1">
        <v>3</v>
      </c>
      <c r="J936" s="1">
        <v>1</v>
      </c>
      <c r="K936" s="1" t="s">
        <v>77</v>
      </c>
      <c r="L936" s="1" t="s">
        <v>372</v>
      </c>
      <c r="M936" s="1" t="s">
        <v>4962</v>
      </c>
      <c r="N936" s="2">
        <v>42531</v>
      </c>
      <c r="O936" s="1"/>
      <c r="P936" s="1"/>
      <c r="Q936" s="1" t="s">
        <v>34</v>
      </c>
      <c r="R936" s="1"/>
      <c r="S936" s="1" t="s">
        <v>35</v>
      </c>
      <c r="T936" s="1">
        <v>43.335867</v>
      </c>
      <c r="U936" s="1">
        <v>-72.544128000000001</v>
      </c>
      <c r="V936" s="1" t="s">
        <v>4963</v>
      </c>
      <c r="W936" s="1"/>
      <c r="X936" s="1" t="s">
        <v>37</v>
      </c>
      <c r="Y936" s="1" t="s">
        <v>2756</v>
      </c>
      <c r="Z936" s="1">
        <v>5150</v>
      </c>
    </row>
    <row r="937" spans="1:26" ht="42">
      <c r="A937" s="1" t="str">
        <f>"000VZK"</f>
        <v>000VZK</v>
      </c>
      <c r="B937" s="1" t="s">
        <v>4964</v>
      </c>
      <c r="C937" s="1" t="s">
        <v>4965</v>
      </c>
      <c r="D937" s="1" t="str">
        <f>"8025793333"</f>
        <v>8025793333</v>
      </c>
      <c r="E937" s="1">
        <v>5002</v>
      </c>
      <c r="F937" s="1" t="s">
        <v>28</v>
      </c>
      <c r="G937" s="1" t="s">
        <v>4966</v>
      </c>
      <c r="H937" s="1"/>
      <c r="I937" s="1">
        <v>4</v>
      </c>
      <c r="J937" s="1" t="s">
        <v>4967</v>
      </c>
      <c r="K937" s="1" t="s">
        <v>144</v>
      </c>
      <c r="L937" s="1" t="s">
        <v>492</v>
      </c>
      <c r="M937" s="1" t="s">
        <v>4968</v>
      </c>
      <c r="N937" s="2">
        <v>42534</v>
      </c>
      <c r="O937" s="1"/>
      <c r="P937" s="1"/>
      <c r="Q937" s="1" t="s">
        <v>34</v>
      </c>
      <c r="R937" s="1"/>
      <c r="S937" s="1" t="s">
        <v>35</v>
      </c>
      <c r="T937" s="1">
        <v>42.859189999999998</v>
      </c>
      <c r="U937" s="1">
        <v>-72.586389999999994</v>
      </c>
      <c r="V937" s="1" t="s">
        <v>4969</v>
      </c>
      <c r="W937" s="1"/>
      <c r="X937" s="1" t="s">
        <v>37</v>
      </c>
      <c r="Y937" s="1" t="s">
        <v>619</v>
      </c>
      <c r="Z937" s="1">
        <v>5301</v>
      </c>
    </row>
    <row r="938" spans="1:26" ht="42">
      <c r="A938" s="1" t="str">
        <f>"000VZN"</f>
        <v>000VZN</v>
      </c>
      <c r="B938" s="1" t="s">
        <v>4970</v>
      </c>
      <c r="C938" s="1" t="s">
        <v>4971</v>
      </c>
      <c r="D938" s="1" t="str">
        <f>"8028851414"</f>
        <v>8028851414</v>
      </c>
      <c r="E938" s="1">
        <v>5004</v>
      </c>
      <c r="F938" s="1" t="s">
        <v>28</v>
      </c>
      <c r="G938" s="1" t="s">
        <v>4972</v>
      </c>
      <c r="H938" s="1"/>
      <c r="I938" s="1">
        <v>1</v>
      </c>
      <c r="J938" s="1" t="s">
        <v>4973</v>
      </c>
      <c r="K938" s="1" t="s">
        <v>77</v>
      </c>
      <c r="L938" s="1" t="s">
        <v>372</v>
      </c>
      <c r="M938" s="1" t="s">
        <v>4974</v>
      </c>
      <c r="N938" s="2">
        <v>42534</v>
      </c>
      <c r="O938" s="1"/>
      <c r="P938" s="1"/>
      <c r="Q938" s="1" t="s">
        <v>34</v>
      </c>
      <c r="R938" s="1"/>
      <c r="S938" s="1" t="s">
        <v>35</v>
      </c>
      <c r="T938" s="1"/>
      <c r="U938" s="1"/>
      <c r="V938" s="1" t="s">
        <v>4975</v>
      </c>
      <c r="W938" s="1"/>
      <c r="X938" s="1" t="s">
        <v>37</v>
      </c>
      <c r="Y938" s="1" t="s">
        <v>375</v>
      </c>
      <c r="Z938" s="1">
        <v>5156</v>
      </c>
    </row>
    <row r="939" spans="1:26" ht="42">
      <c r="A939" s="1" t="str">
        <f>"000VZQ"</f>
        <v>000VZQ</v>
      </c>
      <c r="B939" s="1" t="s">
        <v>4976</v>
      </c>
      <c r="C939" s="1" t="s">
        <v>4977</v>
      </c>
      <c r="D939" s="1" t="str">
        <f>"8027236256"</f>
        <v>8027236256</v>
      </c>
      <c r="E939" s="1">
        <v>5006</v>
      </c>
      <c r="F939" s="1" t="s">
        <v>28</v>
      </c>
      <c r="G939" s="1" t="s">
        <v>4978</v>
      </c>
      <c r="H939" s="1"/>
      <c r="I939" s="1">
        <v>5</v>
      </c>
      <c r="J939" s="1" t="s">
        <v>4979</v>
      </c>
      <c r="K939" s="1" t="s">
        <v>2925</v>
      </c>
      <c r="L939" s="1" t="s">
        <v>4980</v>
      </c>
      <c r="M939" s="1" t="s">
        <v>4981</v>
      </c>
      <c r="N939" s="2">
        <v>42534</v>
      </c>
      <c r="O939" s="1"/>
      <c r="P939" s="1"/>
      <c r="Q939" s="1" t="s">
        <v>34</v>
      </c>
      <c r="R939" s="1"/>
      <c r="S939" s="1" t="s">
        <v>35</v>
      </c>
      <c r="T939" s="1">
        <v>44.820728000000003</v>
      </c>
      <c r="U939" s="1">
        <v>-71.889869999999902</v>
      </c>
      <c r="V939" s="1" t="s">
        <v>4982</v>
      </c>
      <c r="W939" s="1"/>
      <c r="X939" s="1" t="s">
        <v>37</v>
      </c>
      <c r="Y939" s="1" t="s">
        <v>4983</v>
      </c>
      <c r="Z939" s="1">
        <v>5846</v>
      </c>
    </row>
    <row r="940" spans="1:26" ht="42">
      <c r="A940" s="1" t="str">
        <f>"000VZZ"</f>
        <v>000VZZ</v>
      </c>
      <c r="B940" s="1" t="s">
        <v>4984</v>
      </c>
      <c r="C940" s="1" t="s">
        <v>4985</v>
      </c>
      <c r="D940" s="1" t="str">
        <f>"8483335158"</f>
        <v>8483335158</v>
      </c>
      <c r="E940" s="1">
        <v>5007</v>
      </c>
      <c r="F940" s="1" t="s">
        <v>28</v>
      </c>
      <c r="G940" s="1" t="s">
        <v>4986</v>
      </c>
      <c r="H940" s="1"/>
      <c r="I940" s="1">
        <v>3</v>
      </c>
      <c r="J940" s="1" t="s">
        <v>4987</v>
      </c>
      <c r="K940" s="1" t="s">
        <v>43</v>
      </c>
      <c r="L940" s="1" t="s">
        <v>728</v>
      </c>
      <c r="M940" s="1" t="s">
        <v>4988</v>
      </c>
      <c r="N940" s="2">
        <v>42535</v>
      </c>
      <c r="O940" s="1"/>
      <c r="P940" s="1"/>
      <c r="Q940" s="1" t="s">
        <v>34</v>
      </c>
      <c r="R940" s="1"/>
      <c r="S940" s="1" t="s">
        <v>35</v>
      </c>
      <c r="T940" s="1">
        <v>44.333875900000002</v>
      </c>
      <c r="U940" s="1">
        <v>-73.269162999999907</v>
      </c>
      <c r="V940" s="1" t="s">
        <v>4989</v>
      </c>
      <c r="W940" s="1"/>
      <c r="X940" s="1" t="s">
        <v>37</v>
      </c>
      <c r="Y940" s="1" t="s">
        <v>736</v>
      </c>
      <c r="Z940" s="1">
        <v>5445</v>
      </c>
    </row>
    <row r="941" spans="1:26" ht="42">
      <c r="A941" s="1" t="str">
        <f>"000W06"</f>
        <v>000W06</v>
      </c>
      <c r="B941" s="1" t="s">
        <v>4990</v>
      </c>
      <c r="C941" s="1" t="s">
        <v>4991</v>
      </c>
      <c r="D941" s="1" t="str">
        <f>"8024736222"</f>
        <v>8024736222</v>
      </c>
      <c r="E941" s="1">
        <v>5008</v>
      </c>
      <c r="F941" s="1" t="s">
        <v>28</v>
      </c>
      <c r="G941" s="1" t="s">
        <v>4992</v>
      </c>
      <c r="H941" s="1"/>
      <c r="I941" s="1">
        <v>12</v>
      </c>
      <c r="J941" s="1" t="s">
        <v>4993</v>
      </c>
      <c r="K941" s="1" t="s">
        <v>59</v>
      </c>
      <c r="L941" s="1" t="s">
        <v>2466</v>
      </c>
      <c r="M941" s="1" t="s">
        <v>4994</v>
      </c>
      <c r="N941" s="2">
        <v>42536</v>
      </c>
      <c r="O941" s="1"/>
      <c r="P941" s="1"/>
      <c r="Q941" s="1" t="s">
        <v>34</v>
      </c>
      <c r="R941" s="1"/>
      <c r="S941" s="1" t="s">
        <v>35</v>
      </c>
      <c r="T941" s="1">
        <v>44.478797999999998</v>
      </c>
      <c r="U941" s="1">
        <v>-72.005347999999998</v>
      </c>
      <c r="V941" s="1" t="s">
        <v>4995</v>
      </c>
      <c r="W941" s="1"/>
      <c r="X941" s="1" t="s">
        <v>37</v>
      </c>
      <c r="Y941" s="1" t="s">
        <v>4996</v>
      </c>
      <c r="Z941" s="1">
        <v>5819</v>
      </c>
    </row>
    <row r="942" spans="1:26" ht="42">
      <c r="A942" s="1" t="str">
        <f>"000W10"</f>
        <v>000W10</v>
      </c>
      <c r="B942" s="1" t="s">
        <v>4997</v>
      </c>
      <c r="C942" s="1" t="s">
        <v>4998</v>
      </c>
      <c r="D942" s="1" t="str">
        <f>"8024361133"</f>
        <v>8024361133</v>
      </c>
      <c r="E942" s="1">
        <v>5009</v>
      </c>
      <c r="F942" s="1" t="s">
        <v>28</v>
      </c>
      <c r="G942" s="1" t="s">
        <v>4999</v>
      </c>
      <c r="H942" s="1"/>
      <c r="I942" s="1">
        <v>4</v>
      </c>
      <c r="J942" s="1" t="s">
        <v>1259</v>
      </c>
      <c r="K942" s="1" t="s">
        <v>77</v>
      </c>
      <c r="L942" s="1" t="s">
        <v>507</v>
      </c>
      <c r="M942" s="1" t="s">
        <v>5000</v>
      </c>
      <c r="N942" s="2">
        <v>42541</v>
      </c>
      <c r="O942" s="1"/>
      <c r="P942" s="1"/>
      <c r="Q942" s="1" t="s">
        <v>34</v>
      </c>
      <c r="R942" s="1"/>
      <c r="S942" s="1" t="s">
        <v>35</v>
      </c>
      <c r="T942" s="1"/>
      <c r="U942" s="1"/>
      <c r="V942" s="1" t="s">
        <v>5001</v>
      </c>
      <c r="W942" s="1"/>
      <c r="X942" s="1" t="s">
        <v>37</v>
      </c>
      <c r="Y942" s="1" t="s">
        <v>510</v>
      </c>
      <c r="Z942" s="1">
        <v>5048</v>
      </c>
    </row>
    <row r="943" spans="1:26" ht="42">
      <c r="A943" s="1" t="str">
        <f>"000W11"</f>
        <v>000W11</v>
      </c>
      <c r="B943" s="1" t="s">
        <v>5002</v>
      </c>
      <c r="C943" s="1" t="s">
        <v>5003</v>
      </c>
      <c r="D943" s="1" t="str">
        <f>"8026608968"</f>
        <v>8026608968</v>
      </c>
      <c r="E943" s="1">
        <v>5010</v>
      </c>
      <c r="F943" s="1" t="s">
        <v>28</v>
      </c>
      <c r="G943" s="1" t="s">
        <v>5004</v>
      </c>
      <c r="H943" s="1"/>
      <c r="I943" s="1">
        <v>1</v>
      </c>
      <c r="J943" s="1" t="s">
        <v>5005</v>
      </c>
      <c r="K943" s="1" t="s">
        <v>43</v>
      </c>
      <c r="L943" s="1" t="s">
        <v>44</v>
      </c>
      <c r="M943" s="1" t="s">
        <v>5006</v>
      </c>
      <c r="N943" s="2">
        <v>42541</v>
      </c>
      <c r="O943" s="1"/>
      <c r="P943" s="1"/>
      <c r="Q943" s="1" t="s">
        <v>34</v>
      </c>
      <c r="R943" s="1"/>
      <c r="S943" s="1" t="s">
        <v>35</v>
      </c>
      <c r="T943" s="1">
        <v>44.508792999999997</v>
      </c>
      <c r="U943" s="1">
        <v>-73.237693999999905</v>
      </c>
      <c r="V943" s="1" t="s">
        <v>5007</v>
      </c>
      <c r="W943" s="1"/>
      <c r="X943" s="1" t="s">
        <v>37</v>
      </c>
      <c r="Y943" s="1" t="s">
        <v>46</v>
      </c>
      <c r="Z943" s="1">
        <v>5408</v>
      </c>
    </row>
    <row r="944" spans="1:26" ht="42">
      <c r="A944" s="1" t="str">
        <f>"000W12"</f>
        <v>000W12</v>
      </c>
      <c r="B944" s="1" t="s">
        <v>5008</v>
      </c>
      <c r="C944" s="1" t="s">
        <v>5009</v>
      </c>
      <c r="D944" s="1" t="str">
        <f>"8027937289"</f>
        <v>8027937289</v>
      </c>
      <c r="E944" s="1">
        <v>5011</v>
      </c>
      <c r="F944" s="1" t="s">
        <v>28</v>
      </c>
      <c r="G944" s="1" t="s">
        <v>5010</v>
      </c>
      <c r="H944" s="1"/>
      <c r="I944" s="1">
        <v>4</v>
      </c>
      <c r="J944" s="1" t="s">
        <v>5011</v>
      </c>
      <c r="K944" s="1" t="s">
        <v>31</v>
      </c>
      <c r="L944" s="1" t="s">
        <v>1303</v>
      </c>
      <c r="M944" s="1" t="s">
        <v>5012</v>
      </c>
      <c r="N944" s="2">
        <v>42542</v>
      </c>
      <c r="O944" s="1"/>
      <c r="P944" s="1"/>
      <c r="Q944" s="1" t="s">
        <v>34</v>
      </c>
      <c r="R944" s="1"/>
      <c r="S944" s="1" t="s">
        <v>35</v>
      </c>
      <c r="T944" s="1"/>
      <c r="U944" s="1"/>
      <c r="V944" s="1" t="s">
        <v>5013</v>
      </c>
      <c r="W944" s="1"/>
      <c r="X944" s="1" t="s">
        <v>37</v>
      </c>
      <c r="Y944" s="1" t="s">
        <v>1306</v>
      </c>
      <c r="Z944" s="1">
        <v>5651</v>
      </c>
    </row>
    <row r="945" spans="1:26" ht="42">
      <c r="A945" s="1" t="str">
        <f>"000W12"</f>
        <v>000W12</v>
      </c>
      <c r="B945" s="1" t="s">
        <v>5008</v>
      </c>
      <c r="C945" s="1" t="s">
        <v>5009</v>
      </c>
      <c r="D945" s="1" t="str">
        <f>"8027937289"</f>
        <v>8027937289</v>
      </c>
      <c r="E945" s="1">
        <v>5011</v>
      </c>
      <c r="F945" s="1" t="s">
        <v>28</v>
      </c>
      <c r="G945" s="1" t="s">
        <v>5014</v>
      </c>
      <c r="H945" s="1"/>
      <c r="I945" s="1">
        <v>3</v>
      </c>
      <c r="J945" s="1" t="s">
        <v>5011</v>
      </c>
      <c r="K945" s="1" t="s">
        <v>31</v>
      </c>
      <c r="L945" s="1" t="s">
        <v>716</v>
      </c>
      <c r="M945" s="1" t="s">
        <v>5015</v>
      </c>
      <c r="N945" s="2">
        <v>43255</v>
      </c>
      <c r="O945" s="1"/>
      <c r="P945" s="1"/>
      <c r="Q945" s="1" t="s">
        <v>34</v>
      </c>
      <c r="R945" s="1"/>
      <c r="S945" s="1" t="s">
        <v>35</v>
      </c>
      <c r="T945" s="1"/>
      <c r="U945" s="1"/>
      <c r="V945" s="1" t="s">
        <v>5016</v>
      </c>
      <c r="W945" s="1"/>
      <c r="X945" s="1" t="s">
        <v>37</v>
      </c>
      <c r="Y945" s="1" t="s">
        <v>237</v>
      </c>
      <c r="Z945" s="1">
        <v>5641</v>
      </c>
    </row>
    <row r="946" spans="1:26" ht="42">
      <c r="A946" s="1" t="str">
        <f>"000W16"</f>
        <v>000W16</v>
      </c>
      <c r="B946" s="1" t="s">
        <v>5017</v>
      </c>
      <c r="C946" s="1" t="s">
        <v>5018</v>
      </c>
      <c r="D946" s="1" t="str">
        <f>"8027356232"</f>
        <v>8027356232</v>
      </c>
      <c r="E946" s="1">
        <v>5012</v>
      </c>
      <c r="F946" s="1" t="s">
        <v>28</v>
      </c>
      <c r="G946" s="1" t="s">
        <v>5019</v>
      </c>
      <c r="H946" s="1"/>
      <c r="I946" s="1">
        <v>0</v>
      </c>
      <c r="J946" s="1" t="s">
        <v>5020</v>
      </c>
      <c r="K946" s="1" t="s">
        <v>152</v>
      </c>
      <c r="L946" s="1" t="s">
        <v>1054</v>
      </c>
      <c r="M946" s="1" t="s">
        <v>5021</v>
      </c>
      <c r="N946" s="2">
        <v>42543</v>
      </c>
      <c r="O946" s="2">
        <v>43252</v>
      </c>
      <c r="P946" s="1"/>
      <c r="Q946" s="1" t="s">
        <v>34</v>
      </c>
      <c r="R946" s="1"/>
      <c r="S946" s="1" t="s">
        <v>35</v>
      </c>
      <c r="T946" s="1"/>
      <c r="U946" s="1"/>
      <c r="V946" s="1" t="s">
        <v>5020</v>
      </c>
      <c r="W946" s="1"/>
      <c r="X946" s="1" t="s">
        <v>37</v>
      </c>
      <c r="Y946" s="1" t="s">
        <v>2999</v>
      </c>
      <c r="Z946" s="1">
        <v>8547</v>
      </c>
    </row>
    <row r="947" spans="1:26" ht="42">
      <c r="A947" s="1" t="str">
        <f>"000W16"</f>
        <v>000W16</v>
      </c>
      <c r="B947" s="1" t="s">
        <v>5017</v>
      </c>
      <c r="C947" s="1" t="s">
        <v>5018</v>
      </c>
      <c r="D947" s="1" t="str">
        <f>"8027356232"</f>
        <v>8027356232</v>
      </c>
      <c r="E947" s="1">
        <v>5012</v>
      </c>
      <c r="F947" s="1" t="s">
        <v>28</v>
      </c>
      <c r="G947" s="1" t="s">
        <v>5022</v>
      </c>
      <c r="H947" s="1"/>
      <c r="I947" s="1">
        <v>8</v>
      </c>
      <c r="J947" s="1" t="s">
        <v>1051</v>
      </c>
      <c r="K947" s="1" t="s">
        <v>152</v>
      </c>
      <c r="L947" s="1" t="s">
        <v>1048</v>
      </c>
      <c r="M947" s="1" t="s">
        <v>5023</v>
      </c>
      <c r="N947" s="2">
        <v>42933</v>
      </c>
      <c r="O947" s="1"/>
      <c r="P947" s="1"/>
      <c r="Q947" s="1" t="s">
        <v>34</v>
      </c>
      <c r="R947" s="1"/>
      <c r="S947" s="1" t="s">
        <v>35</v>
      </c>
      <c r="T947" s="1">
        <v>44.668528999999999</v>
      </c>
      <c r="U947" s="1">
        <v>-73.024869999999893</v>
      </c>
      <c r="V947" s="1" t="s">
        <v>5024</v>
      </c>
      <c r="W947" s="1"/>
      <c r="X947" s="1" t="s">
        <v>37</v>
      </c>
      <c r="Y947" s="1" t="s">
        <v>1051</v>
      </c>
      <c r="Z947" s="1">
        <v>5454</v>
      </c>
    </row>
    <row r="948" spans="1:26" ht="42">
      <c r="A948" s="1" t="str">
        <f>"000W16"</f>
        <v>000W16</v>
      </c>
      <c r="B948" s="1" t="s">
        <v>5017</v>
      </c>
      <c r="C948" s="1" t="s">
        <v>5018</v>
      </c>
      <c r="D948" s="1" t="str">
        <f>"8027356232"</f>
        <v>8027356232</v>
      </c>
      <c r="E948" s="1">
        <v>5012</v>
      </c>
      <c r="F948" s="1" t="s">
        <v>28</v>
      </c>
      <c r="G948" s="1" t="s">
        <v>5025</v>
      </c>
      <c r="H948" s="1"/>
      <c r="I948" s="1">
        <v>3</v>
      </c>
      <c r="J948" s="1" t="s">
        <v>5026</v>
      </c>
      <c r="K948" s="1" t="s">
        <v>152</v>
      </c>
      <c r="L948" s="1" t="s">
        <v>1048</v>
      </c>
      <c r="M948" s="1" t="s">
        <v>5027</v>
      </c>
      <c r="N948" s="2">
        <v>43265</v>
      </c>
      <c r="O948" s="1"/>
      <c r="P948" s="1"/>
      <c r="Q948" s="1" t="s">
        <v>34</v>
      </c>
      <c r="R948" s="1"/>
      <c r="S948" s="1" t="s">
        <v>35</v>
      </c>
      <c r="T948" s="1">
        <v>44.647051999999903</v>
      </c>
      <c r="U948" s="1">
        <v>-73.006270999999899</v>
      </c>
      <c r="V948" s="1" t="s">
        <v>5028</v>
      </c>
      <c r="W948" s="1"/>
      <c r="X948" s="1" t="s">
        <v>37</v>
      </c>
      <c r="Y948" s="1" t="s">
        <v>1051</v>
      </c>
      <c r="Z948" s="1">
        <v>5454</v>
      </c>
    </row>
    <row r="949" spans="1:26" ht="42">
      <c r="A949" s="1" t="str">
        <f>"000W16"</f>
        <v>000W16</v>
      </c>
      <c r="B949" s="1" t="s">
        <v>5017</v>
      </c>
      <c r="C949" s="1" t="s">
        <v>5018</v>
      </c>
      <c r="D949" s="1" t="str">
        <f>"8027356232"</f>
        <v>8027356232</v>
      </c>
      <c r="E949" s="1">
        <v>5012</v>
      </c>
      <c r="F949" s="1" t="s">
        <v>28</v>
      </c>
      <c r="G949" s="1" t="s">
        <v>5029</v>
      </c>
      <c r="H949" s="1"/>
      <c r="I949" s="1">
        <v>3</v>
      </c>
      <c r="J949" s="1" t="s">
        <v>1607</v>
      </c>
      <c r="K949" s="1" t="s">
        <v>152</v>
      </c>
      <c r="L949" s="1"/>
      <c r="M949" s="1" t="s">
        <v>5030</v>
      </c>
      <c r="N949" s="2">
        <v>43265</v>
      </c>
      <c r="O949" s="1"/>
      <c r="P949" s="1"/>
      <c r="Q949" s="1" t="s">
        <v>34</v>
      </c>
      <c r="R949" s="1"/>
      <c r="S949" s="1" t="s">
        <v>35</v>
      </c>
      <c r="T949" s="1">
        <v>44.631249699999898</v>
      </c>
      <c r="U949" s="1">
        <v>-72.984723399999993</v>
      </c>
      <c r="V949" s="1" t="s">
        <v>5031</v>
      </c>
      <c r="W949" s="1"/>
      <c r="X949" s="1" t="s">
        <v>37</v>
      </c>
      <c r="Y949" s="1" t="s">
        <v>320</v>
      </c>
      <c r="Z949" s="1">
        <v>0</v>
      </c>
    </row>
    <row r="950" spans="1:26" ht="42">
      <c r="A950" s="1" t="str">
        <f>"000W17"</f>
        <v>000W17</v>
      </c>
      <c r="B950" s="1" t="s">
        <v>5032</v>
      </c>
      <c r="C950" s="1" t="s">
        <v>5033</v>
      </c>
      <c r="D950" s="1" t="str">
        <f>"6176613931"</f>
        <v>6176613931</v>
      </c>
      <c r="E950" s="1">
        <v>5013</v>
      </c>
      <c r="F950" s="1" t="s">
        <v>28</v>
      </c>
      <c r="G950" s="1" t="s">
        <v>5034</v>
      </c>
      <c r="H950" s="1"/>
      <c r="I950" s="1">
        <v>2</v>
      </c>
      <c r="J950" s="1" t="s">
        <v>5035</v>
      </c>
      <c r="K950" s="1" t="s">
        <v>59</v>
      </c>
      <c r="L950" s="1" t="s">
        <v>3693</v>
      </c>
      <c r="M950" s="1" t="s">
        <v>5036</v>
      </c>
      <c r="N950" s="2">
        <v>42543</v>
      </c>
      <c r="O950" s="1"/>
      <c r="P950" s="1"/>
      <c r="Q950" s="1" t="s">
        <v>34</v>
      </c>
      <c r="R950" s="1"/>
      <c r="S950" s="1" t="s">
        <v>35</v>
      </c>
      <c r="T950" s="1">
        <v>44.380022199999999</v>
      </c>
      <c r="U950" s="1">
        <v>-72.044402300000002</v>
      </c>
      <c r="V950" s="1" t="s">
        <v>5037</v>
      </c>
      <c r="W950" s="1"/>
      <c r="X950" s="1" t="s">
        <v>37</v>
      </c>
      <c r="Y950" s="1" t="s">
        <v>4751</v>
      </c>
      <c r="Z950" s="1">
        <v>5819</v>
      </c>
    </row>
    <row r="951" spans="1:26" ht="42">
      <c r="A951" s="1" t="str">
        <f>"000W19"</f>
        <v>000W19</v>
      </c>
      <c r="B951" s="1" t="s">
        <v>5038</v>
      </c>
      <c r="C951" s="1" t="s">
        <v>5039</v>
      </c>
      <c r="D951" s="1" t="str">
        <f>"8028492494"</f>
        <v>8028492494</v>
      </c>
      <c r="E951" s="1">
        <v>5015</v>
      </c>
      <c r="F951" s="1" t="s">
        <v>28</v>
      </c>
      <c r="G951" s="1" t="s">
        <v>5040</v>
      </c>
      <c r="H951" s="1"/>
      <c r="I951" s="1">
        <v>10</v>
      </c>
      <c r="J951" s="1">
        <v>1</v>
      </c>
      <c r="K951" s="1" t="s">
        <v>152</v>
      </c>
      <c r="L951" s="1" t="s">
        <v>1054</v>
      </c>
      <c r="M951" s="1" t="s">
        <v>5041</v>
      </c>
      <c r="N951" s="2">
        <v>42928</v>
      </c>
      <c r="O951" s="1"/>
      <c r="P951" s="1"/>
      <c r="Q951" s="1" t="s">
        <v>34</v>
      </c>
      <c r="R951" s="1"/>
      <c r="S951" s="1" t="s">
        <v>35</v>
      </c>
      <c r="T951" s="1">
        <v>44.796745000000001</v>
      </c>
      <c r="U951" s="1">
        <v>-73.085494999999895</v>
      </c>
      <c r="V951" s="1" t="s">
        <v>5042</v>
      </c>
      <c r="W951" s="1"/>
      <c r="X951" s="1" t="s">
        <v>37</v>
      </c>
      <c r="Y951" s="1" t="s">
        <v>152</v>
      </c>
      <c r="Z951" s="1">
        <v>5478</v>
      </c>
    </row>
    <row r="952" spans="1:26" ht="42">
      <c r="A952" s="1" t="str">
        <f>"000W19"</f>
        <v>000W19</v>
      </c>
      <c r="B952" s="1" t="s">
        <v>5038</v>
      </c>
      <c r="C952" s="1" t="s">
        <v>5039</v>
      </c>
      <c r="D952" s="1" t="str">
        <f>"8028492494"</f>
        <v>8028492494</v>
      </c>
      <c r="E952" s="1">
        <v>5015</v>
      </c>
      <c r="F952" s="1" t="s">
        <v>28</v>
      </c>
      <c r="G952" s="1" t="s">
        <v>5043</v>
      </c>
      <c r="H952" s="1"/>
      <c r="I952" s="1">
        <v>2</v>
      </c>
      <c r="J952" s="1">
        <v>2</v>
      </c>
      <c r="K952" s="1" t="s">
        <v>152</v>
      </c>
      <c r="L952" s="1" t="s">
        <v>1048</v>
      </c>
      <c r="M952" s="1" t="s">
        <v>5044</v>
      </c>
      <c r="N952" s="2">
        <v>42928</v>
      </c>
      <c r="O952" s="1"/>
      <c r="P952" s="1"/>
      <c r="Q952" s="1" t="s">
        <v>34</v>
      </c>
      <c r="R952" s="1"/>
      <c r="S952" s="1" t="s">
        <v>35</v>
      </c>
      <c r="T952" s="1">
        <v>44.6659103</v>
      </c>
      <c r="U952" s="1">
        <v>-73.0097205</v>
      </c>
      <c r="V952" s="1" t="s">
        <v>5045</v>
      </c>
      <c r="W952" s="1"/>
      <c r="X952" s="1" t="s">
        <v>37</v>
      </c>
      <c r="Y952" s="1" t="s">
        <v>1051</v>
      </c>
      <c r="Z952" s="1">
        <v>5454</v>
      </c>
    </row>
    <row r="953" spans="1:26" ht="42">
      <c r="A953" s="1" t="str">
        <f>"000W1A"</f>
        <v>000W1A</v>
      </c>
      <c r="B953" s="1" t="s">
        <v>5046</v>
      </c>
      <c r="C953" s="1" t="s">
        <v>5047</v>
      </c>
      <c r="D953" s="1" t="str">
        <f>"8022558386"</f>
        <v>8022558386</v>
      </c>
      <c r="E953" s="1">
        <v>5016</v>
      </c>
      <c r="F953" s="1" t="s">
        <v>28</v>
      </c>
      <c r="G953" s="1" t="s">
        <v>5048</v>
      </c>
      <c r="H953" s="1"/>
      <c r="I953" s="1">
        <v>5</v>
      </c>
      <c r="J953" s="1" t="s">
        <v>5049</v>
      </c>
      <c r="K953" s="1" t="s">
        <v>170</v>
      </c>
      <c r="L953" s="1" t="s">
        <v>3857</v>
      </c>
      <c r="M953" s="1" t="s">
        <v>5050</v>
      </c>
      <c r="N953" s="2">
        <v>42543</v>
      </c>
      <c r="O953" s="1"/>
      <c r="P953" s="1"/>
      <c r="Q953" s="1" t="s">
        <v>34</v>
      </c>
      <c r="R953" s="1"/>
      <c r="S953" s="1" t="s">
        <v>35</v>
      </c>
      <c r="T953" s="1">
        <v>44.558802800000002</v>
      </c>
      <c r="U953" s="1">
        <v>-72.577841499999906</v>
      </c>
      <c r="V953" s="1" t="s">
        <v>5051</v>
      </c>
      <c r="W953" s="1"/>
      <c r="X953" s="1" t="s">
        <v>37</v>
      </c>
      <c r="Y953" s="1" t="s">
        <v>383</v>
      </c>
      <c r="Z953" s="1">
        <v>5661</v>
      </c>
    </row>
    <row r="954" spans="1:26" ht="42">
      <c r="A954" s="1" t="str">
        <f>"000W1C"</f>
        <v>000W1C</v>
      </c>
      <c r="B954" s="1" t="s">
        <v>5052</v>
      </c>
      <c r="C954" s="1" t="s">
        <v>5053</v>
      </c>
      <c r="D954" s="1" t="str">
        <f>"8022547442"</f>
        <v>8022547442</v>
      </c>
      <c r="E954" s="1">
        <v>5017</v>
      </c>
      <c r="F954" s="1" t="s">
        <v>28</v>
      </c>
      <c r="G954" s="1" t="s">
        <v>5054</v>
      </c>
      <c r="H954" s="1"/>
      <c r="I954" s="1">
        <v>3</v>
      </c>
      <c r="J954" s="1" t="s">
        <v>5055</v>
      </c>
      <c r="K954" s="1" t="s">
        <v>144</v>
      </c>
      <c r="L954" s="1" t="s">
        <v>609</v>
      </c>
      <c r="M954" s="1" t="s">
        <v>5056</v>
      </c>
      <c r="N954" s="2">
        <v>42544</v>
      </c>
      <c r="O954" s="1"/>
      <c r="P954" s="1"/>
      <c r="Q954" s="1" t="s">
        <v>34</v>
      </c>
      <c r="R954" s="1"/>
      <c r="S954" s="1" t="s">
        <v>35</v>
      </c>
      <c r="T954" s="1">
        <v>42.952744199999998</v>
      </c>
      <c r="U954" s="1">
        <v>-72.607791799999902</v>
      </c>
      <c r="V954" s="1" t="s">
        <v>5057</v>
      </c>
      <c r="W954" s="1"/>
      <c r="X954" s="1" t="s">
        <v>37</v>
      </c>
      <c r="Y954" s="1" t="s">
        <v>611</v>
      </c>
      <c r="Z954" s="1">
        <v>5301</v>
      </c>
    </row>
    <row r="955" spans="1:26" ht="42">
      <c r="A955" s="1" t="str">
        <f>"000W1D"</f>
        <v>000W1D</v>
      </c>
      <c r="B955" s="1" t="s">
        <v>5058</v>
      </c>
      <c r="C955" s="1" t="s">
        <v>5059</v>
      </c>
      <c r="D955" s="1" t="str">
        <f>"8024573779"</f>
        <v>8024573779</v>
      </c>
      <c r="E955" s="1">
        <v>5018</v>
      </c>
      <c r="F955" s="1" t="s">
        <v>28</v>
      </c>
      <c r="G955" s="1" t="s">
        <v>5060</v>
      </c>
      <c r="H955" s="1"/>
      <c r="I955" s="1">
        <v>2</v>
      </c>
      <c r="J955" s="1" t="s">
        <v>5061</v>
      </c>
      <c r="K955" s="1" t="s">
        <v>77</v>
      </c>
      <c r="L955" s="1" t="s">
        <v>403</v>
      </c>
      <c r="M955" s="1" t="s">
        <v>5062</v>
      </c>
      <c r="N955" s="2">
        <v>42544</v>
      </c>
      <c r="O955" s="1"/>
      <c r="P955" s="1"/>
      <c r="Q955" s="1" t="s">
        <v>34</v>
      </c>
      <c r="R955" s="1"/>
      <c r="S955" s="1" t="s">
        <v>35</v>
      </c>
      <c r="T955" s="1">
        <v>43.569201900000003</v>
      </c>
      <c r="U955" s="1">
        <v>-72.560270500000001</v>
      </c>
      <c r="V955" s="1" t="s">
        <v>5063</v>
      </c>
      <c r="W955" s="1"/>
      <c r="X955" s="1" t="s">
        <v>37</v>
      </c>
      <c r="Y955" s="1" t="s">
        <v>5064</v>
      </c>
      <c r="Z955" s="1">
        <v>5071</v>
      </c>
    </row>
    <row r="956" spans="1:26" ht="42">
      <c r="A956" s="1" t="str">
        <f>"000W26"</f>
        <v>000W26</v>
      </c>
      <c r="B956" s="1" t="s">
        <v>5065</v>
      </c>
      <c r="C956" s="1" t="s">
        <v>5066</v>
      </c>
      <c r="D956" s="1" t="str">
        <f>"8024641187"</f>
        <v>8024641187</v>
      </c>
      <c r="E956" s="1">
        <v>5021</v>
      </c>
      <c r="F956" s="1" t="s">
        <v>28</v>
      </c>
      <c r="G956" s="1" t="s">
        <v>5067</v>
      </c>
      <c r="H956" s="1"/>
      <c r="I956" s="1">
        <v>2</v>
      </c>
      <c r="J956" s="1" t="s">
        <v>5068</v>
      </c>
      <c r="K956" s="1" t="s">
        <v>144</v>
      </c>
      <c r="L956" s="1" t="s">
        <v>3449</v>
      </c>
      <c r="M956" s="1" t="s">
        <v>5069</v>
      </c>
      <c r="N956" s="2">
        <v>42545</v>
      </c>
      <c r="O956" s="1"/>
      <c r="P956" s="1"/>
      <c r="Q956" s="1" t="s">
        <v>34</v>
      </c>
      <c r="R956" s="1"/>
      <c r="S956" s="1" t="s">
        <v>35</v>
      </c>
      <c r="T956" s="1">
        <v>42.881798000000003</v>
      </c>
      <c r="U956" s="1">
        <v>-72.853141999999906</v>
      </c>
      <c r="V956" s="1" t="s">
        <v>5070</v>
      </c>
      <c r="W956" s="1"/>
      <c r="X956" s="1" t="s">
        <v>37</v>
      </c>
      <c r="Y956" s="1" t="s">
        <v>606</v>
      </c>
      <c r="Z956" s="1">
        <v>5363</v>
      </c>
    </row>
    <row r="957" spans="1:26" ht="42">
      <c r="A957" s="1" t="str">
        <f>"000W27"</f>
        <v>000W27</v>
      </c>
      <c r="B957" s="1" t="s">
        <v>5071</v>
      </c>
      <c r="C957" s="1" t="s">
        <v>5072</v>
      </c>
      <c r="D957" s="1" t="str">
        <f>"8027650407"</f>
        <v>8027650407</v>
      </c>
      <c r="E957" s="1">
        <v>5022</v>
      </c>
      <c r="F957" s="1" t="s">
        <v>28</v>
      </c>
      <c r="G957" s="1" t="s">
        <v>5073</v>
      </c>
      <c r="H957" s="1"/>
      <c r="I957" s="1">
        <v>4</v>
      </c>
      <c r="J957" s="1" t="s">
        <v>5074</v>
      </c>
      <c r="K957" s="1" t="s">
        <v>68</v>
      </c>
      <c r="L957" s="1" t="s">
        <v>634</v>
      </c>
      <c r="M957" s="1" t="s">
        <v>5075</v>
      </c>
      <c r="N957" s="2">
        <v>42545</v>
      </c>
      <c r="O957" s="1"/>
      <c r="P957" s="2">
        <v>42950</v>
      </c>
      <c r="Q957" s="1" t="s">
        <v>34</v>
      </c>
      <c r="R957" s="1"/>
      <c r="S957" s="1" t="s">
        <v>35</v>
      </c>
      <c r="T957" s="1">
        <v>43.834336200000003</v>
      </c>
      <c r="U957" s="1">
        <v>-72.362825799999996</v>
      </c>
      <c r="V957" s="1" t="s">
        <v>5076</v>
      </c>
      <c r="W957" s="1"/>
      <c r="X957" s="1" t="s">
        <v>37</v>
      </c>
      <c r="Y957" s="1" t="s">
        <v>3398</v>
      </c>
      <c r="Z957" s="1">
        <v>5070</v>
      </c>
    </row>
    <row r="958" spans="1:26" ht="42">
      <c r="A958" s="1" t="str">
        <f>"000W2D"</f>
        <v>000W2D</v>
      </c>
      <c r="B958" s="1" t="s">
        <v>5077</v>
      </c>
      <c r="C958" s="1" t="s">
        <v>5078</v>
      </c>
      <c r="D958" s="1" t="str">
        <f>"8027650020"</f>
        <v>8027650020</v>
      </c>
      <c r="E958" s="1">
        <v>5023</v>
      </c>
      <c r="F958" s="1" t="s">
        <v>28</v>
      </c>
      <c r="G958" s="1" t="s">
        <v>5079</v>
      </c>
      <c r="H958" s="1"/>
      <c r="I958" s="1">
        <v>1</v>
      </c>
      <c r="J958" s="1" t="s">
        <v>5080</v>
      </c>
      <c r="K958" s="1" t="s">
        <v>68</v>
      </c>
      <c r="L958" s="1" t="s">
        <v>634</v>
      </c>
      <c r="M958" s="1" t="s">
        <v>5081</v>
      </c>
      <c r="N958" s="2">
        <v>42548</v>
      </c>
      <c r="O958" s="1"/>
      <c r="P958" s="2">
        <v>42965</v>
      </c>
      <c r="Q958" s="1" t="s">
        <v>34</v>
      </c>
      <c r="R958" s="1"/>
      <c r="S958" s="1" t="s">
        <v>35</v>
      </c>
      <c r="T958" s="1">
        <v>43.823389318085702</v>
      </c>
      <c r="U958" s="1">
        <v>-72.344753103669703</v>
      </c>
      <c r="V958" s="1" t="s">
        <v>5082</v>
      </c>
      <c r="W958" s="1"/>
      <c r="X958" s="1" t="s">
        <v>37</v>
      </c>
      <c r="Y958" s="1" t="s">
        <v>3398</v>
      </c>
      <c r="Z958" s="1">
        <v>5070</v>
      </c>
    </row>
    <row r="959" spans="1:26" ht="42">
      <c r="A959" s="1" t="str">
        <f>"000W2J"</f>
        <v>000W2J</v>
      </c>
      <c r="B959" s="1" t="s">
        <v>5083</v>
      </c>
      <c r="C959" s="1" t="s">
        <v>5084</v>
      </c>
      <c r="D959" s="1" t="str">
        <f>"8028488969"</f>
        <v>8028488969</v>
      </c>
      <c r="E959" s="1">
        <v>5025</v>
      </c>
      <c r="F959" s="1" t="s">
        <v>28</v>
      </c>
      <c r="G959" s="1" t="s">
        <v>5085</v>
      </c>
      <c r="H959" s="1"/>
      <c r="I959" s="1">
        <v>1</v>
      </c>
      <c r="J959" s="1" t="s">
        <v>5086</v>
      </c>
      <c r="K959" s="1" t="s">
        <v>152</v>
      </c>
      <c r="L959" s="1" t="s">
        <v>5087</v>
      </c>
      <c r="M959" s="1" t="s">
        <v>5088</v>
      </c>
      <c r="N959" s="2">
        <v>42549</v>
      </c>
      <c r="O959" s="1"/>
      <c r="P959" s="1"/>
      <c r="Q959" s="1" t="s">
        <v>34</v>
      </c>
      <c r="R959" s="1"/>
      <c r="S959" s="1" t="s">
        <v>35</v>
      </c>
      <c r="T959" s="1">
        <v>44.975695299999998</v>
      </c>
      <c r="U959" s="1">
        <v>-72.653281199999995</v>
      </c>
      <c r="V959" s="1" t="s">
        <v>5089</v>
      </c>
      <c r="W959" s="1"/>
      <c r="X959" s="1" t="s">
        <v>37</v>
      </c>
      <c r="Y959" s="1" t="s">
        <v>3391</v>
      </c>
      <c r="Z959" s="1">
        <v>5476</v>
      </c>
    </row>
    <row r="960" spans="1:26" ht="42">
      <c r="A960" s="1" t="str">
        <f>"000W2M"</f>
        <v>000W2M</v>
      </c>
      <c r="B960" s="1" t="s">
        <v>5090</v>
      </c>
      <c r="C960" s="1" t="s">
        <v>5091</v>
      </c>
      <c r="D960" s="1" t="str">
        <f>"8027821464"</f>
        <v>8027821464</v>
      </c>
      <c r="E960" s="1">
        <v>5027</v>
      </c>
      <c r="F960" s="1" t="s">
        <v>28</v>
      </c>
      <c r="G960" s="1" t="s">
        <v>5092</v>
      </c>
      <c r="H960" s="1"/>
      <c r="I960" s="1">
        <v>7</v>
      </c>
      <c r="J960" s="1" t="s">
        <v>5093</v>
      </c>
      <c r="K960" s="1" t="s">
        <v>152</v>
      </c>
      <c r="L960" s="1" t="s">
        <v>5087</v>
      </c>
      <c r="M960" s="1" t="s">
        <v>5094</v>
      </c>
      <c r="N960" s="2">
        <v>42550</v>
      </c>
      <c r="O960" s="1"/>
      <c r="P960" s="1"/>
      <c r="Q960" s="1" t="s">
        <v>34</v>
      </c>
      <c r="R960" s="1"/>
      <c r="S960" s="1" t="s">
        <v>35</v>
      </c>
      <c r="T960" s="1">
        <v>44.978870000000001</v>
      </c>
      <c r="U960" s="1">
        <v>-72.675064000000006</v>
      </c>
      <c r="V960" s="1" t="s">
        <v>5095</v>
      </c>
      <c r="W960" s="1"/>
      <c r="X960" s="1" t="s">
        <v>37</v>
      </c>
      <c r="Y960" s="1" t="s">
        <v>3391</v>
      </c>
      <c r="Z960" s="1">
        <v>5476</v>
      </c>
    </row>
    <row r="961" spans="1:26" ht="42">
      <c r="A961" s="1" t="str">
        <f>"000W2X"</f>
        <v>000W2X</v>
      </c>
      <c r="B961" s="1" t="s">
        <v>5096</v>
      </c>
      <c r="C961" s="1" t="s">
        <v>5097</v>
      </c>
      <c r="D961" s="1" t="str">
        <f>"8022210357"</f>
        <v>8022210357</v>
      </c>
      <c r="E961" s="1">
        <v>5029</v>
      </c>
      <c r="F961" s="1" t="s">
        <v>28</v>
      </c>
      <c r="G961" s="1" t="s">
        <v>5098</v>
      </c>
      <c r="H961" s="1"/>
      <c r="I961" s="1">
        <v>10</v>
      </c>
      <c r="J961" s="1" t="s">
        <v>5099</v>
      </c>
      <c r="K961" s="1" t="s">
        <v>144</v>
      </c>
      <c r="L961" s="1" t="s">
        <v>356</v>
      </c>
      <c r="M961" s="1" t="s">
        <v>5100</v>
      </c>
      <c r="N961" s="2">
        <v>42551</v>
      </c>
      <c r="O961" s="1"/>
      <c r="P961" s="1"/>
      <c r="Q961" s="1" t="s">
        <v>34</v>
      </c>
      <c r="R961" s="1"/>
      <c r="S961" s="1" t="s">
        <v>35</v>
      </c>
      <c r="T961" s="1">
        <v>42.971423999999999</v>
      </c>
      <c r="U961" s="1">
        <v>-72.681168</v>
      </c>
      <c r="V961" s="1" t="s">
        <v>5101</v>
      </c>
      <c r="W961" s="1"/>
      <c r="X961" s="1" t="s">
        <v>37</v>
      </c>
      <c r="Y961" s="1" t="s">
        <v>1370</v>
      </c>
      <c r="Z961" s="1">
        <v>5345</v>
      </c>
    </row>
    <row r="962" spans="1:26" ht="42">
      <c r="A962" s="1" t="str">
        <f>"000W2X"</f>
        <v>000W2X</v>
      </c>
      <c r="B962" s="1" t="s">
        <v>5096</v>
      </c>
      <c r="C962" s="1" t="s">
        <v>5097</v>
      </c>
      <c r="D962" s="1" t="str">
        <f>"8022210357"</f>
        <v>8022210357</v>
      </c>
      <c r="E962" s="1">
        <v>5029</v>
      </c>
      <c r="F962" s="1" t="s">
        <v>28</v>
      </c>
      <c r="G962" s="1" t="s">
        <v>5102</v>
      </c>
      <c r="H962" s="1"/>
      <c r="I962" s="1">
        <v>4</v>
      </c>
      <c r="J962" s="1">
        <v>2</v>
      </c>
      <c r="K962" s="1" t="s">
        <v>144</v>
      </c>
      <c r="L962" s="1"/>
      <c r="M962" s="1" t="s">
        <v>5103</v>
      </c>
      <c r="N962" s="2">
        <v>42551</v>
      </c>
      <c r="O962" s="1"/>
      <c r="P962" s="1"/>
      <c r="Q962" s="1" t="s">
        <v>34</v>
      </c>
      <c r="R962" s="1"/>
      <c r="S962" s="1" t="s">
        <v>35</v>
      </c>
      <c r="T962" s="1">
        <v>42.948383</v>
      </c>
      <c r="U962" s="1">
        <v>-72.679587999999896</v>
      </c>
      <c r="V962" s="1" t="s">
        <v>5104</v>
      </c>
      <c r="W962" s="1"/>
      <c r="X962" s="1" t="s">
        <v>37</v>
      </c>
      <c r="Y962" s="1" t="s">
        <v>1359</v>
      </c>
      <c r="Z962" s="1">
        <v>5362</v>
      </c>
    </row>
    <row r="963" spans="1:26" ht="42">
      <c r="A963" s="1" t="str">
        <f>"000W2X"</f>
        <v>000W2X</v>
      </c>
      <c r="B963" s="1" t="s">
        <v>5096</v>
      </c>
      <c r="C963" s="1" t="s">
        <v>5097</v>
      </c>
      <c r="D963" s="1" t="str">
        <f>"8022210357"</f>
        <v>8022210357</v>
      </c>
      <c r="E963" s="1">
        <v>5029</v>
      </c>
      <c r="F963" s="1" t="s">
        <v>28</v>
      </c>
      <c r="G963" s="1" t="s">
        <v>5105</v>
      </c>
      <c r="H963" s="1"/>
      <c r="I963" s="1">
        <v>5</v>
      </c>
      <c r="J963" s="1">
        <v>3</v>
      </c>
      <c r="K963" s="1" t="s">
        <v>144</v>
      </c>
      <c r="L963" s="1" t="s">
        <v>609</v>
      </c>
      <c r="M963" s="1" t="s">
        <v>5106</v>
      </c>
      <c r="N963" s="2">
        <v>42916</v>
      </c>
      <c r="O963" s="1"/>
      <c r="P963" s="1"/>
      <c r="Q963" s="1" t="s">
        <v>34</v>
      </c>
      <c r="R963" s="1"/>
      <c r="S963" s="1" t="s">
        <v>35</v>
      </c>
      <c r="T963" s="1">
        <v>43.5007266</v>
      </c>
      <c r="U963" s="1">
        <v>-72.391870799999893</v>
      </c>
      <c r="V963" s="1" t="s">
        <v>5107</v>
      </c>
      <c r="W963" s="1"/>
      <c r="X963" s="1" t="s">
        <v>37</v>
      </c>
      <c r="Y963" s="1" t="s">
        <v>611</v>
      </c>
      <c r="Z963" s="1">
        <v>5089</v>
      </c>
    </row>
    <row r="964" spans="1:26" ht="42">
      <c r="A964" s="1" t="str">
        <f>"000W30"</f>
        <v>000W30</v>
      </c>
      <c r="B964" s="1" t="s">
        <v>5108</v>
      </c>
      <c r="C964" s="1" t="s">
        <v>5109</v>
      </c>
      <c r="D964" s="1" t="str">
        <f>"8024854264"</f>
        <v>8024854264</v>
      </c>
      <c r="E964" s="1">
        <v>5030</v>
      </c>
      <c r="F964" s="1" t="s">
        <v>28</v>
      </c>
      <c r="G964" s="1" t="s">
        <v>5110</v>
      </c>
      <c r="H964" s="1"/>
      <c r="I964" s="1">
        <v>4</v>
      </c>
      <c r="J964" s="1" t="s">
        <v>5111</v>
      </c>
      <c r="K964" s="1" t="s">
        <v>31</v>
      </c>
      <c r="L964" s="1" t="s">
        <v>702</v>
      </c>
      <c r="M964" s="1" t="s">
        <v>5112</v>
      </c>
      <c r="N964" s="2">
        <v>42556</v>
      </c>
      <c r="O964" s="1"/>
      <c r="P964" s="2">
        <v>43076</v>
      </c>
      <c r="Q964" s="1" t="s">
        <v>34</v>
      </c>
      <c r="R964" s="1"/>
      <c r="S964" s="1" t="s">
        <v>35</v>
      </c>
      <c r="T964" s="1">
        <v>44.113525443137497</v>
      </c>
      <c r="U964" s="1">
        <v>-72.666443327543206</v>
      </c>
      <c r="V964" s="1" t="s">
        <v>5113</v>
      </c>
      <c r="W964" s="1"/>
      <c r="X964" s="1" t="s">
        <v>37</v>
      </c>
      <c r="Y964" s="1" t="s">
        <v>705</v>
      </c>
      <c r="Z964" s="1">
        <v>5663</v>
      </c>
    </row>
    <row r="965" spans="1:26" ht="42">
      <c r="A965" s="1" t="str">
        <f>"000W32"</f>
        <v>000W32</v>
      </c>
      <c r="B965" s="1" t="s">
        <v>5114</v>
      </c>
      <c r="C965" s="1" t="s">
        <v>5115</v>
      </c>
      <c r="D965" s="1" t="str">
        <f>"8022267744"</f>
        <v>8022267744</v>
      </c>
      <c r="E965" s="1">
        <v>5032</v>
      </c>
      <c r="F965" s="1" t="s">
        <v>28</v>
      </c>
      <c r="G965" s="1" t="s">
        <v>5116</v>
      </c>
      <c r="H965" s="1"/>
      <c r="I965" s="1">
        <v>3</v>
      </c>
      <c r="J965" s="1">
        <v>1</v>
      </c>
      <c r="K965" s="1" t="s">
        <v>77</v>
      </c>
      <c r="L965" s="1" t="s">
        <v>515</v>
      </c>
      <c r="M965" s="1" t="s">
        <v>5117</v>
      </c>
      <c r="N965" s="2">
        <v>42556</v>
      </c>
      <c r="O965" s="1"/>
      <c r="P965" s="1"/>
      <c r="Q965" s="1" t="s">
        <v>34</v>
      </c>
      <c r="R965" s="1"/>
      <c r="S965" s="1" t="s">
        <v>35</v>
      </c>
      <c r="T965" s="1">
        <v>43.377688399999997</v>
      </c>
      <c r="U965" s="1">
        <v>-72.634818699999897</v>
      </c>
      <c r="V965" s="1" t="s">
        <v>5118</v>
      </c>
      <c r="W965" s="1"/>
      <c r="X965" s="1" t="s">
        <v>37</v>
      </c>
      <c r="Y965" s="1" t="s">
        <v>5119</v>
      </c>
      <c r="Z965" s="1">
        <v>5153</v>
      </c>
    </row>
    <row r="966" spans="1:26" ht="42">
      <c r="A966" s="1" t="str">
        <f>"000W34"</f>
        <v>000W34</v>
      </c>
      <c r="B966" s="1" t="s">
        <v>5120</v>
      </c>
      <c r="C966" s="1" t="s">
        <v>5121</v>
      </c>
      <c r="D966" s="1" t="str">
        <f>"8028752780"</f>
        <v>8028752780</v>
      </c>
      <c r="E966" s="1">
        <v>5033</v>
      </c>
      <c r="F966" s="1" t="s">
        <v>28</v>
      </c>
      <c r="G966" s="1" t="s">
        <v>5122</v>
      </c>
      <c r="H966" s="1"/>
      <c r="I966" s="1">
        <v>4</v>
      </c>
      <c r="J966" s="1" t="s">
        <v>470</v>
      </c>
      <c r="K966" s="1" t="s">
        <v>77</v>
      </c>
      <c r="L966" s="1" t="s">
        <v>2647</v>
      </c>
      <c r="M966" s="1" t="s">
        <v>5123</v>
      </c>
      <c r="N966" s="2">
        <v>42556</v>
      </c>
      <c r="O966" s="1"/>
      <c r="P966" s="1"/>
      <c r="Q966" s="1" t="s">
        <v>34</v>
      </c>
      <c r="R966" s="1"/>
      <c r="S966" s="1" t="s">
        <v>35</v>
      </c>
      <c r="T966" s="1">
        <v>43.33202</v>
      </c>
      <c r="U966" s="1">
        <v>-72.578093899999999</v>
      </c>
      <c r="V966" s="1" t="s">
        <v>5124</v>
      </c>
      <c r="W966" s="1"/>
      <c r="X966" s="1" t="s">
        <v>37</v>
      </c>
      <c r="Y966" s="1" t="s">
        <v>2650</v>
      </c>
      <c r="Z966" s="1">
        <v>5143</v>
      </c>
    </row>
    <row r="967" spans="1:26" ht="42">
      <c r="A967" s="1" t="str">
        <f>"000W3J"</f>
        <v>000W3J</v>
      </c>
      <c r="B967" s="1" t="s">
        <v>5125</v>
      </c>
      <c r="C967" s="1" t="s">
        <v>5126</v>
      </c>
      <c r="D967" s="1" t="str">
        <f>"8027478664"</f>
        <v>8027478664</v>
      </c>
      <c r="E967" s="1">
        <v>5035</v>
      </c>
      <c r="F967" s="1" t="s">
        <v>28</v>
      </c>
      <c r="G967" s="1" t="s">
        <v>5127</v>
      </c>
      <c r="H967" s="1"/>
      <c r="I967" s="1">
        <v>3</v>
      </c>
      <c r="J967" s="1" t="s">
        <v>5128</v>
      </c>
      <c r="K967" s="1" t="s">
        <v>135</v>
      </c>
      <c r="L967" s="1" t="s">
        <v>1231</v>
      </c>
      <c r="M967" s="1" t="s">
        <v>5129</v>
      </c>
      <c r="N967" s="2">
        <v>42558</v>
      </c>
      <c r="O967" s="1"/>
      <c r="P967" s="1"/>
      <c r="Q967" s="1" t="s">
        <v>34</v>
      </c>
      <c r="R967" s="1"/>
      <c r="S967" s="1" t="s">
        <v>35</v>
      </c>
      <c r="T967" s="1">
        <v>43.715347000000001</v>
      </c>
      <c r="U967" s="1">
        <v>-73.060210999999896</v>
      </c>
      <c r="V967" s="1" t="s">
        <v>5130</v>
      </c>
      <c r="W967" s="1"/>
      <c r="X967" s="1" t="s">
        <v>37</v>
      </c>
      <c r="Y967" s="1" t="s">
        <v>1238</v>
      </c>
      <c r="Z967" s="1">
        <v>5744</v>
      </c>
    </row>
    <row r="968" spans="1:26" ht="42">
      <c r="A968" s="1" t="str">
        <f>"000W3M"</f>
        <v>000W3M</v>
      </c>
      <c r="B968" s="1" t="s">
        <v>5131</v>
      </c>
      <c r="C968" s="1" t="s">
        <v>5132</v>
      </c>
      <c r="D968" s="1" t="str">
        <f>"8022473832"</f>
        <v>8022473832</v>
      </c>
      <c r="E968" s="1">
        <v>5036</v>
      </c>
      <c r="F968" s="1" t="s">
        <v>28</v>
      </c>
      <c r="G968" s="1" t="s">
        <v>5133</v>
      </c>
      <c r="H968" s="1"/>
      <c r="I968" s="1">
        <v>8</v>
      </c>
      <c r="J968" s="1" t="s">
        <v>5134</v>
      </c>
      <c r="K968" s="1" t="s">
        <v>135</v>
      </c>
      <c r="L968" s="1" t="s">
        <v>1241</v>
      </c>
      <c r="M968" s="1" t="s">
        <v>5135</v>
      </c>
      <c r="N968" s="2">
        <v>42558</v>
      </c>
      <c r="O968" s="1"/>
      <c r="P968" s="2">
        <v>42972</v>
      </c>
      <c r="Q968" s="1" t="s">
        <v>34</v>
      </c>
      <c r="R968" s="1"/>
      <c r="S968" s="1" t="s">
        <v>35</v>
      </c>
      <c r="T968" s="1">
        <v>43.780707999999997</v>
      </c>
      <c r="U968" s="1">
        <v>-73.128151000000003</v>
      </c>
      <c r="V968" s="1" t="s">
        <v>5136</v>
      </c>
      <c r="W968" s="1"/>
      <c r="X968" s="1" t="s">
        <v>37</v>
      </c>
      <c r="Y968" s="1" t="s">
        <v>1244</v>
      </c>
      <c r="Z968" s="1">
        <v>5733</v>
      </c>
    </row>
    <row r="969" spans="1:26" ht="42">
      <c r="A969" s="1" t="str">
        <f>"000W3M"</f>
        <v>000W3M</v>
      </c>
      <c r="B969" s="1" t="s">
        <v>5131</v>
      </c>
      <c r="C969" s="1" t="s">
        <v>5132</v>
      </c>
      <c r="D969" s="1" t="str">
        <f>"8022473832"</f>
        <v>8022473832</v>
      </c>
      <c r="E969" s="1">
        <v>5036</v>
      </c>
      <c r="F969" s="1" t="s">
        <v>28</v>
      </c>
      <c r="G969" s="1" t="s">
        <v>5137</v>
      </c>
      <c r="H969" s="1"/>
      <c r="I969" s="1">
        <v>0</v>
      </c>
      <c r="J969" s="1">
        <v>2</v>
      </c>
      <c r="K969" s="1" t="s">
        <v>333</v>
      </c>
      <c r="L969" s="1" t="s">
        <v>679</v>
      </c>
      <c r="M969" s="1" t="s">
        <v>5138</v>
      </c>
      <c r="N969" s="2">
        <v>42677</v>
      </c>
      <c r="O969" s="2">
        <v>43256</v>
      </c>
      <c r="P969" s="1"/>
      <c r="Q969" s="1" t="s">
        <v>34</v>
      </c>
      <c r="R969" s="1"/>
      <c r="S969" s="1" t="s">
        <v>35</v>
      </c>
      <c r="T969" s="1">
        <v>44.240372999999998</v>
      </c>
      <c r="U969" s="1">
        <v>-73.235638999999907</v>
      </c>
      <c r="V969" s="1" t="s">
        <v>5139</v>
      </c>
      <c r="W969" s="1"/>
      <c r="X969" s="1" t="s">
        <v>37</v>
      </c>
      <c r="Y969" s="1" t="s">
        <v>4106</v>
      </c>
      <c r="Z969" s="1">
        <v>5473</v>
      </c>
    </row>
    <row r="970" spans="1:26" ht="42">
      <c r="A970" s="1" t="str">
        <f>"000W3N"</f>
        <v>000W3N</v>
      </c>
      <c r="B970" s="1" t="s">
        <v>5140</v>
      </c>
      <c r="C970" s="1" t="s">
        <v>5141</v>
      </c>
      <c r="D970" s="1" t="str">
        <f>"8024822060"</f>
        <v>8024822060</v>
      </c>
      <c r="E970" s="1">
        <v>5037</v>
      </c>
      <c r="F970" s="1" t="s">
        <v>28</v>
      </c>
      <c r="G970" s="1" t="s">
        <v>5142</v>
      </c>
      <c r="H970" s="1"/>
      <c r="I970" s="1">
        <v>1</v>
      </c>
      <c r="J970" s="1" t="s">
        <v>5143</v>
      </c>
      <c r="K970" s="1" t="s">
        <v>43</v>
      </c>
      <c r="L970" s="1" t="s">
        <v>348</v>
      </c>
      <c r="M970" s="1" t="s">
        <v>5144</v>
      </c>
      <c r="N970" s="2">
        <v>42559</v>
      </c>
      <c r="O970" s="1"/>
      <c r="P970" s="1"/>
      <c r="Q970" s="1" t="s">
        <v>34</v>
      </c>
      <c r="R970" s="1"/>
      <c r="S970" s="1" t="s">
        <v>35</v>
      </c>
      <c r="T970" s="1">
        <v>44.326312000000001</v>
      </c>
      <c r="U970" s="1">
        <v>-73.101663000000002</v>
      </c>
      <c r="V970" s="1" t="s">
        <v>5145</v>
      </c>
      <c r="W970" s="1"/>
      <c r="X970" s="1" t="s">
        <v>37</v>
      </c>
      <c r="Y970" s="1" t="s">
        <v>351</v>
      </c>
      <c r="Z970" s="1">
        <v>5461</v>
      </c>
    </row>
    <row r="971" spans="1:26" ht="42">
      <c r="A971" s="1" t="str">
        <f>"000W3P"</f>
        <v>000W3P</v>
      </c>
      <c r="B971" s="1" t="s">
        <v>5146</v>
      </c>
      <c r="C971" s="1" t="s">
        <v>5147</v>
      </c>
      <c r="D971" s="1" t="str">
        <f>"8028258160"</f>
        <v>8028258160</v>
      </c>
      <c r="E971" s="1">
        <v>5038</v>
      </c>
      <c r="F971" s="1" t="s">
        <v>28</v>
      </c>
      <c r="G971" s="1" t="s">
        <v>5148</v>
      </c>
      <c r="H971" s="1"/>
      <c r="I971" s="1">
        <v>2</v>
      </c>
      <c r="J971" s="1" t="s">
        <v>5149</v>
      </c>
      <c r="K971" s="1" t="s">
        <v>43</v>
      </c>
      <c r="L971" s="1" t="s">
        <v>3909</v>
      </c>
      <c r="M971" s="1" t="s">
        <v>5150</v>
      </c>
      <c r="N971" s="2">
        <v>42559</v>
      </c>
      <c r="O971" s="1"/>
      <c r="P971" s="1"/>
      <c r="Q971" s="1" t="s">
        <v>34</v>
      </c>
      <c r="R971" s="1"/>
      <c r="S971" s="1" t="s">
        <v>35</v>
      </c>
      <c r="T971" s="1">
        <v>44.376052999999999</v>
      </c>
      <c r="U971" s="1">
        <v>-72.874824999999902</v>
      </c>
      <c r="V971" s="1" t="s">
        <v>5151</v>
      </c>
      <c r="W971" s="1"/>
      <c r="X971" s="1" t="s">
        <v>37</v>
      </c>
      <c r="Y971" s="1" t="s">
        <v>5152</v>
      </c>
      <c r="Z971" s="1">
        <v>5676</v>
      </c>
    </row>
    <row r="972" spans="1:26" ht="42">
      <c r="A972" s="1" t="str">
        <f>"000W44"</f>
        <v>000W44</v>
      </c>
      <c r="B972" s="1" t="s">
        <v>5153</v>
      </c>
      <c r="C972" s="1" t="s">
        <v>5154</v>
      </c>
      <c r="D972" s="1" t="str">
        <f>"2063711212"</f>
        <v>2063711212</v>
      </c>
      <c r="E972" s="1">
        <v>5041</v>
      </c>
      <c r="F972" s="1" t="s">
        <v>28</v>
      </c>
      <c r="G972" s="1" t="s">
        <v>5155</v>
      </c>
      <c r="H972" s="1"/>
      <c r="I972" s="1">
        <v>12</v>
      </c>
      <c r="J972" s="1" t="s">
        <v>5156</v>
      </c>
      <c r="K972" s="1" t="s">
        <v>77</v>
      </c>
      <c r="L972" s="1" t="s">
        <v>325</v>
      </c>
      <c r="M972" s="1" t="s">
        <v>5157</v>
      </c>
      <c r="N972" s="2">
        <v>42565</v>
      </c>
      <c r="O972" s="1"/>
      <c r="P972" s="1"/>
      <c r="Q972" s="1" t="s">
        <v>34</v>
      </c>
      <c r="R972" s="1"/>
      <c r="S972" s="1" t="s">
        <v>35</v>
      </c>
      <c r="T972" s="1">
        <v>43.344073999999999</v>
      </c>
      <c r="U972" s="1">
        <v>-72.4806209999999</v>
      </c>
      <c r="V972" s="1" t="s">
        <v>5158</v>
      </c>
      <c r="W972" s="1"/>
      <c r="X972" s="1" t="s">
        <v>37</v>
      </c>
      <c r="Y972" s="1" t="s">
        <v>328</v>
      </c>
      <c r="Z972" s="1">
        <v>5156</v>
      </c>
    </row>
    <row r="973" spans="1:26" ht="28">
      <c r="A973" s="1" t="str">
        <f>"000W45"</f>
        <v>000W45</v>
      </c>
      <c r="B973" s="1" t="s">
        <v>5159</v>
      </c>
      <c r="C973" s="1" t="s">
        <v>5160</v>
      </c>
      <c r="D973" s="1"/>
      <c r="E973" s="1">
        <v>5042</v>
      </c>
      <c r="F973" s="1" t="s">
        <v>28</v>
      </c>
      <c r="G973" s="1" t="s">
        <v>5161</v>
      </c>
      <c r="H973" s="1"/>
      <c r="I973" s="1">
        <v>1</v>
      </c>
      <c r="J973" s="1" t="s">
        <v>5162</v>
      </c>
      <c r="K973" s="1" t="s">
        <v>43</v>
      </c>
      <c r="L973" s="1" t="s">
        <v>178</v>
      </c>
      <c r="M973" s="1" t="s">
        <v>5163</v>
      </c>
      <c r="N973" s="2">
        <v>42565</v>
      </c>
      <c r="O973" s="1"/>
      <c r="P973" s="1"/>
      <c r="Q973" s="1" t="s">
        <v>34</v>
      </c>
      <c r="R973" s="1"/>
      <c r="S973" s="1" t="s">
        <v>35</v>
      </c>
      <c r="T973" s="1">
        <v>44.56944</v>
      </c>
      <c r="U973" s="1">
        <v>-73.095357999999905</v>
      </c>
      <c r="V973" s="1" t="s">
        <v>5164</v>
      </c>
      <c r="W973" s="1"/>
      <c r="X973" s="1" t="s">
        <v>37</v>
      </c>
      <c r="Y973" s="1" t="s">
        <v>181</v>
      </c>
      <c r="Z973" s="1">
        <v>5452</v>
      </c>
    </row>
    <row r="974" spans="1:26" ht="42">
      <c r="A974" s="1" t="str">
        <f>"000W47"</f>
        <v>000W47</v>
      </c>
      <c r="B974" s="1" t="s">
        <v>5165</v>
      </c>
      <c r="C974" s="1" t="s">
        <v>5166</v>
      </c>
      <c r="D974" s="1" t="str">
        <f>"8027525747"</f>
        <v>8027525747</v>
      </c>
      <c r="E974" s="1">
        <v>5043</v>
      </c>
      <c r="F974" s="1" t="s">
        <v>28</v>
      </c>
      <c r="G974" s="1" t="s">
        <v>5167</v>
      </c>
      <c r="H974" s="1"/>
      <c r="I974" s="1">
        <v>5</v>
      </c>
      <c r="J974" s="1" t="s">
        <v>5168</v>
      </c>
      <c r="K974" s="1" t="s">
        <v>152</v>
      </c>
      <c r="L974" s="1" t="s">
        <v>1143</v>
      </c>
      <c r="M974" s="1" t="s">
        <v>5169</v>
      </c>
      <c r="N974" s="2">
        <v>42565</v>
      </c>
      <c r="O974" s="1"/>
      <c r="P974" s="1"/>
      <c r="Q974" s="1" t="s">
        <v>34</v>
      </c>
      <c r="R974" s="1"/>
      <c r="S974" s="1" t="s">
        <v>35</v>
      </c>
      <c r="T974" s="1">
        <v>44.812945900000003</v>
      </c>
      <c r="U974" s="1">
        <v>-73.107551999999998</v>
      </c>
      <c r="V974" s="1" t="s">
        <v>5170</v>
      </c>
      <c r="W974" s="1"/>
      <c r="X974" s="1" t="s">
        <v>37</v>
      </c>
      <c r="Y974" s="1" t="s">
        <v>1200</v>
      </c>
      <c r="Z974" s="1">
        <v>5478</v>
      </c>
    </row>
    <row r="975" spans="1:26" ht="42">
      <c r="A975" s="1" t="str">
        <f>"000W4B"</f>
        <v>000W4B</v>
      </c>
      <c r="B975" s="1" t="s">
        <v>5171</v>
      </c>
      <c r="C975" s="1" t="s">
        <v>5172</v>
      </c>
      <c r="D975" s="1" t="str">
        <f>"9143916441"</f>
        <v>9143916441</v>
      </c>
      <c r="E975" s="1">
        <v>5045</v>
      </c>
      <c r="F975" s="1" t="s">
        <v>28</v>
      </c>
      <c r="G975" s="1" t="s">
        <v>5173</v>
      </c>
      <c r="H975" s="1"/>
      <c r="I975" s="1">
        <v>4</v>
      </c>
      <c r="J975" s="1">
        <v>1</v>
      </c>
      <c r="K975" s="1" t="s">
        <v>77</v>
      </c>
      <c r="L975" s="1" t="s">
        <v>5174</v>
      </c>
      <c r="M975" s="1" t="s">
        <v>5175</v>
      </c>
      <c r="N975" s="2">
        <v>42565</v>
      </c>
      <c r="O975" s="1"/>
      <c r="P975" s="2">
        <v>42887</v>
      </c>
      <c r="Q975" s="1" t="s">
        <v>34</v>
      </c>
      <c r="R975" s="1"/>
      <c r="S975" s="1" t="s">
        <v>35</v>
      </c>
      <c r="T975" s="1">
        <v>43.798431000000001</v>
      </c>
      <c r="U975" s="1">
        <v>-72.4476619</v>
      </c>
      <c r="V975" s="1" t="s">
        <v>5176</v>
      </c>
      <c r="W975" s="1"/>
      <c r="X975" s="1" t="s">
        <v>37</v>
      </c>
      <c r="Y975" s="1" t="s">
        <v>5177</v>
      </c>
      <c r="Z975" s="1">
        <v>5065</v>
      </c>
    </row>
    <row r="976" spans="1:26" ht="42">
      <c r="A976" s="1" t="str">
        <f>"000W4F"</f>
        <v>000W4F</v>
      </c>
      <c r="B976" s="1" t="s">
        <v>5178</v>
      </c>
      <c r="C976" s="1" t="s">
        <v>5179</v>
      </c>
      <c r="D976" s="1" t="str">
        <f>"8022296709"</f>
        <v>8022296709</v>
      </c>
      <c r="E976" s="1">
        <v>5046</v>
      </c>
      <c r="F976" s="1" t="s">
        <v>28</v>
      </c>
      <c r="G976" s="1" t="s">
        <v>5180</v>
      </c>
      <c r="H976" s="1"/>
      <c r="I976" s="1">
        <v>4</v>
      </c>
      <c r="J976" s="1" t="s">
        <v>5181</v>
      </c>
      <c r="K976" s="1" t="s">
        <v>31</v>
      </c>
      <c r="L976" s="1" t="s">
        <v>672</v>
      </c>
      <c r="M976" s="1" t="s">
        <v>5182</v>
      </c>
      <c r="N976" s="2">
        <v>42565</v>
      </c>
      <c r="O976" s="1"/>
      <c r="P976" s="1"/>
      <c r="Q976" s="1" t="s">
        <v>34</v>
      </c>
      <c r="R976" s="1"/>
      <c r="S976" s="1" t="s">
        <v>35</v>
      </c>
      <c r="T976" s="1">
        <v>44.267234000000002</v>
      </c>
      <c r="U976" s="1">
        <v>-72.718584999999905</v>
      </c>
      <c r="V976" s="1" t="s">
        <v>5183</v>
      </c>
      <c r="W976" s="1"/>
      <c r="X976" s="1" t="s">
        <v>37</v>
      </c>
      <c r="Y976" s="1" t="s">
        <v>675</v>
      </c>
      <c r="Z976" s="1">
        <v>5660</v>
      </c>
    </row>
    <row r="977" spans="1:26" ht="42">
      <c r="A977" s="1" t="str">
        <f>"000W4V"</f>
        <v>000W4V</v>
      </c>
      <c r="B977" s="1" t="s">
        <v>5184</v>
      </c>
      <c r="C977" s="1" t="s">
        <v>5185</v>
      </c>
      <c r="D977" s="1" t="str">
        <f>"8023557298"</f>
        <v>8023557298</v>
      </c>
      <c r="E977" s="1">
        <v>5049</v>
      </c>
      <c r="F977" s="1" t="s">
        <v>28</v>
      </c>
      <c r="G977" s="1" t="s">
        <v>5186</v>
      </c>
      <c r="H977" s="1"/>
      <c r="I977" s="1">
        <v>0</v>
      </c>
      <c r="J977" s="1" t="s">
        <v>5187</v>
      </c>
      <c r="K977" s="1" t="s">
        <v>135</v>
      </c>
      <c r="L977" s="1" t="s">
        <v>1219</v>
      </c>
      <c r="M977" s="1" t="s">
        <v>5188</v>
      </c>
      <c r="N977" s="2">
        <v>42569</v>
      </c>
      <c r="O977" s="1"/>
      <c r="P977" s="1"/>
      <c r="Q977" s="1" t="s">
        <v>34</v>
      </c>
      <c r="R977" s="1"/>
      <c r="S977" s="1" t="s">
        <v>35</v>
      </c>
      <c r="T977" s="1">
        <v>43.605854999999998</v>
      </c>
      <c r="U977" s="1">
        <v>-73.065588999999903</v>
      </c>
      <c r="V977" s="1" t="s">
        <v>5189</v>
      </c>
      <c r="W977" s="1"/>
      <c r="X977" s="1" t="s">
        <v>37</v>
      </c>
      <c r="Y977" s="1" t="s">
        <v>1222</v>
      </c>
      <c r="Z977" s="1">
        <v>5777</v>
      </c>
    </row>
    <row r="978" spans="1:26" ht="42">
      <c r="A978" s="1" t="str">
        <f>"000W52"</f>
        <v>000W52</v>
      </c>
      <c r="B978" s="1" t="s">
        <v>5190</v>
      </c>
      <c r="C978" s="1" t="s">
        <v>5191</v>
      </c>
      <c r="D978" s="1" t="str">
        <f>"8024760677"</f>
        <v>8024760677</v>
      </c>
      <c r="E978" s="1">
        <v>5050</v>
      </c>
      <c r="F978" s="1" t="s">
        <v>28</v>
      </c>
      <c r="G978" s="1" t="s">
        <v>5192</v>
      </c>
      <c r="H978" s="1"/>
      <c r="I978" s="1">
        <v>1</v>
      </c>
      <c r="J978" s="1" t="s">
        <v>5193</v>
      </c>
      <c r="K978" s="1" t="s">
        <v>68</v>
      </c>
      <c r="L978" s="1" t="s">
        <v>224</v>
      </c>
      <c r="M978" s="1" t="s">
        <v>5194</v>
      </c>
      <c r="N978" s="2">
        <v>42569</v>
      </c>
      <c r="O978" s="1"/>
      <c r="P978" s="1"/>
      <c r="Q978" s="1" t="s">
        <v>34</v>
      </c>
      <c r="R978" s="1"/>
      <c r="S978" s="1" t="s">
        <v>35</v>
      </c>
      <c r="T978" s="1">
        <v>44.135513699999997</v>
      </c>
      <c r="U978" s="1">
        <v>-72.483520799999994</v>
      </c>
      <c r="V978" s="1" t="s">
        <v>5195</v>
      </c>
      <c r="W978" s="1"/>
      <c r="X978" s="1" t="s">
        <v>37</v>
      </c>
      <c r="Y978" s="1" t="s">
        <v>3852</v>
      </c>
      <c r="Z978" s="1">
        <v>5654</v>
      </c>
    </row>
    <row r="979" spans="1:26" ht="42">
      <c r="A979" s="1" t="str">
        <f>"000W5K"</f>
        <v>000W5K</v>
      </c>
      <c r="B979" s="1" t="s">
        <v>5196</v>
      </c>
      <c r="C979" s="1" t="s">
        <v>5197</v>
      </c>
      <c r="D979" s="1" t="str">
        <f>"8026446488"</f>
        <v>8026446488</v>
      </c>
      <c r="E979" s="1">
        <v>5052</v>
      </c>
      <c r="F979" s="1" t="s">
        <v>28</v>
      </c>
      <c r="G979" s="1" t="s">
        <v>5198</v>
      </c>
      <c r="H979" s="1"/>
      <c r="I979" s="1">
        <v>2</v>
      </c>
      <c r="J979" s="1">
        <v>1</v>
      </c>
      <c r="K979" s="1" t="s">
        <v>170</v>
      </c>
      <c r="L979" s="1" t="s">
        <v>2661</v>
      </c>
      <c r="M979" s="1" t="s">
        <v>5199</v>
      </c>
      <c r="N979" s="2">
        <v>42571</v>
      </c>
      <c r="O979" s="1"/>
      <c r="P979" s="1"/>
      <c r="Q979" s="1" t="s">
        <v>34</v>
      </c>
      <c r="R979" s="1"/>
      <c r="S979" s="1" t="s">
        <v>35</v>
      </c>
      <c r="T979" s="1">
        <v>44.619661999999998</v>
      </c>
      <c r="U979" s="1">
        <v>-72.846852999999996</v>
      </c>
      <c r="V979" s="1" t="s">
        <v>5200</v>
      </c>
      <c r="W979" s="1"/>
      <c r="X979" s="1" t="s">
        <v>37</v>
      </c>
      <c r="Y979" s="1" t="s">
        <v>5201</v>
      </c>
      <c r="Z979" s="1">
        <v>5464</v>
      </c>
    </row>
    <row r="980" spans="1:26" ht="42">
      <c r="A980" s="1" t="str">
        <f>"000W5V"</f>
        <v>000W5V</v>
      </c>
      <c r="B980" s="1" t="s">
        <v>5202</v>
      </c>
      <c r="C980" s="1" t="s">
        <v>5203</v>
      </c>
      <c r="D980" s="1" t="str">
        <f>"8026581908"</f>
        <v>8026581908</v>
      </c>
      <c r="E980" s="1">
        <v>5053</v>
      </c>
      <c r="F980" s="1" t="s">
        <v>28</v>
      </c>
      <c r="G980" s="1" t="s">
        <v>5204</v>
      </c>
      <c r="H980" s="1"/>
      <c r="I980" s="1">
        <v>1</v>
      </c>
      <c r="J980" s="1">
        <v>1</v>
      </c>
      <c r="K980" s="1" t="s">
        <v>43</v>
      </c>
      <c r="L980" s="1" t="s">
        <v>44</v>
      </c>
      <c r="M980" s="1" t="s">
        <v>46</v>
      </c>
      <c r="N980" s="2">
        <v>42571</v>
      </c>
      <c r="O980" s="1"/>
      <c r="P980" s="2">
        <v>42571</v>
      </c>
      <c r="Q980" s="1" t="s">
        <v>34</v>
      </c>
      <c r="R980" s="1"/>
      <c r="S980" s="1" t="s">
        <v>35</v>
      </c>
      <c r="T980" s="1">
        <v>44.506193000000003</v>
      </c>
      <c r="U980" s="1">
        <v>-73.261338199999997</v>
      </c>
      <c r="V980" s="1" t="s">
        <v>5205</v>
      </c>
      <c r="W980" s="1"/>
      <c r="X980" s="1" t="s">
        <v>37</v>
      </c>
      <c r="Y980" s="1" t="s">
        <v>46</v>
      </c>
      <c r="Z980" s="1">
        <v>5401</v>
      </c>
    </row>
    <row r="981" spans="1:26" ht="42">
      <c r="A981" s="1" t="str">
        <f>"000W5W"</f>
        <v>000W5W</v>
      </c>
      <c r="B981" s="1" t="s">
        <v>5206</v>
      </c>
      <c r="C981" s="1" t="s">
        <v>5207</v>
      </c>
      <c r="D981" s="1" t="str">
        <f>"8022267277"</f>
        <v>8022267277</v>
      </c>
      <c r="E981" s="1">
        <v>5054</v>
      </c>
      <c r="F981" s="1" t="s">
        <v>28</v>
      </c>
      <c r="G981" s="1" t="s">
        <v>5208</v>
      </c>
      <c r="H981" s="1"/>
      <c r="I981" s="1">
        <v>2</v>
      </c>
      <c r="J981" s="1">
        <v>1</v>
      </c>
      <c r="K981" s="1" t="s">
        <v>77</v>
      </c>
      <c r="L981" s="1" t="s">
        <v>515</v>
      </c>
      <c r="M981" s="1" t="s">
        <v>5209</v>
      </c>
      <c r="N981" s="2">
        <v>42571</v>
      </c>
      <c r="O981" s="1"/>
      <c r="P981" s="1"/>
      <c r="Q981" s="1" t="s">
        <v>34</v>
      </c>
      <c r="R981" s="1"/>
      <c r="S981" s="1" t="s">
        <v>35</v>
      </c>
      <c r="T981" s="1">
        <v>43.393799000000001</v>
      </c>
      <c r="U981" s="1">
        <v>-72.592925999999906</v>
      </c>
      <c r="V981" s="1" t="s">
        <v>5210</v>
      </c>
      <c r="W981" s="1"/>
      <c r="X981" s="1" t="s">
        <v>37</v>
      </c>
      <c r="Y981" s="1" t="s">
        <v>518</v>
      </c>
      <c r="Z981" s="1">
        <v>5142</v>
      </c>
    </row>
    <row r="982" spans="1:26" ht="42">
      <c r="A982" s="1" t="str">
        <f>"000W5X"</f>
        <v>000W5X</v>
      </c>
      <c r="B982" s="1" t="s">
        <v>5211</v>
      </c>
      <c r="C982" s="1" t="s">
        <v>5212</v>
      </c>
      <c r="D982" s="1" t="str">
        <f>"8029892901"</f>
        <v>8029892901</v>
      </c>
      <c r="E982" s="1">
        <v>5055</v>
      </c>
      <c r="F982" s="1" t="s">
        <v>28</v>
      </c>
      <c r="G982" s="1" t="s">
        <v>5213</v>
      </c>
      <c r="H982" s="1"/>
      <c r="I982" s="1">
        <v>15</v>
      </c>
      <c r="J982" s="1" t="s">
        <v>5214</v>
      </c>
      <c r="K982" s="1" t="s">
        <v>135</v>
      </c>
      <c r="L982" s="1" t="s">
        <v>1231</v>
      </c>
      <c r="M982" s="1" t="s">
        <v>5215</v>
      </c>
      <c r="N982" s="2">
        <v>42572</v>
      </c>
      <c r="O982" s="1"/>
      <c r="P982" s="1"/>
      <c r="Q982" s="1" t="s">
        <v>34</v>
      </c>
      <c r="R982" s="1"/>
      <c r="S982" s="1" t="s">
        <v>35</v>
      </c>
      <c r="T982" s="1">
        <v>43.695323999999999</v>
      </c>
      <c r="U982" s="1">
        <v>-73.051804000000004</v>
      </c>
      <c r="V982" s="1" t="s">
        <v>5216</v>
      </c>
      <c r="W982" s="1"/>
      <c r="X982" s="1" t="s">
        <v>37</v>
      </c>
      <c r="Y982" s="1" t="s">
        <v>1238</v>
      </c>
      <c r="Z982" s="1">
        <v>5744</v>
      </c>
    </row>
    <row r="983" spans="1:26" ht="42">
      <c r="A983" s="1" t="str">
        <f>"000W5X"</f>
        <v>000W5X</v>
      </c>
      <c r="B983" s="1" t="s">
        <v>5211</v>
      </c>
      <c r="C983" s="1" t="s">
        <v>5212</v>
      </c>
      <c r="D983" s="1" t="str">
        <f>"8029892901"</f>
        <v>8029892901</v>
      </c>
      <c r="E983" s="1">
        <v>5055</v>
      </c>
      <c r="F983" s="1" t="s">
        <v>28</v>
      </c>
      <c r="G983" s="1" t="s">
        <v>5217</v>
      </c>
      <c r="H983" s="1"/>
      <c r="I983" s="1">
        <v>16</v>
      </c>
      <c r="J983" s="1" t="s">
        <v>5218</v>
      </c>
      <c r="K983" s="1" t="s">
        <v>135</v>
      </c>
      <c r="L983" s="1" t="s">
        <v>1231</v>
      </c>
      <c r="M983" s="1" t="s">
        <v>5219</v>
      </c>
      <c r="N983" s="2">
        <v>42572</v>
      </c>
      <c r="O983" s="1"/>
      <c r="P983" s="1"/>
      <c r="Q983" s="1" t="s">
        <v>34</v>
      </c>
      <c r="R983" s="1"/>
      <c r="S983" s="1" t="s">
        <v>35</v>
      </c>
      <c r="T983" s="1">
        <v>43.728313</v>
      </c>
      <c r="U983" s="1">
        <v>-73.058693000000005</v>
      </c>
      <c r="V983" s="1" t="s">
        <v>5220</v>
      </c>
      <c r="W983" s="1"/>
      <c r="X983" s="1" t="s">
        <v>37</v>
      </c>
      <c r="Y983" s="1" t="s">
        <v>1238</v>
      </c>
      <c r="Z983" s="1">
        <v>5733</v>
      </c>
    </row>
    <row r="984" spans="1:26" ht="42">
      <c r="A984" s="1" t="str">
        <f>"000W5X"</f>
        <v>000W5X</v>
      </c>
      <c r="B984" s="1" t="s">
        <v>5211</v>
      </c>
      <c r="C984" s="1" t="s">
        <v>5212</v>
      </c>
      <c r="D984" s="1" t="str">
        <f>"8029892901"</f>
        <v>8029892901</v>
      </c>
      <c r="E984" s="1">
        <v>5055</v>
      </c>
      <c r="F984" s="1" t="s">
        <v>28</v>
      </c>
      <c r="G984" s="1" t="s">
        <v>5221</v>
      </c>
      <c r="H984" s="1"/>
      <c r="I984" s="1">
        <v>17</v>
      </c>
      <c r="J984" s="1">
        <v>3</v>
      </c>
      <c r="K984" s="1" t="s">
        <v>135</v>
      </c>
      <c r="L984" s="1" t="s">
        <v>1241</v>
      </c>
      <c r="M984" s="1" t="s">
        <v>5222</v>
      </c>
      <c r="N984" s="2">
        <v>42893</v>
      </c>
      <c r="O984" s="1"/>
      <c r="P984" s="1"/>
      <c r="Q984" s="1" t="s">
        <v>34</v>
      </c>
      <c r="R984" s="1"/>
      <c r="S984" s="1" t="s">
        <v>35</v>
      </c>
      <c r="T984" s="1">
        <v>43.784298</v>
      </c>
      <c r="U984" s="1">
        <v>-73.043052999999901</v>
      </c>
      <c r="V984" s="1" t="s">
        <v>5223</v>
      </c>
      <c r="W984" s="1"/>
      <c r="X984" s="1" t="s">
        <v>37</v>
      </c>
      <c r="Y984" s="1" t="s">
        <v>1244</v>
      </c>
      <c r="Z984" s="1">
        <v>5733</v>
      </c>
    </row>
    <row r="985" spans="1:26" ht="42">
      <c r="A985" s="1" t="str">
        <f>"000W5X"</f>
        <v>000W5X</v>
      </c>
      <c r="B985" s="1" t="s">
        <v>5211</v>
      </c>
      <c r="C985" s="1" t="s">
        <v>5212</v>
      </c>
      <c r="D985" s="1" t="str">
        <f>"8029892901"</f>
        <v>8029892901</v>
      </c>
      <c r="E985" s="1">
        <v>5055</v>
      </c>
      <c r="F985" s="1" t="s">
        <v>28</v>
      </c>
      <c r="G985" s="1" t="s">
        <v>5224</v>
      </c>
      <c r="H985" s="1"/>
      <c r="I985" s="1">
        <v>15</v>
      </c>
      <c r="J985" s="1">
        <v>4</v>
      </c>
      <c r="K985" s="1" t="s">
        <v>333</v>
      </c>
      <c r="L985" s="1" t="s">
        <v>1666</v>
      </c>
      <c r="M985" s="1" t="s">
        <v>5225</v>
      </c>
      <c r="N985" s="2">
        <v>42893</v>
      </c>
      <c r="O985" s="1"/>
      <c r="P985" s="1"/>
      <c r="Q985" s="1" t="s">
        <v>34</v>
      </c>
      <c r="R985" s="1"/>
      <c r="S985" s="1" t="s">
        <v>35</v>
      </c>
      <c r="T985" s="1">
        <v>44.203232</v>
      </c>
      <c r="U985" s="1">
        <v>-73.322455999999903</v>
      </c>
      <c r="V985" s="1" t="s">
        <v>5226</v>
      </c>
      <c r="W985" s="1"/>
      <c r="X985" s="1" t="s">
        <v>37</v>
      </c>
      <c r="Y985" s="1" t="s">
        <v>652</v>
      </c>
      <c r="Z985" s="1">
        <v>5491</v>
      </c>
    </row>
    <row r="986" spans="1:26" ht="42">
      <c r="A986" s="1" t="str">
        <f>"000W5X"</f>
        <v>000W5X</v>
      </c>
      <c r="B986" s="1" t="s">
        <v>5211</v>
      </c>
      <c r="C986" s="1" t="s">
        <v>5212</v>
      </c>
      <c r="D986" s="1" t="str">
        <f>"8029892901"</f>
        <v>8029892901</v>
      </c>
      <c r="E986" s="1">
        <v>5055</v>
      </c>
      <c r="F986" s="1" t="s">
        <v>28</v>
      </c>
      <c r="G986" s="1" t="s">
        <v>5227</v>
      </c>
      <c r="H986" s="1"/>
      <c r="I986" s="1">
        <v>15</v>
      </c>
      <c r="J986" s="1" t="s">
        <v>5228</v>
      </c>
      <c r="K986" s="1" t="s">
        <v>135</v>
      </c>
      <c r="L986" s="1" t="s">
        <v>1231</v>
      </c>
      <c r="M986" s="1" t="s">
        <v>5229</v>
      </c>
      <c r="N986" s="2">
        <v>42941</v>
      </c>
      <c r="O986" s="1"/>
      <c r="P986" s="1"/>
      <c r="Q986" s="1" t="s">
        <v>34</v>
      </c>
      <c r="R986" s="1"/>
      <c r="S986" s="1" t="s">
        <v>35</v>
      </c>
      <c r="T986" s="1">
        <v>43.683806099999998</v>
      </c>
      <c r="U986" s="1">
        <v>-73.009727900000001</v>
      </c>
      <c r="V986" s="1" t="s">
        <v>5230</v>
      </c>
      <c r="W986" s="1"/>
      <c r="X986" s="1" t="s">
        <v>37</v>
      </c>
      <c r="Y986" s="1" t="s">
        <v>1238</v>
      </c>
      <c r="Z986" s="1">
        <v>5763</v>
      </c>
    </row>
    <row r="987" spans="1:26" ht="42">
      <c r="A987" s="1" t="str">
        <f>"000W5X"</f>
        <v>000W5X</v>
      </c>
      <c r="B987" s="1" t="s">
        <v>5211</v>
      </c>
      <c r="C987" s="1" t="s">
        <v>5212</v>
      </c>
      <c r="D987" s="1" t="str">
        <f>"8029892901"</f>
        <v>8029892901</v>
      </c>
      <c r="E987" s="1">
        <v>5055</v>
      </c>
      <c r="F987" s="1" t="s">
        <v>28</v>
      </c>
      <c r="G987" s="1" t="s">
        <v>5231</v>
      </c>
      <c r="H987" s="1"/>
      <c r="I987" s="1">
        <v>12</v>
      </c>
      <c r="J987" s="1" t="s">
        <v>5232</v>
      </c>
      <c r="K987" s="1" t="s">
        <v>77</v>
      </c>
      <c r="L987" s="1" t="s">
        <v>103</v>
      </c>
      <c r="M987" s="1" t="s">
        <v>158</v>
      </c>
      <c r="N987" s="2">
        <v>42941</v>
      </c>
      <c r="O987" s="1"/>
      <c r="P987" s="1"/>
      <c r="Q987" s="1" t="s">
        <v>34</v>
      </c>
      <c r="R987" s="1"/>
      <c r="S987" s="1" t="s">
        <v>35</v>
      </c>
      <c r="T987" s="1">
        <v>43.905579000000003</v>
      </c>
      <c r="U987" s="1">
        <v>-72.793357999999998</v>
      </c>
      <c r="V987" s="1" t="s">
        <v>5233</v>
      </c>
      <c r="W987" s="1"/>
      <c r="X987" s="1" t="s">
        <v>37</v>
      </c>
      <c r="Y987" s="1" t="s">
        <v>107</v>
      </c>
      <c r="Z987" s="1">
        <v>5767</v>
      </c>
    </row>
    <row r="988" spans="1:26" ht="42">
      <c r="A988" s="1" t="str">
        <f>"000W5X"</f>
        <v>000W5X</v>
      </c>
      <c r="B988" s="1" t="s">
        <v>5211</v>
      </c>
      <c r="C988" s="1" t="s">
        <v>5212</v>
      </c>
      <c r="D988" s="1" t="str">
        <f>"8029892901"</f>
        <v>8029892901</v>
      </c>
      <c r="E988" s="1">
        <v>5055</v>
      </c>
      <c r="F988" s="1" t="s">
        <v>28</v>
      </c>
      <c r="G988" s="1" t="s">
        <v>5234</v>
      </c>
      <c r="H988" s="1"/>
      <c r="I988" s="1">
        <v>16</v>
      </c>
      <c r="J988" s="1" t="s">
        <v>5235</v>
      </c>
      <c r="K988" s="1" t="s">
        <v>77</v>
      </c>
      <c r="L988" s="1" t="s">
        <v>103</v>
      </c>
      <c r="M988" s="1" t="s">
        <v>5236</v>
      </c>
      <c r="N988" s="2">
        <v>43024</v>
      </c>
      <c r="O988" s="1"/>
      <c r="P988" s="1"/>
      <c r="Q988" s="1" t="s">
        <v>34</v>
      </c>
      <c r="R988" s="1"/>
      <c r="S988" s="1" t="s">
        <v>35</v>
      </c>
      <c r="T988" s="1"/>
      <c r="U988" s="1"/>
      <c r="V988" s="1" t="s">
        <v>5237</v>
      </c>
      <c r="W988" s="1"/>
      <c r="X988" s="1" t="s">
        <v>37</v>
      </c>
      <c r="Y988" s="1" t="s">
        <v>107</v>
      </c>
      <c r="Z988" s="1">
        <v>5767</v>
      </c>
    </row>
    <row r="989" spans="1:26" ht="42">
      <c r="A989" s="1" t="str">
        <f>"000W5X"</f>
        <v>000W5X</v>
      </c>
      <c r="B989" s="1" t="s">
        <v>5211</v>
      </c>
      <c r="C989" s="1" t="s">
        <v>5212</v>
      </c>
      <c r="D989" s="1" t="str">
        <f>"8029892901"</f>
        <v>8029892901</v>
      </c>
      <c r="E989" s="1">
        <v>5055</v>
      </c>
      <c r="F989" s="1" t="s">
        <v>28</v>
      </c>
      <c r="G989" s="1" t="s">
        <v>5238</v>
      </c>
      <c r="H989" s="1"/>
      <c r="I989" s="1">
        <v>24</v>
      </c>
      <c r="J989" s="1" t="s">
        <v>5239</v>
      </c>
      <c r="K989" s="1" t="s">
        <v>77</v>
      </c>
      <c r="L989" s="1" t="s">
        <v>103</v>
      </c>
      <c r="M989" s="1" t="s">
        <v>5236</v>
      </c>
      <c r="N989" s="2">
        <v>43249</v>
      </c>
      <c r="O989" s="1"/>
      <c r="P989" s="1"/>
      <c r="Q989" s="1" t="s">
        <v>34</v>
      </c>
      <c r="R989" s="1"/>
      <c r="S989" s="1" t="s">
        <v>35</v>
      </c>
      <c r="T989" s="1">
        <v>43.883606499999999</v>
      </c>
      <c r="U989" s="1">
        <v>-72.781592999999901</v>
      </c>
      <c r="V989" s="1" t="s">
        <v>5240</v>
      </c>
      <c r="W989" s="1"/>
      <c r="X989" s="1" t="s">
        <v>37</v>
      </c>
      <c r="Y989" s="1" t="s">
        <v>107</v>
      </c>
      <c r="Z989" s="1">
        <v>5060</v>
      </c>
    </row>
    <row r="990" spans="1:26" ht="42">
      <c r="A990" s="1" t="str">
        <f>"000W61"</f>
        <v>000W61</v>
      </c>
      <c r="B990" s="1" t="s">
        <v>5241</v>
      </c>
      <c r="C990" s="1" t="s">
        <v>5242</v>
      </c>
      <c r="D990" s="1" t="str">
        <f>"8024399855"</f>
        <v>8024399855</v>
      </c>
      <c r="E990" s="1">
        <v>5057</v>
      </c>
      <c r="F990" s="1" t="s">
        <v>28</v>
      </c>
      <c r="G990" s="1" t="s">
        <v>5243</v>
      </c>
      <c r="H990" s="1"/>
      <c r="I990" s="1">
        <v>2</v>
      </c>
      <c r="J990" s="1">
        <v>1</v>
      </c>
      <c r="K990" s="1" t="s">
        <v>68</v>
      </c>
      <c r="L990" s="1" t="s">
        <v>2111</v>
      </c>
      <c r="M990" s="1" t="s">
        <v>5244</v>
      </c>
      <c r="N990" s="2">
        <v>42572</v>
      </c>
      <c r="O990" s="1"/>
      <c r="P990" s="1"/>
      <c r="Q990" s="1" t="s">
        <v>34</v>
      </c>
      <c r="R990" s="1"/>
      <c r="S990" s="1" t="s">
        <v>35</v>
      </c>
      <c r="T990" s="1">
        <v>44.01173</v>
      </c>
      <c r="U990" s="1">
        <v>-72.275665000000004</v>
      </c>
      <c r="V990" s="1" t="s">
        <v>5245</v>
      </c>
      <c r="W990" s="1"/>
      <c r="X990" s="1" t="s">
        <v>37</v>
      </c>
      <c r="Y990" s="1" t="s">
        <v>2114</v>
      </c>
      <c r="Z990" s="1">
        <v>5039</v>
      </c>
    </row>
    <row r="991" spans="1:26" ht="42">
      <c r="A991" s="1" t="str">
        <f>"000W64"</f>
        <v>000W64</v>
      </c>
      <c r="B991" s="1" t="s">
        <v>5246</v>
      </c>
      <c r="C991" s="1" t="s">
        <v>5247</v>
      </c>
      <c r="D991" s="1" t="str">
        <f>"8027511560"</f>
        <v>8027511560</v>
      </c>
      <c r="E991" s="1">
        <v>5059</v>
      </c>
      <c r="F991" s="1" t="s">
        <v>28</v>
      </c>
      <c r="G991" s="1" t="s">
        <v>5248</v>
      </c>
      <c r="H991" s="1"/>
      <c r="I991" s="1">
        <v>2</v>
      </c>
      <c r="J991" s="1" t="s">
        <v>5249</v>
      </c>
      <c r="K991" s="1" t="s">
        <v>59</v>
      </c>
      <c r="L991" s="1" t="s">
        <v>2466</v>
      </c>
      <c r="M991" s="1" t="s">
        <v>5250</v>
      </c>
      <c r="N991" s="2">
        <v>42573</v>
      </c>
      <c r="O991" s="1"/>
      <c r="P991" s="1"/>
      <c r="Q991" s="1" t="s">
        <v>34</v>
      </c>
      <c r="R991" s="1"/>
      <c r="S991" s="1" t="s">
        <v>35</v>
      </c>
      <c r="T991" s="1">
        <v>44.404559900000002</v>
      </c>
      <c r="U991" s="1">
        <v>-72.015845999999996</v>
      </c>
      <c r="V991" s="1" t="s">
        <v>5251</v>
      </c>
      <c r="W991" s="1"/>
      <c r="X991" s="1" t="s">
        <v>37</v>
      </c>
      <c r="Y991" s="1" t="s">
        <v>3843</v>
      </c>
      <c r="Z991" s="1">
        <v>5819</v>
      </c>
    </row>
    <row r="992" spans="1:26" ht="42">
      <c r="A992" s="1" t="str">
        <f>"000W69"</f>
        <v>000W69</v>
      </c>
      <c r="B992" s="1" t="s">
        <v>5252</v>
      </c>
      <c r="C992" s="1" t="s">
        <v>5253</v>
      </c>
      <c r="D992" s="1" t="str">
        <f>"8023633579"</f>
        <v>8023633579</v>
      </c>
      <c r="E992" s="1">
        <v>5060</v>
      </c>
      <c r="F992" s="1" t="s">
        <v>28</v>
      </c>
      <c r="G992" s="1" t="s">
        <v>5254</v>
      </c>
      <c r="H992" s="1"/>
      <c r="I992" s="1">
        <v>2</v>
      </c>
      <c r="J992" s="1" t="s">
        <v>5049</v>
      </c>
      <c r="K992" s="1" t="s">
        <v>152</v>
      </c>
      <c r="L992" s="1" t="s">
        <v>1143</v>
      </c>
      <c r="M992" s="1" t="s">
        <v>5255</v>
      </c>
      <c r="N992" s="2">
        <v>42577</v>
      </c>
      <c r="O992" s="1"/>
      <c r="P992" s="1"/>
      <c r="Q992" s="1" t="s">
        <v>34</v>
      </c>
      <c r="R992" s="1"/>
      <c r="S992" s="1" t="s">
        <v>35</v>
      </c>
      <c r="T992" s="1">
        <v>44.844738</v>
      </c>
      <c r="U992" s="1">
        <v>-73.107749999999996</v>
      </c>
      <c r="V992" s="1" t="s">
        <v>5256</v>
      </c>
      <c r="W992" s="1"/>
      <c r="X992" s="1" t="s">
        <v>37</v>
      </c>
      <c r="Y992" s="1" t="s">
        <v>1143</v>
      </c>
      <c r="Z992" s="1">
        <v>5488</v>
      </c>
    </row>
    <row r="993" spans="1:26" ht="42">
      <c r="A993" s="1" t="str">
        <f>"000W6B"</f>
        <v>000W6B</v>
      </c>
      <c r="B993" s="1" t="s">
        <v>5257</v>
      </c>
      <c r="C993" s="1" t="s">
        <v>5258</v>
      </c>
      <c r="D993" s="1" t="str">
        <f>"8025632416"</f>
        <v>8025632416</v>
      </c>
      <c r="E993" s="1">
        <v>5062</v>
      </c>
      <c r="F993" s="1" t="s">
        <v>28</v>
      </c>
      <c r="G993" s="1" t="s">
        <v>5259</v>
      </c>
      <c r="H993" s="1"/>
      <c r="I993" s="1">
        <v>2</v>
      </c>
      <c r="J993" s="1" t="s">
        <v>5260</v>
      </c>
      <c r="K993" s="1" t="s">
        <v>59</v>
      </c>
      <c r="L993" s="1" t="s">
        <v>60</v>
      </c>
      <c r="M993" s="1" t="s">
        <v>5261</v>
      </c>
      <c r="N993" s="2">
        <v>42578</v>
      </c>
      <c r="O993" s="1"/>
      <c r="P993" s="1"/>
      <c r="Q993" s="1" t="s">
        <v>34</v>
      </c>
      <c r="R993" s="1"/>
      <c r="S993" s="1" t="s">
        <v>35</v>
      </c>
      <c r="T993" s="1">
        <v>44.480640000000001</v>
      </c>
      <c r="U993" s="1">
        <v>-72.291381999999999</v>
      </c>
      <c r="V993" s="1" t="s">
        <v>5262</v>
      </c>
      <c r="W993" s="1"/>
      <c r="X993" s="1" t="s">
        <v>37</v>
      </c>
      <c r="Y993" s="1" t="s">
        <v>1799</v>
      </c>
      <c r="Z993" s="1">
        <v>5843</v>
      </c>
    </row>
    <row r="994" spans="1:26" ht="42">
      <c r="A994" s="1" t="str">
        <f>"000W6F"</f>
        <v>000W6F</v>
      </c>
      <c r="B994" s="1" t="s">
        <v>5263</v>
      </c>
      <c r="C994" s="1" t="s">
        <v>5264</v>
      </c>
      <c r="D994" s="1" t="str">
        <f>"8028274429"</f>
        <v>8028274429</v>
      </c>
      <c r="E994" s="1">
        <v>5063</v>
      </c>
      <c r="F994" s="1" t="s">
        <v>28</v>
      </c>
      <c r="G994" s="1" t="s">
        <v>5265</v>
      </c>
      <c r="H994" s="1"/>
      <c r="I994" s="1">
        <v>0</v>
      </c>
      <c r="J994" s="1" t="s">
        <v>2387</v>
      </c>
      <c r="K994" s="1" t="s">
        <v>152</v>
      </c>
      <c r="L994" s="1" t="s">
        <v>3181</v>
      </c>
      <c r="M994" s="1" t="s">
        <v>5266</v>
      </c>
      <c r="N994" s="2">
        <v>42578</v>
      </c>
      <c r="O994" s="1"/>
      <c r="P994" s="2">
        <v>43214</v>
      </c>
      <c r="Q994" s="1" t="s">
        <v>34</v>
      </c>
      <c r="R994" s="1"/>
      <c r="S994" s="1" t="s">
        <v>35</v>
      </c>
      <c r="T994" s="1">
        <v>44.782231000000003</v>
      </c>
      <c r="U994" s="1">
        <v>-72.809357599999998</v>
      </c>
      <c r="V994" s="1" t="s">
        <v>5267</v>
      </c>
      <c r="W994" s="1"/>
      <c r="X994" s="1" t="s">
        <v>37</v>
      </c>
      <c r="Y994" s="1" t="s">
        <v>3512</v>
      </c>
      <c r="Z994" s="1">
        <v>5448</v>
      </c>
    </row>
    <row r="995" spans="1:26" ht="42">
      <c r="A995" s="1" t="str">
        <f>"000W6G"</f>
        <v>000W6G</v>
      </c>
      <c r="B995" s="1" t="s">
        <v>5268</v>
      </c>
      <c r="C995" s="1" t="s">
        <v>5269</v>
      </c>
      <c r="D995" s="1" t="str">
        <f>"8022762171"</f>
        <v>8022762171</v>
      </c>
      <c r="E995" s="1">
        <v>5064</v>
      </c>
      <c r="F995" s="1" t="s">
        <v>28</v>
      </c>
      <c r="G995" s="1" t="s">
        <v>5270</v>
      </c>
      <c r="H995" s="1"/>
      <c r="I995" s="1">
        <v>2</v>
      </c>
      <c r="J995" s="1" t="s">
        <v>470</v>
      </c>
      <c r="K995" s="1" t="s">
        <v>68</v>
      </c>
      <c r="L995" s="1" t="s">
        <v>2265</v>
      </c>
      <c r="M995" s="1" t="s">
        <v>5271</v>
      </c>
      <c r="N995" s="2">
        <v>42578</v>
      </c>
      <c r="O995" s="1"/>
      <c r="P995" s="2">
        <v>42985</v>
      </c>
      <c r="Q995" s="1" t="s">
        <v>34</v>
      </c>
      <c r="R995" s="1"/>
      <c r="S995" s="1" t="s">
        <v>35</v>
      </c>
      <c r="T995" s="1">
        <v>44.119554999999998</v>
      </c>
      <c r="U995" s="1">
        <v>-73.201597699999894</v>
      </c>
      <c r="V995" s="1" t="s">
        <v>5272</v>
      </c>
      <c r="W995" s="1"/>
      <c r="X995" s="1" t="s">
        <v>37</v>
      </c>
      <c r="Y995" s="1" t="s">
        <v>2268</v>
      </c>
      <c r="Z995" s="1">
        <v>5036</v>
      </c>
    </row>
    <row r="996" spans="1:26" ht="42">
      <c r="A996" s="1" t="str">
        <f>"000W6H"</f>
        <v>000W6H</v>
      </c>
      <c r="B996" s="1" t="s">
        <v>388</v>
      </c>
      <c r="C996" s="1" t="s">
        <v>5273</v>
      </c>
      <c r="D996" s="1" t="str">
        <f>"8022891425"</f>
        <v>8022891425</v>
      </c>
      <c r="E996" s="1">
        <v>5065</v>
      </c>
      <c r="F996" s="1" t="s">
        <v>28</v>
      </c>
      <c r="G996" s="1" t="s">
        <v>5274</v>
      </c>
      <c r="H996" s="1"/>
      <c r="I996" s="1">
        <v>15</v>
      </c>
      <c r="J996" s="1" t="s">
        <v>5275</v>
      </c>
      <c r="K996" s="1" t="s">
        <v>144</v>
      </c>
      <c r="L996" s="1" t="s">
        <v>411</v>
      </c>
      <c r="M996" s="1" t="s">
        <v>5276</v>
      </c>
      <c r="N996" s="2">
        <v>42578</v>
      </c>
      <c r="O996" s="1"/>
      <c r="P996" s="1"/>
      <c r="Q996" s="1" t="s">
        <v>34</v>
      </c>
      <c r="R996" s="1"/>
      <c r="S996" s="1" t="s">
        <v>35</v>
      </c>
      <c r="T996" s="1">
        <v>43.104283208473099</v>
      </c>
      <c r="U996" s="1">
        <v>-72.446379661560002</v>
      </c>
      <c r="V996" s="1" t="s">
        <v>5277</v>
      </c>
      <c r="W996" s="1"/>
      <c r="X996" s="1" t="s">
        <v>37</v>
      </c>
      <c r="Y996" s="1" t="s">
        <v>3744</v>
      </c>
      <c r="Z996" s="1">
        <v>5158</v>
      </c>
    </row>
    <row r="997" spans="1:26" ht="42">
      <c r="A997" s="1" t="str">
        <f>"000W6K"</f>
        <v>000W6K</v>
      </c>
      <c r="B997" s="1" t="s">
        <v>5278</v>
      </c>
      <c r="C997" s="1" t="s">
        <v>5279</v>
      </c>
      <c r="D997" s="1" t="str">
        <f>"8023729619"</f>
        <v>8023729619</v>
      </c>
      <c r="E997" s="1">
        <v>5067</v>
      </c>
      <c r="F997" s="1" t="s">
        <v>28</v>
      </c>
      <c r="G997" s="1" t="s">
        <v>5280</v>
      </c>
      <c r="H997" s="1"/>
      <c r="I997" s="1">
        <v>14</v>
      </c>
      <c r="J997" s="1" t="s">
        <v>5281</v>
      </c>
      <c r="K997" s="1" t="s">
        <v>428</v>
      </c>
      <c r="L997" s="1" t="s">
        <v>1416</v>
      </c>
      <c r="M997" s="1" t="s">
        <v>5282</v>
      </c>
      <c r="N997" s="2">
        <v>42578</v>
      </c>
      <c r="O997" s="1"/>
      <c r="P997" s="1"/>
      <c r="Q997" s="1" t="s">
        <v>34</v>
      </c>
      <c r="R997" s="1"/>
      <c r="S997" s="1" t="s">
        <v>35</v>
      </c>
      <c r="T997" s="1">
        <v>44.726188899999997</v>
      </c>
      <c r="U997" s="1">
        <v>-73.296519199999906</v>
      </c>
      <c r="V997" s="1" t="s">
        <v>5283</v>
      </c>
      <c r="W997" s="1"/>
      <c r="X997" s="1" t="s">
        <v>37</v>
      </c>
      <c r="Y997" s="1" t="s">
        <v>428</v>
      </c>
      <c r="Z997" s="1">
        <v>5458</v>
      </c>
    </row>
    <row r="998" spans="1:26" ht="42">
      <c r="A998" s="1" t="str">
        <f>"000W6K"</f>
        <v>000W6K</v>
      </c>
      <c r="B998" s="1" t="s">
        <v>5278</v>
      </c>
      <c r="C998" s="1" t="s">
        <v>5279</v>
      </c>
      <c r="D998" s="1" t="str">
        <f>"8023729619"</f>
        <v>8023729619</v>
      </c>
      <c r="E998" s="1">
        <v>5067</v>
      </c>
      <c r="F998" s="1" t="s">
        <v>28</v>
      </c>
      <c r="G998" s="1" t="s">
        <v>5284</v>
      </c>
      <c r="H998" s="1"/>
      <c r="I998" s="1">
        <v>4</v>
      </c>
      <c r="J998" s="1" t="s">
        <v>5285</v>
      </c>
      <c r="K998" s="1" t="s">
        <v>428</v>
      </c>
      <c r="L998" s="1" t="s">
        <v>1416</v>
      </c>
      <c r="M998" s="1" t="s">
        <v>5286</v>
      </c>
      <c r="N998" s="2">
        <v>42578</v>
      </c>
      <c r="O998" s="1"/>
      <c r="P998" s="1"/>
      <c r="Q998" s="1" t="s">
        <v>34</v>
      </c>
      <c r="R998" s="1"/>
      <c r="S998" s="1" t="s">
        <v>35</v>
      </c>
      <c r="T998" s="1">
        <v>44.727888700000001</v>
      </c>
      <c r="U998" s="1">
        <v>-73.323585699999896</v>
      </c>
      <c r="V998" s="1" t="s">
        <v>5287</v>
      </c>
      <c r="W998" s="1"/>
      <c r="X998" s="1" t="s">
        <v>37</v>
      </c>
      <c r="Y998" s="1" t="s">
        <v>428</v>
      </c>
      <c r="Z998" s="1">
        <v>5458</v>
      </c>
    </row>
    <row r="999" spans="1:26" ht="42">
      <c r="A999" s="1" t="str">
        <f>"000W71"</f>
        <v>000W71</v>
      </c>
      <c r="B999" s="1" t="s">
        <v>5288</v>
      </c>
      <c r="C999" s="1" t="s">
        <v>5289</v>
      </c>
      <c r="D999" s="1" t="str">
        <f>"8022473931"</f>
        <v>8022473931</v>
      </c>
      <c r="E999" s="1">
        <v>5068</v>
      </c>
      <c r="F999" s="1" t="s">
        <v>28</v>
      </c>
      <c r="G999" s="1" t="s">
        <v>5290</v>
      </c>
      <c r="H999" s="1"/>
      <c r="I999" s="1">
        <v>4</v>
      </c>
      <c r="J999" s="1">
        <v>1</v>
      </c>
      <c r="K999" s="1" t="s">
        <v>135</v>
      </c>
      <c r="L999" s="1" t="s">
        <v>1241</v>
      </c>
      <c r="M999" s="1" t="s">
        <v>5291</v>
      </c>
      <c r="N999" s="2">
        <v>42580</v>
      </c>
      <c r="O999" s="1"/>
      <c r="P999" s="1"/>
      <c r="Q999" s="1" t="s">
        <v>34</v>
      </c>
      <c r="R999" s="1"/>
      <c r="S999" s="1" t="s">
        <v>35</v>
      </c>
      <c r="T999" s="1">
        <v>43.830955000000003</v>
      </c>
      <c r="U999" s="1">
        <v>-73.046627000000001</v>
      </c>
      <c r="V999" s="1" t="s">
        <v>5292</v>
      </c>
      <c r="W999" s="1"/>
      <c r="X999" s="1" t="s">
        <v>37</v>
      </c>
      <c r="Y999" s="1" t="s">
        <v>1244</v>
      </c>
      <c r="Z999" s="1">
        <v>5733</v>
      </c>
    </row>
    <row r="1000" spans="1:26" ht="42">
      <c r="A1000" s="1" t="str">
        <f>"000W7H"</f>
        <v>000W7H</v>
      </c>
      <c r="B1000" s="1" t="s">
        <v>5293</v>
      </c>
      <c r="C1000" s="1" t="s">
        <v>5294</v>
      </c>
      <c r="D1000" s="1" t="str">
        <f>"8024567091"</f>
        <v>8024567091</v>
      </c>
      <c r="E1000" s="1">
        <v>5071</v>
      </c>
      <c r="F1000" s="1" t="s">
        <v>28</v>
      </c>
      <c r="G1000" s="1" t="s">
        <v>5295</v>
      </c>
      <c r="H1000" s="1"/>
      <c r="I1000" s="1">
        <v>1</v>
      </c>
      <c r="J1000" s="1" t="s">
        <v>5296</v>
      </c>
      <c r="K1000" s="1" t="s">
        <v>31</v>
      </c>
      <c r="L1000" s="1" t="s">
        <v>32</v>
      </c>
      <c r="M1000" s="1" t="s">
        <v>5297</v>
      </c>
      <c r="N1000" s="2">
        <v>42586</v>
      </c>
      <c r="O1000" s="1"/>
      <c r="P1000" s="1"/>
      <c r="Q1000" s="1" t="s">
        <v>34</v>
      </c>
      <c r="R1000" s="1"/>
      <c r="S1000" s="1" t="s">
        <v>35</v>
      </c>
      <c r="T1000" s="1">
        <v>44.430916000000003</v>
      </c>
      <c r="U1000" s="1">
        <v>-72.459205999999995</v>
      </c>
      <c r="V1000" s="1" t="s">
        <v>5298</v>
      </c>
      <c r="W1000" s="1"/>
      <c r="X1000" s="1" t="s">
        <v>37</v>
      </c>
      <c r="Y1000" s="1" t="s">
        <v>38</v>
      </c>
      <c r="Z1000" s="1">
        <v>5650</v>
      </c>
    </row>
    <row r="1001" spans="1:26" ht="42">
      <c r="A1001" s="1" t="str">
        <f>"000W7J"</f>
        <v>000W7J</v>
      </c>
      <c r="B1001" s="1" t="s">
        <v>5299</v>
      </c>
      <c r="C1001" s="1" t="s">
        <v>5300</v>
      </c>
      <c r="D1001" s="1" t="str">
        <f>"8022331196"</f>
        <v>8022331196</v>
      </c>
      <c r="E1001" s="1">
        <v>5072</v>
      </c>
      <c r="F1001" s="1" t="s">
        <v>28</v>
      </c>
      <c r="G1001" s="1" t="s">
        <v>5301</v>
      </c>
      <c r="H1001" s="1"/>
      <c r="I1001" s="1">
        <v>5</v>
      </c>
      <c r="J1001" s="1" t="s">
        <v>5302</v>
      </c>
      <c r="K1001" s="1" t="s">
        <v>43</v>
      </c>
      <c r="L1001" s="1" t="s">
        <v>317</v>
      </c>
      <c r="M1001" s="1" t="s">
        <v>5303</v>
      </c>
      <c r="N1001" s="2">
        <v>42587</v>
      </c>
      <c r="O1001" s="1"/>
      <c r="P1001" s="1"/>
      <c r="Q1001" s="1" t="s">
        <v>34</v>
      </c>
      <c r="R1001" s="1"/>
      <c r="S1001" s="1" t="s">
        <v>35</v>
      </c>
      <c r="T1001" s="1">
        <v>44.6065501</v>
      </c>
      <c r="U1001" s="1">
        <v>-72.932056499999902</v>
      </c>
      <c r="V1001" s="1" t="s">
        <v>5304</v>
      </c>
      <c r="W1001" s="1"/>
      <c r="X1001" s="1" t="s">
        <v>37</v>
      </c>
      <c r="Y1001" s="1" t="s">
        <v>320</v>
      </c>
      <c r="Z1001" s="1">
        <v>5489</v>
      </c>
    </row>
    <row r="1002" spans="1:26" ht="42">
      <c r="A1002" s="1" t="str">
        <f>"000W7N"</f>
        <v>000W7N</v>
      </c>
      <c r="B1002" s="1" t="s">
        <v>5305</v>
      </c>
      <c r="C1002" s="1" t="s">
        <v>5306</v>
      </c>
      <c r="D1002" s="1" t="str">
        <f>"8024568190"</f>
        <v>8024568190</v>
      </c>
      <c r="E1002" s="1">
        <v>5073</v>
      </c>
      <c r="F1002" s="1" t="s">
        <v>28</v>
      </c>
      <c r="G1002" s="1" t="s">
        <v>5307</v>
      </c>
      <c r="H1002" s="1"/>
      <c r="I1002" s="1">
        <v>1</v>
      </c>
      <c r="J1002" s="1" t="s">
        <v>5308</v>
      </c>
      <c r="K1002" s="1" t="s">
        <v>31</v>
      </c>
      <c r="L1002" s="1" t="s">
        <v>1071</v>
      </c>
      <c r="M1002" s="1" t="s">
        <v>5309</v>
      </c>
      <c r="N1002" s="2">
        <v>42587</v>
      </c>
      <c r="O1002" s="1"/>
      <c r="P1002" s="1"/>
      <c r="Q1002" s="1" t="s">
        <v>34</v>
      </c>
      <c r="R1002" s="1"/>
      <c r="S1002" s="1" t="s">
        <v>35</v>
      </c>
      <c r="T1002" s="1">
        <v>44.343390900000003</v>
      </c>
      <c r="U1002" s="1">
        <v>-72.460823000000005</v>
      </c>
      <c r="V1002" s="1" t="s">
        <v>5310</v>
      </c>
      <c r="W1002" s="1"/>
      <c r="X1002" s="1" t="s">
        <v>37</v>
      </c>
      <c r="Y1002" s="1" t="s">
        <v>5311</v>
      </c>
      <c r="Z1002" s="1">
        <v>5650</v>
      </c>
    </row>
    <row r="1003" spans="1:26" ht="42">
      <c r="A1003" s="1" t="str">
        <f>"000W7Z"</f>
        <v>000W7Z</v>
      </c>
      <c r="B1003" s="1" t="s">
        <v>5312</v>
      </c>
      <c r="C1003" s="1" t="s">
        <v>5313</v>
      </c>
      <c r="D1003" s="1" t="str">
        <f>"8028558771"</f>
        <v>8028558771</v>
      </c>
      <c r="E1003" s="1">
        <v>5074</v>
      </c>
      <c r="F1003" s="1" t="s">
        <v>28</v>
      </c>
      <c r="G1003" s="1" t="s">
        <v>5314</v>
      </c>
      <c r="H1003" s="1"/>
      <c r="I1003" s="1">
        <v>2</v>
      </c>
      <c r="J1003" s="1" t="s">
        <v>5315</v>
      </c>
      <c r="K1003" s="1" t="s">
        <v>135</v>
      </c>
      <c r="L1003" s="1"/>
      <c r="M1003" s="1" t="s">
        <v>5316</v>
      </c>
      <c r="N1003" s="2">
        <v>42590</v>
      </c>
      <c r="O1003" s="1"/>
      <c r="P1003" s="1"/>
      <c r="Q1003" s="1" t="s">
        <v>34</v>
      </c>
      <c r="R1003" s="1"/>
      <c r="S1003" s="1" t="s">
        <v>35</v>
      </c>
      <c r="T1003" s="1">
        <v>43.637035999999902</v>
      </c>
      <c r="U1003" s="1">
        <v>-72.951617999999996</v>
      </c>
      <c r="V1003" s="1" t="s">
        <v>5317</v>
      </c>
      <c r="W1003" s="1"/>
      <c r="X1003" s="1" t="s">
        <v>37</v>
      </c>
      <c r="Y1003" s="1" t="s">
        <v>135</v>
      </c>
      <c r="Z1003" s="1">
        <v>5701</v>
      </c>
    </row>
    <row r="1004" spans="1:26" ht="42">
      <c r="A1004" s="1" t="str">
        <f>"000W8H"</f>
        <v>000W8H</v>
      </c>
      <c r="B1004" s="1" t="s">
        <v>5318</v>
      </c>
      <c r="C1004" s="1" t="s">
        <v>5319</v>
      </c>
      <c r="D1004" s="1" t="str">
        <f>"8027654713"</f>
        <v>8027654713</v>
      </c>
      <c r="E1004" s="1">
        <v>5076</v>
      </c>
      <c r="F1004" s="1" t="s">
        <v>28</v>
      </c>
      <c r="G1004" s="1" t="s">
        <v>5320</v>
      </c>
      <c r="H1004" s="1"/>
      <c r="I1004" s="1">
        <v>2</v>
      </c>
      <c r="J1004" s="1" t="s">
        <v>5321</v>
      </c>
      <c r="K1004" s="1" t="s">
        <v>68</v>
      </c>
      <c r="L1004" s="1" t="s">
        <v>634</v>
      </c>
      <c r="M1004" s="1" t="s">
        <v>5322</v>
      </c>
      <c r="N1004" s="2">
        <v>42593</v>
      </c>
      <c r="O1004" s="1"/>
      <c r="P1004" s="2">
        <v>42936</v>
      </c>
      <c r="Q1004" s="1" t="s">
        <v>34</v>
      </c>
      <c r="R1004" s="1"/>
      <c r="S1004" s="1" t="s">
        <v>35</v>
      </c>
      <c r="T1004" s="1">
        <v>43.893700000000003</v>
      </c>
      <c r="U1004" s="1">
        <v>-72.400631999999902</v>
      </c>
      <c r="V1004" s="1" t="s">
        <v>5323</v>
      </c>
      <c r="W1004" s="1"/>
      <c r="X1004" s="1" t="s">
        <v>37</v>
      </c>
      <c r="Y1004" s="1" t="s">
        <v>636</v>
      </c>
      <c r="Z1004" s="1">
        <v>5072</v>
      </c>
    </row>
    <row r="1005" spans="1:26" ht="42">
      <c r="A1005" s="1" t="str">
        <f>"000W8N"</f>
        <v>000W8N</v>
      </c>
      <c r="B1005" s="1" t="s">
        <v>5324</v>
      </c>
      <c r="C1005" s="1" t="s">
        <v>5325</v>
      </c>
      <c r="D1005" s="1" t="str">
        <f>"8024472624"</f>
        <v>8024472624</v>
      </c>
      <c r="E1005" s="1">
        <v>5077</v>
      </c>
      <c r="F1005" s="1" t="s">
        <v>28</v>
      </c>
      <c r="G1005" s="1" t="s">
        <v>5326</v>
      </c>
      <c r="H1005" s="1"/>
      <c r="I1005" s="1">
        <v>1</v>
      </c>
      <c r="J1005" s="1" t="s">
        <v>5327</v>
      </c>
      <c r="K1005" s="1" t="s">
        <v>187</v>
      </c>
      <c r="L1005" s="1" t="s">
        <v>293</v>
      </c>
      <c r="M1005" s="1" t="s">
        <v>5328</v>
      </c>
      <c r="N1005" s="2">
        <v>42597</v>
      </c>
      <c r="O1005" s="1"/>
      <c r="P1005" s="1"/>
      <c r="Q1005" s="1" t="s">
        <v>34</v>
      </c>
      <c r="R1005" s="1"/>
      <c r="S1005" s="1" t="s">
        <v>35</v>
      </c>
      <c r="T1005" s="1">
        <v>42.993057</v>
      </c>
      <c r="U1005" s="1">
        <v>-73.256752000000006</v>
      </c>
      <c r="V1005" s="1" t="s">
        <v>5329</v>
      </c>
      <c r="W1005" s="1"/>
      <c r="X1005" s="1" t="s">
        <v>37</v>
      </c>
      <c r="Y1005" s="1" t="s">
        <v>296</v>
      </c>
      <c r="Z1005" s="1">
        <v>5257</v>
      </c>
    </row>
    <row r="1006" spans="1:26" ht="42">
      <c r="A1006" s="1" t="str">
        <f>"000W8V"</f>
        <v>000W8V</v>
      </c>
      <c r="B1006" s="1" t="s">
        <v>5330</v>
      </c>
      <c r="C1006" s="1" t="s">
        <v>5331</v>
      </c>
      <c r="D1006" s="1" t="str">
        <f>"9787645181"</f>
        <v>9787645181</v>
      </c>
      <c r="E1006" s="1">
        <v>5079</v>
      </c>
      <c r="F1006" s="1" t="s">
        <v>28</v>
      </c>
      <c r="G1006" s="1" t="s">
        <v>5332</v>
      </c>
      <c r="H1006" s="1"/>
      <c r="I1006" s="1">
        <v>2</v>
      </c>
      <c r="J1006" s="1" t="s">
        <v>5333</v>
      </c>
      <c r="K1006" s="1" t="s">
        <v>170</v>
      </c>
      <c r="L1006" s="1" t="s">
        <v>3857</v>
      </c>
      <c r="M1006" s="1" t="s">
        <v>5334</v>
      </c>
      <c r="N1006" s="2">
        <v>42597</v>
      </c>
      <c r="O1006" s="1"/>
      <c r="P1006" s="1"/>
      <c r="Q1006" s="1" t="s">
        <v>34</v>
      </c>
      <c r="R1006" s="1"/>
      <c r="S1006" s="1" t="s">
        <v>35</v>
      </c>
      <c r="T1006" s="1">
        <v>44.470303000000001</v>
      </c>
      <c r="U1006" s="1">
        <v>-72.700544999999906</v>
      </c>
      <c r="V1006" s="1" t="s">
        <v>5335</v>
      </c>
      <c r="W1006" s="1"/>
      <c r="X1006" s="1" t="s">
        <v>37</v>
      </c>
      <c r="Y1006" s="1" t="s">
        <v>3859</v>
      </c>
      <c r="Z1006" s="1">
        <v>5672</v>
      </c>
    </row>
    <row r="1007" spans="1:26" ht="42">
      <c r="A1007" s="1" t="str">
        <f>"000XHX"</f>
        <v>000XHX</v>
      </c>
      <c r="B1007" s="1" t="s">
        <v>5336</v>
      </c>
      <c r="C1007" s="1" t="s">
        <v>5337</v>
      </c>
      <c r="D1007" s="1" t="str">
        <f>"8022998008"</f>
        <v>8022998008</v>
      </c>
      <c r="E1007" s="1">
        <v>5081</v>
      </c>
      <c r="F1007" s="1" t="s">
        <v>28</v>
      </c>
      <c r="G1007" s="1" t="s">
        <v>5338</v>
      </c>
      <c r="H1007" s="1"/>
      <c r="I1007" s="1">
        <v>3</v>
      </c>
      <c r="J1007" s="1" t="s">
        <v>5339</v>
      </c>
      <c r="K1007" s="1" t="s">
        <v>77</v>
      </c>
      <c r="L1007" s="1" t="s">
        <v>372</v>
      </c>
      <c r="M1007" s="1" t="s">
        <v>5340</v>
      </c>
      <c r="N1007" s="2">
        <v>42605</v>
      </c>
      <c r="O1007" s="1"/>
      <c r="P1007" s="1"/>
      <c r="Q1007" s="1" t="s">
        <v>34</v>
      </c>
      <c r="R1007" s="1"/>
      <c r="S1007" s="1" t="s">
        <v>35</v>
      </c>
      <c r="T1007" s="1">
        <v>43.382252000000001</v>
      </c>
      <c r="U1007" s="1">
        <v>-72.439269899999999</v>
      </c>
      <c r="V1007" s="1" t="s">
        <v>5341</v>
      </c>
      <c r="W1007" s="1"/>
      <c r="X1007" s="1" t="s">
        <v>37</v>
      </c>
      <c r="Y1007" s="1" t="s">
        <v>375</v>
      </c>
      <c r="Z1007" s="1">
        <v>5156</v>
      </c>
    </row>
    <row r="1008" spans="1:26" ht="42">
      <c r="A1008" s="1" t="str">
        <f>"000XJ4"</f>
        <v>000XJ4</v>
      </c>
      <c r="B1008" s="1" t="s">
        <v>5342</v>
      </c>
      <c r="C1008" s="1" t="s">
        <v>5343</v>
      </c>
      <c r="D1008" s="1" t="str">
        <f>"8022346722"</f>
        <v>8022346722</v>
      </c>
      <c r="E1008" s="1">
        <v>5082</v>
      </c>
      <c r="F1008" s="1" t="s">
        <v>28</v>
      </c>
      <c r="G1008" s="1" t="s">
        <v>5344</v>
      </c>
      <c r="H1008" s="1"/>
      <c r="I1008" s="1">
        <v>1</v>
      </c>
      <c r="J1008" s="1" t="s">
        <v>5345</v>
      </c>
      <c r="K1008" s="1" t="s">
        <v>77</v>
      </c>
      <c r="L1008" s="1" t="s">
        <v>2879</v>
      </c>
      <c r="M1008" s="1" t="s">
        <v>5346</v>
      </c>
      <c r="N1008" s="2">
        <v>42607</v>
      </c>
      <c r="O1008" s="1"/>
      <c r="P1008" s="1"/>
      <c r="Q1008" s="1" t="s">
        <v>34</v>
      </c>
      <c r="R1008" s="1"/>
      <c r="S1008" s="1" t="s">
        <v>35</v>
      </c>
      <c r="T1008" s="1">
        <v>43.872214999999997</v>
      </c>
      <c r="U1008" s="1">
        <v>-72.648272000000006</v>
      </c>
      <c r="V1008" s="1" t="s">
        <v>5347</v>
      </c>
      <c r="W1008" s="1"/>
      <c r="X1008" s="1" t="s">
        <v>37</v>
      </c>
      <c r="Y1008" s="1" t="s">
        <v>2730</v>
      </c>
      <c r="Z1008" s="1">
        <v>5032</v>
      </c>
    </row>
    <row r="1009" spans="1:26" ht="42">
      <c r="A1009" s="1" t="str">
        <f>"000XJ5"</f>
        <v>000XJ5</v>
      </c>
      <c r="B1009" s="1" t="s">
        <v>5348</v>
      </c>
      <c r="C1009" s="1" t="s">
        <v>5349</v>
      </c>
      <c r="D1009" s="1" t="str">
        <f>"8027854324"</f>
        <v>8027854324</v>
      </c>
      <c r="E1009" s="1">
        <v>5161</v>
      </c>
      <c r="F1009" s="1" t="s">
        <v>28</v>
      </c>
      <c r="G1009" s="1" t="s">
        <v>5350</v>
      </c>
      <c r="H1009" s="1"/>
      <c r="I1009" s="1">
        <v>1</v>
      </c>
      <c r="J1009" s="1" t="s">
        <v>5351</v>
      </c>
      <c r="K1009" s="1" t="s">
        <v>68</v>
      </c>
      <c r="L1009" s="1" t="s">
        <v>69</v>
      </c>
      <c r="M1009" s="1" t="s">
        <v>5352</v>
      </c>
      <c r="N1009" s="2">
        <v>42881</v>
      </c>
      <c r="O1009" s="1"/>
      <c r="P1009" s="2">
        <v>42972</v>
      </c>
      <c r="Q1009" s="1" t="s">
        <v>34</v>
      </c>
      <c r="R1009" s="1"/>
      <c r="S1009" s="1" t="s">
        <v>35</v>
      </c>
      <c r="T1009" s="1">
        <v>43.852657000000001</v>
      </c>
      <c r="U1009" s="1">
        <v>-72.316276999999999</v>
      </c>
      <c r="V1009" s="1" t="s">
        <v>5353</v>
      </c>
      <c r="W1009" s="1"/>
      <c r="X1009" s="1" t="s">
        <v>37</v>
      </c>
      <c r="Y1009" s="1" t="s">
        <v>5354</v>
      </c>
      <c r="Z1009" s="1">
        <v>5075</v>
      </c>
    </row>
    <row r="1010" spans="1:26" ht="28">
      <c r="A1010" s="1" t="str">
        <f>"000XJ6"</f>
        <v>000XJ6</v>
      </c>
      <c r="B1010" s="1" t="s">
        <v>5348</v>
      </c>
      <c r="C1010" s="1" t="s">
        <v>5355</v>
      </c>
      <c r="D1010" s="1"/>
      <c r="E1010" s="1">
        <v>5083</v>
      </c>
      <c r="F1010" s="1" t="s">
        <v>28</v>
      </c>
      <c r="G1010" s="1" t="s">
        <v>5356</v>
      </c>
      <c r="H1010" s="1"/>
      <c r="I1010" s="1">
        <v>2</v>
      </c>
      <c r="J1010" s="1"/>
      <c r="K1010" s="1" t="s">
        <v>68</v>
      </c>
      <c r="L1010" s="1"/>
      <c r="M1010" s="1" t="s">
        <v>5357</v>
      </c>
      <c r="N1010" s="2">
        <v>42608</v>
      </c>
      <c r="O1010" s="1"/>
      <c r="P1010" s="2">
        <v>42880</v>
      </c>
      <c r="Q1010" s="1" t="s">
        <v>34</v>
      </c>
      <c r="R1010" s="1"/>
      <c r="S1010" s="1" t="s">
        <v>35</v>
      </c>
      <c r="T1010" s="1">
        <v>43.853524118382197</v>
      </c>
      <c r="U1010" s="1">
        <v>-72.315999251859395</v>
      </c>
      <c r="V1010" s="1" t="s">
        <v>5358</v>
      </c>
      <c r="W1010" s="1"/>
      <c r="X1010" s="1" t="s">
        <v>37</v>
      </c>
      <c r="Y1010" s="1" t="s">
        <v>636</v>
      </c>
      <c r="Z1010" s="1">
        <v>5075</v>
      </c>
    </row>
    <row r="1011" spans="1:26" ht="42">
      <c r="A1011" s="1" t="str">
        <f>"000XJ8"</f>
        <v>000XJ8</v>
      </c>
      <c r="B1011" s="1" t="s">
        <v>5359</v>
      </c>
      <c r="C1011" s="1" t="s">
        <v>5360</v>
      </c>
      <c r="D1011" s="1" t="str">
        <f>"4073762953"</f>
        <v>4073762953</v>
      </c>
      <c r="E1011" s="1">
        <v>5085</v>
      </c>
      <c r="F1011" s="1" t="s">
        <v>28</v>
      </c>
      <c r="G1011" s="1" t="s">
        <v>5361</v>
      </c>
      <c r="H1011" s="1"/>
      <c r="I1011" s="1">
        <v>1</v>
      </c>
      <c r="J1011" s="1" t="s">
        <v>5362</v>
      </c>
      <c r="K1011" s="1" t="s">
        <v>77</v>
      </c>
      <c r="L1011" s="1" t="s">
        <v>403</v>
      </c>
      <c r="M1011" s="1" t="s">
        <v>5363</v>
      </c>
      <c r="N1011" s="2">
        <v>42608</v>
      </c>
      <c r="O1011" s="1"/>
      <c r="P1011" s="2">
        <v>43006</v>
      </c>
      <c r="Q1011" s="1" t="s">
        <v>34</v>
      </c>
      <c r="R1011" s="1"/>
      <c r="S1011" s="1" t="s">
        <v>35</v>
      </c>
      <c r="T1011" s="1">
        <v>43.623943799999999</v>
      </c>
      <c r="U1011" s="1">
        <v>-72.481432400000003</v>
      </c>
      <c r="V1011" s="1" t="s">
        <v>5364</v>
      </c>
      <c r="W1011" s="1"/>
      <c r="X1011" s="1" t="s">
        <v>37</v>
      </c>
      <c r="Y1011" s="1" t="s">
        <v>5365</v>
      </c>
      <c r="Z1011" s="1">
        <v>5073</v>
      </c>
    </row>
    <row r="1012" spans="1:26" ht="42">
      <c r="A1012" s="1" t="str">
        <f>"000XJA"</f>
        <v>000XJA</v>
      </c>
      <c r="B1012" s="1" t="s">
        <v>5366</v>
      </c>
      <c r="C1012" s="1" t="s">
        <v>5367</v>
      </c>
      <c r="D1012" s="1" t="str">
        <f>"8022491434"</f>
        <v>8022491434</v>
      </c>
      <c r="E1012" s="1">
        <v>5086</v>
      </c>
      <c r="F1012" s="1" t="s">
        <v>28</v>
      </c>
      <c r="G1012" s="1" t="s">
        <v>5368</v>
      </c>
      <c r="H1012" s="1"/>
      <c r="I1012" s="1">
        <v>3</v>
      </c>
      <c r="J1012" s="1" t="s">
        <v>5369</v>
      </c>
      <c r="K1012" s="1" t="s">
        <v>31</v>
      </c>
      <c r="L1012" s="1" t="s">
        <v>2345</v>
      </c>
      <c r="M1012" s="1" t="s">
        <v>5370</v>
      </c>
      <c r="N1012" s="2">
        <v>42611</v>
      </c>
      <c r="O1012" s="1"/>
      <c r="P1012" s="1"/>
      <c r="Q1012" s="1" t="s">
        <v>34</v>
      </c>
      <c r="R1012" s="1"/>
      <c r="S1012" s="1" t="s">
        <v>35</v>
      </c>
      <c r="T1012" s="1"/>
      <c r="U1012" s="1"/>
      <c r="V1012" s="1" t="s">
        <v>5371</v>
      </c>
      <c r="W1012" s="1"/>
      <c r="X1012" s="1" t="s">
        <v>37</v>
      </c>
      <c r="Y1012" s="1" t="s">
        <v>2348</v>
      </c>
      <c r="Z1012" s="1">
        <v>5602</v>
      </c>
    </row>
    <row r="1013" spans="1:26" ht="42">
      <c r="A1013" s="1" t="str">
        <f>"000XJB"</f>
        <v>000XJB</v>
      </c>
      <c r="B1013" s="1" t="s">
        <v>5372</v>
      </c>
      <c r="C1013" s="1" t="s">
        <v>5373</v>
      </c>
      <c r="D1013" s="1" t="str">
        <f>"8028744072"</f>
        <v>8028744072</v>
      </c>
      <c r="E1013" s="1">
        <v>5087</v>
      </c>
      <c r="F1013" s="1" t="s">
        <v>28</v>
      </c>
      <c r="G1013" s="1" t="s">
        <v>5374</v>
      </c>
      <c r="H1013" s="1"/>
      <c r="I1013" s="1">
        <v>2</v>
      </c>
      <c r="J1013" s="1" t="s">
        <v>5375</v>
      </c>
      <c r="K1013" s="1" t="s">
        <v>144</v>
      </c>
      <c r="L1013" s="1" t="s">
        <v>594</v>
      </c>
      <c r="M1013" s="1" t="s">
        <v>5376</v>
      </c>
      <c r="N1013" s="2">
        <v>42611</v>
      </c>
      <c r="O1013" s="1"/>
      <c r="P1013" s="1"/>
      <c r="Q1013" s="1" t="s">
        <v>34</v>
      </c>
      <c r="R1013" s="1"/>
      <c r="S1013" s="1" t="s">
        <v>35</v>
      </c>
      <c r="T1013" s="1"/>
      <c r="U1013" s="1"/>
      <c r="V1013" s="1" t="s">
        <v>5377</v>
      </c>
      <c r="W1013" s="1"/>
      <c r="X1013" s="1" t="s">
        <v>37</v>
      </c>
      <c r="Y1013" s="1" t="s">
        <v>5378</v>
      </c>
      <c r="Z1013" s="1" t="s">
        <v>5379</v>
      </c>
    </row>
    <row r="1014" spans="1:26" ht="42">
      <c r="A1014" s="1" t="str">
        <f>"000XJZ"</f>
        <v>000XJZ</v>
      </c>
      <c r="B1014" s="1" t="s">
        <v>5380</v>
      </c>
      <c r="C1014" s="1" t="s">
        <v>5381</v>
      </c>
      <c r="D1014" s="1" t="str">
        <f>"8022240362"</f>
        <v>8022240362</v>
      </c>
      <c r="E1014" s="1">
        <v>5088</v>
      </c>
      <c r="F1014" s="1" t="s">
        <v>28</v>
      </c>
      <c r="G1014" s="1" t="s">
        <v>5382</v>
      </c>
      <c r="H1014" s="1"/>
      <c r="I1014" s="1">
        <v>1</v>
      </c>
      <c r="J1014" s="1" t="s">
        <v>5383</v>
      </c>
      <c r="K1014" s="1" t="s">
        <v>31</v>
      </c>
      <c r="L1014" s="1" t="s">
        <v>1303</v>
      </c>
      <c r="M1014" s="1" t="s">
        <v>5380</v>
      </c>
      <c r="N1014" s="2">
        <v>42612</v>
      </c>
      <c r="O1014" s="1"/>
      <c r="P1014" s="1"/>
      <c r="Q1014" s="1" t="s">
        <v>34</v>
      </c>
      <c r="R1014" s="1"/>
      <c r="S1014" s="1" t="s">
        <v>35</v>
      </c>
      <c r="T1014" s="1">
        <v>44.338729999999998</v>
      </c>
      <c r="U1014" s="1">
        <v>-72.532855999999896</v>
      </c>
      <c r="V1014" s="1" t="s">
        <v>5384</v>
      </c>
      <c r="W1014" s="1"/>
      <c r="X1014" s="1" t="s">
        <v>37</v>
      </c>
      <c r="Y1014" s="1" t="s">
        <v>1074</v>
      </c>
      <c r="Z1014" s="1">
        <v>5648</v>
      </c>
    </row>
    <row r="1015" spans="1:26" ht="42">
      <c r="A1015" s="1" t="str">
        <f>"000XK3"</f>
        <v>000XK3</v>
      </c>
      <c r="B1015" s="1" t="s">
        <v>5385</v>
      </c>
      <c r="C1015" s="1" t="s">
        <v>5386</v>
      </c>
      <c r="D1015" s="1" t="str">
        <f>"8025253851"</f>
        <v>8025253851</v>
      </c>
      <c r="E1015" s="1">
        <v>5091</v>
      </c>
      <c r="F1015" s="1" t="s">
        <v>28</v>
      </c>
      <c r="G1015" s="1" t="s">
        <v>5387</v>
      </c>
      <c r="H1015" s="1"/>
      <c r="I1015" s="1">
        <v>2</v>
      </c>
      <c r="J1015" s="1" t="s">
        <v>5388</v>
      </c>
      <c r="K1015" s="1" t="s">
        <v>527</v>
      </c>
      <c r="L1015" s="1" t="s">
        <v>5389</v>
      </c>
      <c r="M1015" s="1" t="s">
        <v>5390</v>
      </c>
      <c r="N1015" s="2">
        <v>42614</v>
      </c>
      <c r="O1015" s="1"/>
      <c r="P1015" s="1"/>
      <c r="Q1015" s="1" t="s">
        <v>34</v>
      </c>
      <c r="R1015" s="1"/>
      <c r="S1015" s="1" t="s">
        <v>35</v>
      </c>
      <c r="T1015" s="1">
        <v>44.721733</v>
      </c>
      <c r="U1015" s="1">
        <v>-72.131752000000006</v>
      </c>
      <c r="V1015" s="1" t="s">
        <v>5391</v>
      </c>
      <c r="W1015" s="1"/>
      <c r="X1015" s="1" t="s">
        <v>37</v>
      </c>
      <c r="Y1015" s="1" t="s">
        <v>5392</v>
      </c>
      <c r="Z1015" s="1">
        <v>5822</v>
      </c>
    </row>
    <row r="1016" spans="1:26" ht="42">
      <c r="A1016" s="1" t="str">
        <f>"000XK9"</f>
        <v>000XK9</v>
      </c>
      <c r="B1016" s="1" t="s">
        <v>5393</v>
      </c>
      <c r="C1016" s="1" t="s">
        <v>5394</v>
      </c>
      <c r="D1016" s="1" t="str">
        <f>"8022385352"</f>
        <v>8022385352</v>
      </c>
      <c r="E1016" s="1">
        <v>5092</v>
      </c>
      <c r="F1016" s="1" t="s">
        <v>28</v>
      </c>
      <c r="G1016" s="1" t="s">
        <v>5395</v>
      </c>
      <c r="H1016" s="1"/>
      <c r="I1016" s="1">
        <v>2</v>
      </c>
      <c r="J1016" s="1" t="s">
        <v>5396</v>
      </c>
      <c r="K1016" s="1" t="s">
        <v>152</v>
      </c>
      <c r="L1016" s="1" t="s">
        <v>1062</v>
      </c>
      <c r="M1016" s="1" t="s">
        <v>5397</v>
      </c>
      <c r="N1016" s="2">
        <v>42615</v>
      </c>
      <c r="O1016" s="1"/>
      <c r="P1016" s="1"/>
      <c r="Q1016" s="1" t="s">
        <v>34</v>
      </c>
      <c r="R1016" s="1"/>
      <c r="S1016" s="1" t="s">
        <v>35</v>
      </c>
      <c r="T1016" s="1">
        <v>44.729213999999999</v>
      </c>
      <c r="U1016" s="1">
        <v>-73.131988999999905</v>
      </c>
      <c r="V1016" s="1" t="s">
        <v>5398</v>
      </c>
      <c r="W1016" s="1"/>
      <c r="X1016" s="1" t="s">
        <v>37</v>
      </c>
      <c r="Y1016" s="1" t="s">
        <v>1064</v>
      </c>
      <c r="Z1016" s="1">
        <v>5468</v>
      </c>
    </row>
    <row r="1017" spans="1:26" ht="42">
      <c r="A1017" s="1" t="str">
        <f>"000XKM"</f>
        <v>000XKM</v>
      </c>
      <c r="B1017" s="1" t="s">
        <v>5399</v>
      </c>
      <c r="C1017" s="1" t="s">
        <v>5400</v>
      </c>
      <c r="D1017" s="1" t="str">
        <f>"8025273942"</f>
        <v>8025273942</v>
      </c>
      <c r="E1017" s="1">
        <v>5095</v>
      </c>
      <c r="F1017" s="1" t="s">
        <v>28</v>
      </c>
      <c r="G1017" s="1" t="s">
        <v>5401</v>
      </c>
      <c r="H1017" s="1"/>
      <c r="I1017" s="1">
        <v>3</v>
      </c>
      <c r="J1017" s="1" t="s">
        <v>5402</v>
      </c>
      <c r="K1017" s="1" t="s">
        <v>152</v>
      </c>
      <c r="L1017" s="1" t="s">
        <v>1062</v>
      </c>
      <c r="M1017" s="1" t="s">
        <v>5403</v>
      </c>
      <c r="N1017" s="2">
        <v>42625</v>
      </c>
      <c r="O1017" s="1"/>
      <c r="P1017" s="1"/>
      <c r="Q1017" s="1" t="s">
        <v>34</v>
      </c>
      <c r="R1017" s="1"/>
      <c r="S1017" s="1" t="s">
        <v>35</v>
      </c>
      <c r="T1017" s="1">
        <v>44.7575</v>
      </c>
      <c r="U1017" s="1">
        <v>-73.110320999999999</v>
      </c>
      <c r="V1017" s="1" t="s">
        <v>5404</v>
      </c>
      <c r="W1017" s="1"/>
      <c r="X1017" s="1" t="s">
        <v>37</v>
      </c>
      <c r="Y1017" s="1" t="s">
        <v>1064</v>
      </c>
      <c r="Z1017" s="1">
        <v>5468</v>
      </c>
    </row>
    <row r="1018" spans="1:26" ht="42">
      <c r="A1018" s="1" t="str">
        <f>"000XKM"</f>
        <v>000XKM</v>
      </c>
      <c r="B1018" s="1" t="s">
        <v>5399</v>
      </c>
      <c r="C1018" s="1" t="s">
        <v>5400</v>
      </c>
      <c r="D1018" s="1" t="str">
        <f>"8025273942"</f>
        <v>8025273942</v>
      </c>
      <c r="E1018" s="1">
        <v>5095</v>
      </c>
      <c r="F1018" s="1" t="s">
        <v>28</v>
      </c>
      <c r="G1018" s="1" t="s">
        <v>5405</v>
      </c>
      <c r="H1018" s="1"/>
      <c r="I1018" s="1">
        <v>2</v>
      </c>
      <c r="J1018" s="1" t="s">
        <v>5406</v>
      </c>
      <c r="K1018" s="1" t="s">
        <v>43</v>
      </c>
      <c r="L1018" s="1" t="s">
        <v>86</v>
      </c>
      <c r="M1018" s="1" t="s">
        <v>5407</v>
      </c>
      <c r="N1018" s="2">
        <v>42625</v>
      </c>
      <c r="O1018" s="1"/>
      <c r="P1018" s="1"/>
      <c r="Q1018" s="1" t="s">
        <v>34</v>
      </c>
      <c r="R1018" s="1"/>
      <c r="S1018" s="1" t="s">
        <v>35</v>
      </c>
      <c r="T1018" s="1"/>
      <c r="U1018" s="1"/>
      <c r="V1018" s="1" t="s">
        <v>5408</v>
      </c>
      <c r="W1018" s="1"/>
      <c r="X1018" s="1" t="s">
        <v>37</v>
      </c>
      <c r="Y1018" s="1" t="s">
        <v>89</v>
      </c>
      <c r="Z1018" s="1">
        <v>5468</v>
      </c>
    </row>
    <row r="1019" spans="1:26" ht="42">
      <c r="A1019" s="1" t="str">
        <f>"000XKX"</f>
        <v>000XKX</v>
      </c>
      <c r="B1019" s="1" t="s">
        <v>5409</v>
      </c>
      <c r="C1019" s="1" t="s">
        <v>5410</v>
      </c>
      <c r="D1019" s="1" t="str">
        <f>"8028754207"</f>
        <v>8028754207</v>
      </c>
      <c r="E1019" s="1">
        <v>5096</v>
      </c>
      <c r="F1019" s="1" t="s">
        <v>28</v>
      </c>
      <c r="G1019" s="1" t="s">
        <v>5411</v>
      </c>
      <c r="H1019" s="1"/>
      <c r="I1019" s="1">
        <v>1</v>
      </c>
      <c r="J1019" s="1" t="s">
        <v>5412</v>
      </c>
      <c r="K1019" s="1" t="s">
        <v>77</v>
      </c>
      <c r="L1019" s="1" t="s">
        <v>309</v>
      </c>
      <c r="M1019" s="1" t="s">
        <v>5413</v>
      </c>
      <c r="N1019" s="2">
        <v>42627</v>
      </c>
      <c r="O1019" s="1"/>
      <c r="P1019" s="2">
        <v>42976</v>
      </c>
      <c r="Q1019" s="1" t="s">
        <v>34</v>
      </c>
      <c r="R1019" s="1"/>
      <c r="S1019" s="1" t="s">
        <v>35</v>
      </c>
      <c r="T1019" s="1"/>
      <c r="U1019" s="1"/>
      <c r="V1019" s="1" t="s">
        <v>5414</v>
      </c>
      <c r="W1019" s="1"/>
      <c r="X1019" s="1" t="s">
        <v>37</v>
      </c>
      <c r="Y1019" s="1" t="s">
        <v>312</v>
      </c>
      <c r="Z1019" s="1">
        <v>5143</v>
      </c>
    </row>
    <row r="1020" spans="1:26" ht="42">
      <c r="A1020" s="1" t="str">
        <f>"000XM2"</f>
        <v>000XM2</v>
      </c>
      <c r="B1020" s="1" t="s">
        <v>5415</v>
      </c>
      <c r="C1020" s="1" t="s">
        <v>5416</v>
      </c>
      <c r="D1020" s="1" t="str">
        <f>"8022267154"</f>
        <v>8022267154</v>
      </c>
      <c r="E1020" s="1">
        <v>5097</v>
      </c>
      <c r="F1020" s="1" t="s">
        <v>28</v>
      </c>
      <c r="G1020" s="1" t="s">
        <v>5417</v>
      </c>
      <c r="H1020" s="1"/>
      <c r="I1020" s="1">
        <v>3</v>
      </c>
      <c r="J1020" s="1">
        <v>1</v>
      </c>
      <c r="K1020" s="1" t="s">
        <v>77</v>
      </c>
      <c r="L1020" s="1"/>
      <c r="M1020" s="1" t="s">
        <v>5418</v>
      </c>
      <c r="N1020" s="2">
        <v>42633</v>
      </c>
      <c r="O1020" s="1"/>
      <c r="P1020" s="1"/>
      <c r="Q1020" s="1" t="s">
        <v>34</v>
      </c>
      <c r="R1020" s="1"/>
      <c r="S1020" s="1" t="s">
        <v>35</v>
      </c>
      <c r="T1020" s="1"/>
      <c r="U1020" s="1"/>
      <c r="V1020" s="1" t="s">
        <v>5419</v>
      </c>
      <c r="W1020" s="1"/>
      <c r="X1020" s="1" t="s">
        <v>37</v>
      </c>
      <c r="Y1020" s="1" t="s">
        <v>5119</v>
      </c>
      <c r="Z1020" s="1">
        <v>5153</v>
      </c>
    </row>
    <row r="1021" spans="1:26" ht="42">
      <c r="A1021" s="1" t="str">
        <f>"000XM3"</f>
        <v>000XM3</v>
      </c>
      <c r="B1021" s="1" t="s">
        <v>5420</v>
      </c>
      <c r="C1021" s="1" t="s">
        <v>5421</v>
      </c>
      <c r="D1021" s="1" t="str">
        <f>"8027829951"</f>
        <v>8027829951</v>
      </c>
      <c r="E1021" s="1">
        <v>5098</v>
      </c>
      <c r="F1021" s="1" t="s">
        <v>28</v>
      </c>
      <c r="G1021" s="1" t="s">
        <v>5422</v>
      </c>
      <c r="H1021" s="1"/>
      <c r="I1021" s="1">
        <v>15</v>
      </c>
      <c r="J1021" s="1" t="s">
        <v>5423</v>
      </c>
      <c r="K1021" s="1" t="s">
        <v>152</v>
      </c>
      <c r="L1021" s="1" t="s">
        <v>1057</v>
      </c>
      <c r="M1021" s="1" t="s">
        <v>5424</v>
      </c>
      <c r="N1021" s="2">
        <v>42633</v>
      </c>
      <c r="O1021" s="1"/>
      <c r="P1021" s="1"/>
      <c r="Q1021" s="1" t="s">
        <v>34</v>
      </c>
      <c r="R1021" s="1"/>
      <c r="S1021" s="1" t="s">
        <v>35</v>
      </c>
      <c r="T1021" s="1">
        <v>44.932096299999998</v>
      </c>
      <c r="U1021" s="1">
        <v>-72.985438199999905</v>
      </c>
      <c r="V1021" s="1" t="s">
        <v>5425</v>
      </c>
      <c r="W1021" s="1"/>
      <c r="X1021" s="1" t="s">
        <v>37</v>
      </c>
      <c r="Y1021" s="1" t="s">
        <v>1059</v>
      </c>
      <c r="Z1021" s="1">
        <v>5459</v>
      </c>
    </row>
    <row r="1022" spans="1:26" ht="42">
      <c r="A1022" s="1" t="str">
        <f>"000XM3"</f>
        <v>000XM3</v>
      </c>
      <c r="B1022" s="1" t="s">
        <v>5420</v>
      </c>
      <c r="C1022" s="1" t="s">
        <v>5421</v>
      </c>
      <c r="D1022" s="1" t="str">
        <f>"8027829951"</f>
        <v>8027829951</v>
      </c>
      <c r="E1022" s="1">
        <v>5098</v>
      </c>
      <c r="F1022" s="1" t="s">
        <v>28</v>
      </c>
      <c r="G1022" s="1" t="s">
        <v>5426</v>
      </c>
      <c r="H1022" s="1"/>
      <c r="I1022" s="1">
        <v>15</v>
      </c>
      <c r="J1022" s="1" t="s">
        <v>5423</v>
      </c>
      <c r="K1022" s="1" t="s">
        <v>152</v>
      </c>
      <c r="L1022" s="1" t="s">
        <v>1057</v>
      </c>
      <c r="M1022" s="1" t="s">
        <v>5427</v>
      </c>
      <c r="N1022" s="2">
        <v>42633</v>
      </c>
      <c r="O1022" s="1"/>
      <c r="P1022" s="1"/>
      <c r="Q1022" s="1" t="s">
        <v>34</v>
      </c>
      <c r="R1022" s="1"/>
      <c r="S1022" s="1" t="s">
        <v>35</v>
      </c>
      <c r="T1022" s="1">
        <v>44.974175899999999</v>
      </c>
      <c r="U1022" s="1">
        <v>-73.0090462</v>
      </c>
      <c r="V1022" s="1" t="s">
        <v>5428</v>
      </c>
      <c r="W1022" s="1"/>
      <c r="X1022" s="1" t="s">
        <v>37</v>
      </c>
      <c r="Y1022" s="1" t="s">
        <v>1059</v>
      </c>
      <c r="Z1022" s="1">
        <v>5459</v>
      </c>
    </row>
    <row r="1023" spans="1:26" ht="42">
      <c r="A1023" s="1" t="str">
        <f>"000XM3"</f>
        <v>000XM3</v>
      </c>
      <c r="B1023" s="1" t="s">
        <v>5420</v>
      </c>
      <c r="C1023" s="1" t="s">
        <v>5421</v>
      </c>
      <c r="D1023" s="1" t="str">
        <f>"8027829951"</f>
        <v>8027829951</v>
      </c>
      <c r="E1023" s="1">
        <v>5098</v>
      </c>
      <c r="F1023" s="1" t="s">
        <v>28</v>
      </c>
      <c r="G1023" s="1" t="s">
        <v>5429</v>
      </c>
      <c r="H1023" s="1"/>
      <c r="I1023" s="1">
        <v>15</v>
      </c>
      <c r="J1023" s="1" t="s">
        <v>5423</v>
      </c>
      <c r="K1023" s="1" t="s">
        <v>152</v>
      </c>
      <c r="L1023" s="1" t="s">
        <v>1057</v>
      </c>
      <c r="M1023" s="1" t="s">
        <v>5424</v>
      </c>
      <c r="N1023" s="2">
        <v>42633</v>
      </c>
      <c r="O1023" s="1"/>
      <c r="P1023" s="1"/>
      <c r="Q1023" s="1" t="s">
        <v>34</v>
      </c>
      <c r="R1023" s="1"/>
      <c r="S1023" s="1" t="s">
        <v>35</v>
      </c>
      <c r="T1023" s="1">
        <v>44.9356607</v>
      </c>
      <c r="U1023" s="1">
        <v>-73.021783599999907</v>
      </c>
      <c r="V1023" s="1" t="s">
        <v>5430</v>
      </c>
      <c r="W1023" s="1"/>
      <c r="X1023" s="1" t="s">
        <v>37</v>
      </c>
      <c r="Y1023" s="1" t="s">
        <v>1059</v>
      </c>
      <c r="Z1023" s="1">
        <v>5459</v>
      </c>
    </row>
    <row r="1024" spans="1:26" ht="42">
      <c r="A1024" s="1" t="str">
        <f>"000XM3"</f>
        <v>000XM3</v>
      </c>
      <c r="B1024" s="1" t="s">
        <v>5420</v>
      </c>
      <c r="C1024" s="1" t="s">
        <v>5421</v>
      </c>
      <c r="D1024" s="1" t="str">
        <f>"8027829951"</f>
        <v>8027829951</v>
      </c>
      <c r="E1024" s="1">
        <v>5098</v>
      </c>
      <c r="F1024" s="1" t="s">
        <v>28</v>
      </c>
      <c r="G1024" s="1" t="s">
        <v>5431</v>
      </c>
      <c r="H1024" s="1"/>
      <c r="I1024" s="1">
        <v>15</v>
      </c>
      <c r="J1024" s="1">
        <v>4</v>
      </c>
      <c r="K1024" s="1" t="s">
        <v>152</v>
      </c>
      <c r="L1024" s="1" t="s">
        <v>1057</v>
      </c>
      <c r="M1024" s="1" t="s">
        <v>5432</v>
      </c>
      <c r="N1024" s="2">
        <v>42914</v>
      </c>
      <c r="O1024" s="1"/>
      <c r="P1024" s="1"/>
      <c r="Q1024" s="1" t="s">
        <v>34</v>
      </c>
      <c r="R1024" s="1"/>
      <c r="S1024" s="1" t="s">
        <v>35</v>
      </c>
      <c r="T1024" s="1">
        <v>44.925964</v>
      </c>
      <c r="U1024" s="1">
        <v>-72.932303999999903</v>
      </c>
      <c r="V1024" s="1" t="s">
        <v>5433</v>
      </c>
      <c r="W1024" s="1"/>
      <c r="X1024" s="1" t="s">
        <v>37</v>
      </c>
      <c r="Y1024" s="1" t="s">
        <v>152</v>
      </c>
      <c r="Z1024" s="1">
        <v>5457</v>
      </c>
    </row>
    <row r="1025" spans="1:26" ht="42">
      <c r="A1025" s="1" t="str">
        <f>"000XM3"</f>
        <v>000XM3</v>
      </c>
      <c r="B1025" s="1" t="s">
        <v>5420</v>
      </c>
      <c r="C1025" s="1" t="s">
        <v>5421</v>
      </c>
      <c r="D1025" s="1" t="str">
        <f>"8027829951"</f>
        <v>8027829951</v>
      </c>
      <c r="E1025" s="1">
        <v>5098</v>
      </c>
      <c r="F1025" s="1" t="s">
        <v>28</v>
      </c>
      <c r="G1025" s="1" t="s">
        <v>5434</v>
      </c>
      <c r="H1025" s="1"/>
      <c r="I1025" s="1">
        <v>15</v>
      </c>
      <c r="J1025" s="1">
        <v>5</v>
      </c>
      <c r="K1025" s="1" t="s">
        <v>152</v>
      </c>
      <c r="L1025" s="1" t="s">
        <v>1057</v>
      </c>
      <c r="M1025" s="1" t="s">
        <v>5435</v>
      </c>
      <c r="N1025" s="2">
        <v>42914</v>
      </c>
      <c r="O1025" s="1"/>
      <c r="P1025" s="1"/>
      <c r="Q1025" s="1" t="s">
        <v>34</v>
      </c>
      <c r="R1025" s="1"/>
      <c r="S1025" s="1" t="s">
        <v>35</v>
      </c>
      <c r="T1025" s="1">
        <v>44.980978299999997</v>
      </c>
      <c r="U1025" s="1">
        <v>-73.054936499999997</v>
      </c>
      <c r="V1025" s="1" t="s">
        <v>5436</v>
      </c>
      <c r="W1025" s="1"/>
      <c r="X1025" s="1" t="s">
        <v>37</v>
      </c>
      <c r="Y1025" s="1" t="s">
        <v>1140</v>
      </c>
      <c r="Z1025" s="1">
        <v>5488</v>
      </c>
    </row>
    <row r="1026" spans="1:26" ht="42">
      <c r="A1026" s="1" t="str">
        <f>"000XMN"</f>
        <v>000XMN</v>
      </c>
      <c r="B1026" s="1" t="s">
        <v>5437</v>
      </c>
      <c r="C1026" s="1" t="s">
        <v>5438</v>
      </c>
      <c r="D1026" s="1" t="str">
        <f>"8023808174"</f>
        <v>8023808174</v>
      </c>
      <c r="E1026" s="1">
        <v>5100</v>
      </c>
      <c r="F1026" s="1" t="s">
        <v>28</v>
      </c>
      <c r="G1026" s="1" t="s">
        <v>5439</v>
      </c>
      <c r="H1026" s="1"/>
      <c r="I1026" s="1">
        <v>1</v>
      </c>
      <c r="J1026" s="1" t="s">
        <v>5440</v>
      </c>
      <c r="K1026" s="1" t="s">
        <v>144</v>
      </c>
      <c r="L1026" s="1" t="s">
        <v>594</v>
      </c>
      <c r="M1026" s="1" t="s">
        <v>5441</v>
      </c>
      <c r="N1026" s="2">
        <v>42641</v>
      </c>
      <c r="O1026" s="1"/>
      <c r="P1026" s="1"/>
      <c r="Q1026" s="1" t="s">
        <v>34</v>
      </c>
      <c r="R1026" s="1"/>
      <c r="S1026" s="1" t="s">
        <v>35</v>
      </c>
      <c r="T1026" s="1"/>
      <c r="U1026" s="1"/>
      <c r="V1026" s="1" t="s">
        <v>158</v>
      </c>
      <c r="W1026" s="1"/>
      <c r="X1026" s="1" t="s">
        <v>37</v>
      </c>
      <c r="Y1026" s="1" t="s">
        <v>158</v>
      </c>
      <c r="Z1026" s="1">
        <v>0</v>
      </c>
    </row>
    <row r="1027" spans="1:26" ht="42">
      <c r="A1027" s="1" t="str">
        <f>"000XN6"</f>
        <v>000XN6</v>
      </c>
      <c r="B1027" s="1" t="s">
        <v>5442</v>
      </c>
      <c r="C1027" s="1" t="s">
        <v>5443</v>
      </c>
      <c r="D1027" s="1" t="str">
        <f>"8023262091"</f>
        <v>8023262091</v>
      </c>
      <c r="E1027" s="1">
        <v>5102</v>
      </c>
      <c r="F1027" s="1" t="s">
        <v>28</v>
      </c>
      <c r="G1027" s="1" t="s">
        <v>5444</v>
      </c>
      <c r="H1027" s="1"/>
      <c r="I1027" s="1">
        <v>6</v>
      </c>
      <c r="J1027" s="1" t="s">
        <v>5445</v>
      </c>
      <c r="K1027" s="1" t="s">
        <v>152</v>
      </c>
      <c r="L1027" s="1" t="s">
        <v>153</v>
      </c>
      <c r="M1027" s="1" t="s">
        <v>5446</v>
      </c>
      <c r="N1027" s="2">
        <v>42656</v>
      </c>
      <c r="O1027" s="1"/>
      <c r="P1027" s="1"/>
      <c r="Q1027" s="1" t="s">
        <v>34</v>
      </c>
      <c r="R1027" s="1"/>
      <c r="S1027" s="1" t="s">
        <v>35</v>
      </c>
      <c r="T1027" s="1"/>
      <c r="U1027" s="1"/>
      <c r="V1027" s="1" t="s">
        <v>5445</v>
      </c>
      <c r="W1027" s="1"/>
      <c r="X1027" s="1" t="s">
        <v>37</v>
      </c>
      <c r="Y1027" s="1" t="s">
        <v>156</v>
      </c>
      <c r="Z1027" s="1">
        <v>5470</v>
      </c>
    </row>
    <row r="1028" spans="1:26" ht="42">
      <c r="A1028" s="1" t="str">
        <f>"000XP3"</f>
        <v>000XP3</v>
      </c>
      <c r="B1028" s="1" t="s">
        <v>5447</v>
      </c>
      <c r="C1028" s="1" t="s">
        <v>5448</v>
      </c>
      <c r="D1028" s="1" t="str">
        <f>"8025053860"</f>
        <v>8025053860</v>
      </c>
      <c r="E1028" s="1">
        <v>5103</v>
      </c>
      <c r="F1028" s="1" t="s">
        <v>28</v>
      </c>
      <c r="G1028" s="1" t="s">
        <v>5449</v>
      </c>
      <c r="H1028" s="1"/>
      <c r="I1028" s="1">
        <v>1</v>
      </c>
      <c r="J1028" s="1" t="s">
        <v>5450</v>
      </c>
      <c r="K1028" s="1" t="s">
        <v>31</v>
      </c>
      <c r="L1028" s="1" t="s">
        <v>94</v>
      </c>
      <c r="M1028" s="1" t="s">
        <v>5451</v>
      </c>
      <c r="N1028" s="2">
        <v>42667</v>
      </c>
      <c r="O1028" s="1"/>
      <c r="P1028" s="1"/>
      <c r="Q1028" s="1" t="s">
        <v>34</v>
      </c>
      <c r="R1028" s="1"/>
      <c r="S1028" s="1" t="s">
        <v>35</v>
      </c>
      <c r="T1028" s="1">
        <v>44.221733</v>
      </c>
      <c r="U1028" s="1">
        <v>-72.759795999999994</v>
      </c>
      <c r="V1028" s="1" t="s">
        <v>5452</v>
      </c>
      <c r="W1028" s="1"/>
      <c r="X1028" s="1" t="s">
        <v>37</v>
      </c>
      <c r="Y1028" s="1" t="s">
        <v>96</v>
      </c>
      <c r="Z1028" s="1">
        <v>5660</v>
      </c>
    </row>
    <row r="1029" spans="1:26" ht="42">
      <c r="A1029" s="1" t="str">
        <f>"000XPX"</f>
        <v>000XPX</v>
      </c>
      <c r="B1029" s="1" t="s">
        <v>5453</v>
      </c>
      <c r="C1029" s="1" t="s">
        <v>5454</v>
      </c>
      <c r="D1029" s="1" t="str">
        <f>"8023800460"</f>
        <v>8023800460</v>
      </c>
      <c r="E1029" s="1">
        <v>5105</v>
      </c>
      <c r="F1029" s="1" t="s">
        <v>28</v>
      </c>
      <c r="G1029" s="1" t="s">
        <v>5455</v>
      </c>
      <c r="H1029" s="1"/>
      <c r="I1029" s="1">
        <v>1</v>
      </c>
      <c r="J1029" s="1">
        <v>1</v>
      </c>
      <c r="K1029" s="1" t="s">
        <v>144</v>
      </c>
      <c r="L1029" s="1" t="s">
        <v>609</v>
      </c>
      <c r="M1029" s="1" t="s">
        <v>5456</v>
      </c>
      <c r="N1029" s="2">
        <v>42681</v>
      </c>
      <c r="O1029" s="1"/>
      <c r="P1029" s="1"/>
      <c r="Q1029" s="1" t="s">
        <v>34</v>
      </c>
      <c r="R1029" s="1"/>
      <c r="S1029" s="1" t="s">
        <v>35</v>
      </c>
      <c r="T1029" s="1">
        <v>42.944642899999998</v>
      </c>
      <c r="U1029" s="1">
        <v>-72.556102199999998</v>
      </c>
      <c r="V1029" s="1" t="s">
        <v>5457</v>
      </c>
      <c r="W1029" s="1"/>
      <c r="X1029" s="1" t="s">
        <v>37</v>
      </c>
      <c r="Y1029" s="1" t="s">
        <v>5458</v>
      </c>
      <c r="Z1029" s="1">
        <v>5346</v>
      </c>
    </row>
    <row r="1030" spans="1:26" ht="42">
      <c r="A1030" s="1" t="str">
        <f>"000XQ0"</f>
        <v>000XQ0</v>
      </c>
      <c r="B1030" s="1" t="s">
        <v>5459</v>
      </c>
      <c r="C1030" s="1" t="s">
        <v>5460</v>
      </c>
      <c r="D1030" s="1" t="str">
        <f>"8023245769"</f>
        <v>8023245769</v>
      </c>
      <c r="E1030" s="1">
        <v>5106</v>
      </c>
      <c r="F1030" s="1" t="s">
        <v>28</v>
      </c>
      <c r="G1030" s="1" t="s">
        <v>5461</v>
      </c>
      <c r="H1030" s="1"/>
      <c r="I1030" s="1">
        <v>7</v>
      </c>
      <c r="J1030" s="1" t="s">
        <v>5462</v>
      </c>
      <c r="K1030" s="1" t="s">
        <v>170</v>
      </c>
      <c r="L1030" s="1"/>
      <c r="M1030" s="1" t="s">
        <v>5463</v>
      </c>
      <c r="N1030" s="2">
        <v>42683</v>
      </c>
      <c r="O1030" s="1"/>
      <c r="P1030" s="1"/>
      <c r="Q1030" s="1" t="s">
        <v>34</v>
      </c>
      <c r="R1030" s="1"/>
      <c r="S1030" s="1" t="s">
        <v>35</v>
      </c>
      <c r="T1030" s="1">
        <v>44.396960999999997</v>
      </c>
      <c r="U1030" s="1">
        <v>-72.275192000000004</v>
      </c>
      <c r="V1030" s="1" t="s">
        <v>5464</v>
      </c>
      <c r="W1030" s="1"/>
      <c r="X1030" s="1" t="s">
        <v>37</v>
      </c>
      <c r="Y1030" s="1" t="s">
        <v>1804</v>
      </c>
      <c r="Z1030" s="1">
        <v>5661</v>
      </c>
    </row>
    <row r="1031" spans="1:26" ht="42">
      <c r="A1031" s="1" t="str">
        <f>"000XQ0"</f>
        <v>000XQ0</v>
      </c>
      <c r="B1031" s="1" t="s">
        <v>5459</v>
      </c>
      <c r="C1031" s="1" t="s">
        <v>5460</v>
      </c>
      <c r="D1031" s="1" t="str">
        <f>"8023245769"</f>
        <v>8023245769</v>
      </c>
      <c r="E1031" s="1">
        <v>5106</v>
      </c>
      <c r="F1031" s="1" t="s">
        <v>28</v>
      </c>
      <c r="G1031" s="1" t="s">
        <v>5465</v>
      </c>
      <c r="H1031" s="1"/>
      <c r="I1031" s="1">
        <v>18</v>
      </c>
      <c r="J1031" s="1" t="s">
        <v>5466</v>
      </c>
      <c r="K1031" s="1" t="s">
        <v>59</v>
      </c>
      <c r="L1031" s="1"/>
      <c r="M1031" s="1" t="s">
        <v>5467</v>
      </c>
      <c r="N1031" s="2">
        <v>43041</v>
      </c>
      <c r="O1031" s="1"/>
      <c r="P1031" s="1"/>
      <c r="Q1031" s="1" t="s">
        <v>34</v>
      </c>
      <c r="R1031" s="1"/>
      <c r="S1031" s="1" t="s">
        <v>35</v>
      </c>
      <c r="T1031" s="1"/>
      <c r="U1031" s="1"/>
      <c r="V1031" s="1" t="s">
        <v>5468</v>
      </c>
      <c r="W1031" s="1"/>
      <c r="X1031" s="1" t="s">
        <v>37</v>
      </c>
      <c r="Y1031" s="1" t="s">
        <v>63</v>
      </c>
      <c r="Z1031" s="1">
        <v>5873</v>
      </c>
    </row>
    <row r="1032" spans="1:26" ht="42">
      <c r="A1032" s="1" t="str">
        <f>"000XVF"</f>
        <v>000XVF</v>
      </c>
      <c r="B1032" s="1" t="s">
        <v>5469</v>
      </c>
      <c r="C1032" s="1" t="s">
        <v>5470</v>
      </c>
      <c r="D1032" s="1" t="str">
        <f>"8029895928"</f>
        <v>8029895928</v>
      </c>
      <c r="E1032" s="1">
        <v>5109</v>
      </c>
      <c r="F1032" s="1" t="s">
        <v>28</v>
      </c>
      <c r="G1032" s="1" t="s">
        <v>5471</v>
      </c>
      <c r="H1032" s="1"/>
      <c r="I1032" s="1">
        <v>6</v>
      </c>
      <c r="J1032" s="1">
        <v>1</v>
      </c>
      <c r="K1032" s="1" t="s">
        <v>135</v>
      </c>
      <c r="L1032" s="1" t="s">
        <v>1241</v>
      </c>
      <c r="M1032" s="1" t="s">
        <v>5472</v>
      </c>
      <c r="N1032" s="2">
        <v>42712</v>
      </c>
      <c r="O1032" s="1"/>
      <c r="P1032" s="2">
        <v>42972</v>
      </c>
      <c r="Q1032" s="1" t="s">
        <v>34</v>
      </c>
      <c r="R1032" s="1"/>
      <c r="S1032" s="1" t="s">
        <v>35</v>
      </c>
      <c r="T1032" s="1">
        <v>43.807847000000002</v>
      </c>
      <c r="U1032" s="1">
        <v>-73.055749999999904</v>
      </c>
      <c r="V1032" s="1" t="s">
        <v>5473</v>
      </c>
      <c r="W1032" s="1"/>
      <c r="X1032" s="1" t="s">
        <v>37</v>
      </c>
      <c r="Y1032" s="1" t="s">
        <v>1244</v>
      </c>
      <c r="Z1032" s="1">
        <v>5733</v>
      </c>
    </row>
    <row r="1033" spans="1:26" ht="42">
      <c r="A1033" s="1" t="str">
        <f>"000XW1"</f>
        <v>000XW1</v>
      </c>
      <c r="B1033" s="1" t="s">
        <v>5474</v>
      </c>
      <c r="C1033" s="1" t="s">
        <v>5475</v>
      </c>
      <c r="D1033" s="1" t="str">
        <f>"8023162229"</f>
        <v>8023162229</v>
      </c>
      <c r="E1033" s="1">
        <v>5110</v>
      </c>
      <c r="F1033" s="1" t="s">
        <v>28</v>
      </c>
      <c r="G1033" s="1" t="s">
        <v>5476</v>
      </c>
      <c r="H1033" s="1"/>
      <c r="I1033" s="1">
        <v>1</v>
      </c>
      <c r="J1033" s="1">
        <v>1</v>
      </c>
      <c r="K1033" s="1" t="s">
        <v>428</v>
      </c>
      <c r="L1033" s="1" t="s">
        <v>1522</v>
      </c>
      <c r="M1033" s="1" t="s">
        <v>5477</v>
      </c>
      <c r="N1033" s="2">
        <v>42724</v>
      </c>
      <c r="O1033" s="1"/>
      <c r="P1033" s="1"/>
      <c r="Q1033" s="1" t="s">
        <v>34</v>
      </c>
      <c r="R1033" s="1"/>
      <c r="S1033" s="1" t="s">
        <v>35</v>
      </c>
      <c r="T1033" s="1">
        <v>44.820658999999999</v>
      </c>
      <c r="U1033" s="1">
        <v>-73.288137300000002</v>
      </c>
      <c r="V1033" s="1" t="s">
        <v>5478</v>
      </c>
      <c r="W1033" s="1"/>
      <c r="X1033" s="1" t="s">
        <v>37</v>
      </c>
      <c r="Y1033" s="1" t="s">
        <v>1521</v>
      </c>
      <c r="Z1033" s="1">
        <v>5474</v>
      </c>
    </row>
    <row r="1034" spans="1:26" ht="42">
      <c r="A1034" s="1" t="str">
        <f>"000XYD"</f>
        <v>000XYD</v>
      </c>
      <c r="B1034" s="1" t="s">
        <v>5479</v>
      </c>
      <c r="C1034" s="1" t="s">
        <v>5480</v>
      </c>
      <c r="D1034" s="1" t="str">
        <f>"8028659999"</f>
        <v>8028659999</v>
      </c>
      <c r="E1034" s="1">
        <v>5112</v>
      </c>
      <c r="F1034" s="1" t="s">
        <v>28</v>
      </c>
      <c r="G1034" s="1" t="s">
        <v>5481</v>
      </c>
      <c r="H1034" s="1"/>
      <c r="I1034" s="1">
        <v>5</v>
      </c>
      <c r="J1034" s="1" t="s">
        <v>5482</v>
      </c>
      <c r="K1034" s="1" t="s">
        <v>43</v>
      </c>
      <c r="L1034" s="1" t="s">
        <v>1099</v>
      </c>
      <c r="M1034" s="1" t="s">
        <v>5483</v>
      </c>
      <c r="N1034" s="2">
        <v>42774</v>
      </c>
      <c r="O1034" s="1"/>
      <c r="P1034" s="1"/>
      <c r="Q1034" s="1" t="s">
        <v>34</v>
      </c>
      <c r="R1034" s="1"/>
      <c r="S1034" s="1" t="s">
        <v>35</v>
      </c>
      <c r="T1034" s="1">
        <v>44.437427</v>
      </c>
      <c r="U1034" s="1">
        <v>-73.1603499</v>
      </c>
      <c r="V1034" s="1" t="s">
        <v>5484</v>
      </c>
      <c r="W1034" s="1"/>
      <c r="X1034" s="1" t="s">
        <v>37</v>
      </c>
      <c r="Y1034" s="1" t="s">
        <v>1111</v>
      </c>
      <c r="Z1034" s="1">
        <v>5403</v>
      </c>
    </row>
    <row r="1035" spans="1:26" ht="42">
      <c r="A1035" s="1" t="str">
        <f>"000Y05"</f>
        <v>000Y05</v>
      </c>
      <c r="B1035" s="1" t="s">
        <v>5485</v>
      </c>
      <c r="C1035" s="1" t="s">
        <v>5486</v>
      </c>
      <c r="D1035" s="1" t="str">
        <f>"8024428326"</f>
        <v>8024428326</v>
      </c>
      <c r="E1035" s="1">
        <v>5113</v>
      </c>
      <c r="F1035" s="1" t="s">
        <v>28</v>
      </c>
      <c r="G1035" s="1" t="s">
        <v>5487</v>
      </c>
      <c r="H1035" s="1"/>
      <c r="I1035" s="1">
        <v>3</v>
      </c>
      <c r="J1035" s="1">
        <v>1</v>
      </c>
      <c r="K1035" s="1" t="s">
        <v>187</v>
      </c>
      <c r="L1035" s="1" t="s">
        <v>188</v>
      </c>
      <c r="M1035" s="1" t="s">
        <v>5488</v>
      </c>
      <c r="N1035" s="2">
        <v>42794</v>
      </c>
      <c r="O1035" s="1"/>
      <c r="P1035" s="1"/>
      <c r="Q1035" s="1" t="s">
        <v>34</v>
      </c>
      <c r="R1035" s="1"/>
      <c r="S1035" s="1" t="s">
        <v>35</v>
      </c>
      <c r="T1035" s="1">
        <v>42.938071999999998</v>
      </c>
      <c r="U1035" s="1">
        <v>-73.231307999999999</v>
      </c>
      <c r="V1035" s="1" t="s">
        <v>5489</v>
      </c>
      <c r="W1035" s="1"/>
      <c r="X1035" s="1" t="s">
        <v>37</v>
      </c>
      <c r="Y1035" s="1" t="s">
        <v>296</v>
      </c>
      <c r="Z1035" s="1">
        <v>5257</v>
      </c>
    </row>
    <row r="1036" spans="1:26" ht="42">
      <c r="A1036" s="1" t="str">
        <f>"000Y23"</f>
        <v>000Y23</v>
      </c>
      <c r="B1036" s="1" t="s">
        <v>5490</v>
      </c>
      <c r="C1036" s="1" t="s">
        <v>5491</v>
      </c>
      <c r="D1036" s="1" t="str">
        <f>"6032987209"</f>
        <v>6032987209</v>
      </c>
      <c r="E1036" s="1">
        <v>5115</v>
      </c>
      <c r="F1036" s="1" t="s">
        <v>28</v>
      </c>
      <c r="G1036" s="1" t="s">
        <v>5492</v>
      </c>
      <c r="H1036" s="1"/>
      <c r="I1036" s="1">
        <v>18</v>
      </c>
      <c r="J1036" s="1" t="s">
        <v>5493</v>
      </c>
      <c r="K1036" s="1" t="s">
        <v>77</v>
      </c>
      <c r="L1036" s="1" t="s">
        <v>1024</v>
      </c>
      <c r="M1036" s="1" t="s">
        <v>5494</v>
      </c>
      <c r="N1036" s="2">
        <v>42818</v>
      </c>
      <c r="O1036" s="1"/>
      <c r="P1036" s="1"/>
      <c r="Q1036" s="1" t="s">
        <v>34</v>
      </c>
      <c r="R1036" s="1"/>
      <c r="S1036" s="1" t="s">
        <v>35</v>
      </c>
      <c r="T1036" s="1"/>
      <c r="U1036" s="1"/>
      <c r="V1036" s="1" t="s">
        <v>158</v>
      </c>
      <c r="W1036" s="1"/>
      <c r="X1036" s="1" t="s">
        <v>37</v>
      </c>
      <c r="Y1036" s="1" t="s">
        <v>77</v>
      </c>
      <c r="Z1036" s="1">
        <v>0</v>
      </c>
    </row>
    <row r="1037" spans="1:26" ht="42">
      <c r="A1037" s="1" t="str">
        <f>"000Y23"</f>
        <v>000Y23</v>
      </c>
      <c r="B1037" s="1" t="s">
        <v>5490</v>
      </c>
      <c r="C1037" s="1" t="s">
        <v>5491</v>
      </c>
      <c r="D1037" s="1" t="str">
        <f>"6032987209"</f>
        <v>6032987209</v>
      </c>
      <c r="E1037" s="1">
        <v>5115</v>
      </c>
      <c r="F1037" s="1" t="s">
        <v>28</v>
      </c>
      <c r="G1037" s="1" t="s">
        <v>5495</v>
      </c>
      <c r="H1037" s="1"/>
      <c r="I1037" s="1">
        <v>12</v>
      </c>
      <c r="J1037" s="1" t="s">
        <v>5496</v>
      </c>
      <c r="K1037" s="1" t="s">
        <v>77</v>
      </c>
      <c r="L1037" s="1" t="s">
        <v>638</v>
      </c>
      <c r="M1037" s="1" t="s">
        <v>5497</v>
      </c>
      <c r="N1037" s="2">
        <v>42818</v>
      </c>
      <c r="O1037" s="1"/>
      <c r="P1037" s="1"/>
      <c r="Q1037" s="1" t="s">
        <v>34</v>
      </c>
      <c r="R1037" s="1"/>
      <c r="S1037" s="1" t="s">
        <v>35</v>
      </c>
      <c r="T1037" s="1"/>
      <c r="U1037" s="1"/>
      <c r="V1037" s="1" t="s">
        <v>158</v>
      </c>
      <c r="W1037" s="1"/>
      <c r="X1037" s="1" t="s">
        <v>37</v>
      </c>
      <c r="Y1037" s="1" t="s">
        <v>640</v>
      </c>
      <c r="Z1037" s="1">
        <v>5055</v>
      </c>
    </row>
    <row r="1038" spans="1:26" ht="42">
      <c r="A1038" s="1" t="str">
        <f>"000Y23"</f>
        <v>000Y23</v>
      </c>
      <c r="B1038" s="1" t="s">
        <v>5490</v>
      </c>
      <c r="C1038" s="1" t="s">
        <v>5491</v>
      </c>
      <c r="D1038" s="1" t="str">
        <f>"6032987209"</f>
        <v>6032987209</v>
      </c>
      <c r="E1038" s="1">
        <v>5115</v>
      </c>
      <c r="F1038" s="1" t="s">
        <v>28</v>
      </c>
      <c r="G1038" s="1" t="s">
        <v>5498</v>
      </c>
      <c r="H1038" s="1"/>
      <c r="I1038" s="1">
        <v>8</v>
      </c>
      <c r="J1038" s="1" t="s">
        <v>5499</v>
      </c>
      <c r="K1038" s="1" t="s">
        <v>77</v>
      </c>
      <c r="L1038" s="1" t="s">
        <v>638</v>
      </c>
      <c r="M1038" s="1" t="s">
        <v>5500</v>
      </c>
      <c r="N1038" s="2">
        <v>42818</v>
      </c>
      <c r="O1038" s="1"/>
      <c r="P1038" s="1"/>
      <c r="Q1038" s="1" t="s">
        <v>34</v>
      </c>
      <c r="R1038" s="1"/>
      <c r="S1038" s="1" t="s">
        <v>35</v>
      </c>
      <c r="T1038" s="1"/>
      <c r="U1038" s="1"/>
      <c r="V1038" s="1" t="s">
        <v>158</v>
      </c>
      <c r="W1038" s="1"/>
      <c r="X1038" s="1" t="s">
        <v>37</v>
      </c>
      <c r="Y1038" s="1" t="s">
        <v>640</v>
      </c>
      <c r="Z1038" s="1">
        <v>5055</v>
      </c>
    </row>
    <row r="1039" spans="1:26" ht="42">
      <c r="A1039" s="1" t="str">
        <f>"000Y23"</f>
        <v>000Y23</v>
      </c>
      <c r="B1039" s="1" t="s">
        <v>5490</v>
      </c>
      <c r="C1039" s="1" t="s">
        <v>5491</v>
      </c>
      <c r="D1039" s="1" t="str">
        <f>"6032987209"</f>
        <v>6032987209</v>
      </c>
      <c r="E1039" s="1">
        <v>5115</v>
      </c>
      <c r="F1039" s="1" t="s">
        <v>28</v>
      </c>
      <c r="G1039" s="1" t="s">
        <v>5501</v>
      </c>
      <c r="H1039" s="1"/>
      <c r="I1039" s="1">
        <v>18</v>
      </c>
      <c r="J1039" s="1" t="s">
        <v>5502</v>
      </c>
      <c r="K1039" s="1" t="s">
        <v>77</v>
      </c>
      <c r="L1039" s="1" t="s">
        <v>638</v>
      </c>
      <c r="M1039" s="1" t="s">
        <v>5502</v>
      </c>
      <c r="N1039" s="2">
        <v>42818</v>
      </c>
      <c r="O1039" s="1"/>
      <c r="P1039" s="1"/>
      <c r="Q1039" s="1" t="s">
        <v>34</v>
      </c>
      <c r="R1039" s="1"/>
      <c r="S1039" s="1" t="s">
        <v>35</v>
      </c>
      <c r="T1039" s="1"/>
      <c r="U1039" s="1"/>
      <c r="V1039" s="1" t="s">
        <v>158</v>
      </c>
      <c r="W1039" s="1"/>
      <c r="X1039" s="1" t="s">
        <v>37</v>
      </c>
      <c r="Y1039" s="1" t="s">
        <v>640</v>
      </c>
      <c r="Z1039" s="1">
        <v>5055</v>
      </c>
    </row>
    <row r="1040" spans="1:26" ht="42">
      <c r="A1040" s="1" t="str">
        <f>"000Y23"</f>
        <v>000Y23</v>
      </c>
      <c r="B1040" s="1" t="s">
        <v>5490</v>
      </c>
      <c r="C1040" s="1" t="s">
        <v>5491</v>
      </c>
      <c r="D1040" s="1" t="str">
        <f>"6032987209"</f>
        <v>6032987209</v>
      </c>
      <c r="E1040" s="1">
        <v>5115</v>
      </c>
      <c r="F1040" s="1" t="s">
        <v>28</v>
      </c>
      <c r="G1040" s="1" t="s">
        <v>5503</v>
      </c>
      <c r="H1040" s="1"/>
      <c r="I1040" s="1">
        <v>18</v>
      </c>
      <c r="J1040" s="1" t="s">
        <v>5504</v>
      </c>
      <c r="K1040" s="1" t="s">
        <v>68</v>
      </c>
      <c r="L1040" s="1"/>
      <c r="M1040" s="1" t="s">
        <v>5497</v>
      </c>
      <c r="N1040" s="2">
        <v>42818</v>
      </c>
      <c r="O1040" s="1"/>
      <c r="P1040" s="1"/>
      <c r="Q1040" s="1" t="s">
        <v>34</v>
      </c>
      <c r="R1040" s="1"/>
      <c r="S1040" s="1" t="s">
        <v>35</v>
      </c>
      <c r="T1040" s="1"/>
      <c r="U1040" s="1"/>
      <c r="V1040" s="1" t="s">
        <v>158</v>
      </c>
      <c r="W1040" s="1"/>
      <c r="X1040" s="1" t="s">
        <v>37</v>
      </c>
      <c r="Y1040" s="1" t="s">
        <v>158</v>
      </c>
      <c r="Z1040" s="1">
        <v>0</v>
      </c>
    </row>
    <row r="1041" spans="1:26" ht="42">
      <c r="A1041" s="1" t="str">
        <f>"000Y23"</f>
        <v>000Y23</v>
      </c>
      <c r="B1041" s="1" t="s">
        <v>5490</v>
      </c>
      <c r="C1041" s="1" t="s">
        <v>5491</v>
      </c>
      <c r="D1041" s="1" t="str">
        <f>"6032987209"</f>
        <v>6032987209</v>
      </c>
      <c r="E1041" s="1">
        <v>5115</v>
      </c>
      <c r="F1041" s="1" t="s">
        <v>28</v>
      </c>
      <c r="G1041" s="1" t="s">
        <v>5505</v>
      </c>
      <c r="H1041" s="1"/>
      <c r="I1041" s="1">
        <v>50</v>
      </c>
      <c r="J1041" s="1" t="s">
        <v>5506</v>
      </c>
      <c r="K1041" s="1" t="s">
        <v>77</v>
      </c>
      <c r="L1041" s="1" t="s">
        <v>507</v>
      </c>
      <c r="M1041" s="1" t="s">
        <v>5507</v>
      </c>
      <c r="N1041" s="2">
        <v>42818</v>
      </c>
      <c r="O1041" s="1"/>
      <c r="P1041" s="1"/>
      <c r="Q1041" s="1" t="s">
        <v>34</v>
      </c>
      <c r="R1041" s="1"/>
      <c r="S1041" s="1" t="s">
        <v>35</v>
      </c>
      <c r="T1041" s="1"/>
      <c r="U1041" s="1"/>
      <c r="V1041" s="1" t="s">
        <v>158</v>
      </c>
      <c r="W1041" s="1"/>
      <c r="X1041" s="1" t="s">
        <v>37</v>
      </c>
      <c r="Y1041" s="1" t="s">
        <v>510</v>
      </c>
      <c r="Z1041" s="1">
        <v>0</v>
      </c>
    </row>
    <row r="1042" spans="1:26" ht="42">
      <c r="A1042" s="1" t="str">
        <f>"000Y23"</f>
        <v>000Y23</v>
      </c>
      <c r="B1042" s="1" t="s">
        <v>5490</v>
      </c>
      <c r="C1042" s="1" t="s">
        <v>5491</v>
      </c>
      <c r="D1042" s="1" t="str">
        <f>"6032987209"</f>
        <v>6032987209</v>
      </c>
      <c r="E1042" s="1">
        <v>5115</v>
      </c>
      <c r="F1042" s="1" t="s">
        <v>28</v>
      </c>
      <c r="G1042" s="1" t="s">
        <v>5508</v>
      </c>
      <c r="H1042" s="1"/>
      <c r="I1042" s="1">
        <v>120</v>
      </c>
      <c r="J1042" s="1" t="s">
        <v>5509</v>
      </c>
      <c r="K1042" s="1" t="s">
        <v>77</v>
      </c>
      <c r="L1042" s="1" t="s">
        <v>507</v>
      </c>
      <c r="M1042" s="1" t="s">
        <v>5510</v>
      </c>
      <c r="N1042" s="2">
        <v>42818</v>
      </c>
      <c r="O1042" s="1"/>
      <c r="P1042" s="1"/>
      <c r="Q1042" s="1" t="s">
        <v>34</v>
      </c>
      <c r="R1042" s="1"/>
      <c r="S1042" s="1" t="s">
        <v>35</v>
      </c>
      <c r="T1042" s="1"/>
      <c r="U1042" s="1"/>
      <c r="V1042" s="1" t="s">
        <v>158</v>
      </c>
      <c r="W1042" s="1"/>
      <c r="X1042" s="1" t="s">
        <v>37</v>
      </c>
      <c r="Y1042" s="1" t="s">
        <v>5511</v>
      </c>
      <c r="Z1042" s="1">
        <v>0</v>
      </c>
    </row>
    <row r="1043" spans="1:26" ht="42">
      <c r="A1043" s="1" t="str">
        <f>"000Y2Z"</f>
        <v>000Y2Z</v>
      </c>
      <c r="B1043" s="1" t="s">
        <v>5512</v>
      </c>
      <c r="C1043" s="1" t="s">
        <v>5513</v>
      </c>
      <c r="D1043" s="1" t="str">
        <f>"8029997911"</f>
        <v>8029997911</v>
      </c>
      <c r="E1043" s="1">
        <v>5116</v>
      </c>
      <c r="F1043" s="1" t="s">
        <v>28</v>
      </c>
      <c r="G1043" s="1" t="s">
        <v>5514</v>
      </c>
      <c r="H1043" s="1"/>
      <c r="I1043" s="1">
        <v>3</v>
      </c>
      <c r="J1043" s="1">
        <v>1</v>
      </c>
      <c r="K1043" s="1" t="s">
        <v>43</v>
      </c>
      <c r="L1043" s="1" t="s">
        <v>364</v>
      </c>
      <c r="M1043" s="1" t="s">
        <v>3403</v>
      </c>
      <c r="N1043" s="2">
        <v>42824</v>
      </c>
      <c r="O1043" s="1"/>
      <c r="P1043" s="1"/>
      <c r="Q1043" s="1" t="s">
        <v>34</v>
      </c>
      <c r="R1043" s="1"/>
      <c r="S1043" s="1" t="s">
        <v>35</v>
      </c>
      <c r="T1043" s="1">
        <v>44.440033</v>
      </c>
      <c r="U1043" s="1">
        <v>-72.969009999999997</v>
      </c>
      <c r="V1043" s="1" t="s">
        <v>5515</v>
      </c>
      <c r="W1043" s="1"/>
      <c r="X1043" s="1" t="s">
        <v>37</v>
      </c>
      <c r="Y1043" s="1" t="s">
        <v>5516</v>
      </c>
      <c r="Z1043" s="1">
        <v>5465</v>
      </c>
    </row>
    <row r="1044" spans="1:26" ht="42">
      <c r="A1044" s="1" t="str">
        <f>"000Y3N"</f>
        <v>000Y3N</v>
      </c>
      <c r="B1044" s="1" t="s">
        <v>5517</v>
      </c>
      <c r="C1044" s="1" t="s">
        <v>5518</v>
      </c>
      <c r="D1044" s="1" t="str">
        <f>"8023459163"</f>
        <v>8023459163</v>
      </c>
      <c r="E1044" s="1">
        <v>5117</v>
      </c>
      <c r="F1044" s="1" t="s">
        <v>28</v>
      </c>
      <c r="G1044" s="1" t="s">
        <v>5519</v>
      </c>
      <c r="H1044" s="1"/>
      <c r="I1044" s="1">
        <v>3</v>
      </c>
      <c r="J1044" s="1">
        <v>1</v>
      </c>
      <c r="K1044" s="1" t="s">
        <v>135</v>
      </c>
      <c r="L1044" s="1" t="s">
        <v>3456</v>
      </c>
      <c r="M1044" s="1" t="s">
        <v>5520</v>
      </c>
      <c r="N1044" s="2">
        <v>42831</v>
      </c>
      <c r="O1044" s="1"/>
      <c r="P1044" s="1"/>
      <c r="Q1044" s="1" t="s">
        <v>34</v>
      </c>
      <c r="R1044" s="1"/>
      <c r="S1044" s="1" t="s">
        <v>35</v>
      </c>
      <c r="T1044" s="1">
        <v>43.561633999999998</v>
      </c>
      <c r="U1044" s="1">
        <v>-72.946887000000004</v>
      </c>
      <c r="V1044" s="1" t="s">
        <v>5521</v>
      </c>
      <c r="W1044" s="1"/>
      <c r="X1044" s="1" t="s">
        <v>37</v>
      </c>
      <c r="Y1044" s="1" t="s">
        <v>5522</v>
      </c>
      <c r="Z1044" s="1">
        <v>5759</v>
      </c>
    </row>
    <row r="1045" spans="1:26" ht="42">
      <c r="A1045" s="1" t="str">
        <f>"000Y92"</f>
        <v>000Y92</v>
      </c>
      <c r="B1045" s="1" t="s">
        <v>5523</v>
      </c>
      <c r="C1045" s="1" t="s">
        <v>5524</v>
      </c>
      <c r="D1045" s="1" t="str">
        <f>"5183702709"</f>
        <v>5183702709</v>
      </c>
      <c r="E1045" s="1">
        <v>5118</v>
      </c>
      <c r="F1045" s="1" t="s">
        <v>28</v>
      </c>
      <c r="G1045" s="1" t="s">
        <v>5525</v>
      </c>
      <c r="H1045" s="1"/>
      <c r="I1045" s="1">
        <v>1</v>
      </c>
      <c r="J1045" s="1" t="s">
        <v>410</v>
      </c>
      <c r="K1045" s="1" t="s">
        <v>135</v>
      </c>
      <c r="L1045" s="1"/>
      <c r="M1045" s="1" t="s">
        <v>5526</v>
      </c>
      <c r="N1045" s="2">
        <v>42858</v>
      </c>
      <c r="O1045" s="1"/>
      <c r="P1045" s="2">
        <v>42858</v>
      </c>
      <c r="Q1045" s="1" t="s">
        <v>34</v>
      </c>
      <c r="R1045" s="1"/>
      <c r="S1045" s="1" t="s">
        <v>35</v>
      </c>
      <c r="T1045" s="1">
        <v>43.419892500000003</v>
      </c>
      <c r="U1045" s="1">
        <v>-73.2059304</v>
      </c>
      <c r="V1045" s="1" t="s">
        <v>5527</v>
      </c>
      <c r="W1045" s="1"/>
      <c r="X1045" s="1" t="s">
        <v>37</v>
      </c>
      <c r="Y1045" s="1" t="s">
        <v>1280</v>
      </c>
      <c r="Z1045" s="1">
        <v>5774</v>
      </c>
    </row>
    <row r="1046" spans="1:26" ht="42">
      <c r="A1046" s="1" t="str">
        <f>"000Y9Q"</f>
        <v>000Y9Q</v>
      </c>
      <c r="B1046" s="1" t="s">
        <v>5528</v>
      </c>
      <c r="C1046" s="1" t="s">
        <v>5529</v>
      </c>
      <c r="D1046" s="1" t="str">
        <f>"8028886637"</f>
        <v>8028886637</v>
      </c>
      <c r="E1046" s="1">
        <v>5119</v>
      </c>
      <c r="F1046" s="1" t="s">
        <v>28</v>
      </c>
      <c r="G1046" s="1" t="s">
        <v>5530</v>
      </c>
      <c r="H1046" s="1"/>
      <c r="I1046" s="1">
        <v>2</v>
      </c>
      <c r="J1046" s="1">
        <v>1</v>
      </c>
      <c r="K1046" s="1" t="s">
        <v>170</v>
      </c>
      <c r="L1046" s="1" t="s">
        <v>1769</v>
      </c>
      <c r="M1046" s="1" t="s">
        <v>5531</v>
      </c>
      <c r="N1046" s="2">
        <v>42860</v>
      </c>
      <c r="O1046" s="1"/>
      <c r="P1046" s="1"/>
      <c r="Q1046" s="1" t="s">
        <v>34</v>
      </c>
      <c r="R1046" s="1"/>
      <c r="S1046" s="1" t="s">
        <v>35</v>
      </c>
      <c r="T1046" s="1">
        <v>44.598121900000002</v>
      </c>
      <c r="U1046" s="1">
        <v>-72.611470999999995</v>
      </c>
      <c r="V1046" s="1" t="s">
        <v>5532</v>
      </c>
      <c r="W1046" s="1"/>
      <c r="X1046" s="1" t="s">
        <v>37</v>
      </c>
      <c r="Y1046" s="1" t="s">
        <v>5533</v>
      </c>
      <c r="Z1046" s="1">
        <v>5655</v>
      </c>
    </row>
    <row r="1047" spans="1:26" ht="42">
      <c r="A1047" s="1" t="str">
        <f>"000Y9V"</f>
        <v>000Y9V</v>
      </c>
      <c r="B1047" s="1" t="s">
        <v>5534</v>
      </c>
      <c r="C1047" s="1" t="s">
        <v>5535</v>
      </c>
      <c r="D1047" s="1" t="str">
        <f>"8028794868"</f>
        <v>8028794868</v>
      </c>
      <c r="E1047" s="1">
        <v>5120</v>
      </c>
      <c r="F1047" s="1" t="s">
        <v>28</v>
      </c>
      <c r="G1047" s="1" t="s">
        <v>5536</v>
      </c>
      <c r="H1047" s="1"/>
      <c r="I1047" s="1">
        <v>1</v>
      </c>
      <c r="J1047" s="1" t="s">
        <v>5537</v>
      </c>
      <c r="K1047" s="1" t="s">
        <v>43</v>
      </c>
      <c r="L1047" s="1" t="s">
        <v>1077</v>
      </c>
      <c r="M1047" s="1" t="s">
        <v>5538</v>
      </c>
      <c r="N1047" s="2">
        <v>42860</v>
      </c>
      <c r="O1047" s="1"/>
      <c r="P1047" s="1"/>
      <c r="Q1047" s="1" t="s">
        <v>34</v>
      </c>
      <c r="R1047" s="1"/>
      <c r="S1047" s="1" t="s">
        <v>35</v>
      </c>
      <c r="T1047" s="1">
        <v>44.465190999999997</v>
      </c>
      <c r="U1047" s="1">
        <v>-73.048034999999999</v>
      </c>
      <c r="V1047" s="1" t="s">
        <v>5539</v>
      </c>
      <c r="W1047" s="1"/>
      <c r="X1047" s="1" t="s">
        <v>37</v>
      </c>
      <c r="Y1047" s="1" t="s">
        <v>5540</v>
      </c>
      <c r="Z1047" s="1">
        <v>5495</v>
      </c>
    </row>
    <row r="1048" spans="1:26" ht="42">
      <c r="A1048" s="1" t="str">
        <f>"000Y9W"</f>
        <v>000Y9W</v>
      </c>
      <c r="B1048" s="1" t="s">
        <v>5541</v>
      </c>
      <c r="C1048" s="1" t="s">
        <v>5542</v>
      </c>
      <c r="D1048" s="1" t="str">
        <f>"8024533610"</f>
        <v>8024533610</v>
      </c>
      <c r="E1048" s="1">
        <v>5121</v>
      </c>
      <c r="F1048" s="1" t="s">
        <v>28</v>
      </c>
      <c r="G1048" s="1" t="s">
        <v>5543</v>
      </c>
      <c r="H1048" s="1"/>
      <c r="I1048" s="1">
        <v>10</v>
      </c>
      <c r="J1048" s="1" t="s">
        <v>5544</v>
      </c>
      <c r="K1048" s="1" t="s">
        <v>333</v>
      </c>
      <c r="L1048" s="1" t="s">
        <v>807</v>
      </c>
      <c r="M1048" s="1" t="s">
        <v>5545</v>
      </c>
      <c r="N1048" s="2">
        <v>42860</v>
      </c>
      <c r="O1048" s="1"/>
      <c r="P1048" s="1"/>
      <c r="Q1048" s="1" t="s">
        <v>34</v>
      </c>
      <c r="R1048" s="1"/>
      <c r="S1048" s="1" t="s">
        <v>35</v>
      </c>
      <c r="T1048" s="1">
        <v>44.235095999999999</v>
      </c>
      <c r="U1048" s="1">
        <v>-73.146323999999893</v>
      </c>
      <c r="V1048" s="1" t="s">
        <v>5546</v>
      </c>
      <c r="W1048" s="1"/>
      <c r="X1048" s="1" t="s">
        <v>37</v>
      </c>
      <c r="Y1048" s="1" t="s">
        <v>5547</v>
      </c>
      <c r="Z1048" s="1">
        <v>5469</v>
      </c>
    </row>
    <row r="1049" spans="1:26" ht="42">
      <c r="A1049" s="1" t="str">
        <f>"000Y9X"</f>
        <v>000Y9X</v>
      </c>
      <c r="B1049" s="1" t="s">
        <v>5548</v>
      </c>
      <c r="C1049" s="1" t="s">
        <v>5549</v>
      </c>
      <c r="D1049" s="1" t="str">
        <f>"8024426530"</f>
        <v>8024426530</v>
      </c>
      <c r="E1049" s="1">
        <v>5122</v>
      </c>
      <c r="F1049" s="1" t="s">
        <v>28</v>
      </c>
      <c r="G1049" s="1" t="s">
        <v>5550</v>
      </c>
      <c r="H1049" s="1"/>
      <c r="I1049" s="1">
        <v>5</v>
      </c>
      <c r="J1049" s="1" t="s">
        <v>410</v>
      </c>
      <c r="K1049" s="1" t="s">
        <v>187</v>
      </c>
      <c r="L1049" s="1" t="s">
        <v>188</v>
      </c>
      <c r="M1049" s="1" t="s">
        <v>5551</v>
      </c>
      <c r="N1049" s="2">
        <v>42860</v>
      </c>
      <c r="O1049" s="1"/>
      <c r="P1049" s="1"/>
      <c r="Q1049" s="1" t="s">
        <v>34</v>
      </c>
      <c r="R1049" s="1"/>
      <c r="S1049" s="1" t="s">
        <v>35</v>
      </c>
      <c r="T1049" s="1">
        <v>42.931953</v>
      </c>
      <c r="U1049" s="1">
        <v>-73.245078999999905</v>
      </c>
      <c r="V1049" s="1" t="s">
        <v>5552</v>
      </c>
      <c r="W1049" s="1"/>
      <c r="X1049" s="1" t="s">
        <v>37</v>
      </c>
      <c r="Y1049" s="1" t="s">
        <v>5553</v>
      </c>
      <c r="Z1049" s="1">
        <v>5257</v>
      </c>
    </row>
    <row r="1050" spans="1:26" ht="42">
      <c r="A1050" s="1" t="str">
        <f>"000YAY"</f>
        <v>000YAY</v>
      </c>
      <c r="B1050" s="1" t="s">
        <v>5554</v>
      </c>
      <c r="C1050" s="1" t="s">
        <v>5555</v>
      </c>
      <c r="D1050" s="1" t="str">
        <f>"8028533922"</f>
        <v>8028533922</v>
      </c>
      <c r="E1050" s="1">
        <v>5123</v>
      </c>
      <c r="F1050" s="1" t="s">
        <v>28</v>
      </c>
      <c r="G1050" s="1" t="s">
        <v>5556</v>
      </c>
      <c r="H1050" s="1"/>
      <c r="I1050" s="1">
        <v>2</v>
      </c>
      <c r="J1050" s="1" t="s">
        <v>5557</v>
      </c>
      <c r="K1050" s="1" t="s">
        <v>170</v>
      </c>
      <c r="L1050" s="1" t="s">
        <v>3857</v>
      </c>
      <c r="M1050" s="1" t="s">
        <v>5558</v>
      </c>
      <c r="N1050" s="2">
        <v>42865</v>
      </c>
      <c r="O1050" s="1"/>
      <c r="P1050" s="1"/>
      <c r="Q1050" s="1" t="s">
        <v>34</v>
      </c>
      <c r="R1050" s="1"/>
      <c r="S1050" s="1" t="s">
        <v>35</v>
      </c>
      <c r="T1050" s="1">
        <v>44.434897900000003</v>
      </c>
      <c r="U1050" s="1">
        <v>-72.714552999999995</v>
      </c>
      <c r="V1050" s="1" t="s">
        <v>5559</v>
      </c>
      <c r="W1050" s="1"/>
      <c r="X1050" s="1" t="s">
        <v>37</v>
      </c>
      <c r="Y1050" s="1" t="s">
        <v>5560</v>
      </c>
      <c r="Z1050" s="1">
        <v>5672</v>
      </c>
    </row>
    <row r="1051" spans="1:26" ht="42">
      <c r="A1051" s="1" t="str">
        <f>"000YAZ"</f>
        <v>000YAZ</v>
      </c>
      <c r="B1051" s="1" t="s">
        <v>5561</v>
      </c>
      <c r="C1051" s="1" t="s">
        <v>5562</v>
      </c>
      <c r="D1051" s="1" t="str">
        <f>"8028796252"</f>
        <v>8028796252</v>
      </c>
      <c r="E1051" s="1">
        <v>5124</v>
      </c>
      <c r="F1051" s="1" t="s">
        <v>28</v>
      </c>
      <c r="G1051" s="1" t="s">
        <v>5563</v>
      </c>
      <c r="H1051" s="1"/>
      <c r="I1051" s="1">
        <v>2</v>
      </c>
      <c r="J1051" s="1" t="s">
        <v>5564</v>
      </c>
      <c r="K1051" s="1" t="s">
        <v>43</v>
      </c>
      <c r="L1051" s="1" t="s">
        <v>778</v>
      </c>
      <c r="M1051" s="1" t="s">
        <v>5565</v>
      </c>
      <c r="N1051" s="2">
        <v>42865</v>
      </c>
      <c r="O1051" s="1"/>
      <c r="P1051" s="1"/>
      <c r="Q1051" s="1" t="s">
        <v>34</v>
      </c>
      <c r="R1051" s="1"/>
      <c r="S1051" s="1" t="s">
        <v>35</v>
      </c>
      <c r="T1051" s="1">
        <v>44.562052000000001</v>
      </c>
      <c r="U1051" s="1">
        <v>-73.149855000000002</v>
      </c>
      <c r="V1051" s="1" t="s">
        <v>5566</v>
      </c>
      <c r="W1051" s="1"/>
      <c r="X1051" s="1" t="s">
        <v>37</v>
      </c>
      <c r="Y1051" s="1" t="s">
        <v>5567</v>
      </c>
      <c r="Z1051" s="1">
        <v>5446</v>
      </c>
    </row>
    <row r="1052" spans="1:26" ht="42">
      <c r="A1052" s="1" t="str">
        <f>"000YB0"</f>
        <v>000YB0</v>
      </c>
      <c r="B1052" s="1" t="s">
        <v>5568</v>
      </c>
      <c r="C1052" s="1" t="s">
        <v>5569</v>
      </c>
      <c r="D1052" s="1" t="str">
        <f>"8023187744"</f>
        <v>8023187744</v>
      </c>
      <c r="E1052" s="1">
        <v>5125</v>
      </c>
      <c r="F1052" s="1" t="s">
        <v>28</v>
      </c>
      <c r="G1052" s="1" t="s">
        <v>5570</v>
      </c>
      <c r="H1052" s="1"/>
      <c r="I1052" s="1">
        <v>1</v>
      </c>
      <c r="J1052" s="1" t="s">
        <v>5571</v>
      </c>
      <c r="K1052" s="1" t="s">
        <v>152</v>
      </c>
      <c r="L1052" s="1" t="s">
        <v>1062</v>
      </c>
      <c r="M1052" s="1" t="s">
        <v>5572</v>
      </c>
      <c r="N1052" s="2">
        <v>42865</v>
      </c>
      <c r="O1052" s="1"/>
      <c r="P1052" s="1"/>
      <c r="Q1052" s="1" t="s">
        <v>34</v>
      </c>
      <c r="R1052" s="1"/>
      <c r="S1052" s="1" t="s">
        <v>35</v>
      </c>
      <c r="T1052" s="1"/>
      <c r="U1052" s="1"/>
      <c r="V1052" s="1" t="s">
        <v>5573</v>
      </c>
      <c r="W1052" s="1"/>
      <c r="X1052" s="1" t="s">
        <v>37</v>
      </c>
      <c r="Y1052" s="1" t="s">
        <v>1064</v>
      </c>
      <c r="Z1052" s="1">
        <v>5478</v>
      </c>
    </row>
    <row r="1053" spans="1:26" ht="42">
      <c r="A1053" s="1" t="str">
        <f>"000YB3"</f>
        <v>000YB3</v>
      </c>
      <c r="B1053" s="1" t="s">
        <v>5574</v>
      </c>
      <c r="C1053" s="1" t="s">
        <v>5575</v>
      </c>
      <c r="D1053" s="1" t="str">
        <f>"8024292308"</f>
        <v>8024292308</v>
      </c>
      <c r="E1053" s="1">
        <v>5129</v>
      </c>
      <c r="F1053" s="1" t="s">
        <v>28</v>
      </c>
      <c r="G1053" s="1" t="s">
        <v>5576</v>
      </c>
      <c r="H1053" s="1"/>
      <c r="I1053" s="1">
        <v>3</v>
      </c>
      <c r="J1053" s="1" t="s">
        <v>470</v>
      </c>
      <c r="K1053" s="1" t="s">
        <v>68</v>
      </c>
      <c r="L1053" s="1" t="s">
        <v>1375</v>
      </c>
      <c r="M1053" s="1" t="s">
        <v>5577</v>
      </c>
      <c r="N1053" s="2">
        <v>42865</v>
      </c>
      <c r="O1053" s="1"/>
      <c r="P1053" s="2">
        <v>43000</v>
      </c>
      <c r="Q1053" s="1" t="s">
        <v>34</v>
      </c>
      <c r="R1053" s="1"/>
      <c r="S1053" s="1" t="s">
        <v>35</v>
      </c>
      <c r="T1053" s="1"/>
      <c r="U1053" s="1"/>
      <c r="V1053" s="1" t="s">
        <v>5578</v>
      </c>
      <c r="W1053" s="1"/>
      <c r="X1053" s="1" t="s">
        <v>37</v>
      </c>
      <c r="Y1053" s="1" t="s">
        <v>5579</v>
      </c>
      <c r="Z1053" s="1">
        <v>5085</v>
      </c>
    </row>
    <row r="1054" spans="1:26" ht="42">
      <c r="A1054" s="1" t="str">
        <f>"000YB4"</f>
        <v>000YB4</v>
      </c>
      <c r="B1054" s="1" t="s">
        <v>5580</v>
      </c>
      <c r="C1054" s="1" t="s">
        <v>5581</v>
      </c>
      <c r="D1054" s="1" t="str">
        <f>"8029336829"</f>
        <v>8029336829</v>
      </c>
      <c r="E1054" s="1">
        <v>5130</v>
      </c>
      <c r="F1054" s="1" t="s">
        <v>28</v>
      </c>
      <c r="G1054" s="1" t="s">
        <v>5582</v>
      </c>
      <c r="H1054" s="1"/>
      <c r="I1054" s="1">
        <v>0</v>
      </c>
      <c r="J1054" s="1" t="s">
        <v>5583</v>
      </c>
      <c r="K1054" s="1" t="s">
        <v>152</v>
      </c>
      <c r="L1054" s="1" t="s">
        <v>1511</v>
      </c>
      <c r="M1054" s="1" t="s">
        <v>5584</v>
      </c>
      <c r="N1054" s="2">
        <v>42865</v>
      </c>
      <c r="O1054" s="1"/>
      <c r="P1054" s="1"/>
      <c r="Q1054" s="1" t="s">
        <v>34</v>
      </c>
      <c r="R1054" s="1"/>
      <c r="S1054" s="1" t="s">
        <v>35</v>
      </c>
      <c r="T1054" s="1">
        <v>44.935805999999999</v>
      </c>
      <c r="U1054" s="1">
        <v>-72.818473999999895</v>
      </c>
      <c r="V1054" s="1" t="s">
        <v>5585</v>
      </c>
      <c r="W1054" s="1"/>
      <c r="X1054" s="1" t="s">
        <v>37</v>
      </c>
      <c r="Y1054" s="1" t="s">
        <v>1447</v>
      </c>
      <c r="Z1054" s="1">
        <v>5450</v>
      </c>
    </row>
    <row r="1055" spans="1:26" ht="42">
      <c r="A1055" s="1" t="str">
        <f>"000YB8"</f>
        <v>000YB8</v>
      </c>
      <c r="B1055" s="1" t="s">
        <v>5586</v>
      </c>
      <c r="C1055" s="1" t="s">
        <v>5587</v>
      </c>
      <c r="D1055" s="1" t="str">
        <f>"8024752070"</f>
        <v>8024752070</v>
      </c>
      <c r="E1055" s="1">
        <v>5131</v>
      </c>
      <c r="F1055" s="1" t="s">
        <v>28</v>
      </c>
      <c r="G1055" s="1" t="s">
        <v>5588</v>
      </c>
      <c r="H1055" s="1"/>
      <c r="I1055" s="1">
        <v>1</v>
      </c>
      <c r="J1055" s="1" t="s">
        <v>470</v>
      </c>
      <c r="K1055" s="1" t="s">
        <v>333</v>
      </c>
      <c r="L1055" s="1" t="s">
        <v>679</v>
      </c>
      <c r="M1055" s="1" t="s">
        <v>5589</v>
      </c>
      <c r="N1055" s="2">
        <v>42866</v>
      </c>
      <c r="O1055" s="1"/>
      <c r="P1055" s="1"/>
      <c r="Q1055" s="1" t="s">
        <v>34</v>
      </c>
      <c r="R1055" s="1"/>
      <c r="S1055" s="1" t="s">
        <v>35</v>
      </c>
      <c r="T1055" s="1">
        <v>44.204149899999997</v>
      </c>
      <c r="U1055" s="1">
        <v>-73.322770699999893</v>
      </c>
      <c r="V1055" s="1" t="s">
        <v>5590</v>
      </c>
      <c r="W1055" s="1"/>
      <c r="X1055" s="1" t="s">
        <v>37</v>
      </c>
      <c r="Y1055" s="1" t="s">
        <v>5591</v>
      </c>
      <c r="Z1055" s="1">
        <v>5491</v>
      </c>
    </row>
    <row r="1056" spans="1:26" ht="42">
      <c r="A1056" s="1" t="str">
        <f>"000YB9"</f>
        <v>000YB9</v>
      </c>
      <c r="B1056" s="1" t="s">
        <v>5592</v>
      </c>
      <c r="C1056" s="1" t="s">
        <v>5593</v>
      </c>
      <c r="D1056" s="1" t="str">
        <f>"8023554598"</f>
        <v>8023554598</v>
      </c>
      <c r="E1056" s="1">
        <v>5132</v>
      </c>
      <c r="F1056" s="1" t="s">
        <v>28</v>
      </c>
      <c r="G1056" s="1" t="s">
        <v>5594</v>
      </c>
      <c r="H1056" s="1"/>
      <c r="I1056" s="1">
        <v>12</v>
      </c>
      <c r="J1056" s="1" t="s">
        <v>5595</v>
      </c>
      <c r="K1056" s="1" t="s">
        <v>43</v>
      </c>
      <c r="L1056" s="1" t="s">
        <v>51</v>
      </c>
      <c r="M1056" s="1" t="s">
        <v>5596</v>
      </c>
      <c r="N1056" s="2">
        <v>42866</v>
      </c>
      <c r="O1056" s="1"/>
      <c r="P1056" s="1"/>
      <c r="Q1056" s="1" t="s">
        <v>34</v>
      </c>
      <c r="R1056" s="1"/>
      <c r="S1056" s="1" t="s">
        <v>35</v>
      </c>
      <c r="T1056" s="1">
        <v>44.372275399999999</v>
      </c>
      <c r="U1056" s="1">
        <v>-73.013114299999899</v>
      </c>
      <c r="V1056" s="1" t="s">
        <v>5597</v>
      </c>
      <c r="W1056" s="1"/>
      <c r="X1056" s="1" t="s">
        <v>37</v>
      </c>
      <c r="Y1056" s="1" t="s">
        <v>5598</v>
      </c>
      <c r="Z1056" s="1">
        <v>5477</v>
      </c>
    </row>
    <row r="1057" spans="1:26" ht="42">
      <c r="A1057" s="1" t="str">
        <f>"000YBB"</f>
        <v>000YBB</v>
      </c>
      <c r="B1057" s="1" t="s">
        <v>5599</v>
      </c>
      <c r="C1057" s="1" t="s">
        <v>5600</v>
      </c>
      <c r="D1057" s="1" t="str">
        <f>"8024792004"</f>
        <v>8024792004</v>
      </c>
      <c r="E1057" s="1">
        <v>5133</v>
      </c>
      <c r="F1057" s="1" t="s">
        <v>28</v>
      </c>
      <c r="G1057" s="1" t="s">
        <v>5601</v>
      </c>
      <c r="H1057" s="1"/>
      <c r="I1057" s="1">
        <v>2</v>
      </c>
      <c r="J1057" s="1"/>
      <c r="K1057" s="1" t="s">
        <v>68</v>
      </c>
      <c r="L1057" s="1" t="s">
        <v>2360</v>
      </c>
      <c r="M1057" s="1" t="s">
        <v>5602</v>
      </c>
      <c r="N1057" s="2">
        <v>42866</v>
      </c>
      <c r="O1057" s="1"/>
      <c r="P1057" s="1"/>
      <c r="Q1057" s="1" t="s">
        <v>34</v>
      </c>
      <c r="R1057" s="1"/>
      <c r="S1057" s="1" t="s">
        <v>35</v>
      </c>
      <c r="T1057" s="1">
        <v>44.136931999999902</v>
      </c>
      <c r="U1057" s="1">
        <v>-72.406714999999906</v>
      </c>
      <c r="V1057" s="1" t="s">
        <v>5603</v>
      </c>
      <c r="W1057" s="1"/>
      <c r="X1057" s="1" t="s">
        <v>37</v>
      </c>
      <c r="Y1057" s="1" t="s">
        <v>5604</v>
      </c>
      <c r="Z1057" s="1">
        <v>5641</v>
      </c>
    </row>
    <row r="1058" spans="1:26" ht="28">
      <c r="A1058" s="1" t="str">
        <f>"000YBC"</f>
        <v>000YBC</v>
      </c>
      <c r="B1058" s="1" t="s">
        <v>5605</v>
      </c>
      <c r="C1058" s="1" t="s">
        <v>5606</v>
      </c>
      <c r="D1058" s="1"/>
      <c r="E1058" s="1">
        <v>5134</v>
      </c>
      <c r="F1058" s="1" t="s">
        <v>28</v>
      </c>
      <c r="G1058" s="1" t="s">
        <v>5607</v>
      </c>
      <c r="H1058" s="1"/>
      <c r="I1058" s="1">
        <v>2</v>
      </c>
      <c r="J1058" s="1"/>
      <c r="K1058" s="1" t="s">
        <v>77</v>
      </c>
      <c r="L1058" s="1"/>
      <c r="M1058" s="1" t="s">
        <v>5608</v>
      </c>
      <c r="N1058" s="2">
        <v>42866</v>
      </c>
      <c r="O1058" s="1"/>
      <c r="P1058" s="2">
        <v>42908</v>
      </c>
      <c r="Q1058" s="1" t="s">
        <v>34</v>
      </c>
      <c r="R1058" s="1"/>
      <c r="S1058" s="1" t="s">
        <v>35</v>
      </c>
      <c r="T1058" s="1">
        <v>43.662024000000002</v>
      </c>
      <c r="U1058" s="1">
        <v>-72.335899999999896</v>
      </c>
      <c r="V1058" s="1" t="s">
        <v>5609</v>
      </c>
      <c r="W1058" s="1"/>
      <c r="X1058" s="1" t="s">
        <v>37</v>
      </c>
      <c r="Y1058" s="1" t="s">
        <v>5610</v>
      </c>
      <c r="Z1058" s="1">
        <v>5001</v>
      </c>
    </row>
    <row r="1059" spans="1:26" ht="42">
      <c r="A1059" s="1" t="str">
        <f>"000YBD"</f>
        <v>000YBD</v>
      </c>
      <c r="B1059" s="1" t="s">
        <v>5611</v>
      </c>
      <c r="C1059" s="1" t="s">
        <v>5612</v>
      </c>
      <c r="D1059" s="1" t="str">
        <f>"8024362930"</f>
        <v>8024362930</v>
      </c>
      <c r="E1059" s="1">
        <v>5135</v>
      </c>
      <c r="F1059" s="1" t="s">
        <v>28</v>
      </c>
      <c r="G1059" s="1" t="s">
        <v>5613</v>
      </c>
      <c r="H1059" s="1"/>
      <c r="I1059" s="1">
        <v>1</v>
      </c>
      <c r="J1059" s="1" t="s">
        <v>5614</v>
      </c>
      <c r="K1059" s="1" t="s">
        <v>77</v>
      </c>
      <c r="L1059" s="1" t="s">
        <v>507</v>
      </c>
      <c r="M1059" s="1" t="s">
        <v>5615</v>
      </c>
      <c r="N1059" s="2">
        <v>42866</v>
      </c>
      <c r="O1059" s="1"/>
      <c r="P1059" s="2">
        <v>42901</v>
      </c>
      <c r="Q1059" s="1" t="s">
        <v>34</v>
      </c>
      <c r="R1059" s="1"/>
      <c r="S1059" s="1" t="s">
        <v>35</v>
      </c>
      <c r="T1059" s="1">
        <v>43.561619</v>
      </c>
      <c r="U1059" s="1">
        <v>-72.429055000000005</v>
      </c>
      <c r="V1059" s="1" t="s">
        <v>5616</v>
      </c>
      <c r="W1059" s="1"/>
      <c r="X1059" s="1" t="s">
        <v>37</v>
      </c>
      <c r="Y1059" s="1" t="s">
        <v>5617</v>
      </c>
      <c r="Z1059" s="1">
        <v>5048</v>
      </c>
    </row>
    <row r="1060" spans="1:26" ht="42">
      <c r="A1060" s="1" t="str">
        <f>"000YBF"</f>
        <v>000YBF</v>
      </c>
      <c r="B1060" s="1" t="s">
        <v>5618</v>
      </c>
      <c r="C1060" s="1" t="s">
        <v>5619</v>
      </c>
      <c r="D1060" s="1" t="str">
        <f>"8024571376"</f>
        <v>8024571376</v>
      </c>
      <c r="E1060" s="1">
        <v>5136</v>
      </c>
      <c r="F1060" s="1" t="s">
        <v>28</v>
      </c>
      <c r="G1060" s="1" t="s">
        <v>5620</v>
      </c>
      <c r="H1060" s="1"/>
      <c r="I1060" s="1">
        <v>2</v>
      </c>
      <c r="J1060" s="1" t="s">
        <v>470</v>
      </c>
      <c r="K1060" s="1" t="s">
        <v>77</v>
      </c>
      <c r="L1060" s="1" t="s">
        <v>403</v>
      </c>
      <c r="M1060" s="1" t="s">
        <v>5621</v>
      </c>
      <c r="N1060" s="2">
        <v>42866</v>
      </c>
      <c r="O1060" s="1"/>
      <c r="P1060" s="2">
        <v>42964</v>
      </c>
      <c r="Q1060" s="1" t="s">
        <v>34</v>
      </c>
      <c r="R1060" s="1"/>
      <c r="S1060" s="1" t="s">
        <v>35</v>
      </c>
      <c r="T1060" s="1">
        <v>43.572409100000002</v>
      </c>
      <c r="U1060" s="1">
        <v>-72.558121400000005</v>
      </c>
      <c r="V1060" s="1" t="s">
        <v>5622</v>
      </c>
      <c r="W1060" s="1"/>
      <c r="X1060" s="1" t="s">
        <v>37</v>
      </c>
      <c r="Y1060" s="1" t="s">
        <v>5623</v>
      </c>
      <c r="Z1060" s="1">
        <v>5071</v>
      </c>
    </row>
    <row r="1061" spans="1:26" ht="42">
      <c r="A1061" s="1" t="str">
        <f>"000YBG"</f>
        <v>000YBG</v>
      </c>
      <c r="B1061" s="1" t="s">
        <v>5624</v>
      </c>
      <c r="C1061" s="1" t="s">
        <v>5625</v>
      </c>
      <c r="D1061" s="1" t="str">
        <f>"8022296876"</f>
        <v>8022296876</v>
      </c>
      <c r="E1061" s="1">
        <v>5137</v>
      </c>
      <c r="F1061" s="1" t="s">
        <v>28</v>
      </c>
      <c r="G1061" s="1" t="s">
        <v>5626</v>
      </c>
      <c r="H1061" s="1"/>
      <c r="I1061" s="1">
        <v>2</v>
      </c>
      <c r="J1061" s="1" t="s">
        <v>5627</v>
      </c>
      <c r="K1061" s="1" t="s">
        <v>31</v>
      </c>
      <c r="L1061" s="1" t="s">
        <v>1071</v>
      </c>
      <c r="M1061" s="1" t="s">
        <v>5628</v>
      </c>
      <c r="N1061" s="2">
        <v>42866</v>
      </c>
      <c r="O1061" s="1"/>
      <c r="P1061" s="1"/>
      <c r="Q1061" s="1" t="s">
        <v>34</v>
      </c>
      <c r="R1061" s="1"/>
      <c r="S1061" s="1" t="s">
        <v>35</v>
      </c>
      <c r="T1061" s="1"/>
      <c r="U1061" s="1"/>
      <c r="V1061" s="1" t="s">
        <v>5629</v>
      </c>
      <c r="W1061" s="1"/>
      <c r="X1061" s="1" t="s">
        <v>37</v>
      </c>
      <c r="Y1061" s="1" t="s">
        <v>1074</v>
      </c>
      <c r="Z1061" s="1">
        <v>5640</v>
      </c>
    </row>
    <row r="1062" spans="1:26" ht="42">
      <c r="A1062" s="1" t="str">
        <f>"000YBH"</f>
        <v>000YBH</v>
      </c>
      <c r="B1062" s="1" t="s">
        <v>5630</v>
      </c>
      <c r="C1062" s="1" t="s">
        <v>5631</v>
      </c>
      <c r="D1062" s="1" t="str">
        <f>"8026854559"</f>
        <v>8026854559</v>
      </c>
      <c r="E1062" s="1">
        <v>5138</v>
      </c>
      <c r="F1062" s="1" t="s">
        <v>28</v>
      </c>
      <c r="G1062" s="1" t="s">
        <v>5632</v>
      </c>
      <c r="H1062" s="1"/>
      <c r="I1062" s="1">
        <v>2</v>
      </c>
      <c r="J1062" s="1" t="s">
        <v>470</v>
      </c>
      <c r="K1062" s="1" t="s">
        <v>68</v>
      </c>
      <c r="L1062" s="1" t="s">
        <v>3129</v>
      </c>
      <c r="M1062" s="1" t="s">
        <v>5633</v>
      </c>
      <c r="N1062" s="2">
        <v>42867</v>
      </c>
      <c r="O1062" s="1"/>
      <c r="P1062" s="1"/>
      <c r="Q1062" s="1" t="s">
        <v>34</v>
      </c>
      <c r="R1062" s="1"/>
      <c r="S1062" s="1" t="s">
        <v>35</v>
      </c>
      <c r="T1062" s="1"/>
      <c r="U1062" s="1"/>
      <c r="V1062" s="1" t="s">
        <v>5634</v>
      </c>
      <c r="W1062" s="1"/>
      <c r="X1062" s="1" t="s">
        <v>37</v>
      </c>
      <c r="Y1062" s="1" t="s">
        <v>3132</v>
      </c>
      <c r="Z1062" s="1">
        <v>5038</v>
      </c>
    </row>
    <row r="1063" spans="1:26" ht="42">
      <c r="A1063" s="1" t="str">
        <f>"000YBJ"</f>
        <v>000YBJ</v>
      </c>
      <c r="B1063" s="1" t="s">
        <v>5635</v>
      </c>
      <c r="C1063" s="1" t="s">
        <v>5636</v>
      </c>
      <c r="D1063" s="1" t="str">
        <f>"8028788505"</f>
        <v>8028788505</v>
      </c>
      <c r="E1063" s="1">
        <v>5139</v>
      </c>
      <c r="F1063" s="1" t="s">
        <v>28</v>
      </c>
      <c r="G1063" s="1" t="s">
        <v>5637</v>
      </c>
      <c r="H1063" s="1"/>
      <c r="I1063" s="1">
        <v>1</v>
      </c>
      <c r="J1063" s="1" t="s">
        <v>5638</v>
      </c>
      <c r="K1063" s="1" t="s">
        <v>43</v>
      </c>
      <c r="L1063" s="1" t="s">
        <v>317</v>
      </c>
      <c r="M1063" s="1" t="s">
        <v>5639</v>
      </c>
      <c r="N1063" s="2">
        <v>42867</v>
      </c>
      <c r="O1063" s="1"/>
      <c r="P1063" s="1"/>
      <c r="Q1063" s="1" t="s">
        <v>34</v>
      </c>
      <c r="R1063" s="1"/>
      <c r="S1063" s="1" t="s">
        <v>35</v>
      </c>
      <c r="T1063" s="1">
        <v>44.599569000000002</v>
      </c>
      <c r="U1063" s="1">
        <v>-73.051894000000004</v>
      </c>
      <c r="V1063" s="1" t="s">
        <v>5640</v>
      </c>
      <c r="W1063" s="1"/>
      <c r="X1063" s="1" t="s">
        <v>37</v>
      </c>
      <c r="Y1063" s="1" t="s">
        <v>320</v>
      </c>
      <c r="Z1063" s="1">
        <v>5494</v>
      </c>
    </row>
    <row r="1064" spans="1:26" ht="42">
      <c r="A1064" s="1" t="str">
        <f>"000YBK"</f>
        <v>000YBK</v>
      </c>
      <c r="B1064" s="1" t="s">
        <v>5641</v>
      </c>
      <c r="C1064" s="1" t="s">
        <v>5642</v>
      </c>
      <c r="D1064" s="1" t="str">
        <f>"8023340204"</f>
        <v>8023340204</v>
      </c>
      <c r="E1064" s="1">
        <v>5140</v>
      </c>
      <c r="F1064" s="1" t="s">
        <v>28</v>
      </c>
      <c r="G1064" s="1" t="s">
        <v>5643</v>
      </c>
      <c r="H1064" s="1"/>
      <c r="I1064" s="1">
        <v>0</v>
      </c>
      <c r="J1064" s="1" t="s">
        <v>5644</v>
      </c>
      <c r="K1064" s="1" t="s">
        <v>527</v>
      </c>
      <c r="L1064" s="1" t="s">
        <v>1915</v>
      </c>
      <c r="M1064" s="1" t="s">
        <v>5645</v>
      </c>
      <c r="N1064" s="2">
        <v>42867</v>
      </c>
      <c r="O1064" s="1"/>
      <c r="P1064" s="1"/>
      <c r="Q1064" s="1" t="s">
        <v>34</v>
      </c>
      <c r="R1064" s="1"/>
      <c r="S1064" s="1" t="s">
        <v>35</v>
      </c>
      <c r="T1064" s="1">
        <v>44.942211499999999</v>
      </c>
      <c r="U1064" s="1">
        <v>-72.247303199999905</v>
      </c>
      <c r="V1064" s="1" t="s">
        <v>5646</v>
      </c>
      <c r="W1064" s="1"/>
      <c r="X1064" s="1" t="s">
        <v>37</v>
      </c>
      <c r="Y1064" s="1" t="s">
        <v>535</v>
      </c>
      <c r="Z1064" s="1">
        <v>5855</v>
      </c>
    </row>
    <row r="1065" spans="1:26" ht="42">
      <c r="A1065" s="1" t="str">
        <f>"000YBK"</f>
        <v>000YBK</v>
      </c>
      <c r="B1065" s="1" t="s">
        <v>5641</v>
      </c>
      <c r="C1065" s="1" t="s">
        <v>5642</v>
      </c>
      <c r="D1065" s="1" t="str">
        <f>"8023340204"</f>
        <v>8023340204</v>
      </c>
      <c r="E1065" s="1">
        <v>5140</v>
      </c>
      <c r="F1065" s="1" t="s">
        <v>28</v>
      </c>
      <c r="G1065" s="1" t="s">
        <v>5647</v>
      </c>
      <c r="H1065" s="1"/>
      <c r="I1065" s="1">
        <v>0</v>
      </c>
      <c r="J1065" s="1" t="s">
        <v>5648</v>
      </c>
      <c r="K1065" s="1" t="s">
        <v>2925</v>
      </c>
      <c r="L1065" s="1" t="s">
        <v>5649</v>
      </c>
      <c r="M1065" s="1" t="s">
        <v>5645</v>
      </c>
      <c r="N1065" s="2">
        <v>42867</v>
      </c>
      <c r="O1065" s="1"/>
      <c r="P1065" s="1"/>
      <c r="Q1065" s="1" t="s">
        <v>34</v>
      </c>
      <c r="R1065" s="1"/>
      <c r="S1065" s="1" t="s">
        <v>35</v>
      </c>
      <c r="T1065" s="1">
        <v>44.932725900000001</v>
      </c>
      <c r="U1065" s="1">
        <v>-71.542626499999898</v>
      </c>
      <c r="V1065" s="1" t="s">
        <v>5650</v>
      </c>
      <c r="W1065" s="1"/>
      <c r="X1065" s="1" t="s">
        <v>37</v>
      </c>
      <c r="Y1065" s="1" t="s">
        <v>5651</v>
      </c>
      <c r="Z1065" s="1">
        <v>5903</v>
      </c>
    </row>
    <row r="1066" spans="1:26" ht="42">
      <c r="A1066" s="1" t="str">
        <f>"000YD2"</f>
        <v>000YD2</v>
      </c>
      <c r="B1066" s="1" t="s">
        <v>5652</v>
      </c>
      <c r="C1066" s="1" t="s">
        <v>5653</v>
      </c>
      <c r="D1066" s="1" t="str">
        <f>"8028832298"</f>
        <v>8028832298</v>
      </c>
      <c r="E1066" s="1">
        <v>5141</v>
      </c>
      <c r="F1066" s="1" t="s">
        <v>28</v>
      </c>
      <c r="G1066" s="1" t="s">
        <v>5654</v>
      </c>
      <c r="H1066" s="1"/>
      <c r="I1066" s="1">
        <v>2</v>
      </c>
      <c r="J1066" s="1" t="s">
        <v>470</v>
      </c>
      <c r="K1066" s="1" t="s">
        <v>68</v>
      </c>
      <c r="L1066" s="1" t="s">
        <v>5655</v>
      </c>
      <c r="M1066" s="1" t="s">
        <v>5656</v>
      </c>
      <c r="N1066" s="2">
        <v>42870</v>
      </c>
      <c r="O1066" s="1"/>
      <c r="P1066" s="2">
        <v>42937</v>
      </c>
      <c r="Q1066" s="1" t="s">
        <v>34</v>
      </c>
      <c r="R1066" s="1"/>
      <c r="S1066" s="1" t="s">
        <v>35</v>
      </c>
      <c r="T1066" s="1"/>
      <c r="U1066" s="1"/>
      <c r="V1066" s="1" t="s">
        <v>5657</v>
      </c>
      <c r="W1066" s="1"/>
      <c r="X1066" s="1" t="s">
        <v>37</v>
      </c>
      <c r="Y1066" s="1" t="s">
        <v>31</v>
      </c>
      <c r="Z1066" s="1">
        <v>5675</v>
      </c>
    </row>
    <row r="1067" spans="1:26" ht="42">
      <c r="A1067" s="1" t="str">
        <f>"000YD3"</f>
        <v>000YD3</v>
      </c>
      <c r="B1067" s="1" t="s">
        <v>5658</v>
      </c>
      <c r="C1067" s="1" t="s">
        <v>5659</v>
      </c>
      <c r="D1067" s="1" t="str">
        <f>"8024292039"</f>
        <v>8024292039</v>
      </c>
      <c r="E1067" s="1">
        <v>5142</v>
      </c>
      <c r="F1067" s="1" t="s">
        <v>28</v>
      </c>
      <c r="G1067" s="1" t="s">
        <v>5660</v>
      </c>
      <c r="H1067" s="1"/>
      <c r="I1067" s="1">
        <v>1</v>
      </c>
      <c r="J1067" s="1"/>
      <c r="K1067" s="1" t="s">
        <v>68</v>
      </c>
      <c r="L1067" s="1"/>
      <c r="M1067" s="1" t="s">
        <v>5661</v>
      </c>
      <c r="N1067" s="2">
        <v>42870</v>
      </c>
      <c r="O1067" s="1"/>
      <c r="P1067" s="2">
        <v>43000</v>
      </c>
      <c r="Q1067" s="1" t="s">
        <v>34</v>
      </c>
      <c r="R1067" s="1"/>
      <c r="S1067" s="1" t="s">
        <v>35</v>
      </c>
      <c r="T1067" s="1">
        <v>44.141593200000003</v>
      </c>
      <c r="U1067" s="1">
        <v>-72.104374199999995</v>
      </c>
      <c r="V1067" s="1" t="s">
        <v>5662</v>
      </c>
      <c r="W1067" s="1"/>
      <c r="X1067" s="1" t="s">
        <v>37</v>
      </c>
      <c r="Y1067" s="1" t="s">
        <v>5663</v>
      </c>
      <c r="Z1067" s="1">
        <v>5081</v>
      </c>
    </row>
    <row r="1068" spans="1:26" ht="42">
      <c r="A1068" s="1" t="str">
        <f>"000YD4"</f>
        <v>000YD4</v>
      </c>
      <c r="B1068" s="1" t="s">
        <v>5664</v>
      </c>
      <c r="C1068" s="1" t="s">
        <v>5665</v>
      </c>
      <c r="D1068" s="1" t="str">
        <f>"8022951290"</f>
        <v>8022951290</v>
      </c>
      <c r="E1068" s="1">
        <v>5143</v>
      </c>
      <c r="F1068" s="1" t="s">
        <v>28</v>
      </c>
      <c r="G1068" s="1" t="s">
        <v>5666</v>
      </c>
      <c r="H1068" s="1"/>
      <c r="I1068" s="1">
        <v>2</v>
      </c>
      <c r="J1068" s="1" t="s">
        <v>5667</v>
      </c>
      <c r="K1068" s="1" t="s">
        <v>77</v>
      </c>
      <c r="L1068" s="1"/>
      <c r="M1068" s="1" t="s">
        <v>5668</v>
      </c>
      <c r="N1068" s="2">
        <v>42870</v>
      </c>
      <c r="O1068" s="1"/>
      <c r="P1068" s="2">
        <v>42951</v>
      </c>
      <c r="Q1068" s="1" t="s">
        <v>34</v>
      </c>
      <c r="R1068" s="1"/>
      <c r="S1068" s="1" t="s">
        <v>35</v>
      </c>
      <c r="T1068" s="1">
        <v>43.682135600000002</v>
      </c>
      <c r="U1068" s="1">
        <v>-72.424870100000007</v>
      </c>
      <c r="V1068" s="1" t="s">
        <v>5669</v>
      </c>
      <c r="W1068" s="1"/>
      <c r="X1068" s="1" t="s">
        <v>37</v>
      </c>
      <c r="Y1068" s="1" t="s">
        <v>5670</v>
      </c>
      <c r="Z1068" s="1">
        <v>5059</v>
      </c>
    </row>
    <row r="1069" spans="1:26" ht="42">
      <c r="A1069" s="1" t="str">
        <f>"000YD5"</f>
        <v>000YD5</v>
      </c>
      <c r="B1069" s="1" t="s">
        <v>5671</v>
      </c>
      <c r="C1069" s="1" t="s">
        <v>5672</v>
      </c>
      <c r="D1069" s="1" t="str">
        <f>"8023094319"</f>
        <v>8023094319</v>
      </c>
      <c r="E1069" s="1">
        <v>5144</v>
      </c>
      <c r="F1069" s="1" t="s">
        <v>28</v>
      </c>
      <c r="G1069" s="1" t="s">
        <v>5673</v>
      </c>
      <c r="H1069" s="1"/>
      <c r="I1069" s="1">
        <v>2</v>
      </c>
      <c r="J1069" s="1" t="s">
        <v>470</v>
      </c>
      <c r="K1069" s="1" t="s">
        <v>43</v>
      </c>
      <c r="L1069" s="1" t="s">
        <v>317</v>
      </c>
      <c r="M1069" s="1" t="s">
        <v>5674</v>
      </c>
      <c r="N1069" s="2">
        <v>42870</v>
      </c>
      <c r="O1069" s="1"/>
      <c r="P1069" s="1"/>
      <c r="Q1069" s="1" t="s">
        <v>34</v>
      </c>
      <c r="R1069" s="1"/>
      <c r="S1069" s="1" t="s">
        <v>35</v>
      </c>
      <c r="T1069" s="1"/>
      <c r="U1069" s="1"/>
      <c r="V1069" s="1" t="s">
        <v>5675</v>
      </c>
      <c r="W1069" s="1"/>
      <c r="X1069" s="1" t="s">
        <v>37</v>
      </c>
      <c r="Y1069" s="1" t="s">
        <v>320</v>
      </c>
      <c r="Z1069" s="1">
        <v>5494</v>
      </c>
    </row>
    <row r="1070" spans="1:26" ht="42">
      <c r="A1070" s="1" t="str">
        <f>"000YD7"</f>
        <v>000YD7</v>
      </c>
      <c r="B1070" s="1" t="s">
        <v>5676</v>
      </c>
      <c r="C1070" s="1" t="s">
        <v>5677</v>
      </c>
      <c r="D1070" s="1" t="str">
        <f>"8023872222"</f>
        <v>8023872222</v>
      </c>
      <c r="E1070" s="1">
        <v>5145</v>
      </c>
      <c r="F1070" s="1" t="s">
        <v>28</v>
      </c>
      <c r="G1070" s="1" t="s">
        <v>5678</v>
      </c>
      <c r="H1070" s="1"/>
      <c r="I1070" s="1">
        <v>2</v>
      </c>
      <c r="J1070" s="1" t="s">
        <v>470</v>
      </c>
      <c r="K1070" s="1" t="s">
        <v>144</v>
      </c>
      <c r="L1070" s="1" t="s">
        <v>767</v>
      </c>
      <c r="M1070" s="1" t="s">
        <v>5679</v>
      </c>
      <c r="N1070" s="2">
        <v>42870</v>
      </c>
      <c r="O1070" s="1"/>
      <c r="P1070" s="1"/>
      <c r="Q1070" s="1" t="s">
        <v>34</v>
      </c>
      <c r="R1070" s="1"/>
      <c r="S1070" s="1" t="s">
        <v>35</v>
      </c>
      <c r="T1070" s="1"/>
      <c r="U1070" s="1"/>
      <c r="V1070" s="1" t="s">
        <v>5680</v>
      </c>
      <c r="W1070" s="1"/>
      <c r="X1070" s="1" t="s">
        <v>37</v>
      </c>
      <c r="Y1070" s="1" t="s">
        <v>414</v>
      </c>
      <c r="Z1070" s="1">
        <v>5346</v>
      </c>
    </row>
    <row r="1071" spans="1:26" ht="42">
      <c r="A1071" s="1" t="str">
        <f>"000YD9"</f>
        <v>000YD9</v>
      </c>
      <c r="B1071" s="1" t="s">
        <v>5681</v>
      </c>
      <c r="C1071" s="1" t="s">
        <v>5682</v>
      </c>
      <c r="D1071" s="1" t="str">
        <f>"8028883455"</f>
        <v>8028883455</v>
      </c>
      <c r="E1071" s="1">
        <v>5146</v>
      </c>
      <c r="F1071" s="1" t="s">
        <v>28</v>
      </c>
      <c r="G1071" s="1" t="s">
        <v>5683</v>
      </c>
      <c r="H1071" s="1"/>
      <c r="I1071" s="1">
        <v>1</v>
      </c>
      <c r="J1071" s="1" t="s">
        <v>470</v>
      </c>
      <c r="K1071" s="1" t="s">
        <v>170</v>
      </c>
      <c r="L1071" s="1" t="s">
        <v>1614</v>
      </c>
      <c r="M1071" s="1" t="s">
        <v>5684</v>
      </c>
      <c r="N1071" s="2">
        <v>42871</v>
      </c>
      <c r="O1071" s="1"/>
      <c r="P1071" s="1"/>
      <c r="Q1071" s="1" t="s">
        <v>34</v>
      </c>
      <c r="R1071" s="1"/>
      <c r="S1071" s="1" t="s">
        <v>35</v>
      </c>
      <c r="T1071" s="1"/>
      <c r="U1071" s="1"/>
      <c r="V1071" s="1" t="s">
        <v>5685</v>
      </c>
      <c r="W1071" s="1"/>
      <c r="X1071" s="1" t="s">
        <v>37</v>
      </c>
      <c r="Y1071" s="1" t="s">
        <v>1321</v>
      </c>
      <c r="Z1071" s="1">
        <v>5680</v>
      </c>
    </row>
    <row r="1072" spans="1:26" ht="42">
      <c r="A1072" s="1" t="str">
        <f>"000YDA"</f>
        <v>000YDA</v>
      </c>
      <c r="B1072" s="1" t="s">
        <v>5686</v>
      </c>
      <c r="C1072" s="1" t="s">
        <v>5687</v>
      </c>
      <c r="D1072" s="1" t="str">
        <f>"8025279892"</f>
        <v>8025279892</v>
      </c>
      <c r="E1072" s="1">
        <v>5147</v>
      </c>
      <c r="F1072" s="1" t="s">
        <v>28</v>
      </c>
      <c r="G1072" s="1" t="s">
        <v>5688</v>
      </c>
      <c r="H1072" s="1"/>
      <c r="I1072" s="1">
        <v>2</v>
      </c>
      <c r="J1072" s="1" t="s">
        <v>470</v>
      </c>
      <c r="K1072" s="1" t="s">
        <v>152</v>
      </c>
      <c r="L1072" s="1" t="s">
        <v>1185</v>
      </c>
      <c r="M1072" s="1" t="s">
        <v>5689</v>
      </c>
      <c r="N1072" s="2">
        <v>42871</v>
      </c>
      <c r="O1072" s="1"/>
      <c r="P1072" s="1"/>
      <c r="Q1072" s="1" t="s">
        <v>34</v>
      </c>
      <c r="R1072" s="1"/>
      <c r="S1072" s="1" t="s">
        <v>35</v>
      </c>
      <c r="T1072" s="1"/>
      <c r="U1072" s="1"/>
      <c r="V1072" s="1" t="s">
        <v>5690</v>
      </c>
      <c r="W1072" s="1"/>
      <c r="X1072" s="1" t="s">
        <v>37</v>
      </c>
      <c r="Y1072" s="1" t="s">
        <v>3409</v>
      </c>
      <c r="Z1072" s="1">
        <v>5478</v>
      </c>
    </row>
    <row r="1073" spans="1:26" ht="42">
      <c r="A1073" s="1" t="str">
        <f>"000YDB"</f>
        <v>000YDB</v>
      </c>
      <c r="B1073" s="1" t="s">
        <v>5691</v>
      </c>
      <c r="C1073" s="1" t="s">
        <v>5692</v>
      </c>
      <c r="D1073" s="1" t="str">
        <f>"8028747016"</f>
        <v>8028747016</v>
      </c>
      <c r="E1073" s="1">
        <v>5148</v>
      </c>
      <c r="F1073" s="1" t="s">
        <v>28</v>
      </c>
      <c r="G1073" s="1" t="s">
        <v>5693</v>
      </c>
      <c r="H1073" s="1"/>
      <c r="I1073" s="1">
        <v>5</v>
      </c>
      <c r="J1073" s="1" t="s">
        <v>5694</v>
      </c>
      <c r="K1073" s="1" t="s">
        <v>144</v>
      </c>
      <c r="L1073" s="1" t="s">
        <v>586</v>
      </c>
      <c r="M1073" s="1" t="s">
        <v>5695</v>
      </c>
      <c r="N1073" s="2">
        <v>42872</v>
      </c>
      <c r="O1073" s="1"/>
      <c r="P1073" s="1"/>
      <c r="Q1073" s="1" t="s">
        <v>34</v>
      </c>
      <c r="R1073" s="1"/>
      <c r="S1073" s="1" t="s">
        <v>35</v>
      </c>
      <c r="T1073" s="1">
        <v>43.084442000000003</v>
      </c>
      <c r="U1073" s="1">
        <v>-72.746581999999904</v>
      </c>
      <c r="V1073" s="1" t="s">
        <v>5696</v>
      </c>
      <c r="W1073" s="1"/>
      <c r="X1073" s="1" t="s">
        <v>37</v>
      </c>
      <c r="Y1073" s="1" t="s">
        <v>5697</v>
      </c>
      <c r="Z1073" s="1">
        <v>5343</v>
      </c>
    </row>
    <row r="1074" spans="1:26" ht="42">
      <c r="A1074" s="1" t="str">
        <f>"000YDG"</f>
        <v>000YDG</v>
      </c>
      <c r="B1074" s="1" t="s">
        <v>5698</v>
      </c>
      <c r="C1074" s="1" t="s">
        <v>5699</v>
      </c>
      <c r="D1074" s="1" t="str">
        <f>"8028792911"</f>
        <v>8028792911</v>
      </c>
      <c r="E1074" s="1">
        <v>5149</v>
      </c>
      <c r="F1074" s="1" t="s">
        <v>28</v>
      </c>
      <c r="G1074" s="1" t="s">
        <v>5700</v>
      </c>
      <c r="H1074" s="1"/>
      <c r="I1074" s="1">
        <v>2</v>
      </c>
      <c r="J1074" s="1">
        <v>1</v>
      </c>
      <c r="K1074" s="1" t="s">
        <v>43</v>
      </c>
      <c r="L1074" s="1" t="s">
        <v>178</v>
      </c>
      <c r="M1074" s="1" t="s">
        <v>5701</v>
      </c>
      <c r="N1074" s="2">
        <v>42873</v>
      </c>
      <c r="O1074" s="1"/>
      <c r="P1074" s="1"/>
      <c r="Q1074" s="1" t="s">
        <v>34</v>
      </c>
      <c r="R1074" s="1"/>
      <c r="S1074" s="1" t="s">
        <v>35</v>
      </c>
      <c r="T1074" s="1">
        <v>44.482786999999902</v>
      </c>
      <c r="U1074" s="1">
        <v>-73.118565999999902</v>
      </c>
      <c r="V1074" s="1" t="s">
        <v>5702</v>
      </c>
      <c r="W1074" s="1"/>
      <c r="X1074" s="1" t="s">
        <v>37</v>
      </c>
      <c r="Y1074" s="1" t="s">
        <v>181</v>
      </c>
      <c r="Z1074" s="1">
        <v>5452</v>
      </c>
    </row>
    <row r="1075" spans="1:26" ht="42">
      <c r="A1075" s="1" t="str">
        <f>"000YDH"</f>
        <v>000YDH</v>
      </c>
      <c r="B1075" s="1" t="s">
        <v>5703</v>
      </c>
      <c r="C1075" s="1" t="s">
        <v>5704</v>
      </c>
      <c r="D1075" s="1" t="str">
        <f>"8022349818"</f>
        <v>8022349818</v>
      </c>
      <c r="E1075" s="1">
        <v>5150</v>
      </c>
      <c r="F1075" s="1" t="s">
        <v>28</v>
      </c>
      <c r="G1075" s="1" t="s">
        <v>5705</v>
      </c>
      <c r="H1075" s="1"/>
      <c r="I1075" s="1">
        <v>2</v>
      </c>
      <c r="J1075" s="1">
        <v>1</v>
      </c>
      <c r="K1075" s="1" t="s">
        <v>77</v>
      </c>
      <c r="L1075" s="1" t="s">
        <v>2879</v>
      </c>
      <c r="M1075" s="1" t="s">
        <v>5706</v>
      </c>
      <c r="N1075" s="2">
        <v>42873</v>
      </c>
      <c r="O1075" s="1"/>
      <c r="P1075" s="1"/>
      <c r="Q1075" s="1" t="s">
        <v>34</v>
      </c>
      <c r="R1075" s="1"/>
      <c r="S1075" s="1" t="s">
        <v>35</v>
      </c>
      <c r="T1075" s="1">
        <v>43.847082999999998</v>
      </c>
      <c r="U1075" s="1">
        <v>-72.601219999999998</v>
      </c>
      <c r="V1075" s="1" t="s">
        <v>5707</v>
      </c>
      <c r="W1075" s="1"/>
      <c r="X1075" s="1" t="s">
        <v>37</v>
      </c>
      <c r="Y1075" s="1" t="s">
        <v>5708</v>
      </c>
      <c r="Z1075" s="1">
        <v>5032</v>
      </c>
    </row>
    <row r="1076" spans="1:26" ht="42">
      <c r="A1076" s="1" t="str">
        <f>"000YDM"</f>
        <v>000YDM</v>
      </c>
      <c r="B1076" s="1" t="s">
        <v>5709</v>
      </c>
      <c r="C1076" s="1" t="s">
        <v>5710</v>
      </c>
      <c r="D1076" s="1" t="str">
        <f>"8025959194"</f>
        <v>8025959194</v>
      </c>
      <c r="E1076" s="1">
        <v>5151</v>
      </c>
      <c r="F1076" s="1" t="s">
        <v>28</v>
      </c>
      <c r="G1076" s="1" t="s">
        <v>5711</v>
      </c>
      <c r="H1076" s="1"/>
      <c r="I1076" s="1">
        <v>1</v>
      </c>
      <c r="J1076" s="1" t="s">
        <v>470</v>
      </c>
      <c r="K1076" s="1" t="s">
        <v>43</v>
      </c>
      <c r="L1076" s="1" t="s">
        <v>348</v>
      </c>
      <c r="M1076" s="1" t="s">
        <v>5712</v>
      </c>
      <c r="N1076" s="2">
        <v>42873</v>
      </c>
      <c r="O1076" s="1"/>
      <c r="P1076" s="1"/>
      <c r="Q1076" s="1" t="s">
        <v>34</v>
      </c>
      <c r="R1076" s="1"/>
      <c r="S1076" s="1" t="s">
        <v>35</v>
      </c>
      <c r="T1076" s="1"/>
      <c r="U1076" s="1"/>
      <c r="V1076" s="1" t="s">
        <v>5713</v>
      </c>
      <c r="W1076" s="1"/>
      <c r="X1076" s="1" t="s">
        <v>37</v>
      </c>
      <c r="Y1076" s="1" t="s">
        <v>351</v>
      </c>
      <c r="Z1076" s="1" t="s">
        <v>4149</v>
      </c>
    </row>
    <row r="1077" spans="1:26" ht="42">
      <c r="A1077" s="1" t="str">
        <f>"000YDV"</f>
        <v>000YDV</v>
      </c>
      <c r="B1077" s="1" t="s">
        <v>5714</v>
      </c>
      <c r="C1077" s="1" t="s">
        <v>5715</v>
      </c>
      <c r="D1077" s="1" t="str">
        <f>"8028813770"</f>
        <v>8028813770</v>
      </c>
      <c r="E1077" s="1">
        <v>5152</v>
      </c>
      <c r="F1077" s="1" t="s">
        <v>28</v>
      </c>
      <c r="G1077" s="1" t="s">
        <v>5716</v>
      </c>
      <c r="H1077" s="1"/>
      <c r="I1077" s="1">
        <v>1</v>
      </c>
      <c r="J1077" s="1" t="s">
        <v>470</v>
      </c>
      <c r="K1077" s="1" t="s">
        <v>43</v>
      </c>
      <c r="L1077" s="1" t="s">
        <v>348</v>
      </c>
      <c r="M1077" s="1" t="s">
        <v>5717</v>
      </c>
      <c r="N1077" s="2">
        <v>42874</v>
      </c>
      <c r="O1077" s="1"/>
      <c r="P1077" s="1"/>
      <c r="Q1077" s="1" t="s">
        <v>34</v>
      </c>
      <c r="R1077" s="1"/>
      <c r="S1077" s="1" t="s">
        <v>35</v>
      </c>
      <c r="T1077" s="1"/>
      <c r="U1077" s="1"/>
      <c r="V1077" s="1" t="s">
        <v>5718</v>
      </c>
      <c r="W1077" s="1"/>
      <c r="X1077" s="1" t="s">
        <v>37</v>
      </c>
      <c r="Y1077" s="1" t="s">
        <v>351</v>
      </c>
      <c r="Z1077" s="1">
        <v>5461</v>
      </c>
    </row>
    <row r="1078" spans="1:26" ht="42">
      <c r="A1078" s="1" t="str">
        <f>"000YF6"</f>
        <v>000YF6</v>
      </c>
      <c r="B1078" s="1" t="s">
        <v>5719</v>
      </c>
      <c r="C1078" s="1" t="s">
        <v>5720</v>
      </c>
      <c r="D1078" s="1" t="str">
        <f>"8027854141"</f>
        <v>8027854141</v>
      </c>
      <c r="E1078" s="1">
        <v>5153</v>
      </c>
      <c r="F1078" s="1" t="s">
        <v>28</v>
      </c>
      <c r="G1078" s="1" t="s">
        <v>5721</v>
      </c>
      <c r="H1078" s="1"/>
      <c r="I1078" s="1">
        <v>3</v>
      </c>
      <c r="J1078" s="1">
        <v>1</v>
      </c>
      <c r="K1078" s="1" t="s">
        <v>68</v>
      </c>
      <c r="L1078" s="1" t="s">
        <v>69</v>
      </c>
      <c r="M1078" s="1" t="s">
        <v>5722</v>
      </c>
      <c r="N1078" s="2">
        <v>42877</v>
      </c>
      <c r="O1078" s="1"/>
      <c r="P1078" s="2">
        <v>42964</v>
      </c>
      <c r="Q1078" s="1" t="s">
        <v>34</v>
      </c>
      <c r="R1078" s="1"/>
      <c r="S1078" s="1" t="s">
        <v>35</v>
      </c>
      <c r="T1078" s="1">
        <v>43.862312000000003</v>
      </c>
      <c r="U1078" s="1">
        <v>-72.274329999999907</v>
      </c>
      <c r="V1078" s="1" t="s">
        <v>5723</v>
      </c>
      <c r="W1078" s="1"/>
      <c r="X1078" s="1" t="s">
        <v>37</v>
      </c>
      <c r="Y1078" s="1" t="s">
        <v>5354</v>
      </c>
      <c r="Z1078" s="1">
        <v>5075</v>
      </c>
    </row>
    <row r="1079" spans="1:26" ht="42">
      <c r="A1079" s="1" t="str">
        <f>"000YF6"</f>
        <v>000YF6</v>
      </c>
      <c r="B1079" s="1" t="s">
        <v>5719</v>
      </c>
      <c r="C1079" s="1" t="s">
        <v>5720</v>
      </c>
      <c r="D1079" s="1" t="str">
        <f>"8027854141"</f>
        <v>8027854141</v>
      </c>
      <c r="E1079" s="1">
        <v>5153</v>
      </c>
      <c r="F1079" s="1" t="s">
        <v>28</v>
      </c>
      <c r="G1079" s="1" t="s">
        <v>5724</v>
      </c>
      <c r="H1079" s="1"/>
      <c r="I1079" s="1">
        <v>2</v>
      </c>
      <c r="J1079" s="1">
        <v>1</v>
      </c>
      <c r="K1079" s="1" t="s">
        <v>68</v>
      </c>
      <c r="L1079" s="1" t="s">
        <v>5725</v>
      </c>
      <c r="M1079" s="1" t="s">
        <v>5726</v>
      </c>
      <c r="N1079" s="2">
        <v>42877</v>
      </c>
      <c r="O1079" s="1"/>
      <c r="P1079" s="2">
        <v>42964</v>
      </c>
      <c r="Q1079" s="1" t="s">
        <v>34</v>
      </c>
      <c r="R1079" s="1"/>
      <c r="S1079" s="1" t="s">
        <v>35</v>
      </c>
      <c r="T1079" s="1">
        <v>43.949494000000001</v>
      </c>
      <c r="U1079" s="1">
        <v>-72.334001999999998</v>
      </c>
      <c r="V1079" s="1" t="s">
        <v>5727</v>
      </c>
      <c r="W1079" s="1"/>
      <c r="X1079" s="1" t="s">
        <v>37</v>
      </c>
      <c r="Y1079" s="1" t="s">
        <v>5728</v>
      </c>
      <c r="Z1079" s="1">
        <v>5079</v>
      </c>
    </row>
    <row r="1080" spans="1:26" ht="42">
      <c r="A1080" s="1" t="str">
        <f>"000YF7"</f>
        <v>000YF7</v>
      </c>
      <c r="B1080" s="1" t="s">
        <v>5729</v>
      </c>
      <c r="C1080" s="1" t="s">
        <v>5730</v>
      </c>
      <c r="D1080" s="1" t="str">
        <f>"8022870928"</f>
        <v>8022870928</v>
      </c>
      <c r="E1080" s="1">
        <v>5154</v>
      </c>
      <c r="F1080" s="1" t="s">
        <v>28</v>
      </c>
      <c r="G1080" s="1" t="s">
        <v>5731</v>
      </c>
      <c r="H1080" s="1"/>
      <c r="I1080" s="1">
        <v>4</v>
      </c>
      <c r="J1080" s="1" t="s">
        <v>5732</v>
      </c>
      <c r="K1080" s="1" t="s">
        <v>135</v>
      </c>
      <c r="L1080" s="1" t="s">
        <v>1850</v>
      </c>
      <c r="M1080" s="1" t="s">
        <v>5733</v>
      </c>
      <c r="N1080" s="2">
        <v>42877</v>
      </c>
      <c r="O1080" s="1"/>
      <c r="P1080" s="1"/>
      <c r="Q1080" s="1" t="s">
        <v>34</v>
      </c>
      <c r="R1080" s="1"/>
      <c r="S1080" s="1" t="s">
        <v>35</v>
      </c>
      <c r="T1080" s="1">
        <v>43.677267999999998</v>
      </c>
      <c r="U1080" s="1">
        <v>-73.137978999999902</v>
      </c>
      <c r="V1080" s="1" t="s">
        <v>5734</v>
      </c>
      <c r="W1080" s="1"/>
      <c r="X1080" s="1" t="s">
        <v>37</v>
      </c>
      <c r="Y1080" s="1" t="s">
        <v>5735</v>
      </c>
      <c r="Z1080" s="1">
        <v>5735</v>
      </c>
    </row>
    <row r="1081" spans="1:26" ht="42">
      <c r="A1081" s="1" t="str">
        <f>"000YF8"</f>
        <v>000YF8</v>
      </c>
      <c r="B1081" s="1" t="s">
        <v>5736</v>
      </c>
      <c r="C1081" s="1" t="s">
        <v>5737</v>
      </c>
      <c r="D1081" s="1" t="str">
        <f>"8024558071"</f>
        <v>8024558071</v>
      </c>
      <c r="E1081" s="1">
        <v>5155</v>
      </c>
      <c r="F1081" s="1" t="s">
        <v>28</v>
      </c>
      <c r="G1081" s="1" t="s">
        <v>5738</v>
      </c>
      <c r="H1081" s="1"/>
      <c r="I1081" s="1">
        <v>2</v>
      </c>
      <c r="J1081" s="1"/>
      <c r="K1081" s="1" t="s">
        <v>31</v>
      </c>
      <c r="L1081" s="1"/>
      <c r="M1081" s="1" t="s">
        <v>5739</v>
      </c>
      <c r="N1081" s="2">
        <v>42877</v>
      </c>
      <c r="O1081" s="1"/>
      <c r="P1081" s="1"/>
      <c r="Q1081" s="1" t="s">
        <v>34</v>
      </c>
      <c r="R1081" s="1"/>
      <c r="S1081" s="1" t="s">
        <v>35</v>
      </c>
      <c r="T1081" s="1">
        <v>44.049576500000001</v>
      </c>
      <c r="U1081" s="1">
        <v>-72.479495299999996</v>
      </c>
      <c r="V1081" s="1" t="s">
        <v>5740</v>
      </c>
      <c r="W1081" s="1"/>
      <c r="X1081" s="1" t="s">
        <v>37</v>
      </c>
      <c r="Y1081" s="1" t="s">
        <v>5741</v>
      </c>
      <c r="Z1081" s="1">
        <v>5679</v>
      </c>
    </row>
    <row r="1082" spans="1:26" ht="42">
      <c r="A1082" s="1" t="str">
        <f>"000YFZ"</f>
        <v>000YFZ</v>
      </c>
      <c r="B1082" s="1" t="s">
        <v>5742</v>
      </c>
      <c r="C1082" s="1" t="s">
        <v>5743</v>
      </c>
      <c r="D1082" s="1" t="str">
        <f>"8023924655"</f>
        <v>8023924655</v>
      </c>
      <c r="E1082" s="1">
        <v>5158</v>
      </c>
      <c r="F1082" s="1" t="s">
        <v>28</v>
      </c>
      <c r="G1082" s="1" t="s">
        <v>5744</v>
      </c>
      <c r="H1082" s="1"/>
      <c r="I1082" s="1">
        <v>1</v>
      </c>
      <c r="J1082" s="1" t="s">
        <v>5745</v>
      </c>
      <c r="K1082" s="1" t="s">
        <v>77</v>
      </c>
      <c r="L1082" s="1" t="s">
        <v>5746</v>
      </c>
      <c r="M1082" s="1" t="s">
        <v>5747</v>
      </c>
      <c r="N1082" s="2">
        <v>42879</v>
      </c>
      <c r="O1082" s="1"/>
      <c r="P1082" s="1"/>
      <c r="Q1082" s="1" t="s">
        <v>34</v>
      </c>
      <c r="R1082" s="1"/>
      <c r="S1082" s="1" t="s">
        <v>35</v>
      </c>
      <c r="T1082" s="1">
        <v>43.770896999999998</v>
      </c>
      <c r="U1082" s="1">
        <v>-72.614188999999996</v>
      </c>
      <c r="V1082" s="1" t="s">
        <v>5748</v>
      </c>
      <c r="W1082" s="1"/>
      <c r="X1082" s="1" t="s">
        <v>37</v>
      </c>
      <c r="Y1082" s="1" t="s">
        <v>2730</v>
      </c>
      <c r="Z1082" s="1">
        <v>5032</v>
      </c>
    </row>
    <row r="1083" spans="1:26" ht="42">
      <c r="A1083" s="1" t="str">
        <f>"000YG0"</f>
        <v>000YG0</v>
      </c>
      <c r="B1083" s="1" t="s">
        <v>5749</v>
      </c>
      <c r="C1083" s="1" t="s">
        <v>5750</v>
      </c>
      <c r="D1083" s="1" t="str">
        <f>"8022912118"</f>
        <v>8022912118</v>
      </c>
      <c r="E1083" s="1">
        <v>5159</v>
      </c>
      <c r="F1083" s="1" t="s">
        <v>28</v>
      </c>
      <c r="G1083" s="1" t="s">
        <v>5751</v>
      </c>
      <c r="H1083" s="1"/>
      <c r="I1083" s="1">
        <v>1</v>
      </c>
      <c r="J1083" s="1">
        <v>1</v>
      </c>
      <c r="K1083" s="1" t="s">
        <v>77</v>
      </c>
      <c r="L1083" s="1" t="s">
        <v>5174</v>
      </c>
      <c r="M1083" s="1" t="s">
        <v>5752</v>
      </c>
      <c r="N1083" s="2">
        <v>42879</v>
      </c>
      <c r="O1083" s="1"/>
      <c r="P1083" s="2">
        <v>42966</v>
      </c>
      <c r="Q1083" s="1" t="s">
        <v>34</v>
      </c>
      <c r="R1083" s="1"/>
      <c r="S1083" s="1" t="s">
        <v>35</v>
      </c>
      <c r="T1083" s="1">
        <v>43.782329999999902</v>
      </c>
      <c r="U1083" s="1">
        <v>-72.392966999999999</v>
      </c>
      <c r="V1083" s="1" t="s">
        <v>5753</v>
      </c>
      <c r="W1083" s="1"/>
      <c r="X1083" s="1" t="s">
        <v>37</v>
      </c>
      <c r="Y1083" s="1" t="s">
        <v>5177</v>
      </c>
      <c r="Z1083" s="1">
        <v>5065</v>
      </c>
    </row>
    <row r="1084" spans="1:26" ht="42">
      <c r="A1084" s="1" t="str">
        <f>"000YG6"</f>
        <v>000YG6</v>
      </c>
      <c r="B1084" s="1" t="s">
        <v>5754</v>
      </c>
      <c r="C1084" s="1" t="s">
        <v>5755</v>
      </c>
      <c r="D1084" s="1" t="str">
        <f>"8028817498"</f>
        <v>8028817498</v>
      </c>
      <c r="E1084" s="1">
        <v>5160</v>
      </c>
      <c r="F1084" s="1" t="s">
        <v>28</v>
      </c>
      <c r="G1084" s="1" t="s">
        <v>5756</v>
      </c>
      <c r="H1084" s="1"/>
      <c r="I1084" s="1">
        <v>1</v>
      </c>
      <c r="J1084" s="1" t="s">
        <v>5757</v>
      </c>
      <c r="K1084" s="1" t="s">
        <v>152</v>
      </c>
      <c r="L1084" s="1" t="s">
        <v>1062</v>
      </c>
      <c r="M1084" s="1" t="s">
        <v>5758</v>
      </c>
      <c r="N1084" s="2">
        <v>42880</v>
      </c>
      <c r="O1084" s="1"/>
      <c r="P1084" s="1"/>
      <c r="Q1084" s="1" t="s">
        <v>34</v>
      </c>
      <c r="R1084" s="1"/>
      <c r="S1084" s="1" t="s">
        <v>35</v>
      </c>
      <c r="T1084" s="1">
        <v>44.772789000000003</v>
      </c>
      <c r="U1084" s="1">
        <v>-73.139251999999999</v>
      </c>
      <c r="V1084" s="1" t="s">
        <v>5759</v>
      </c>
      <c r="W1084" s="1"/>
      <c r="X1084" s="1" t="s">
        <v>37</v>
      </c>
      <c r="Y1084" s="1" t="s">
        <v>1064</v>
      </c>
      <c r="Z1084" s="1">
        <v>5478</v>
      </c>
    </row>
    <row r="1085" spans="1:26" ht="42">
      <c r="A1085" s="1" t="str">
        <f>"000YGK"</f>
        <v>000YGK</v>
      </c>
      <c r="B1085" s="1" t="s">
        <v>5760</v>
      </c>
      <c r="C1085" s="1" t="s">
        <v>5761</v>
      </c>
      <c r="D1085" s="1" t="str">
        <f>"8025051293"</f>
        <v>8025051293</v>
      </c>
      <c r="E1085" s="1">
        <v>5163</v>
      </c>
      <c r="F1085" s="1" t="s">
        <v>28</v>
      </c>
      <c r="G1085" s="1" t="s">
        <v>5762</v>
      </c>
      <c r="H1085" s="1"/>
      <c r="I1085" s="1">
        <v>1</v>
      </c>
      <c r="J1085" s="1" t="s">
        <v>5763</v>
      </c>
      <c r="K1085" s="1" t="s">
        <v>59</v>
      </c>
      <c r="L1085" s="1" t="s">
        <v>301</v>
      </c>
      <c r="M1085" s="1" t="s">
        <v>5764</v>
      </c>
      <c r="N1085" s="2">
        <v>42886</v>
      </c>
      <c r="O1085" s="1"/>
      <c r="P1085" s="1"/>
      <c r="Q1085" s="1" t="s">
        <v>34</v>
      </c>
      <c r="R1085" s="1"/>
      <c r="S1085" s="1" t="s">
        <v>35</v>
      </c>
      <c r="T1085" s="1">
        <v>44.407967999999997</v>
      </c>
      <c r="U1085" s="1">
        <v>-72.196288999999894</v>
      </c>
      <c r="V1085" s="1" t="s">
        <v>5765</v>
      </c>
      <c r="W1085" s="1"/>
      <c r="X1085" s="1" t="s">
        <v>37</v>
      </c>
      <c r="Y1085" s="1" t="s">
        <v>5766</v>
      </c>
      <c r="Z1085" s="1">
        <v>5873</v>
      </c>
    </row>
    <row r="1086" spans="1:26" ht="42">
      <c r="A1086" s="1" t="str">
        <f>"000YH1"</f>
        <v>000YH1</v>
      </c>
      <c r="B1086" s="1" t="s">
        <v>5767</v>
      </c>
      <c r="C1086" s="1" t="s">
        <v>5768</v>
      </c>
      <c r="D1086" s="1" t="str">
        <f>"8023248488"</f>
        <v>8023248488</v>
      </c>
      <c r="E1086" s="1">
        <v>5164</v>
      </c>
      <c r="F1086" s="1" t="s">
        <v>28</v>
      </c>
      <c r="G1086" s="1" t="s">
        <v>5769</v>
      </c>
      <c r="H1086" s="1"/>
      <c r="I1086" s="1">
        <v>3</v>
      </c>
      <c r="J1086" s="1">
        <v>0</v>
      </c>
      <c r="K1086" s="1" t="s">
        <v>527</v>
      </c>
      <c r="L1086" s="1" t="s">
        <v>5770</v>
      </c>
      <c r="M1086" s="1" t="s">
        <v>5771</v>
      </c>
      <c r="N1086" s="2">
        <v>42886</v>
      </c>
      <c r="O1086" s="1"/>
      <c r="P1086" s="1"/>
      <c r="Q1086" s="1" t="s">
        <v>34</v>
      </c>
      <c r="R1086" s="1"/>
      <c r="S1086" s="1" t="s">
        <v>35</v>
      </c>
      <c r="T1086" s="1">
        <v>44.880504299999998</v>
      </c>
      <c r="U1086" s="1">
        <v>-72.176680899999994</v>
      </c>
      <c r="V1086" s="1" t="s">
        <v>5772</v>
      </c>
      <c r="W1086" s="1"/>
      <c r="X1086" s="1" t="s">
        <v>37</v>
      </c>
      <c r="Y1086" s="1" t="s">
        <v>3836</v>
      </c>
      <c r="Z1086" s="1">
        <v>5855</v>
      </c>
    </row>
    <row r="1087" spans="1:26" ht="42">
      <c r="A1087" s="1" t="str">
        <f>"000YHA"</f>
        <v>000YHA</v>
      </c>
      <c r="B1087" s="1" t="s">
        <v>5773</v>
      </c>
      <c r="C1087" s="1" t="s">
        <v>5774</v>
      </c>
      <c r="D1087" s="1" t="str">
        <f>"8024582303"</f>
        <v>8024582303</v>
      </c>
      <c r="E1087" s="1">
        <v>5165</v>
      </c>
      <c r="F1087" s="1" t="s">
        <v>28</v>
      </c>
      <c r="G1087" s="1" t="s">
        <v>5775</v>
      </c>
      <c r="H1087" s="1"/>
      <c r="I1087" s="1">
        <v>10</v>
      </c>
      <c r="J1087" s="1">
        <v>6</v>
      </c>
      <c r="K1087" s="1" t="s">
        <v>170</v>
      </c>
      <c r="L1087" s="1" t="s">
        <v>171</v>
      </c>
      <c r="M1087" s="1" t="s">
        <v>5776</v>
      </c>
      <c r="N1087" s="2">
        <v>42888</v>
      </c>
      <c r="O1087" s="1"/>
      <c r="P1087" s="1"/>
      <c r="Q1087" s="1" t="s">
        <v>34</v>
      </c>
      <c r="R1087" s="1"/>
      <c r="S1087" s="1" t="s">
        <v>35</v>
      </c>
      <c r="T1087" s="1">
        <v>44.606655000000003</v>
      </c>
      <c r="U1087" s="1">
        <v>-72.6937558999999</v>
      </c>
      <c r="V1087" s="1" t="s">
        <v>5777</v>
      </c>
      <c r="W1087" s="1"/>
      <c r="X1087" s="1" t="s">
        <v>37</v>
      </c>
      <c r="Y1087" s="1" t="s">
        <v>173</v>
      </c>
      <c r="Z1087" s="1">
        <v>5656</v>
      </c>
    </row>
    <row r="1088" spans="1:26" ht="42">
      <c r="A1088" s="1" t="str">
        <f>"000YHA"</f>
        <v>000YHA</v>
      </c>
      <c r="B1088" s="1" t="s">
        <v>5773</v>
      </c>
      <c r="C1088" s="1" t="s">
        <v>5774</v>
      </c>
      <c r="D1088" s="1" t="str">
        <f>"8024582303"</f>
        <v>8024582303</v>
      </c>
      <c r="E1088" s="1">
        <v>5165</v>
      </c>
      <c r="F1088" s="1" t="s">
        <v>28</v>
      </c>
      <c r="G1088" s="1" t="s">
        <v>5778</v>
      </c>
      <c r="H1088" s="1"/>
      <c r="I1088" s="1">
        <v>10</v>
      </c>
      <c r="J1088" s="1">
        <v>7</v>
      </c>
      <c r="K1088" s="1" t="s">
        <v>170</v>
      </c>
      <c r="L1088" s="1" t="s">
        <v>1769</v>
      </c>
      <c r="M1088" s="1" t="s">
        <v>5779</v>
      </c>
      <c r="N1088" s="2">
        <v>42888</v>
      </c>
      <c r="O1088" s="1"/>
      <c r="P1088" s="1"/>
      <c r="Q1088" s="1" t="s">
        <v>34</v>
      </c>
      <c r="R1088" s="1"/>
      <c r="S1088" s="1" t="s">
        <v>35</v>
      </c>
      <c r="T1088" s="1">
        <v>44.609485900000003</v>
      </c>
      <c r="U1088" s="1">
        <v>-72.561706999999998</v>
      </c>
      <c r="V1088" s="1" t="s">
        <v>5780</v>
      </c>
      <c r="W1088" s="1"/>
      <c r="X1088" s="1" t="s">
        <v>37</v>
      </c>
      <c r="Y1088" s="1" t="s">
        <v>1772</v>
      </c>
      <c r="Z1088" s="1">
        <v>5655</v>
      </c>
    </row>
    <row r="1089" spans="1:26" ht="42">
      <c r="A1089" s="1" t="str">
        <f>"000YHA"</f>
        <v>000YHA</v>
      </c>
      <c r="B1089" s="1" t="s">
        <v>5773</v>
      </c>
      <c r="C1089" s="1" t="s">
        <v>5774</v>
      </c>
      <c r="D1089" s="1" t="str">
        <f>"8024582303"</f>
        <v>8024582303</v>
      </c>
      <c r="E1089" s="1">
        <v>5165</v>
      </c>
      <c r="F1089" s="1" t="s">
        <v>28</v>
      </c>
      <c r="G1089" s="1" t="s">
        <v>5781</v>
      </c>
      <c r="H1089" s="1"/>
      <c r="I1089" s="1">
        <v>16</v>
      </c>
      <c r="J1089" s="1">
        <v>3</v>
      </c>
      <c r="K1089" s="1" t="s">
        <v>170</v>
      </c>
      <c r="L1089" s="1" t="s">
        <v>2369</v>
      </c>
      <c r="M1089" s="1" t="s">
        <v>5782</v>
      </c>
      <c r="N1089" s="2">
        <v>42888</v>
      </c>
      <c r="O1089" s="2">
        <v>43221</v>
      </c>
      <c r="P1089" s="1"/>
      <c r="Q1089" s="1" t="s">
        <v>34</v>
      </c>
      <c r="R1089" s="1"/>
      <c r="S1089" s="1" t="s">
        <v>35</v>
      </c>
      <c r="T1089" s="1">
        <v>44.731312000000003</v>
      </c>
      <c r="U1089" s="1">
        <v>-72.562461999999897</v>
      </c>
      <c r="V1089" s="1" t="s">
        <v>5783</v>
      </c>
      <c r="W1089" s="1"/>
      <c r="X1089" s="1" t="s">
        <v>37</v>
      </c>
      <c r="Y1089" s="1" t="s">
        <v>2372</v>
      </c>
      <c r="Z1089" s="1">
        <v>5652</v>
      </c>
    </row>
    <row r="1090" spans="1:26" ht="42">
      <c r="A1090" s="1" t="str">
        <f>"000YHA"</f>
        <v>000YHA</v>
      </c>
      <c r="B1090" s="1" t="s">
        <v>5773</v>
      </c>
      <c r="C1090" s="1" t="s">
        <v>5774</v>
      </c>
      <c r="D1090" s="1" t="str">
        <f>"8024582303"</f>
        <v>8024582303</v>
      </c>
      <c r="E1090" s="1">
        <v>5165</v>
      </c>
      <c r="F1090" s="1" t="s">
        <v>28</v>
      </c>
      <c r="G1090" s="1" t="s">
        <v>5784</v>
      </c>
      <c r="H1090" s="1"/>
      <c r="I1090" s="1">
        <v>10</v>
      </c>
      <c r="J1090" s="1">
        <v>3</v>
      </c>
      <c r="K1090" s="1" t="s">
        <v>43</v>
      </c>
      <c r="L1090" s="1" t="s">
        <v>86</v>
      </c>
      <c r="M1090" s="1" t="s">
        <v>5785</v>
      </c>
      <c r="N1090" s="2">
        <v>42888</v>
      </c>
      <c r="O1090" s="1"/>
      <c r="P1090" s="1"/>
      <c r="Q1090" s="1" t="s">
        <v>34</v>
      </c>
      <c r="R1090" s="1"/>
      <c r="S1090" s="1" t="s">
        <v>35</v>
      </c>
      <c r="T1090" s="1">
        <v>44.615191000000003</v>
      </c>
      <c r="U1090" s="1">
        <v>-73.144058999999899</v>
      </c>
      <c r="V1090" s="1" t="s">
        <v>5786</v>
      </c>
      <c r="W1090" s="1"/>
      <c r="X1090" s="1" t="s">
        <v>37</v>
      </c>
      <c r="Y1090" s="1" t="s">
        <v>89</v>
      </c>
      <c r="Z1090" s="1">
        <v>5468</v>
      </c>
    </row>
    <row r="1091" spans="1:26" ht="42">
      <c r="A1091" s="1" t="str">
        <f>"000YHA"</f>
        <v>000YHA</v>
      </c>
      <c r="B1091" s="1" t="s">
        <v>5773</v>
      </c>
      <c r="C1091" s="1" t="s">
        <v>5774</v>
      </c>
      <c r="D1091" s="1" t="str">
        <f>"8024582303"</f>
        <v>8024582303</v>
      </c>
      <c r="E1091" s="1">
        <v>5165</v>
      </c>
      <c r="F1091" s="1" t="s">
        <v>28</v>
      </c>
      <c r="G1091" s="1" t="s">
        <v>5787</v>
      </c>
      <c r="H1091" s="1"/>
      <c r="I1091" s="1">
        <v>10</v>
      </c>
      <c r="J1091" s="1">
        <v>2</v>
      </c>
      <c r="K1091" s="1" t="s">
        <v>43</v>
      </c>
      <c r="L1091" s="1" t="s">
        <v>86</v>
      </c>
      <c r="M1091" s="1" t="s">
        <v>5788</v>
      </c>
      <c r="N1091" s="2">
        <v>42888</v>
      </c>
      <c r="O1091" s="1"/>
      <c r="P1091" s="1"/>
      <c r="Q1091" s="1" t="s">
        <v>34</v>
      </c>
      <c r="R1091" s="1"/>
      <c r="S1091" s="1" t="s">
        <v>35</v>
      </c>
      <c r="T1091" s="1">
        <v>44.679817200000002</v>
      </c>
      <c r="U1091" s="1">
        <v>-73.115051300000005</v>
      </c>
      <c r="V1091" s="1" t="s">
        <v>5789</v>
      </c>
      <c r="W1091" s="1"/>
      <c r="X1091" s="1" t="s">
        <v>37</v>
      </c>
      <c r="Y1091" s="1" t="s">
        <v>89</v>
      </c>
      <c r="Z1091" s="1">
        <v>5468</v>
      </c>
    </row>
    <row r="1092" spans="1:26" ht="42">
      <c r="A1092" s="1" t="str">
        <f>"000YHA"</f>
        <v>000YHA</v>
      </c>
      <c r="B1092" s="1" t="s">
        <v>5773</v>
      </c>
      <c r="C1092" s="1" t="s">
        <v>5774</v>
      </c>
      <c r="D1092" s="1" t="str">
        <f>"8024582303"</f>
        <v>8024582303</v>
      </c>
      <c r="E1092" s="1">
        <v>5165</v>
      </c>
      <c r="F1092" s="1" t="s">
        <v>28</v>
      </c>
      <c r="G1092" s="1" t="s">
        <v>5790</v>
      </c>
      <c r="H1092" s="1"/>
      <c r="I1092" s="1">
        <v>10</v>
      </c>
      <c r="J1092" s="1">
        <v>4</v>
      </c>
      <c r="K1092" s="1" t="s">
        <v>43</v>
      </c>
      <c r="L1092" s="1" t="s">
        <v>86</v>
      </c>
      <c r="M1092" s="1" t="s">
        <v>5791</v>
      </c>
      <c r="N1092" s="2">
        <v>42888</v>
      </c>
      <c r="O1092" s="1"/>
      <c r="P1092" s="1"/>
      <c r="Q1092" s="1" t="s">
        <v>34</v>
      </c>
      <c r="R1092" s="1"/>
      <c r="S1092" s="1" t="s">
        <v>35</v>
      </c>
      <c r="T1092" s="1">
        <v>44.688292999999902</v>
      </c>
      <c r="U1092" s="1">
        <v>-73.177150999999895</v>
      </c>
      <c r="V1092" s="1" t="s">
        <v>5792</v>
      </c>
      <c r="W1092" s="1"/>
      <c r="X1092" s="1" t="s">
        <v>37</v>
      </c>
      <c r="Y1092" s="1" t="s">
        <v>89</v>
      </c>
      <c r="Z1092" s="1">
        <v>5468</v>
      </c>
    </row>
    <row r="1093" spans="1:26" ht="42">
      <c r="A1093" s="1" t="str">
        <f>"000YHA"</f>
        <v>000YHA</v>
      </c>
      <c r="B1093" s="1" t="s">
        <v>5773</v>
      </c>
      <c r="C1093" s="1" t="s">
        <v>5774</v>
      </c>
      <c r="D1093" s="1" t="str">
        <f>"8024582303"</f>
        <v>8024582303</v>
      </c>
      <c r="E1093" s="1">
        <v>5165</v>
      </c>
      <c r="F1093" s="1" t="s">
        <v>28</v>
      </c>
      <c r="G1093" s="1" t="s">
        <v>5793</v>
      </c>
      <c r="H1093" s="1"/>
      <c r="I1093" s="1">
        <v>0</v>
      </c>
      <c r="J1093" s="1">
        <v>1</v>
      </c>
      <c r="K1093" s="1" t="s">
        <v>152</v>
      </c>
      <c r="L1093" s="1" t="s">
        <v>1062</v>
      </c>
      <c r="M1093" s="1" t="s">
        <v>5794</v>
      </c>
      <c r="N1093" s="2">
        <v>43230</v>
      </c>
      <c r="O1093" s="1"/>
      <c r="P1093" s="1"/>
      <c r="Q1093" s="1" t="s">
        <v>34</v>
      </c>
      <c r="R1093" s="1"/>
      <c r="S1093" s="1" t="s">
        <v>35</v>
      </c>
      <c r="T1093" s="1">
        <v>44.708866</v>
      </c>
      <c r="U1093" s="1">
        <v>-73.148208999999994</v>
      </c>
      <c r="V1093" s="1" t="s">
        <v>5795</v>
      </c>
      <c r="W1093" s="1"/>
      <c r="X1093" s="1" t="s">
        <v>37</v>
      </c>
      <c r="Y1093" s="1" t="s">
        <v>1064</v>
      </c>
      <c r="Z1093" s="1">
        <v>0</v>
      </c>
    </row>
    <row r="1094" spans="1:26" ht="42">
      <c r="A1094" s="1" t="str">
        <f>"000YHA"</f>
        <v>000YHA</v>
      </c>
      <c r="B1094" s="1" t="s">
        <v>5773</v>
      </c>
      <c r="C1094" s="1" t="s">
        <v>5774</v>
      </c>
      <c r="D1094" s="1" t="str">
        <f>"8024582303"</f>
        <v>8024582303</v>
      </c>
      <c r="E1094" s="1">
        <v>5165</v>
      </c>
      <c r="F1094" s="1" t="s">
        <v>28</v>
      </c>
      <c r="G1094" s="1" t="s">
        <v>5796</v>
      </c>
      <c r="H1094" s="1"/>
      <c r="I1094" s="1">
        <v>10</v>
      </c>
      <c r="J1094" s="1">
        <v>5</v>
      </c>
      <c r="K1094" s="1" t="s">
        <v>43</v>
      </c>
      <c r="L1094" s="1" t="s">
        <v>86</v>
      </c>
      <c r="M1094" s="1" t="s">
        <v>5797</v>
      </c>
      <c r="N1094" s="2">
        <v>43230</v>
      </c>
      <c r="O1094" s="1"/>
      <c r="P1094" s="1"/>
      <c r="Q1094" s="1" t="s">
        <v>34</v>
      </c>
      <c r="R1094" s="1"/>
      <c r="S1094" s="1" t="s">
        <v>35</v>
      </c>
      <c r="T1094" s="1">
        <v>44.635015000000003</v>
      </c>
      <c r="U1094" s="1">
        <v>-73.174577999999997</v>
      </c>
      <c r="V1094" s="1" t="s">
        <v>5798</v>
      </c>
      <c r="W1094" s="1"/>
      <c r="X1094" s="1" t="s">
        <v>37</v>
      </c>
      <c r="Y1094" s="1" t="s">
        <v>89</v>
      </c>
      <c r="Z1094" s="1">
        <v>0</v>
      </c>
    </row>
    <row r="1095" spans="1:26" ht="42">
      <c r="A1095" s="1" t="str">
        <f>"000YJC"</f>
        <v>000YJC</v>
      </c>
      <c r="B1095" s="1" t="s">
        <v>5799</v>
      </c>
      <c r="C1095" s="1" t="s">
        <v>5800</v>
      </c>
      <c r="D1095" s="1" t="str">
        <f>"4436687262"</f>
        <v>4436687262</v>
      </c>
      <c r="E1095" s="1">
        <v>5167</v>
      </c>
      <c r="F1095" s="1" t="s">
        <v>28</v>
      </c>
      <c r="G1095" s="1" t="s">
        <v>5801</v>
      </c>
      <c r="H1095" s="1"/>
      <c r="I1095" s="1">
        <v>6</v>
      </c>
      <c r="J1095" s="1">
        <v>1</v>
      </c>
      <c r="K1095" s="1" t="s">
        <v>135</v>
      </c>
      <c r="L1095" s="1" t="s">
        <v>1630</v>
      </c>
      <c r="M1095" s="1" t="s">
        <v>5802</v>
      </c>
      <c r="N1095" s="2">
        <v>42891</v>
      </c>
      <c r="O1095" s="1"/>
      <c r="P1095" s="1"/>
      <c r="Q1095" s="1" t="s">
        <v>34</v>
      </c>
      <c r="R1095" s="1"/>
      <c r="S1095" s="1" t="s">
        <v>35</v>
      </c>
      <c r="T1095" s="1">
        <v>43.677601000000003</v>
      </c>
      <c r="U1095" s="1">
        <v>-73.203545000000005</v>
      </c>
      <c r="V1095" s="1" t="s">
        <v>5803</v>
      </c>
      <c r="W1095" s="1"/>
      <c r="X1095" s="1" t="s">
        <v>37</v>
      </c>
      <c r="Y1095" s="1" t="s">
        <v>1633</v>
      </c>
      <c r="Z1095" s="1">
        <v>5735</v>
      </c>
    </row>
    <row r="1096" spans="1:26" ht="42">
      <c r="A1096" s="1" t="str">
        <f>"000YJD"</f>
        <v>000YJD</v>
      </c>
      <c r="B1096" s="1" t="s">
        <v>5804</v>
      </c>
      <c r="C1096" s="1" t="s">
        <v>5805</v>
      </c>
      <c r="D1096" s="1" t="str">
        <f>"8024962131"</f>
        <v>8024962131</v>
      </c>
      <c r="E1096" s="1">
        <v>5168</v>
      </c>
      <c r="F1096" s="1" t="s">
        <v>28</v>
      </c>
      <c r="G1096" s="1" t="s">
        <v>5806</v>
      </c>
      <c r="H1096" s="1"/>
      <c r="I1096" s="1">
        <v>2</v>
      </c>
      <c r="J1096" s="1" t="s">
        <v>5807</v>
      </c>
      <c r="K1096" s="1" t="s">
        <v>31</v>
      </c>
      <c r="L1096" s="1" t="s">
        <v>94</v>
      </c>
      <c r="M1096" s="1" t="s">
        <v>5808</v>
      </c>
      <c r="N1096" s="2">
        <v>42891</v>
      </c>
      <c r="O1096" s="1"/>
      <c r="P1096" s="1"/>
      <c r="Q1096" s="1" t="s">
        <v>34</v>
      </c>
      <c r="R1096" s="1"/>
      <c r="S1096" s="1" t="s">
        <v>35</v>
      </c>
      <c r="T1096" s="1">
        <v>44.144098</v>
      </c>
      <c r="U1096" s="1">
        <v>-72.805349999999905</v>
      </c>
      <c r="V1096" s="1" t="s">
        <v>5809</v>
      </c>
      <c r="W1096" s="1"/>
      <c r="X1096" s="1" t="s">
        <v>37</v>
      </c>
      <c r="Y1096" s="1" t="s">
        <v>96</v>
      </c>
      <c r="Z1096" s="1">
        <v>5673</v>
      </c>
    </row>
    <row r="1097" spans="1:26" ht="42">
      <c r="A1097" s="1" t="str">
        <f>"000YJN"</f>
        <v>000YJN</v>
      </c>
      <c r="B1097" s="1" t="s">
        <v>5810</v>
      </c>
      <c r="C1097" s="1" t="s">
        <v>5811</v>
      </c>
      <c r="D1097" s="1" t="str">
        <f>"8028606310"</f>
        <v>8028606310</v>
      </c>
      <c r="E1097" s="1">
        <v>5169</v>
      </c>
      <c r="F1097" s="1" t="s">
        <v>28</v>
      </c>
      <c r="G1097" s="1" t="s">
        <v>5812</v>
      </c>
      <c r="H1097" s="1"/>
      <c r="I1097" s="1">
        <v>1</v>
      </c>
      <c r="J1097" s="1" t="s">
        <v>5813</v>
      </c>
      <c r="K1097" s="1" t="s">
        <v>43</v>
      </c>
      <c r="L1097" s="1" t="s">
        <v>778</v>
      </c>
      <c r="M1097" s="1" t="s">
        <v>5814</v>
      </c>
      <c r="N1097" s="2">
        <v>42892</v>
      </c>
      <c r="O1097" s="1"/>
      <c r="P1097" s="1"/>
      <c r="Q1097" s="1" t="s">
        <v>34</v>
      </c>
      <c r="R1097" s="1"/>
      <c r="S1097" s="1" t="s">
        <v>35</v>
      </c>
      <c r="T1097" s="1">
        <v>44.541443000000001</v>
      </c>
      <c r="U1097" s="1">
        <v>-73.210319999999996</v>
      </c>
      <c r="V1097" s="1" t="s">
        <v>5815</v>
      </c>
      <c r="W1097" s="1"/>
      <c r="X1097" s="1" t="s">
        <v>37</v>
      </c>
      <c r="Y1097" s="1" t="s">
        <v>781</v>
      </c>
      <c r="Z1097" s="1">
        <v>5446</v>
      </c>
    </row>
    <row r="1098" spans="1:26" ht="42">
      <c r="A1098" s="1" t="str">
        <f>"000YJW"</f>
        <v>000YJW</v>
      </c>
      <c r="B1098" s="1" t="s">
        <v>5816</v>
      </c>
      <c r="C1098" s="1" t="s">
        <v>5817</v>
      </c>
      <c r="D1098" s="1" t="str">
        <f>"8029993550"</f>
        <v>8029993550</v>
      </c>
      <c r="E1098" s="1">
        <v>5170</v>
      </c>
      <c r="F1098" s="1" t="s">
        <v>28</v>
      </c>
      <c r="G1098" s="1" t="s">
        <v>5818</v>
      </c>
      <c r="H1098" s="1"/>
      <c r="I1098" s="1">
        <v>2</v>
      </c>
      <c r="J1098" s="1" t="s">
        <v>5819</v>
      </c>
      <c r="K1098" s="1" t="s">
        <v>152</v>
      </c>
      <c r="L1098" s="1" t="s">
        <v>1143</v>
      </c>
      <c r="M1098" s="1" t="s">
        <v>5820</v>
      </c>
      <c r="N1098" s="2">
        <v>42893</v>
      </c>
      <c r="O1098" s="1"/>
      <c r="P1098" s="1"/>
      <c r="Q1098" s="1" t="s">
        <v>34</v>
      </c>
      <c r="R1098" s="1"/>
      <c r="S1098" s="1" t="s">
        <v>35</v>
      </c>
      <c r="T1098" s="1">
        <v>44.803578899999998</v>
      </c>
      <c r="U1098" s="1">
        <v>-73.089442700000006</v>
      </c>
      <c r="V1098" s="1" t="s">
        <v>5821</v>
      </c>
      <c r="W1098" s="1"/>
      <c r="X1098" s="1" t="s">
        <v>37</v>
      </c>
      <c r="Y1098" s="1" t="s">
        <v>1185</v>
      </c>
      <c r="Z1098" s="1">
        <v>5478</v>
      </c>
    </row>
    <row r="1099" spans="1:26" ht="42">
      <c r="A1099" s="1" t="str">
        <f>"000YKB"</f>
        <v>000YKB</v>
      </c>
      <c r="B1099" s="1" t="s">
        <v>5822</v>
      </c>
      <c r="C1099" s="1" t="s">
        <v>5823</v>
      </c>
      <c r="D1099" s="1" t="str">
        <f>"8024534773"</f>
        <v>8024534773</v>
      </c>
      <c r="E1099" s="1">
        <v>5171</v>
      </c>
      <c r="F1099" s="1" t="s">
        <v>28</v>
      </c>
      <c r="G1099" s="1" t="s">
        <v>5824</v>
      </c>
      <c r="H1099" s="1"/>
      <c r="I1099" s="1">
        <v>2</v>
      </c>
      <c r="J1099" s="1" t="s">
        <v>5825</v>
      </c>
      <c r="K1099" s="1" t="s">
        <v>333</v>
      </c>
      <c r="L1099" s="1" t="s">
        <v>2188</v>
      </c>
      <c r="M1099" s="1" t="s">
        <v>5826</v>
      </c>
      <c r="N1099" s="2">
        <v>42895</v>
      </c>
      <c r="O1099" s="1"/>
      <c r="P1099" s="1"/>
      <c r="Q1099" s="1" t="s">
        <v>34</v>
      </c>
      <c r="R1099" s="1"/>
      <c r="S1099" s="1" t="s">
        <v>35</v>
      </c>
      <c r="T1099" s="1"/>
      <c r="U1099" s="1"/>
      <c r="V1099" s="1" t="s">
        <v>5827</v>
      </c>
      <c r="W1099" s="1"/>
      <c r="X1099" s="1" t="s">
        <v>37</v>
      </c>
      <c r="Y1099" s="1" t="s">
        <v>5828</v>
      </c>
      <c r="Z1099" s="1">
        <v>5443</v>
      </c>
    </row>
    <row r="1100" spans="1:26" ht="42">
      <c r="A1100" s="1" t="str">
        <f>"000YKV"</f>
        <v>000YKV</v>
      </c>
      <c r="B1100" s="1" t="s">
        <v>5829</v>
      </c>
      <c r="C1100" s="1" t="s">
        <v>5830</v>
      </c>
      <c r="D1100" s="1" t="str">
        <f>"8024534767"</f>
        <v>8024534767</v>
      </c>
      <c r="E1100" s="1">
        <v>5172</v>
      </c>
      <c r="F1100" s="1" t="s">
        <v>28</v>
      </c>
      <c r="G1100" s="1" t="s">
        <v>5831</v>
      </c>
      <c r="H1100" s="1"/>
      <c r="I1100" s="1">
        <v>2</v>
      </c>
      <c r="J1100" s="1" t="s">
        <v>5832</v>
      </c>
      <c r="K1100" s="1" t="s">
        <v>333</v>
      </c>
      <c r="L1100" s="1" t="s">
        <v>876</v>
      </c>
      <c r="M1100" s="1" t="s">
        <v>5833</v>
      </c>
      <c r="N1100" s="2">
        <v>42900</v>
      </c>
      <c r="O1100" s="1"/>
      <c r="P1100" s="1"/>
      <c r="Q1100" s="1" t="s">
        <v>34</v>
      </c>
      <c r="R1100" s="1"/>
      <c r="S1100" s="1" t="s">
        <v>35</v>
      </c>
      <c r="T1100" s="1">
        <v>44.154502999999998</v>
      </c>
      <c r="U1100" s="1">
        <v>-73.104529999999997</v>
      </c>
      <c r="V1100" s="1" t="s">
        <v>5834</v>
      </c>
      <c r="W1100" s="1"/>
      <c r="X1100" s="1" t="s">
        <v>37</v>
      </c>
      <c r="Y1100" s="1" t="s">
        <v>5835</v>
      </c>
      <c r="Z1100" s="1">
        <v>5443</v>
      </c>
    </row>
    <row r="1101" spans="1:26" ht="42">
      <c r="A1101" s="1" t="str">
        <f>"000YKW"</f>
        <v>000YKW</v>
      </c>
      <c r="B1101" s="1" t="s">
        <v>5836</v>
      </c>
      <c r="C1101" s="1" t="s">
        <v>5837</v>
      </c>
      <c r="D1101" s="1" t="str">
        <f>"8028292070"</f>
        <v>8028292070</v>
      </c>
      <c r="E1101" s="1">
        <v>5173</v>
      </c>
      <c r="F1101" s="1" t="s">
        <v>28</v>
      </c>
      <c r="G1101" s="1" t="s">
        <v>5838</v>
      </c>
      <c r="H1101" s="1"/>
      <c r="I1101" s="1">
        <v>1</v>
      </c>
      <c r="J1101" s="1" t="s">
        <v>5839</v>
      </c>
      <c r="K1101" s="1" t="s">
        <v>43</v>
      </c>
      <c r="L1101" s="1" t="s">
        <v>44</v>
      </c>
      <c r="M1101" s="1" t="s">
        <v>5840</v>
      </c>
      <c r="N1101" s="2">
        <v>42900</v>
      </c>
      <c r="O1101" s="1"/>
      <c r="P1101" s="1"/>
      <c r="Q1101" s="1" t="s">
        <v>34</v>
      </c>
      <c r="R1101" s="1"/>
      <c r="S1101" s="1" t="s">
        <v>35</v>
      </c>
      <c r="T1101" s="1">
        <v>44.485506000000001</v>
      </c>
      <c r="U1101" s="1">
        <v>-73.219124999999906</v>
      </c>
      <c r="V1101" s="1" t="s">
        <v>5841</v>
      </c>
      <c r="W1101" s="1"/>
      <c r="X1101" s="1" t="s">
        <v>37</v>
      </c>
      <c r="Y1101" s="1" t="s">
        <v>5842</v>
      </c>
      <c r="Z1101" s="1">
        <v>5401</v>
      </c>
    </row>
    <row r="1102" spans="1:26" ht="42">
      <c r="A1102" s="1" t="str">
        <f>"000YN2"</f>
        <v>000YN2</v>
      </c>
      <c r="B1102" s="1" t="s">
        <v>5843</v>
      </c>
      <c r="C1102" s="1" t="s">
        <v>5844</v>
      </c>
      <c r="D1102" s="1" t="str">
        <f>"8022360110"</f>
        <v>8022360110</v>
      </c>
      <c r="E1102" s="1">
        <v>5175</v>
      </c>
      <c r="F1102" s="1" t="s">
        <v>28</v>
      </c>
      <c r="G1102" s="1" t="s">
        <v>5845</v>
      </c>
      <c r="H1102" s="1"/>
      <c r="I1102" s="1">
        <v>2</v>
      </c>
      <c r="J1102" s="1" t="s">
        <v>5846</v>
      </c>
      <c r="K1102" s="1" t="s">
        <v>144</v>
      </c>
      <c r="L1102" s="1" t="s">
        <v>4700</v>
      </c>
      <c r="M1102" s="1" t="s">
        <v>5847</v>
      </c>
      <c r="N1102" s="2">
        <v>42905</v>
      </c>
      <c r="O1102" s="1"/>
      <c r="P1102" s="1"/>
      <c r="Q1102" s="1" t="s">
        <v>34</v>
      </c>
      <c r="R1102" s="1"/>
      <c r="S1102" s="1" t="s">
        <v>35</v>
      </c>
      <c r="T1102" s="1">
        <v>42.850834599999999</v>
      </c>
      <c r="U1102" s="1">
        <v>-72.6967243</v>
      </c>
      <c r="V1102" s="1" t="s">
        <v>5848</v>
      </c>
      <c r="W1102" s="1"/>
      <c r="X1102" s="1" t="s">
        <v>37</v>
      </c>
      <c r="Y1102" s="1" t="s">
        <v>4703</v>
      </c>
      <c r="Z1102" s="1">
        <v>5301</v>
      </c>
    </row>
    <row r="1103" spans="1:26" ht="42">
      <c r="A1103" s="1" t="str">
        <f>"000YN3"</f>
        <v>000YN3</v>
      </c>
      <c r="B1103" s="1" t="s">
        <v>5849</v>
      </c>
      <c r="C1103" s="1" t="s">
        <v>5850</v>
      </c>
      <c r="D1103" s="1" t="str">
        <f>"8022740386"</f>
        <v>8022740386</v>
      </c>
      <c r="E1103" s="1">
        <v>5176</v>
      </c>
      <c r="F1103" s="1" t="s">
        <v>28</v>
      </c>
      <c r="G1103" s="1" t="s">
        <v>5851</v>
      </c>
      <c r="H1103" s="1"/>
      <c r="I1103" s="1">
        <v>2</v>
      </c>
      <c r="J1103" s="1" t="s">
        <v>1374</v>
      </c>
      <c r="K1103" s="1" t="s">
        <v>59</v>
      </c>
      <c r="L1103" s="1" t="s">
        <v>2466</v>
      </c>
      <c r="M1103" s="1" t="s">
        <v>5852</v>
      </c>
      <c r="N1103" s="2">
        <v>42905</v>
      </c>
      <c r="O1103" s="1"/>
      <c r="P1103" s="1"/>
      <c r="Q1103" s="1" t="s">
        <v>34</v>
      </c>
      <c r="R1103" s="1"/>
      <c r="S1103" s="1" t="s">
        <v>35</v>
      </c>
      <c r="T1103" s="1"/>
      <c r="U1103" s="1"/>
      <c r="V1103" s="1" t="s">
        <v>5853</v>
      </c>
      <c r="W1103" s="1"/>
      <c r="X1103" s="1" t="s">
        <v>37</v>
      </c>
      <c r="Y1103" s="1" t="s">
        <v>5852</v>
      </c>
      <c r="Z1103" s="1">
        <v>5819</v>
      </c>
    </row>
    <row r="1104" spans="1:26" ht="42">
      <c r="A1104" s="1" t="str">
        <f>"000YN7"</f>
        <v>000YN7</v>
      </c>
      <c r="B1104" s="1" t="s">
        <v>5854</v>
      </c>
      <c r="C1104" s="1" t="s">
        <v>5855</v>
      </c>
      <c r="D1104" s="1" t="str">
        <f>"8027357177"</f>
        <v>8027357177</v>
      </c>
      <c r="E1104" s="1">
        <v>5177</v>
      </c>
      <c r="F1104" s="1" t="s">
        <v>28</v>
      </c>
      <c r="G1104" s="1" t="s">
        <v>5856</v>
      </c>
      <c r="H1104" s="1"/>
      <c r="I1104" s="1">
        <v>1</v>
      </c>
      <c r="J1104" s="1" t="s">
        <v>5857</v>
      </c>
      <c r="K1104" s="1" t="s">
        <v>43</v>
      </c>
      <c r="L1104" s="1" t="s">
        <v>44</v>
      </c>
      <c r="M1104" s="1" t="s">
        <v>5858</v>
      </c>
      <c r="N1104" s="2">
        <v>42906</v>
      </c>
      <c r="O1104" s="1"/>
      <c r="P1104" s="1"/>
      <c r="Q1104" s="1" t="s">
        <v>34</v>
      </c>
      <c r="R1104" s="1"/>
      <c r="S1104" s="1" t="s">
        <v>35</v>
      </c>
      <c r="T1104" s="1"/>
      <c r="U1104" s="1"/>
      <c r="V1104" s="1" t="s">
        <v>5859</v>
      </c>
      <c r="W1104" s="1"/>
      <c r="X1104" s="1" t="s">
        <v>37</v>
      </c>
      <c r="Y1104" s="1" t="s">
        <v>46</v>
      </c>
      <c r="Z1104" s="1">
        <v>5401</v>
      </c>
    </row>
    <row r="1105" spans="1:26" ht="42">
      <c r="A1105" s="1" t="str">
        <f>"000YNC"</f>
        <v>000YNC</v>
      </c>
      <c r="B1105" s="1" t="s">
        <v>5860</v>
      </c>
      <c r="C1105" s="1" t="s">
        <v>5861</v>
      </c>
      <c r="D1105" s="1" t="str">
        <f>"8024617041"</f>
        <v>8024617041</v>
      </c>
      <c r="E1105" s="1">
        <v>5178</v>
      </c>
      <c r="F1105" s="1" t="s">
        <v>28</v>
      </c>
      <c r="G1105" s="1" t="s">
        <v>5862</v>
      </c>
      <c r="H1105" s="1"/>
      <c r="I1105" s="1">
        <v>1</v>
      </c>
      <c r="J1105" s="1" t="s">
        <v>5863</v>
      </c>
      <c r="K1105" s="1" t="s">
        <v>68</v>
      </c>
      <c r="L1105" s="1" t="s">
        <v>2265</v>
      </c>
      <c r="M1105" s="1" t="s">
        <v>5864</v>
      </c>
      <c r="N1105" s="2">
        <v>42907</v>
      </c>
      <c r="O1105" s="1"/>
      <c r="P1105" s="2">
        <v>42971</v>
      </c>
      <c r="Q1105" s="1" t="s">
        <v>34</v>
      </c>
      <c r="R1105" s="1"/>
      <c r="S1105" s="1" t="s">
        <v>35</v>
      </c>
      <c r="T1105" s="1">
        <v>44.007668000000002</v>
      </c>
      <c r="U1105" s="1">
        <v>-72.633285999999998</v>
      </c>
      <c r="V1105" s="1" t="s">
        <v>5865</v>
      </c>
      <c r="W1105" s="1"/>
      <c r="X1105" s="1" t="s">
        <v>37</v>
      </c>
      <c r="Y1105" s="1" t="s">
        <v>2268</v>
      </c>
      <c r="Z1105" s="1">
        <v>5036</v>
      </c>
    </row>
    <row r="1106" spans="1:26" ht="42">
      <c r="A1106" s="1" t="str">
        <f>"000YP3"</f>
        <v>000YP3</v>
      </c>
      <c r="B1106" s="1" t="s">
        <v>5866</v>
      </c>
      <c r="C1106" s="1" t="s">
        <v>5867</v>
      </c>
      <c r="D1106" s="1" t="str">
        <f>"8023878777"</f>
        <v>8023878777</v>
      </c>
      <c r="E1106" s="1">
        <v>5179</v>
      </c>
      <c r="F1106" s="1" t="s">
        <v>28</v>
      </c>
      <c r="G1106" s="1" t="s">
        <v>5868</v>
      </c>
      <c r="H1106" s="1"/>
      <c r="I1106" s="1">
        <v>3</v>
      </c>
      <c r="J1106" s="1" t="s">
        <v>5869</v>
      </c>
      <c r="K1106" s="1" t="s">
        <v>77</v>
      </c>
      <c r="L1106" s="1"/>
      <c r="M1106" s="1" t="s">
        <v>5870</v>
      </c>
      <c r="N1106" s="2">
        <v>42912</v>
      </c>
      <c r="O1106" s="1"/>
      <c r="P1106" s="1"/>
      <c r="Q1106" s="1" t="s">
        <v>34</v>
      </c>
      <c r="R1106" s="1"/>
      <c r="S1106" s="1" t="s">
        <v>35</v>
      </c>
      <c r="T1106" s="1">
        <v>42.963373999999902</v>
      </c>
      <c r="U1106" s="1">
        <v>-72.536772999999897</v>
      </c>
      <c r="V1106" s="1" t="s">
        <v>5871</v>
      </c>
      <c r="W1106" s="1"/>
      <c r="X1106" s="1" t="s">
        <v>37</v>
      </c>
      <c r="Y1106" s="1" t="s">
        <v>5458</v>
      </c>
      <c r="Z1106" s="1">
        <v>5436</v>
      </c>
    </row>
    <row r="1107" spans="1:26" ht="42">
      <c r="A1107" s="1" t="str">
        <f>"000YP7"</f>
        <v>000YP7</v>
      </c>
      <c r="B1107" s="1" t="s">
        <v>5872</v>
      </c>
      <c r="C1107" s="1" t="s">
        <v>5873</v>
      </c>
      <c r="D1107" s="1" t="str">
        <f>"8023381625"</f>
        <v>8023381625</v>
      </c>
      <c r="E1107" s="1">
        <v>5180</v>
      </c>
      <c r="F1107" s="1" t="s">
        <v>28</v>
      </c>
      <c r="G1107" s="1" t="s">
        <v>5874</v>
      </c>
      <c r="H1107" s="1"/>
      <c r="I1107" s="1">
        <v>6</v>
      </c>
      <c r="J1107" s="1" t="s">
        <v>5875</v>
      </c>
      <c r="K1107" s="1" t="s">
        <v>152</v>
      </c>
      <c r="L1107" s="1" t="s">
        <v>1048</v>
      </c>
      <c r="M1107" s="1" t="s">
        <v>5876</v>
      </c>
      <c r="N1107" s="2">
        <v>42913</v>
      </c>
      <c r="O1107" s="1"/>
      <c r="P1107" s="1"/>
      <c r="Q1107" s="1" t="s">
        <v>34</v>
      </c>
      <c r="R1107" s="1"/>
      <c r="S1107" s="1" t="s">
        <v>35</v>
      </c>
      <c r="T1107" s="1">
        <v>44.741146800000003</v>
      </c>
      <c r="U1107" s="1">
        <v>-73.068069199999897</v>
      </c>
      <c r="V1107" s="1" t="s">
        <v>5877</v>
      </c>
      <c r="W1107" s="1"/>
      <c r="X1107" s="1" t="s">
        <v>37</v>
      </c>
      <c r="Y1107" s="1" t="s">
        <v>1051</v>
      </c>
      <c r="Z1107" s="1">
        <v>5454</v>
      </c>
    </row>
    <row r="1108" spans="1:26" ht="42">
      <c r="A1108" s="1" t="str">
        <f>"000YPB"</f>
        <v>000YPB</v>
      </c>
      <c r="B1108" s="1" t="s">
        <v>5878</v>
      </c>
      <c r="C1108" s="1" t="s">
        <v>5879</v>
      </c>
      <c r="D1108" s="1" t="str">
        <f>"8028914219"</f>
        <v>8028914219</v>
      </c>
      <c r="E1108" s="1">
        <v>5181</v>
      </c>
      <c r="F1108" s="1" t="s">
        <v>28</v>
      </c>
      <c r="G1108" s="1" t="s">
        <v>5880</v>
      </c>
      <c r="H1108" s="1"/>
      <c r="I1108" s="1">
        <v>13</v>
      </c>
      <c r="J1108" s="1" t="s">
        <v>5881</v>
      </c>
      <c r="K1108" s="1" t="s">
        <v>428</v>
      </c>
      <c r="L1108" s="1" t="s">
        <v>1416</v>
      </c>
      <c r="M1108" s="1" t="s">
        <v>5882</v>
      </c>
      <c r="N1108" s="2">
        <v>42914</v>
      </c>
      <c r="O1108" s="1"/>
      <c r="P1108" s="1"/>
      <c r="Q1108" s="1" t="s">
        <v>34</v>
      </c>
      <c r="R1108" s="1"/>
      <c r="S1108" s="1" t="s">
        <v>35</v>
      </c>
      <c r="T1108" s="1">
        <v>44.694533200000002</v>
      </c>
      <c r="U1108" s="1">
        <v>-73.365403200000003</v>
      </c>
      <c r="V1108" s="1" t="s">
        <v>5883</v>
      </c>
      <c r="W1108" s="1"/>
      <c r="X1108" s="1" t="s">
        <v>37</v>
      </c>
      <c r="Y1108" s="1" t="s">
        <v>5884</v>
      </c>
      <c r="Z1108" s="1">
        <v>5458</v>
      </c>
    </row>
    <row r="1109" spans="1:26" ht="42">
      <c r="A1109" s="1" t="str">
        <f>"000YPD"</f>
        <v>000YPD</v>
      </c>
      <c r="B1109" s="1" t="s">
        <v>5885</v>
      </c>
      <c r="C1109" s="1" t="s">
        <v>5886</v>
      </c>
      <c r="D1109" s="1" t="str">
        <f>"8028969519"</f>
        <v>8028969519</v>
      </c>
      <c r="E1109" s="1">
        <v>5182</v>
      </c>
      <c r="F1109" s="1" t="s">
        <v>28</v>
      </c>
      <c r="G1109" s="1" t="s">
        <v>5887</v>
      </c>
      <c r="H1109" s="1"/>
      <c r="I1109" s="1">
        <v>1</v>
      </c>
      <c r="J1109" s="1" t="s">
        <v>5888</v>
      </c>
      <c r="K1109" s="1" t="s">
        <v>144</v>
      </c>
      <c r="L1109" s="1" t="s">
        <v>590</v>
      </c>
      <c r="M1109" s="1" t="s">
        <v>5889</v>
      </c>
      <c r="N1109" s="2">
        <v>42914</v>
      </c>
      <c r="O1109" s="1"/>
      <c r="P1109" s="1"/>
      <c r="Q1109" s="1" t="s">
        <v>34</v>
      </c>
      <c r="R1109" s="1"/>
      <c r="S1109" s="1" t="s">
        <v>35</v>
      </c>
      <c r="T1109" s="1">
        <v>43.028434999999902</v>
      </c>
      <c r="U1109" s="1">
        <v>-72.855475999999996</v>
      </c>
      <c r="V1109" s="1" t="s">
        <v>5890</v>
      </c>
      <c r="W1109" s="1"/>
      <c r="X1109" s="1" t="s">
        <v>37</v>
      </c>
      <c r="Y1109" s="1" t="s">
        <v>5891</v>
      </c>
      <c r="Z1109" s="1">
        <v>5360</v>
      </c>
    </row>
    <row r="1110" spans="1:26" ht="42">
      <c r="A1110" s="1" t="str">
        <f>"000YPF"</f>
        <v>000YPF</v>
      </c>
      <c r="B1110" s="1" t="s">
        <v>5892</v>
      </c>
      <c r="C1110" s="1" t="s">
        <v>5893</v>
      </c>
      <c r="D1110" s="1" t="str">
        <f>"8022577994"</f>
        <v>8022577994</v>
      </c>
      <c r="E1110" s="1">
        <v>5183</v>
      </c>
      <c r="F1110" s="1" t="s">
        <v>28</v>
      </c>
      <c r="G1110" s="1" t="s">
        <v>5894</v>
      </c>
      <c r="H1110" s="1"/>
      <c r="I1110" s="1">
        <v>4</v>
      </c>
      <c r="J1110" s="1" t="s">
        <v>5895</v>
      </c>
      <c r="K1110" s="1" t="s">
        <v>144</v>
      </c>
      <c r="L1110" s="1" t="s">
        <v>1969</v>
      </c>
      <c r="M1110" s="1" t="s">
        <v>5896</v>
      </c>
      <c r="N1110" s="2">
        <v>42914</v>
      </c>
      <c r="O1110" s="1"/>
      <c r="P1110" s="1"/>
      <c r="Q1110" s="1" t="s">
        <v>34</v>
      </c>
      <c r="R1110" s="1"/>
      <c r="S1110" s="1" t="s">
        <v>35</v>
      </c>
      <c r="T1110" s="1">
        <v>42.766490999999903</v>
      </c>
      <c r="U1110" s="1">
        <v>-72.531770999999907</v>
      </c>
      <c r="V1110" s="1" t="s">
        <v>5897</v>
      </c>
      <c r="W1110" s="1"/>
      <c r="X1110" s="1" t="s">
        <v>37</v>
      </c>
      <c r="Y1110" s="1" t="s">
        <v>1973</v>
      </c>
      <c r="Z1110" s="1">
        <v>5354</v>
      </c>
    </row>
    <row r="1111" spans="1:26" ht="42">
      <c r="A1111" s="1" t="str">
        <f>"000YPJ"</f>
        <v>000YPJ</v>
      </c>
      <c r="B1111" s="1" t="s">
        <v>5898</v>
      </c>
      <c r="C1111" s="1" t="s">
        <v>5899</v>
      </c>
      <c r="D1111" s="1" t="str">
        <f>"8023734856"</f>
        <v>8023734856</v>
      </c>
      <c r="E1111" s="1">
        <v>5184</v>
      </c>
      <c r="F1111" s="1" t="s">
        <v>28</v>
      </c>
      <c r="G1111" s="1" t="s">
        <v>5900</v>
      </c>
      <c r="H1111" s="1"/>
      <c r="I1111" s="1">
        <v>2</v>
      </c>
      <c r="J1111" s="1" t="s">
        <v>5901</v>
      </c>
      <c r="K1111" s="1" t="s">
        <v>170</v>
      </c>
      <c r="L1111" s="1" t="s">
        <v>2661</v>
      </c>
      <c r="M1111" s="1" t="s">
        <v>5902</v>
      </c>
      <c r="N1111" s="2">
        <v>42915</v>
      </c>
      <c r="O1111" s="1"/>
      <c r="P1111" s="1"/>
      <c r="Q1111" s="1" t="s">
        <v>34</v>
      </c>
      <c r="R1111" s="1"/>
      <c r="S1111" s="1" t="s">
        <v>35</v>
      </c>
      <c r="T1111" s="1">
        <v>44.644558000000004</v>
      </c>
      <c r="U1111" s="1">
        <v>-72.875390899999999</v>
      </c>
      <c r="V1111" s="1" t="s">
        <v>5903</v>
      </c>
      <c r="W1111" s="1"/>
      <c r="X1111" s="1" t="s">
        <v>37</v>
      </c>
      <c r="Y1111" s="1" t="s">
        <v>5904</v>
      </c>
      <c r="Z1111" s="1">
        <v>5444</v>
      </c>
    </row>
    <row r="1112" spans="1:26" ht="28">
      <c r="A1112" s="1" t="str">
        <f>"000YPK"</f>
        <v>000YPK</v>
      </c>
      <c r="B1112" s="1" t="s">
        <v>5905</v>
      </c>
      <c r="C1112" s="1" t="s">
        <v>5906</v>
      </c>
      <c r="D1112" s="1"/>
      <c r="E1112" s="1">
        <v>5185</v>
      </c>
      <c r="F1112" s="1" t="s">
        <v>28</v>
      </c>
      <c r="G1112" s="1" t="s">
        <v>5907</v>
      </c>
      <c r="H1112" s="1"/>
      <c r="I1112" s="1">
        <v>4</v>
      </c>
      <c r="J1112" s="1">
        <v>1</v>
      </c>
      <c r="K1112" s="1" t="s">
        <v>527</v>
      </c>
      <c r="L1112" s="1" t="s">
        <v>5389</v>
      </c>
      <c r="M1112" s="1" t="s">
        <v>5908</v>
      </c>
      <c r="N1112" s="2">
        <v>42915</v>
      </c>
      <c r="O1112" s="1"/>
      <c r="P1112" s="1"/>
      <c r="Q1112" s="1" t="s">
        <v>34</v>
      </c>
      <c r="R1112" s="1"/>
      <c r="S1112" s="1" t="s">
        <v>35</v>
      </c>
      <c r="T1112" s="1">
        <v>44.743163000000003</v>
      </c>
      <c r="U1112" s="1">
        <v>-72.192733999999902</v>
      </c>
      <c r="V1112" s="1" t="s">
        <v>5909</v>
      </c>
      <c r="W1112" s="1"/>
      <c r="X1112" s="1" t="s">
        <v>37</v>
      </c>
      <c r="Y1112" s="1" t="s">
        <v>5910</v>
      </c>
      <c r="Z1112" s="1">
        <v>5822</v>
      </c>
    </row>
    <row r="1113" spans="1:26" ht="42">
      <c r="A1113" s="1" t="str">
        <f>"000YPM"</f>
        <v>000YPM</v>
      </c>
      <c r="B1113" s="1" t="s">
        <v>5911</v>
      </c>
      <c r="C1113" s="1" t="s">
        <v>5912</v>
      </c>
      <c r="D1113" s="1" t="str">
        <f>"8022720643"</f>
        <v>8022720643</v>
      </c>
      <c r="E1113" s="1">
        <v>5186</v>
      </c>
      <c r="F1113" s="1" t="s">
        <v>28</v>
      </c>
      <c r="G1113" s="1" t="s">
        <v>5913</v>
      </c>
      <c r="H1113" s="1"/>
      <c r="I1113" s="1">
        <v>4</v>
      </c>
      <c r="J1113" s="1" t="s">
        <v>5914</v>
      </c>
      <c r="K1113" s="1" t="s">
        <v>170</v>
      </c>
      <c r="L1113" s="1" t="s">
        <v>3857</v>
      </c>
      <c r="M1113" s="1" t="s">
        <v>5560</v>
      </c>
      <c r="N1113" s="2">
        <v>42916</v>
      </c>
      <c r="O1113" s="1"/>
      <c r="P1113" s="1"/>
      <c r="Q1113" s="1" t="s">
        <v>34</v>
      </c>
      <c r="R1113" s="1"/>
      <c r="S1113" s="1" t="s">
        <v>35</v>
      </c>
      <c r="T1113" s="1">
        <v>44.484400000000001</v>
      </c>
      <c r="U1113" s="1">
        <v>-72.674766999999903</v>
      </c>
      <c r="V1113" s="1" t="s">
        <v>5915</v>
      </c>
      <c r="W1113" s="1"/>
      <c r="X1113" s="1" t="s">
        <v>37</v>
      </c>
      <c r="Y1113" s="1" t="s">
        <v>3859</v>
      </c>
      <c r="Z1113" s="1">
        <v>5672</v>
      </c>
    </row>
    <row r="1114" spans="1:26" ht="42">
      <c r="A1114" s="1" t="str">
        <f>"000YPM"</f>
        <v>000YPM</v>
      </c>
      <c r="B1114" s="1" t="s">
        <v>5911</v>
      </c>
      <c r="C1114" s="1" t="s">
        <v>5912</v>
      </c>
      <c r="D1114" s="1" t="str">
        <f>"8022720643"</f>
        <v>8022720643</v>
      </c>
      <c r="E1114" s="1">
        <v>5186</v>
      </c>
      <c r="F1114" s="1" t="s">
        <v>28</v>
      </c>
      <c r="G1114" s="1" t="s">
        <v>5916</v>
      </c>
      <c r="H1114" s="1"/>
      <c r="I1114" s="1">
        <v>2</v>
      </c>
      <c r="J1114" s="1" t="s">
        <v>5917</v>
      </c>
      <c r="K1114" s="1" t="s">
        <v>170</v>
      </c>
      <c r="L1114" s="1" t="s">
        <v>3857</v>
      </c>
      <c r="M1114" s="1" t="s">
        <v>5918</v>
      </c>
      <c r="N1114" s="2">
        <v>42916</v>
      </c>
      <c r="O1114" s="1"/>
      <c r="P1114" s="1"/>
      <c r="Q1114" s="1" t="s">
        <v>34</v>
      </c>
      <c r="R1114" s="1"/>
      <c r="S1114" s="1" t="s">
        <v>35</v>
      </c>
      <c r="T1114" s="1">
        <v>44.4887272</v>
      </c>
      <c r="U1114" s="1">
        <v>-72.675372100000004</v>
      </c>
      <c r="V1114" s="1" t="s">
        <v>5919</v>
      </c>
      <c r="W1114" s="1"/>
      <c r="X1114" s="1" t="s">
        <v>37</v>
      </c>
      <c r="Y1114" s="1" t="s">
        <v>3859</v>
      </c>
      <c r="Z1114" s="1">
        <v>5672</v>
      </c>
    </row>
    <row r="1115" spans="1:26" ht="42">
      <c r="A1115" s="1" t="str">
        <f>"000YPN"</f>
        <v>000YPN</v>
      </c>
      <c r="B1115" s="1" t="s">
        <v>5920</v>
      </c>
      <c r="C1115" s="1" t="s">
        <v>5921</v>
      </c>
      <c r="D1115" s="1" t="str">
        <f>"8022741206"</f>
        <v>8022741206</v>
      </c>
      <c r="E1115" s="1">
        <v>5187</v>
      </c>
      <c r="F1115" s="1" t="s">
        <v>28</v>
      </c>
      <c r="G1115" s="1" t="s">
        <v>5922</v>
      </c>
      <c r="H1115" s="1"/>
      <c r="I1115" s="1">
        <v>1</v>
      </c>
      <c r="J1115" s="1">
        <v>1</v>
      </c>
      <c r="K1115" s="1" t="s">
        <v>527</v>
      </c>
      <c r="L1115" s="1" t="s">
        <v>1436</v>
      </c>
      <c r="M1115" s="1" t="s">
        <v>5923</v>
      </c>
      <c r="N1115" s="2">
        <v>42916</v>
      </c>
      <c r="O1115" s="1"/>
      <c r="P1115" s="1"/>
      <c r="Q1115" s="1" t="s">
        <v>34</v>
      </c>
      <c r="R1115" s="1"/>
      <c r="S1115" s="1" t="s">
        <v>35</v>
      </c>
      <c r="T1115" s="1">
        <v>44.957968999999999</v>
      </c>
      <c r="U1115" s="1">
        <v>-72.359678000000002</v>
      </c>
      <c r="V1115" s="1" t="s">
        <v>5924</v>
      </c>
      <c r="W1115" s="1"/>
      <c r="X1115" s="1" t="s">
        <v>37</v>
      </c>
      <c r="Y1115" s="1" t="s">
        <v>1438</v>
      </c>
      <c r="Z1115" s="1">
        <v>5859</v>
      </c>
    </row>
    <row r="1116" spans="1:26" ht="42">
      <c r="A1116" s="1" t="str">
        <f>"000YPY"</f>
        <v>000YPY</v>
      </c>
      <c r="B1116" s="1" t="s">
        <v>5925</v>
      </c>
      <c r="C1116" s="1" t="s">
        <v>5926</v>
      </c>
      <c r="D1116" s="1" t="str">
        <f>"8024573889"</f>
        <v>8024573889</v>
      </c>
      <c r="E1116" s="1">
        <v>5188</v>
      </c>
      <c r="F1116" s="1" t="s">
        <v>28</v>
      </c>
      <c r="G1116" s="1" t="s">
        <v>5927</v>
      </c>
      <c r="H1116" s="1"/>
      <c r="I1116" s="1">
        <v>3</v>
      </c>
      <c r="J1116" s="1" t="s">
        <v>5928</v>
      </c>
      <c r="K1116" s="1" t="s">
        <v>77</v>
      </c>
      <c r="L1116" s="1" t="s">
        <v>403</v>
      </c>
      <c r="M1116" s="1" t="s">
        <v>5929</v>
      </c>
      <c r="N1116" s="2">
        <v>42922</v>
      </c>
      <c r="O1116" s="1"/>
      <c r="P1116" s="2">
        <v>42936</v>
      </c>
      <c r="Q1116" s="1" t="s">
        <v>34</v>
      </c>
      <c r="R1116" s="1"/>
      <c r="S1116" s="1" t="s">
        <v>35</v>
      </c>
      <c r="T1116" s="1"/>
      <c r="U1116" s="1"/>
      <c r="V1116" s="1" t="s">
        <v>5930</v>
      </c>
      <c r="W1116" s="1"/>
      <c r="X1116" s="1" t="s">
        <v>37</v>
      </c>
      <c r="Y1116" s="1" t="s">
        <v>406</v>
      </c>
      <c r="Z1116" s="1">
        <v>5091</v>
      </c>
    </row>
    <row r="1117" spans="1:26" ht="42">
      <c r="A1117" s="1" t="str">
        <f>"000YQ1"</f>
        <v>000YQ1</v>
      </c>
      <c r="B1117" s="1" t="s">
        <v>5931</v>
      </c>
      <c r="C1117" s="1" t="s">
        <v>5932</v>
      </c>
      <c r="D1117" s="1" t="str">
        <f>"8022856623"</f>
        <v>8022856623</v>
      </c>
      <c r="E1117" s="1">
        <v>5189</v>
      </c>
      <c r="F1117" s="1" t="s">
        <v>28</v>
      </c>
      <c r="G1117" s="1" t="s">
        <v>5933</v>
      </c>
      <c r="H1117" s="1"/>
      <c r="I1117" s="1">
        <v>1</v>
      </c>
      <c r="J1117" s="1" t="s">
        <v>5931</v>
      </c>
      <c r="K1117" s="1" t="s">
        <v>152</v>
      </c>
      <c r="L1117" s="1" t="s">
        <v>1514</v>
      </c>
      <c r="M1117" s="1" t="s">
        <v>5934</v>
      </c>
      <c r="N1117" s="2">
        <v>42922</v>
      </c>
      <c r="O1117" s="1"/>
      <c r="P1117" s="1"/>
      <c r="Q1117" s="1" t="s">
        <v>34</v>
      </c>
      <c r="R1117" s="1"/>
      <c r="S1117" s="1" t="s">
        <v>35</v>
      </c>
      <c r="T1117" s="1"/>
      <c r="U1117" s="1"/>
      <c r="V1117" s="1" t="s">
        <v>5935</v>
      </c>
      <c r="W1117" s="1"/>
      <c r="X1117" s="1" t="s">
        <v>37</v>
      </c>
      <c r="Y1117" s="1" t="s">
        <v>1509</v>
      </c>
      <c r="Z1117" s="1">
        <v>5457</v>
      </c>
    </row>
    <row r="1118" spans="1:26" ht="42">
      <c r="A1118" s="1" t="str">
        <f>"000YQ2"</f>
        <v>000YQ2</v>
      </c>
      <c r="B1118" s="1" t="s">
        <v>5936</v>
      </c>
      <c r="C1118" s="1" t="s">
        <v>5937</v>
      </c>
      <c r="D1118" s="1" t="str">
        <f>"8024393629"</f>
        <v>8024393629</v>
      </c>
      <c r="E1118" s="1">
        <v>5190</v>
      </c>
      <c r="F1118" s="1" t="s">
        <v>28</v>
      </c>
      <c r="G1118" s="1" t="s">
        <v>5938</v>
      </c>
      <c r="H1118" s="1"/>
      <c r="I1118" s="1">
        <v>1</v>
      </c>
      <c r="J1118" s="1" t="s">
        <v>5939</v>
      </c>
      <c r="K1118" s="1" t="s">
        <v>68</v>
      </c>
      <c r="L1118" s="1" t="s">
        <v>2111</v>
      </c>
      <c r="M1118" s="1" t="s">
        <v>5940</v>
      </c>
      <c r="N1118" s="2">
        <v>42922</v>
      </c>
      <c r="O1118" s="1"/>
      <c r="P1118" s="1"/>
      <c r="Q1118" s="1" t="s">
        <v>34</v>
      </c>
      <c r="R1118" s="1"/>
      <c r="S1118" s="1" t="s">
        <v>35</v>
      </c>
      <c r="T1118" s="1"/>
      <c r="U1118" s="1"/>
      <c r="V1118" s="1" t="s">
        <v>5941</v>
      </c>
      <c r="W1118" s="1"/>
      <c r="X1118" s="1" t="s">
        <v>37</v>
      </c>
      <c r="Y1118" s="1" t="s">
        <v>3689</v>
      </c>
      <c r="Z1118" s="1">
        <v>5033</v>
      </c>
    </row>
    <row r="1119" spans="1:26" ht="28">
      <c r="A1119" s="1" t="str">
        <f>"000YQ3"</f>
        <v>000YQ3</v>
      </c>
      <c r="B1119" s="1" t="s">
        <v>5942</v>
      </c>
      <c r="C1119" s="1" t="s">
        <v>5943</v>
      </c>
      <c r="D1119" s="1"/>
      <c r="E1119" s="1">
        <v>5191</v>
      </c>
      <c r="F1119" s="1" t="s">
        <v>28</v>
      </c>
      <c r="G1119" s="1" t="s">
        <v>5944</v>
      </c>
      <c r="H1119" s="1"/>
      <c r="I1119" s="1">
        <v>4</v>
      </c>
      <c r="J1119" s="1" t="s">
        <v>5945</v>
      </c>
      <c r="K1119" s="1" t="s">
        <v>135</v>
      </c>
      <c r="L1119" s="1" t="s">
        <v>1241</v>
      </c>
      <c r="M1119" s="1" t="s">
        <v>5946</v>
      </c>
      <c r="N1119" s="2">
        <v>42922</v>
      </c>
      <c r="O1119" s="1"/>
      <c r="P1119" s="1"/>
      <c r="Q1119" s="1" t="s">
        <v>34</v>
      </c>
      <c r="R1119" s="1"/>
      <c r="S1119" s="1" t="s">
        <v>35</v>
      </c>
      <c r="T1119" s="1"/>
      <c r="U1119" s="1"/>
      <c r="V1119" s="1" t="s">
        <v>5947</v>
      </c>
      <c r="W1119" s="1"/>
      <c r="X1119" s="1" t="s">
        <v>37</v>
      </c>
      <c r="Y1119" s="1" t="s">
        <v>1244</v>
      </c>
      <c r="Z1119" s="1">
        <v>5733</v>
      </c>
    </row>
    <row r="1120" spans="1:26" ht="42">
      <c r="A1120" s="1" t="str">
        <f>"000YQ4"</f>
        <v>000YQ4</v>
      </c>
      <c r="B1120" s="1" t="s">
        <v>5948</v>
      </c>
      <c r="C1120" s="1" t="s">
        <v>5949</v>
      </c>
      <c r="D1120" s="1" t="str">
        <f>"8024477200"</f>
        <v>8024477200</v>
      </c>
      <c r="E1120" s="1">
        <v>5192</v>
      </c>
      <c r="F1120" s="1" t="s">
        <v>28</v>
      </c>
      <c r="G1120" s="1" t="s">
        <v>5950</v>
      </c>
      <c r="H1120" s="1"/>
      <c r="I1120" s="1">
        <v>2</v>
      </c>
      <c r="J1120" s="1" t="s">
        <v>5948</v>
      </c>
      <c r="K1120" s="1" t="s">
        <v>187</v>
      </c>
      <c r="L1120" s="1" t="s">
        <v>293</v>
      </c>
      <c r="M1120" s="1" t="s">
        <v>5951</v>
      </c>
      <c r="N1120" s="2">
        <v>42922</v>
      </c>
      <c r="O1120" s="1"/>
      <c r="P1120" s="1"/>
      <c r="Q1120" s="1" t="s">
        <v>34</v>
      </c>
      <c r="R1120" s="1"/>
      <c r="S1120" s="1" t="s">
        <v>35</v>
      </c>
      <c r="T1120" s="1"/>
      <c r="U1120" s="1"/>
      <c r="V1120" s="1" t="s">
        <v>5952</v>
      </c>
      <c r="W1120" s="1"/>
      <c r="X1120" s="1" t="s">
        <v>37</v>
      </c>
      <c r="Y1120" s="1" t="s">
        <v>5953</v>
      </c>
      <c r="Z1120" s="1">
        <v>5257</v>
      </c>
    </row>
    <row r="1121" spans="1:26" ht="42">
      <c r="A1121" s="1" t="str">
        <f>"000YQ5"</f>
        <v>000YQ5</v>
      </c>
      <c r="B1121" s="1" t="s">
        <v>5954</v>
      </c>
      <c r="C1121" s="1" t="s">
        <v>5955</v>
      </c>
      <c r="D1121" s="1" t="str">
        <f>"8026884751"</f>
        <v>8026884751</v>
      </c>
      <c r="E1121" s="1">
        <v>5194</v>
      </c>
      <c r="F1121" s="1" t="s">
        <v>28</v>
      </c>
      <c r="G1121" s="1" t="s">
        <v>5956</v>
      </c>
      <c r="H1121" s="1"/>
      <c r="I1121" s="1">
        <v>2</v>
      </c>
      <c r="J1121" s="1" t="s">
        <v>5957</v>
      </c>
      <c r="K1121" s="1" t="s">
        <v>187</v>
      </c>
      <c r="L1121" s="1" t="s">
        <v>188</v>
      </c>
      <c r="M1121" s="1" t="s">
        <v>5958</v>
      </c>
      <c r="N1121" s="2">
        <v>42923</v>
      </c>
      <c r="O1121" s="1"/>
      <c r="P1121" s="1"/>
      <c r="Q1121" s="1" t="s">
        <v>34</v>
      </c>
      <c r="R1121" s="1"/>
      <c r="S1121" s="1" t="s">
        <v>35</v>
      </c>
      <c r="T1121" s="1"/>
      <c r="U1121" s="1"/>
      <c r="V1121" s="1" t="s">
        <v>5959</v>
      </c>
      <c r="W1121" s="1"/>
      <c r="X1121" s="1" t="s">
        <v>37</v>
      </c>
      <c r="Y1121" s="1" t="s">
        <v>5953</v>
      </c>
      <c r="Z1121" s="1">
        <v>5257</v>
      </c>
    </row>
    <row r="1122" spans="1:26" ht="42">
      <c r="A1122" s="1" t="str">
        <f>"000YQ6"</f>
        <v>000YQ6</v>
      </c>
      <c r="B1122" s="1" t="s">
        <v>5960</v>
      </c>
      <c r="C1122" s="1" t="s">
        <v>5961</v>
      </c>
      <c r="D1122" s="1" t="str">
        <f>"8028643327"</f>
        <v>8028643327</v>
      </c>
      <c r="E1122" s="1">
        <v>5195</v>
      </c>
      <c r="F1122" s="1" t="s">
        <v>28</v>
      </c>
      <c r="G1122" s="1" t="s">
        <v>5962</v>
      </c>
      <c r="H1122" s="1"/>
      <c r="I1122" s="1">
        <v>2</v>
      </c>
      <c r="J1122" s="1" t="s">
        <v>1224</v>
      </c>
      <c r="K1122" s="1" t="s">
        <v>43</v>
      </c>
      <c r="L1122" s="1" t="s">
        <v>44</v>
      </c>
      <c r="M1122" s="1" t="s">
        <v>5963</v>
      </c>
      <c r="N1122" s="2">
        <v>42923</v>
      </c>
      <c r="O1122" s="1"/>
      <c r="P1122" s="1"/>
      <c r="Q1122" s="1" t="s">
        <v>34</v>
      </c>
      <c r="R1122" s="1"/>
      <c r="S1122" s="1" t="s">
        <v>35</v>
      </c>
      <c r="T1122" s="1"/>
      <c r="U1122" s="1"/>
      <c r="V1122" s="1" t="s">
        <v>5964</v>
      </c>
      <c r="W1122" s="1"/>
      <c r="X1122" s="1" t="s">
        <v>37</v>
      </c>
      <c r="Y1122" s="1" t="s">
        <v>46</v>
      </c>
      <c r="Z1122" s="1">
        <v>5401</v>
      </c>
    </row>
    <row r="1123" spans="1:26" ht="42">
      <c r="A1123" s="1" t="str">
        <f>"000YQ7"</f>
        <v>000YQ7</v>
      </c>
      <c r="B1123" s="1" t="s">
        <v>5965</v>
      </c>
      <c r="C1123" s="1" t="s">
        <v>5966</v>
      </c>
      <c r="D1123" s="1" t="str">
        <f>"8023736651"</f>
        <v>8023736651</v>
      </c>
      <c r="E1123" s="1">
        <v>5196</v>
      </c>
      <c r="F1123" s="1" t="s">
        <v>28</v>
      </c>
      <c r="G1123" s="1" t="s">
        <v>5967</v>
      </c>
      <c r="H1123" s="1"/>
      <c r="I1123" s="1">
        <v>1</v>
      </c>
      <c r="J1123" s="1" t="s">
        <v>5968</v>
      </c>
      <c r="K1123" s="1" t="s">
        <v>43</v>
      </c>
      <c r="L1123" s="1" t="s">
        <v>178</v>
      </c>
      <c r="M1123" s="1" t="s">
        <v>5969</v>
      </c>
      <c r="N1123" s="2">
        <v>42923</v>
      </c>
      <c r="O1123" s="1"/>
      <c r="P1123" s="1"/>
      <c r="Q1123" s="1" t="s">
        <v>34</v>
      </c>
      <c r="R1123" s="1"/>
      <c r="S1123" s="1" t="s">
        <v>35</v>
      </c>
      <c r="T1123" s="1"/>
      <c r="U1123" s="1"/>
      <c r="V1123" s="1" t="s">
        <v>5970</v>
      </c>
      <c r="W1123" s="1"/>
      <c r="X1123" s="1" t="s">
        <v>37</v>
      </c>
      <c r="Y1123" s="1" t="s">
        <v>5971</v>
      </c>
      <c r="Z1123" s="1">
        <v>5452</v>
      </c>
    </row>
    <row r="1124" spans="1:26" ht="42">
      <c r="A1124" s="1" t="str">
        <f>"000YQ8"</f>
        <v>000YQ8</v>
      </c>
      <c r="B1124" s="1" t="s">
        <v>5972</v>
      </c>
      <c r="C1124" s="1" t="s">
        <v>5973</v>
      </c>
      <c r="D1124" s="1" t="str">
        <f>"8029859538"</f>
        <v>8029859538</v>
      </c>
      <c r="E1124" s="1">
        <v>5197</v>
      </c>
      <c r="F1124" s="1" t="s">
        <v>28</v>
      </c>
      <c r="G1124" s="1" t="s">
        <v>5974</v>
      </c>
      <c r="H1124" s="1"/>
      <c r="I1124" s="1">
        <v>1</v>
      </c>
      <c r="J1124" s="1" t="s">
        <v>5975</v>
      </c>
      <c r="K1124" s="1" t="s">
        <v>43</v>
      </c>
      <c r="L1124" s="1" t="s">
        <v>723</v>
      </c>
      <c r="M1124" s="1" t="s">
        <v>5976</v>
      </c>
      <c r="N1124" s="2">
        <v>42923</v>
      </c>
      <c r="O1124" s="1"/>
      <c r="P1124" s="1"/>
      <c r="Q1124" s="1" t="s">
        <v>34</v>
      </c>
      <c r="R1124" s="1"/>
      <c r="S1124" s="1" t="s">
        <v>35</v>
      </c>
      <c r="T1124" s="1"/>
      <c r="U1124" s="1"/>
      <c r="V1124" s="1" t="s">
        <v>5977</v>
      </c>
      <c r="W1124" s="1"/>
      <c r="X1124" s="1" t="s">
        <v>37</v>
      </c>
      <c r="Y1124" s="1" t="s">
        <v>725</v>
      </c>
      <c r="Z1124" s="1">
        <v>5482</v>
      </c>
    </row>
    <row r="1125" spans="1:26" ht="42">
      <c r="A1125" s="1" t="str">
        <f>"000YQ9"</f>
        <v>000YQ9</v>
      </c>
      <c r="B1125" s="1" t="s">
        <v>5978</v>
      </c>
      <c r="C1125" s="1" t="s">
        <v>5979</v>
      </c>
      <c r="D1125" s="1" t="str">
        <f>"8024573116"</f>
        <v>8024573116</v>
      </c>
      <c r="E1125" s="1">
        <v>5198</v>
      </c>
      <c r="F1125" s="1" t="s">
        <v>28</v>
      </c>
      <c r="G1125" s="1" t="s">
        <v>5980</v>
      </c>
      <c r="H1125" s="1"/>
      <c r="I1125" s="1">
        <v>2</v>
      </c>
      <c r="J1125" s="1" t="s">
        <v>5981</v>
      </c>
      <c r="K1125" s="1" t="s">
        <v>77</v>
      </c>
      <c r="L1125" s="1" t="s">
        <v>403</v>
      </c>
      <c r="M1125" s="1" t="s">
        <v>5982</v>
      </c>
      <c r="N1125" s="2">
        <v>42926</v>
      </c>
      <c r="O1125" s="1"/>
      <c r="P1125" s="1"/>
      <c r="Q1125" s="1" t="s">
        <v>34</v>
      </c>
      <c r="R1125" s="1"/>
      <c r="S1125" s="1" t="s">
        <v>35</v>
      </c>
      <c r="T1125" s="1"/>
      <c r="U1125" s="1"/>
      <c r="V1125" s="1" t="s">
        <v>5983</v>
      </c>
      <c r="W1125" s="1"/>
      <c r="X1125" s="1" t="s">
        <v>37</v>
      </c>
      <c r="Y1125" s="1" t="s">
        <v>406</v>
      </c>
      <c r="Z1125" s="1">
        <v>5091</v>
      </c>
    </row>
    <row r="1126" spans="1:26" ht="42">
      <c r="A1126" s="1" t="str">
        <f>"000YQA"</f>
        <v>000YQA</v>
      </c>
      <c r="B1126" s="1" t="s">
        <v>5984</v>
      </c>
      <c r="C1126" s="1" t="s">
        <v>5985</v>
      </c>
      <c r="D1126" s="1" t="str">
        <f>"8025035221"</f>
        <v>8025035221</v>
      </c>
      <c r="E1126" s="1">
        <v>5199</v>
      </c>
      <c r="F1126" s="1" t="s">
        <v>28</v>
      </c>
      <c r="G1126" s="1" t="s">
        <v>5986</v>
      </c>
      <c r="H1126" s="1"/>
      <c r="I1126" s="1">
        <v>2</v>
      </c>
      <c r="J1126" s="1" t="s">
        <v>5987</v>
      </c>
      <c r="K1126" s="1" t="s">
        <v>170</v>
      </c>
      <c r="L1126" s="1" t="s">
        <v>2369</v>
      </c>
      <c r="M1126" s="1" t="s">
        <v>5988</v>
      </c>
      <c r="N1126" s="2">
        <v>42926</v>
      </c>
      <c r="O1126" s="1"/>
      <c r="P1126" s="1"/>
      <c r="Q1126" s="1" t="s">
        <v>34</v>
      </c>
      <c r="R1126" s="1"/>
      <c r="S1126" s="1" t="s">
        <v>35</v>
      </c>
      <c r="T1126" s="1"/>
      <c r="U1126" s="1"/>
      <c r="V1126" s="1" t="s">
        <v>5989</v>
      </c>
      <c r="W1126" s="1"/>
      <c r="X1126" s="1" t="s">
        <v>37</v>
      </c>
      <c r="Y1126" s="1" t="s">
        <v>5990</v>
      </c>
      <c r="Z1126" s="1">
        <v>5653</v>
      </c>
    </row>
    <row r="1127" spans="1:26" ht="42">
      <c r="A1127" s="1" t="str">
        <f>"000YQP"</f>
        <v>000YQP</v>
      </c>
      <c r="B1127" s="1" t="s">
        <v>5991</v>
      </c>
      <c r="C1127" s="1" t="s">
        <v>5992</v>
      </c>
      <c r="D1127" s="1" t="str">
        <f>"8022233663"</f>
        <v>8022233663</v>
      </c>
      <c r="E1127" s="1">
        <v>5200</v>
      </c>
      <c r="F1127" s="1" t="s">
        <v>28</v>
      </c>
      <c r="G1127" s="1" t="s">
        <v>5993</v>
      </c>
      <c r="H1127" s="1"/>
      <c r="I1127" s="1">
        <v>2</v>
      </c>
      <c r="J1127" s="1" t="s">
        <v>5991</v>
      </c>
      <c r="K1127" s="1" t="s">
        <v>31</v>
      </c>
      <c r="L1127" s="1" t="s">
        <v>786</v>
      </c>
      <c r="M1127" s="1" t="s">
        <v>5994</v>
      </c>
      <c r="N1127" s="2">
        <v>42928</v>
      </c>
      <c r="O1127" s="1"/>
      <c r="P1127" s="1"/>
      <c r="Q1127" s="1" t="s">
        <v>34</v>
      </c>
      <c r="R1127" s="1"/>
      <c r="S1127" s="1" t="s">
        <v>35</v>
      </c>
      <c r="T1127" s="1">
        <v>44.185710999999998</v>
      </c>
      <c r="U1127" s="1">
        <v>-72.595459000000005</v>
      </c>
      <c r="V1127" s="1" t="s">
        <v>5995</v>
      </c>
      <c r="W1127" s="1"/>
      <c r="X1127" s="1" t="s">
        <v>37</v>
      </c>
      <c r="Y1127" s="1" t="s">
        <v>1300</v>
      </c>
      <c r="Z1127" s="1">
        <v>5602</v>
      </c>
    </row>
    <row r="1128" spans="1:26" ht="42">
      <c r="A1128" s="1" t="str">
        <f>"000YQW"</f>
        <v>000YQW</v>
      </c>
      <c r="B1128" s="1" t="s">
        <v>5996</v>
      </c>
      <c r="C1128" s="1" t="s">
        <v>5997</v>
      </c>
      <c r="D1128" s="1" t="str">
        <f>"8025571719"</f>
        <v>8025571719</v>
      </c>
      <c r="E1128" s="1">
        <v>5201</v>
      </c>
      <c r="F1128" s="1" t="s">
        <v>28</v>
      </c>
      <c r="G1128" s="1" t="s">
        <v>5998</v>
      </c>
      <c r="H1128" s="1"/>
      <c r="I1128" s="1">
        <v>1</v>
      </c>
      <c r="J1128" s="1">
        <v>1</v>
      </c>
      <c r="K1128" s="1" t="s">
        <v>152</v>
      </c>
      <c r="L1128" s="1" t="s">
        <v>4073</v>
      </c>
      <c r="M1128" s="1" t="s">
        <v>5999</v>
      </c>
      <c r="N1128" s="2">
        <v>42928</v>
      </c>
      <c r="O1128" s="1"/>
      <c r="P1128" s="1"/>
      <c r="Q1128" s="1" t="s">
        <v>34</v>
      </c>
      <c r="R1128" s="1"/>
      <c r="S1128" s="1" t="s">
        <v>35</v>
      </c>
      <c r="T1128" s="1">
        <v>44.717588999999997</v>
      </c>
      <c r="U1128" s="1">
        <v>-72.896039799999897</v>
      </c>
      <c r="V1128" s="1" t="s">
        <v>6000</v>
      </c>
      <c r="W1128" s="1"/>
      <c r="X1128" s="1" t="s">
        <v>37</v>
      </c>
      <c r="Y1128" s="1" t="s">
        <v>4076</v>
      </c>
      <c r="Z1128" s="1">
        <v>5464</v>
      </c>
    </row>
    <row r="1129" spans="1:26" ht="42">
      <c r="A1129" s="1" t="str">
        <f>"000YQW"</f>
        <v>000YQW</v>
      </c>
      <c r="B1129" s="1" t="s">
        <v>5996</v>
      </c>
      <c r="C1129" s="1" t="s">
        <v>5997</v>
      </c>
      <c r="D1129" s="1" t="str">
        <f>"8025571719"</f>
        <v>8025571719</v>
      </c>
      <c r="E1129" s="1">
        <v>5201</v>
      </c>
      <c r="F1129" s="1" t="s">
        <v>28</v>
      </c>
      <c r="G1129" s="1" t="s">
        <v>6001</v>
      </c>
      <c r="H1129" s="1"/>
      <c r="I1129" s="1">
        <v>13</v>
      </c>
      <c r="J1129" s="1">
        <v>2</v>
      </c>
      <c r="K1129" s="1" t="s">
        <v>152</v>
      </c>
      <c r="L1129" s="1" t="s">
        <v>1143</v>
      </c>
      <c r="M1129" s="1" t="s">
        <v>6002</v>
      </c>
      <c r="N1129" s="2">
        <v>42928</v>
      </c>
      <c r="O1129" s="1"/>
      <c r="P1129" s="1"/>
      <c r="Q1129" s="1" t="s">
        <v>34</v>
      </c>
      <c r="R1129" s="1"/>
      <c r="S1129" s="1" t="s">
        <v>35</v>
      </c>
      <c r="T1129" s="1">
        <v>44.796745000000001</v>
      </c>
      <c r="U1129" s="1">
        <v>-73.085494999999895</v>
      </c>
      <c r="V1129" s="1" t="s">
        <v>6003</v>
      </c>
      <c r="W1129" s="1"/>
      <c r="X1129" s="1" t="s">
        <v>37</v>
      </c>
      <c r="Y1129" s="1" t="s">
        <v>1200</v>
      </c>
      <c r="Z1129" s="1">
        <v>5478</v>
      </c>
    </row>
    <row r="1130" spans="1:26" ht="42">
      <c r="A1130" s="1" t="str">
        <f>"000YQX"</f>
        <v>000YQX</v>
      </c>
      <c r="B1130" s="1" t="s">
        <v>6004</v>
      </c>
      <c r="C1130" s="1" t="s">
        <v>6005</v>
      </c>
      <c r="D1130" s="1" t="str">
        <f>"8023431923"</f>
        <v>8023431923</v>
      </c>
      <c r="E1130" s="1">
        <v>5202</v>
      </c>
      <c r="F1130" s="1" t="s">
        <v>28</v>
      </c>
      <c r="G1130" s="1" t="s">
        <v>6006</v>
      </c>
      <c r="H1130" s="1"/>
      <c r="I1130" s="1">
        <v>2</v>
      </c>
      <c r="J1130" s="1">
        <v>1</v>
      </c>
      <c r="K1130" s="1" t="s">
        <v>333</v>
      </c>
      <c r="L1130" s="1" t="s">
        <v>684</v>
      </c>
      <c r="M1130" s="1" t="s">
        <v>6007</v>
      </c>
      <c r="N1130" s="2">
        <v>42929</v>
      </c>
      <c r="O1130" s="1"/>
      <c r="P1130" s="1"/>
      <c r="Q1130" s="1" t="s">
        <v>34</v>
      </c>
      <c r="R1130" s="1"/>
      <c r="S1130" s="1" t="s">
        <v>35</v>
      </c>
      <c r="T1130" s="1">
        <v>44.110681</v>
      </c>
      <c r="U1130" s="1">
        <v>-73.123112999999904</v>
      </c>
      <c r="V1130" s="1" t="s">
        <v>6008</v>
      </c>
      <c r="W1130" s="1"/>
      <c r="X1130" s="1" t="s">
        <v>37</v>
      </c>
      <c r="Y1130" s="1" t="s">
        <v>464</v>
      </c>
      <c r="Z1130" s="1">
        <v>5472</v>
      </c>
    </row>
    <row r="1131" spans="1:26" ht="42">
      <c r="A1131" s="1" t="str">
        <f>"000YQY"</f>
        <v>000YQY</v>
      </c>
      <c r="B1131" s="1" t="s">
        <v>6009</v>
      </c>
      <c r="C1131" s="1" t="s">
        <v>6010</v>
      </c>
      <c r="D1131" s="1" t="str">
        <f>"8027935160"</f>
        <v>8027935160</v>
      </c>
      <c r="E1131" s="1">
        <v>5204</v>
      </c>
      <c r="F1131" s="1" t="s">
        <v>28</v>
      </c>
      <c r="G1131" s="1" t="s">
        <v>6011</v>
      </c>
      <c r="H1131" s="1"/>
      <c r="I1131" s="1">
        <v>1</v>
      </c>
      <c r="J1131" s="1" t="s">
        <v>6012</v>
      </c>
      <c r="K1131" s="1" t="s">
        <v>31</v>
      </c>
      <c r="L1131" s="1" t="s">
        <v>4199</v>
      </c>
      <c r="M1131" s="1" t="s">
        <v>6013</v>
      </c>
      <c r="N1131" s="2">
        <v>42930</v>
      </c>
      <c r="O1131" s="1"/>
      <c r="P1131" s="1"/>
      <c r="Q1131" s="1" t="s">
        <v>34</v>
      </c>
      <c r="R1131" s="1"/>
      <c r="S1131" s="1" t="s">
        <v>35</v>
      </c>
      <c r="T1131" s="1">
        <v>44.2351454</v>
      </c>
      <c r="U1131" s="1">
        <v>-72.8292912</v>
      </c>
      <c r="V1131" s="1" t="s">
        <v>6014</v>
      </c>
      <c r="W1131" s="1"/>
      <c r="X1131" s="1" t="s">
        <v>37</v>
      </c>
      <c r="Y1131" s="1" t="s">
        <v>675</v>
      </c>
      <c r="Z1131" s="1">
        <v>5660</v>
      </c>
    </row>
    <row r="1132" spans="1:26" ht="42">
      <c r="A1132" s="1" t="str">
        <f>"000YQZ"</f>
        <v>000YQZ</v>
      </c>
      <c r="B1132" s="1" t="s">
        <v>6015</v>
      </c>
      <c r="C1132" s="1" t="s">
        <v>6016</v>
      </c>
      <c r="D1132" s="1" t="str">
        <f>"8027937529"</f>
        <v>8027937529</v>
      </c>
      <c r="E1132" s="1">
        <v>5206</v>
      </c>
      <c r="F1132" s="1" t="s">
        <v>28</v>
      </c>
      <c r="G1132" s="1" t="s">
        <v>6017</v>
      </c>
      <c r="H1132" s="1"/>
      <c r="I1132" s="1">
        <v>1</v>
      </c>
      <c r="J1132" s="1" t="s">
        <v>6018</v>
      </c>
      <c r="K1132" s="1" t="s">
        <v>170</v>
      </c>
      <c r="L1132" s="1" t="s">
        <v>1769</v>
      </c>
      <c r="M1132" s="1" t="s">
        <v>5533</v>
      </c>
      <c r="N1132" s="2">
        <v>42930</v>
      </c>
      <c r="O1132" s="1"/>
      <c r="P1132" s="1"/>
      <c r="Q1132" s="1" t="s">
        <v>34</v>
      </c>
      <c r="R1132" s="1"/>
      <c r="S1132" s="1" t="s">
        <v>35</v>
      </c>
      <c r="T1132" s="1">
        <v>43.874363799999998</v>
      </c>
      <c r="U1132" s="1">
        <v>-73.239801599999893</v>
      </c>
      <c r="V1132" s="1" t="s">
        <v>6019</v>
      </c>
      <c r="W1132" s="1"/>
      <c r="X1132" s="1" t="s">
        <v>37</v>
      </c>
      <c r="Y1132" s="1" t="s">
        <v>951</v>
      </c>
      <c r="Z1132" s="1">
        <v>5778</v>
      </c>
    </row>
    <row r="1133" spans="1:26" ht="42">
      <c r="A1133" s="1" t="str">
        <f>"000YV0"</f>
        <v>000YV0</v>
      </c>
      <c r="B1133" s="1" t="s">
        <v>6020</v>
      </c>
      <c r="C1133" s="1" t="s">
        <v>6021</v>
      </c>
      <c r="D1133" s="1" t="str">
        <f>"8026492132"</f>
        <v>8026492132</v>
      </c>
      <c r="E1133" s="1">
        <v>5207</v>
      </c>
      <c r="F1133" s="1" t="s">
        <v>28</v>
      </c>
      <c r="G1133" s="1" t="s">
        <v>6022</v>
      </c>
      <c r="H1133" s="1"/>
      <c r="I1133" s="1">
        <v>2</v>
      </c>
      <c r="J1133" s="1" t="s">
        <v>6023</v>
      </c>
      <c r="K1133" s="1" t="s">
        <v>77</v>
      </c>
      <c r="L1133" s="1" t="s">
        <v>638</v>
      </c>
      <c r="M1133" s="1" t="s">
        <v>6024</v>
      </c>
      <c r="N1133" s="2">
        <v>42930</v>
      </c>
      <c r="O1133" s="1"/>
      <c r="P1133" s="1"/>
      <c r="Q1133" s="1" t="s">
        <v>34</v>
      </c>
      <c r="R1133" s="1"/>
      <c r="S1133" s="1" t="s">
        <v>35</v>
      </c>
      <c r="T1133" s="1">
        <v>43.757393</v>
      </c>
      <c r="U1133" s="1">
        <v>-72.379844999999904</v>
      </c>
      <c r="V1133" s="1" t="s">
        <v>6025</v>
      </c>
      <c r="W1133" s="1"/>
      <c r="X1133" s="1" t="s">
        <v>37</v>
      </c>
      <c r="Y1133" s="1" t="s">
        <v>640</v>
      </c>
      <c r="Z1133" s="1">
        <v>5055</v>
      </c>
    </row>
    <row r="1134" spans="1:26" ht="42">
      <c r="A1134" s="1" t="str">
        <f>"000YV1"</f>
        <v>000YV1</v>
      </c>
      <c r="B1134" s="1" t="s">
        <v>6026</v>
      </c>
      <c r="C1134" s="1" t="s">
        <v>6027</v>
      </c>
      <c r="D1134" s="1" t="str">
        <f>"8028884347"</f>
        <v>8028884347</v>
      </c>
      <c r="E1134" s="1">
        <v>5208</v>
      </c>
      <c r="F1134" s="1" t="s">
        <v>28</v>
      </c>
      <c r="G1134" s="1" t="s">
        <v>6028</v>
      </c>
      <c r="H1134" s="1"/>
      <c r="I1134" s="1">
        <v>3</v>
      </c>
      <c r="J1134" s="1">
        <v>1</v>
      </c>
      <c r="K1134" s="1" t="s">
        <v>170</v>
      </c>
      <c r="L1134" s="1" t="s">
        <v>1769</v>
      </c>
      <c r="M1134" s="1" t="s">
        <v>6029</v>
      </c>
      <c r="N1134" s="2">
        <v>42930</v>
      </c>
      <c r="O1134" s="1"/>
      <c r="P1134" s="1"/>
      <c r="Q1134" s="1" t="s">
        <v>34</v>
      </c>
      <c r="R1134" s="1"/>
      <c r="S1134" s="1" t="s">
        <v>35</v>
      </c>
      <c r="T1134" s="1">
        <v>44.639185900000001</v>
      </c>
      <c r="U1134" s="1">
        <v>-72.559293599999904</v>
      </c>
      <c r="V1134" s="1" t="s">
        <v>6030</v>
      </c>
      <c r="W1134" s="1"/>
      <c r="X1134" s="1" t="s">
        <v>37</v>
      </c>
      <c r="Y1134" s="1" t="s">
        <v>1772</v>
      </c>
      <c r="Z1134" s="1">
        <v>5655</v>
      </c>
    </row>
    <row r="1135" spans="1:26" ht="42">
      <c r="A1135" s="1" t="str">
        <f>"000YV2"</f>
        <v>000YV2</v>
      </c>
      <c r="B1135" s="1" t="s">
        <v>6031</v>
      </c>
      <c r="C1135" s="1" t="s">
        <v>6032</v>
      </c>
      <c r="D1135" s="1" t="str">
        <f>"2035060816"</f>
        <v>2035060816</v>
      </c>
      <c r="E1135" s="1">
        <v>5209</v>
      </c>
      <c r="F1135" s="1" t="s">
        <v>28</v>
      </c>
      <c r="G1135" s="1" t="s">
        <v>6033</v>
      </c>
      <c r="H1135" s="1"/>
      <c r="I1135" s="1">
        <v>2</v>
      </c>
      <c r="J1135" s="1" t="s">
        <v>6034</v>
      </c>
      <c r="K1135" s="1" t="s">
        <v>77</v>
      </c>
      <c r="L1135" s="1" t="s">
        <v>78</v>
      </c>
      <c r="M1135" s="1" t="s">
        <v>6035</v>
      </c>
      <c r="N1135" s="2">
        <v>42930</v>
      </c>
      <c r="O1135" s="1"/>
      <c r="P1135" s="1"/>
      <c r="Q1135" s="1" t="s">
        <v>34</v>
      </c>
      <c r="R1135" s="1"/>
      <c r="S1135" s="1" t="s">
        <v>35</v>
      </c>
      <c r="T1135" s="1">
        <v>43.36553</v>
      </c>
      <c r="U1135" s="1">
        <v>-72.728321999999906</v>
      </c>
      <c r="V1135" s="1" t="s">
        <v>6036</v>
      </c>
      <c r="W1135" s="1"/>
      <c r="X1135" s="1" t="s">
        <v>37</v>
      </c>
      <c r="Y1135" s="1" t="s">
        <v>81</v>
      </c>
      <c r="Z1135" s="1">
        <v>5149</v>
      </c>
    </row>
    <row r="1136" spans="1:26" ht="42">
      <c r="A1136" s="1" t="str">
        <f>"000YV3"</f>
        <v>000YV3</v>
      </c>
      <c r="B1136" s="1" t="s">
        <v>6037</v>
      </c>
      <c r="C1136" s="1" t="s">
        <v>6038</v>
      </c>
      <c r="D1136" s="1" t="str">
        <f>"8023633044"</f>
        <v>8023633044</v>
      </c>
      <c r="E1136" s="1">
        <v>5210</v>
      </c>
      <c r="F1136" s="1" t="s">
        <v>28</v>
      </c>
      <c r="G1136" s="1" t="s">
        <v>6039</v>
      </c>
      <c r="H1136" s="1"/>
      <c r="I1136" s="1">
        <v>1</v>
      </c>
      <c r="J1136" s="1">
        <v>1</v>
      </c>
      <c r="K1136" s="1" t="s">
        <v>43</v>
      </c>
      <c r="L1136" s="1" t="s">
        <v>723</v>
      </c>
      <c r="M1136" s="1" t="s">
        <v>6040</v>
      </c>
      <c r="N1136" s="2">
        <v>42930</v>
      </c>
      <c r="O1136" s="1"/>
      <c r="P1136" s="1"/>
      <c r="Q1136" s="1" t="s">
        <v>34</v>
      </c>
      <c r="R1136" s="1"/>
      <c r="S1136" s="1" t="s">
        <v>35</v>
      </c>
      <c r="T1136" s="1">
        <v>44.382072000000001</v>
      </c>
      <c r="U1136" s="1">
        <v>-73.138869999999997</v>
      </c>
      <c r="V1136" s="1" t="s">
        <v>6041</v>
      </c>
      <c r="W1136" s="1"/>
      <c r="X1136" s="1" t="s">
        <v>37</v>
      </c>
      <c r="Y1136" s="1" t="s">
        <v>725</v>
      </c>
      <c r="Z1136" s="1">
        <v>5482</v>
      </c>
    </row>
    <row r="1137" spans="1:26" ht="28">
      <c r="A1137" s="1" t="str">
        <f>"000YV4"</f>
        <v>000YV4</v>
      </c>
      <c r="B1137" s="1" t="s">
        <v>6042</v>
      </c>
      <c r="C1137" s="1" t="s">
        <v>6043</v>
      </c>
      <c r="D1137" s="1"/>
      <c r="E1137" s="1">
        <v>5211</v>
      </c>
      <c r="F1137" s="1" t="s">
        <v>28</v>
      </c>
      <c r="G1137" s="1" t="s">
        <v>6044</v>
      </c>
      <c r="H1137" s="1"/>
      <c r="I1137" s="1">
        <v>1</v>
      </c>
      <c r="J1137" s="1">
        <v>5</v>
      </c>
      <c r="K1137" s="1" t="s">
        <v>135</v>
      </c>
      <c r="L1137" s="1" t="s">
        <v>2337</v>
      </c>
      <c r="M1137" s="1" t="s">
        <v>6045</v>
      </c>
      <c r="N1137" s="2">
        <v>42930</v>
      </c>
      <c r="O1137" s="1"/>
      <c r="P1137" s="1"/>
      <c r="Q1137" s="1" t="s">
        <v>34</v>
      </c>
      <c r="R1137" s="1"/>
      <c r="S1137" s="1" t="s">
        <v>35</v>
      </c>
      <c r="T1137" s="1"/>
      <c r="U1137" s="1"/>
      <c r="V1137" s="1" t="s">
        <v>6046</v>
      </c>
      <c r="W1137" s="1"/>
      <c r="X1137" s="1" t="s">
        <v>37</v>
      </c>
      <c r="Y1137" s="1" t="s">
        <v>2337</v>
      </c>
      <c r="Z1137" s="1">
        <v>5657</v>
      </c>
    </row>
    <row r="1138" spans="1:26" ht="42">
      <c r="A1138" s="1" t="str">
        <f>"000YV7"</f>
        <v>000YV7</v>
      </c>
      <c r="B1138" s="1" t="s">
        <v>6047</v>
      </c>
      <c r="C1138" s="1" t="s">
        <v>6048</v>
      </c>
      <c r="D1138" s="1" t="str">
        <f>"8023770722"</f>
        <v>8023770722</v>
      </c>
      <c r="E1138" s="1">
        <v>5212</v>
      </c>
      <c r="F1138" s="1" t="s">
        <v>28</v>
      </c>
      <c r="G1138" s="1" t="s">
        <v>6049</v>
      </c>
      <c r="H1138" s="1"/>
      <c r="I1138" s="1">
        <v>1</v>
      </c>
      <c r="J1138" s="1" t="s">
        <v>6050</v>
      </c>
      <c r="K1138" s="1" t="s">
        <v>333</v>
      </c>
      <c r="L1138" s="1" t="s">
        <v>923</v>
      </c>
      <c r="M1138" s="1" t="s">
        <v>6051</v>
      </c>
      <c r="N1138" s="2">
        <v>42933</v>
      </c>
      <c r="O1138" s="1"/>
      <c r="P1138" s="1"/>
      <c r="Q1138" s="1" t="s">
        <v>34</v>
      </c>
      <c r="R1138" s="1"/>
      <c r="S1138" s="1" t="s">
        <v>35</v>
      </c>
      <c r="T1138" s="1">
        <v>44.105702000000001</v>
      </c>
      <c r="U1138" s="1">
        <v>-73.385846999999998</v>
      </c>
      <c r="V1138" s="1" t="s">
        <v>6052</v>
      </c>
      <c r="W1138" s="1"/>
      <c r="X1138" s="1" t="s">
        <v>37</v>
      </c>
      <c r="Y1138" s="1" t="s">
        <v>333</v>
      </c>
      <c r="Z1138" s="1">
        <v>5491</v>
      </c>
    </row>
    <row r="1139" spans="1:26" ht="42">
      <c r="A1139" s="1" t="str">
        <f>"000YVC"</f>
        <v>000YVC</v>
      </c>
      <c r="B1139" s="1" t="s">
        <v>6053</v>
      </c>
      <c r="C1139" s="1" t="s">
        <v>6054</v>
      </c>
      <c r="D1139" s="1" t="str">
        <f>"8025780812"</f>
        <v>8025780812</v>
      </c>
      <c r="E1139" s="1">
        <v>5213</v>
      </c>
      <c r="F1139" s="1" t="s">
        <v>28</v>
      </c>
      <c r="G1139" s="1" t="s">
        <v>6055</v>
      </c>
      <c r="H1139" s="1"/>
      <c r="I1139" s="1">
        <v>1</v>
      </c>
      <c r="J1139" s="1" t="s">
        <v>6056</v>
      </c>
      <c r="K1139" s="1" t="s">
        <v>170</v>
      </c>
      <c r="L1139" s="1" t="s">
        <v>1318</v>
      </c>
      <c r="M1139" s="1" t="s">
        <v>6057</v>
      </c>
      <c r="N1139" s="2">
        <v>42936</v>
      </c>
      <c r="O1139" s="1"/>
      <c r="P1139" s="1"/>
      <c r="Q1139" s="1" t="s">
        <v>34</v>
      </c>
      <c r="R1139" s="1"/>
      <c r="S1139" s="1" t="s">
        <v>35</v>
      </c>
      <c r="T1139" s="1">
        <v>44.502436000000003</v>
      </c>
      <c r="U1139" s="1">
        <v>-72.481119999999905</v>
      </c>
      <c r="V1139" s="1" t="s">
        <v>6058</v>
      </c>
      <c r="W1139" s="1"/>
      <c r="X1139" s="1" t="s">
        <v>37</v>
      </c>
      <c r="Y1139" s="1" t="s">
        <v>1321</v>
      </c>
      <c r="Z1139" s="1">
        <v>5680</v>
      </c>
    </row>
    <row r="1140" spans="1:26" ht="42">
      <c r="A1140" s="1" t="str">
        <f>"000YVH"</f>
        <v>000YVH</v>
      </c>
      <c r="B1140" s="1" t="s">
        <v>6059</v>
      </c>
      <c r="C1140" s="1" t="s">
        <v>6060</v>
      </c>
      <c r="D1140" s="1" t="str">
        <f>"8024836217"</f>
        <v>8024836217</v>
      </c>
      <c r="E1140" s="1">
        <v>5214</v>
      </c>
      <c r="F1140" s="1" t="s">
        <v>28</v>
      </c>
      <c r="G1140" s="1" t="s">
        <v>6061</v>
      </c>
      <c r="H1140" s="1"/>
      <c r="I1140" s="1">
        <v>2</v>
      </c>
      <c r="J1140" s="1" t="s">
        <v>6062</v>
      </c>
      <c r="K1140" s="1" t="s">
        <v>135</v>
      </c>
      <c r="L1140" s="1" t="s">
        <v>1231</v>
      </c>
      <c r="M1140" s="1" t="s">
        <v>6063</v>
      </c>
      <c r="N1140" s="2">
        <v>42937</v>
      </c>
      <c r="O1140" s="1"/>
      <c r="P1140" s="1"/>
      <c r="Q1140" s="1" t="s">
        <v>34</v>
      </c>
      <c r="R1140" s="1"/>
      <c r="S1140" s="1" t="s">
        <v>35</v>
      </c>
      <c r="T1140" s="1">
        <v>43.670108900000002</v>
      </c>
      <c r="U1140" s="1">
        <v>-73.004012999999901</v>
      </c>
      <c r="V1140" s="1" t="s">
        <v>6064</v>
      </c>
      <c r="W1140" s="1"/>
      <c r="X1140" s="1" t="s">
        <v>37</v>
      </c>
      <c r="Y1140" s="1" t="s">
        <v>1238</v>
      </c>
      <c r="Z1140" s="1">
        <v>5763</v>
      </c>
    </row>
    <row r="1141" spans="1:26" ht="42">
      <c r="A1141" s="1" t="str">
        <f>"000YVK"</f>
        <v>000YVK</v>
      </c>
      <c r="B1141" s="1" t="s">
        <v>6065</v>
      </c>
      <c r="C1141" s="1" t="s">
        <v>6066</v>
      </c>
      <c r="D1141" s="1" t="str">
        <f>"8023631371"</f>
        <v>8023631371</v>
      </c>
      <c r="E1141" s="1">
        <v>5215</v>
      </c>
      <c r="F1141" s="1" t="s">
        <v>28</v>
      </c>
      <c r="G1141" s="1" t="s">
        <v>6067</v>
      </c>
      <c r="H1141" s="1"/>
      <c r="I1141" s="1">
        <v>3</v>
      </c>
      <c r="J1141" s="1" t="s">
        <v>6068</v>
      </c>
      <c r="K1141" s="1" t="s">
        <v>43</v>
      </c>
      <c r="L1141" s="1" t="s">
        <v>364</v>
      </c>
      <c r="M1141" s="1" t="s">
        <v>6069</v>
      </c>
      <c r="N1141" s="2">
        <v>42940</v>
      </c>
      <c r="O1141" s="1"/>
      <c r="P1141" s="1"/>
      <c r="Q1141" s="1" t="s">
        <v>34</v>
      </c>
      <c r="R1141" s="1"/>
      <c r="S1141" s="1" t="s">
        <v>35</v>
      </c>
      <c r="T1141" s="1"/>
      <c r="U1141" s="1"/>
      <c r="V1141" s="1" t="s">
        <v>6070</v>
      </c>
      <c r="W1141" s="1"/>
      <c r="X1141" s="1" t="s">
        <v>37</v>
      </c>
      <c r="Y1141" s="1" t="s">
        <v>367</v>
      </c>
      <c r="Z1141" s="1">
        <v>5465</v>
      </c>
    </row>
    <row r="1142" spans="1:26" ht="42">
      <c r="A1142" s="1" t="str">
        <f>"000YW4"</f>
        <v>000YW4</v>
      </c>
      <c r="B1142" s="1" t="s">
        <v>6071</v>
      </c>
      <c r="C1142" s="1" t="s">
        <v>6072</v>
      </c>
      <c r="D1142" s="1" t="str">
        <f>"8024462336"</f>
        <v>8024462336</v>
      </c>
      <c r="E1142" s="1">
        <v>5216</v>
      </c>
      <c r="F1142" s="1" t="s">
        <v>28</v>
      </c>
      <c r="G1142" s="1" t="s">
        <v>6073</v>
      </c>
      <c r="H1142" s="1"/>
      <c r="I1142" s="1">
        <v>2</v>
      </c>
      <c r="J1142" s="1" t="s">
        <v>6074</v>
      </c>
      <c r="K1142" s="1" t="s">
        <v>135</v>
      </c>
      <c r="L1142" s="1" t="s">
        <v>2119</v>
      </c>
      <c r="M1142" s="1" t="s">
        <v>6075</v>
      </c>
      <c r="N1142" s="2">
        <v>42941</v>
      </c>
      <c r="O1142" s="1"/>
      <c r="P1142" s="1"/>
      <c r="Q1142" s="1" t="s">
        <v>34</v>
      </c>
      <c r="R1142" s="1"/>
      <c r="S1142" s="1" t="s">
        <v>35</v>
      </c>
      <c r="T1142" s="1"/>
      <c r="U1142" s="1"/>
      <c r="V1142" s="1" t="s">
        <v>6076</v>
      </c>
      <c r="W1142" s="1"/>
      <c r="X1142" s="1" t="s">
        <v>37</v>
      </c>
      <c r="Y1142" s="1" t="s">
        <v>6077</v>
      </c>
      <c r="Z1142" s="1">
        <v>5773</v>
      </c>
    </row>
    <row r="1143" spans="1:26" ht="42">
      <c r="A1143" s="1" t="str">
        <f>"000YWW"</f>
        <v>000YWW</v>
      </c>
      <c r="B1143" s="1" t="s">
        <v>6078</v>
      </c>
      <c r="C1143" s="1" t="s">
        <v>6079</v>
      </c>
      <c r="D1143" s="1" t="str">
        <f>"6037485334"</f>
        <v>6037485334</v>
      </c>
      <c r="E1143" s="1">
        <v>5219</v>
      </c>
      <c r="F1143" s="1" t="s">
        <v>28</v>
      </c>
      <c r="G1143" s="1" t="s">
        <v>6080</v>
      </c>
      <c r="H1143" s="1"/>
      <c r="I1143" s="1">
        <v>16</v>
      </c>
      <c r="J1143" s="1" t="s">
        <v>6081</v>
      </c>
      <c r="K1143" s="1" t="s">
        <v>333</v>
      </c>
      <c r="L1143" s="1" t="s">
        <v>679</v>
      </c>
      <c r="M1143" s="1" t="s">
        <v>6082</v>
      </c>
      <c r="N1143" s="2">
        <v>42947</v>
      </c>
      <c r="O1143" s="1"/>
      <c r="P1143" s="2">
        <v>43033</v>
      </c>
      <c r="Q1143" s="1" t="s">
        <v>34</v>
      </c>
      <c r="R1143" s="1"/>
      <c r="S1143" s="1" t="s">
        <v>35</v>
      </c>
      <c r="T1143" s="1"/>
      <c r="U1143" s="1"/>
      <c r="V1143" s="1" t="s">
        <v>6083</v>
      </c>
      <c r="W1143" s="1"/>
      <c r="X1143" s="1" t="s">
        <v>37</v>
      </c>
      <c r="Y1143" s="1" t="s">
        <v>479</v>
      </c>
      <c r="Z1143" s="1">
        <v>5456</v>
      </c>
    </row>
    <row r="1144" spans="1:26" ht="42">
      <c r="A1144" s="1" t="str">
        <f>"000YWY"</f>
        <v>000YWY</v>
      </c>
      <c r="B1144" s="1" t="s">
        <v>6084</v>
      </c>
      <c r="C1144" s="1" t="s">
        <v>6085</v>
      </c>
      <c r="D1144" s="1" t="str">
        <f>"8025952998"</f>
        <v>8025952998</v>
      </c>
      <c r="E1144" s="1">
        <v>5220</v>
      </c>
      <c r="F1144" s="1" t="s">
        <v>28</v>
      </c>
      <c r="G1144" s="1" t="s">
        <v>6086</v>
      </c>
      <c r="H1144" s="1"/>
      <c r="I1144" s="1">
        <v>2</v>
      </c>
      <c r="J1144" s="1" t="s">
        <v>6084</v>
      </c>
      <c r="K1144" s="1" t="s">
        <v>31</v>
      </c>
      <c r="L1144" s="1"/>
      <c r="M1144" s="1" t="s">
        <v>6087</v>
      </c>
      <c r="N1144" s="2">
        <v>42949</v>
      </c>
      <c r="O1144" s="1"/>
      <c r="P1144" s="2">
        <v>42992</v>
      </c>
      <c r="Q1144" s="1" t="s">
        <v>34</v>
      </c>
      <c r="R1144" s="1"/>
      <c r="S1144" s="1" t="s">
        <v>35</v>
      </c>
      <c r="T1144" s="1"/>
      <c r="U1144" s="1"/>
      <c r="V1144" s="1" t="s">
        <v>6088</v>
      </c>
      <c r="W1144" s="1"/>
      <c r="X1144" s="1" t="s">
        <v>37</v>
      </c>
      <c r="Y1144" s="1" t="s">
        <v>227</v>
      </c>
      <c r="Z1144" s="1">
        <v>5679</v>
      </c>
    </row>
    <row r="1145" spans="1:26" ht="42">
      <c r="A1145" s="1" t="str">
        <f>"000YX8"</f>
        <v>000YX8</v>
      </c>
      <c r="B1145" s="1" t="s">
        <v>6089</v>
      </c>
      <c r="C1145" s="1" t="s">
        <v>6090</v>
      </c>
      <c r="D1145" s="1" t="str">
        <f>"6032446343"</f>
        <v>6032446343</v>
      </c>
      <c r="E1145" s="1">
        <v>5221</v>
      </c>
      <c r="F1145" s="1" t="s">
        <v>28</v>
      </c>
      <c r="G1145" s="1" t="s">
        <v>6091</v>
      </c>
      <c r="H1145" s="1"/>
      <c r="I1145" s="1">
        <v>2</v>
      </c>
      <c r="J1145" s="1" t="s">
        <v>6092</v>
      </c>
      <c r="K1145" s="1" t="s">
        <v>77</v>
      </c>
      <c r="L1145" s="1" t="s">
        <v>507</v>
      </c>
      <c r="M1145" s="1" t="s">
        <v>6093</v>
      </c>
      <c r="N1145" s="2">
        <v>42950</v>
      </c>
      <c r="O1145" s="1"/>
      <c r="P1145" s="1"/>
      <c r="Q1145" s="1" t="s">
        <v>34</v>
      </c>
      <c r="R1145" s="1"/>
      <c r="S1145" s="1" t="s">
        <v>35</v>
      </c>
      <c r="T1145" s="1"/>
      <c r="U1145" s="1"/>
      <c r="V1145" s="1" t="s">
        <v>6094</v>
      </c>
      <c r="W1145" s="1"/>
      <c r="X1145" s="1" t="s">
        <v>37</v>
      </c>
      <c r="Y1145" s="1" t="s">
        <v>5617</v>
      </c>
      <c r="Z1145" s="1">
        <v>5048</v>
      </c>
    </row>
    <row r="1146" spans="1:26" ht="42">
      <c r="A1146" s="1" t="str">
        <f>"000YXK"</f>
        <v>000YXK</v>
      </c>
      <c r="B1146" s="1" t="s">
        <v>6095</v>
      </c>
      <c r="C1146" s="1" t="s">
        <v>6096</v>
      </c>
      <c r="D1146" s="1" t="str">
        <f>"8023753696"</f>
        <v>8023753696</v>
      </c>
      <c r="E1146" s="1">
        <v>5222</v>
      </c>
      <c r="F1146" s="1" t="s">
        <v>28</v>
      </c>
      <c r="G1146" s="1" t="s">
        <v>6097</v>
      </c>
      <c r="H1146" s="1"/>
      <c r="I1146" s="1">
        <v>2</v>
      </c>
      <c r="J1146" s="1" t="s">
        <v>6098</v>
      </c>
      <c r="K1146" s="1" t="s">
        <v>187</v>
      </c>
      <c r="L1146" s="1" t="s">
        <v>293</v>
      </c>
      <c r="M1146" s="1" t="s">
        <v>6099</v>
      </c>
      <c r="N1146" s="2">
        <v>42956</v>
      </c>
      <c r="O1146" s="1"/>
      <c r="P1146" s="1"/>
      <c r="Q1146" s="1" t="s">
        <v>34</v>
      </c>
      <c r="R1146" s="1"/>
      <c r="S1146" s="1" t="s">
        <v>35</v>
      </c>
      <c r="T1146" s="1">
        <v>42.982353000000003</v>
      </c>
      <c r="U1146" s="1">
        <v>-73.219382899999999</v>
      </c>
      <c r="V1146" s="1" t="s">
        <v>6100</v>
      </c>
      <c r="W1146" s="1"/>
      <c r="X1146" s="1" t="s">
        <v>37</v>
      </c>
      <c r="Y1146" s="1" t="s">
        <v>296</v>
      </c>
      <c r="Z1146" s="1">
        <v>5262</v>
      </c>
    </row>
    <row r="1147" spans="1:26" ht="42">
      <c r="A1147" s="1" t="str">
        <f>"000YXM"</f>
        <v>000YXM</v>
      </c>
      <c r="B1147" s="1" t="s">
        <v>6101</v>
      </c>
      <c r="C1147" s="1" t="s">
        <v>6102</v>
      </c>
      <c r="D1147" s="1" t="str">
        <f>"2532797517"</f>
        <v>2532797517</v>
      </c>
      <c r="E1147" s="1">
        <v>5223</v>
      </c>
      <c r="F1147" s="1" t="s">
        <v>28</v>
      </c>
      <c r="G1147" s="1" t="s">
        <v>6103</v>
      </c>
      <c r="H1147" s="1"/>
      <c r="I1147" s="1">
        <v>2</v>
      </c>
      <c r="J1147" s="1" t="s">
        <v>6104</v>
      </c>
      <c r="K1147" s="1" t="s">
        <v>43</v>
      </c>
      <c r="L1147" s="1" t="s">
        <v>44</v>
      </c>
      <c r="M1147" s="1" t="s">
        <v>6105</v>
      </c>
      <c r="N1147" s="2">
        <v>42956</v>
      </c>
      <c r="O1147" s="1"/>
      <c r="P1147" s="1"/>
      <c r="Q1147" s="1" t="s">
        <v>34</v>
      </c>
      <c r="R1147" s="1"/>
      <c r="S1147" s="1" t="s">
        <v>35</v>
      </c>
      <c r="T1147" s="1">
        <v>44.471792099999902</v>
      </c>
      <c r="U1147" s="1">
        <v>-73.199572399999894</v>
      </c>
      <c r="V1147" s="1" t="s">
        <v>6106</v>
      </c>
      <c r="W1147" s="1"/>
      <c r="X1147" s="1" t="s">
        <v>37</v>
      </c>
      <c r="Y1147" s="1" t="s">
        <v>46</v>
      </c>
      <c r="Z1147" s="1">
        <v>5401</v>
      </c>
    </row>
    <row r="1148" spans="1:26" ht="42">
      <c r="A1148" s="1" t="str">
        <f>"000YY2"</f>
        <v>000YY2</v>
      </c>
      <c r="B1148" s="1" t="s">
        <v>6107</v>
      </c>
      <c r="C1148" s="1" t="s">
        <v>6108</v>
      </c>
      <c r="D1148" s="1" t="str">
        <f>"8028756551"</f>
        <v>8028756551</v>
      </c>
      <c r="E1148" s="1">
        <v>5225</v>
      </c>
      <c r="F1148" s="1" t="s">
        <v>28</v>
      </c>
      <c r="G1148" s="1" t="s">
        <v>6109</v>
      </c>
      <c r="H1148" s="1"/>
      <c r="I1148" s="1">
        <v>1</v>
      </c>
      <c r="J1148" s="1" t="s">
        <v>6110</v>
      </c>
      <c r="K1148" s="1" t="s">
        <v>77</v>
      </c>
      <c r="L1148" s="1" t="s">
        <v>309</v>
      </c>
      <c r="M1148" s="1" t="s">
        <v>6111</v>
      </c>
      <c r="N1148" s="2">
        <v>42958</v>
      </c>
      <c r="O1148" s="1"/>
      <c r="P1148" s="1"/>
      <c r="Q1148" s="1" t="s">
        <v>34</v>
      </c>
      <c r="R1148" s="1"/>
      <c r="S1148" s="1" t="s">
        <v>35</v>
      </c>
      <c r="T1148" s="1">
        <v>43.244118399999998</v>
      </c>
      <c r="U1148" s="1">
        <v>-72.708883499999999</v>
      </c>
      <c r="V1148" s="1" t="s">
        <v>6112</v>
      </c>
      <c r="W1148" s="1"/>
      <c r="X1148" s="1" t="s">
        <v>37</v>
      </c>
      <c r="Y1148" s="1" t="s">
        <v>6113</v>
      </c>
      <c r="Z1148" s="1">
        <v>5143</v>
      </c>
    </row>
    <row r="1149" spans="1:26" ht="42">
      <c r="A1149" s="1" t="str">
        <f>"000YY5"</f>
        <v>000YY5</v>
      </c>
      <c r="B1149" s="1" t="s">
        <v>6114</v>
      </c>
      <c r="C1149" s="1" t="s">
        <v>6115</v>
      </c>
      <c r="D1149" s="1" t="str">
        <f>"8025584265"</f>
        <v>8025584265</v>
      </c>
      <c r="E1149" s="1">
        <v>5226</v>
      </c>
      <c r="F1149" s="1" t="s">
        <v>28</v>
      </c>
      <c r="G1149" s="1" t="s">
        <v>6116</v>
      </c>
      <c r="H1149" s="1"/>
      <c r="I1149" s="1">
        <v>1</v>
      </c>
      <c r="J1149" s="1" t="s">
        <v>6117</v>
      </c>
      <c r="K1149" s="1" t="s">
        <v>68</v>
      </c>
      <c r="L1149" s="1" t="s">
        <v>1403</v>
      </c>
      <c r="M1149" s="1" t="s">
        <v>6118</v>
      </c>
      <c r="N1149" s="2">
        <v>42958</v>
      </c>
      <c r="O1149" s="1"/>
      <c r="P1149" s="2">
        <v>43000</v>
      </c>
      <c r="Q1149" s="1" t="s">
        <v>34</v>
      </c>
      <c r="R1149" s="1"/>
      <c r="S1149" s="1" t="s">
        <v>35</v>
      </c>
      <c r="T1149" s="1">
        <v>43.911026</v>
      </c>
      <c r="U1149" s="1">
        <v>-72.153000000000006</v>
      </c>
      <c r="V1149" s="1" t="s">
        <v>6119</v>
      </c>
      <c r="W1149" s="1"/>
      <c r="X1149" s="1" t="s">
        <v>37</v>
      </c>
      <c r="Y1149" s="1" t="s">
        <v>6120</v>
      </c>
      <c r="Z1149" s="1">
        <v>5045</v>
      </c>
    </row>
    <row r="1150" spans="1:26" ht="42">
      <c r="A1150" s="1" t="str">
        <f>"000YY7"</f>
        <v>000YY7</v>
      </c>
      <c r="B1150" s="1" t="s">
        <v>6121</v>
      </c>
      <c r="C1150" s="1" t="s">
        <v>6122</v>
      </c>
      <c r="D1150" s="1" t="str">
        <f>"8024254876"</f>
        <v>8024254876</v>
      </c>
      <c r="E1150" s="1">
        <v>5227</v>
      </c>
      <c r="F1150" s="1" t="s">
        <v>28</v>
      </c>
      <c r="G1150" s="1" t="s">
        <v>6123</v>
      </c>
      <c r="H1150" s="1"/>
      <c r="I1150" s="1">
        <v>2</v>
      </c>
      <c r="J1150" s="1" t="s">
        <v>6124</v>
      </c>
      <c r="K1150" s="1" t="s">
        <v>43</v>
      </c>
      <c r="L1150" s="1" t="s">
        <v>728</v>
      </c>
      <c r="M1150" s="1" t="s">
        <v>6125</v>
      </c>
      <c r="N1150" s="2">
        <v>42961</v>
      </c>
      <c r="O1150" s="1"/>
      <c r="P1150" s="1"/>
      <c r="Q1150" s="1" t="s">
        <v>34</v>
      </c>
      <c r="R1150" s="1"/>
      <c r="S1150" s="1" t="s">
        <v>35</v>
      </c>
      <c r="T1150" s="1">
        <v>44.3122811</v>
      </c>
      <c r="U1150" s="1">
        <v>-73.231058700000006</v>
      </c>
      <c r="V1150" s="1" t="s">
        <v>6126</v>
      </c>
      <c r="W1150" s="1"/>
      <c r="X1150" s="1" t="s">
        <v>37</v>
      </c>
      <c r="Y1150" s="1" t="s">
        <v>736</v>
      </c>
      <c r="Z1150" s="1">
        <v>5445</v>
      </c>
    </row>
    <row r="1151" spans="1:26" ht="42">
      <c r="A1151" s="1" t="str">
        <f>"000YY7"</f>
        <v>000YY7</v>
      </c>
      <c r="B1151" s="1" t="s">
        <v>6121</v>
      </c>
      <c r="C1151" s="1" t="s">
        <v>6122</v>
      </c>
      <c r="D1151" s="1" t="str">
        <f>"8024254876"</f>
        <v>8024254876</v>
      </c>
      <c r="E1151" s="1">
        <v>5227</v>
      </c>
      <c r="F1151" s="1" t="s">
        <v>28</v>
      </c>
      <c r="G1151" s="1" t="s">
        <v>6127</v>
      </c>
      <c r="H1151" s="1"/>
      <c r="I1151" s="1">
        <v>1</v>
      </c>
      <c r="J1151" s="1">
        <v>2</v>
      </c>
      <c r="K1151" s="1" t="s">
        <v>333</v>
      </c>
      <c r="L1151" s="1" t="s">
        <v>807</v>
      </c>
      <c r="M1151" s="1" t="s">
        <v>6128</v>
      </c>
      <c r="N1151" s="2">
        <v>42961</v>
      </c>
      <c r="O1151" s="2">
        <v>43252</v>
      </c>
      <c r="P1151" s="1"/>
      <c r="Q1151" s="1" t="s">
        <v>34</v>
      </c>
      <c r="R1151" s="1"/>
      <c r="S1151" s="1" t="s">
        <v>35</v>
      </c>
      <c r="T1151" s="1">
        <v>44.196729699999999</v>
      </c>
      <c r="U1151" s="1">
        <v>-73.168095399999899</v>
      </c>
      <c r="V1151" s="1" t="s">
        <v>6129</v>
      </c>
      <c r="W1151" s="1"/>
      <c r="X1151" s="1" t="s">
        <v>37</v>
      </c>
      <c r="Y1151" s="1" t="s">
        <v>1791</v>
      </c>
      <c r="Z1151" s="1">
        <v>5472</v>
      </c>
    </row>
    <row r="1152" spans="1:26" ht="42">
      <c r="A1152" s="1" t="str">
        <f>"000YZA"</f>
        <v>000YZA</v>
      </c>
      <c r="B1152" s="1" t="s">
        <v>6130</v>
      </c>
      <c r="C1152" s="1" t="s">
        <v>6131</v>
      </c>
      <c r="D1152" s="1" t="str">
        <f>"8023843715"</f>
        <v>8023843715</v>
      </c>
      <c r="E1152" s="1">
        <v>5228</v>
      </c>
      <c r="F1152" s="1" t="s">
        <v>28</v>
      </c>
      <c r="G1152" s="1" t="s">
        <v>6132</v>
      </c>
      <c r="H1152" s="1"/>
      <c r="I1152" s="1">
        <v>2</v>
      </c>
      <c r="J1152" s="1" t="s">
        <v>6133</v>
      </c>
      <c r="K1152" s="1" t="s">
        <v>144</v>
      </c>
      <c r="L1152" s="1" t="s">
        <v>411</v>
      </c>
      <c r="M1152" s="1" t="s">
        <v>6134</v>
      </c>
      <c r="N1152" s="2">
        <v>42972</v>
      </c>
      <c r="O1152" s="1"/>
      <c r="P1152" s="1"/>
      <c r="Q1152" s="1" t="s">
        <v>34</v>
      </c>
      <c r="R1152" s="1"/>
      <c r="S1152" s="1" t="s">
        <v>35</v>
      </c>
      <c r="T1152" s="1">
        <v>43.039845</v>
      </c>
      <c r="U1152" s="1">
        <v>-72.5528719</v>
      </c>
      <c r="V1152" s="1" t="s">
        <v>6135</v>
      </c>
      <c r="W1152" s="1"/>
      <c r="X1152" s="1" t="s">
        <v>37</v>
      </c>
      <c r="Y1152" s="1" t="s">
        <v>414</v>
      </c>
      <c r="Z1152" s="1">
        <v>5346</v>
      </c>
    </row>
    <row r="1153" spans="1:26" ht="42">
      <c r="A1153" s="1" t="str">
        <f>"000YZA"</f>
        <v>000YZA</v>
      </c>
      <c r="B1153" s="1" t="s">
        <v>6130</v>
      </c>
      <c r="C1153" s="1" t="s">
        <v>6131</v>
      </c>
      <c r="D1153" s="1" t="str">
        <f>"8023843715"</f>
        <v>8023843715</v>
      </c>
      <c r="E1153" s="1">
        <v>5228</v>
      </c>
      <c r="F1153" s="1" t="s">
        <v>28</v>
      </c>
      <c r="G1153" s="1" t="s">
        <v>6136</v>
      </c>
      <c r="H1153" s="1"/>
      <c r="I1153" s="1">
        <v>6</v>
      </c>
      <c r="J1153" s="1" t="s">
        <v>6137</v>
      </c>
      <c r="K1153" s="1" t="s">
        <v>144</v>
      </c>
      <c r="L1153" s="1" t="s">
        <v>411</v>
      </c>
      <c r="M1153" s="1" t="s">
        <v>6138</v>
      </c>
      <c r="N1153" s="2">
        <v>43244</v>
      </c>
      <c r="O1153" s="1"/>
      <c r="P1153" s="2">
        <v>43259</v>
      </c>
      <c r="Q1153" s="1" t="s">
        <v>34</v>
      </c>
      <c r="R1153" s="1"/>
      <c r="S1153" s="1" t="s">
        <v>35</v>
      </c>
      <c r="T1153" s="1"/>
      <c r="U1153" s="1"/>
      <c r="V1153" s="1" t="s">
        <v>6139</v>
      </c>
      <c r="W1153" s="1"/>
      <c r="X1153" s="1" t="s">
        <v>37</v>
      </c>
      <c r="Y1153" s="1" t="s">
        <v>3744</v>
      </c>
      <c r="Z1153" s="1">
        <v>5158</v>
      </c>
    </row>
    <row r="1154" spans="1:26" ht="42">
      <c r="A1154" s="1" t="str">
        <f>"000YZP"</f>
        <v>000YZP</v>
      </c>
      <c r="B1154" s="1" t="s">
        <v>6140</v>
      </c>
      <c r="C1154" s="1" t="s">
        <v>6141</v>
      </c>
      <c r="D1154" s="1" t="str">
        <f>"8022910370"</f>
        <v>8022910370</v>
      </c>
      <c r="E1154" s="1">
        <v>5229</v>
      </c>
      <c r="F1154" s="1" t="s">
        <v>28</v>
      </c>
      <c r="G1154" s="1" t="s">
        <v>6142</v>
      </c>
      <c r="H1154" s="1"/>
      <c r="I1154" s="1">
        <v>2</v>
      </c>
      <c r="J1154" s="1" t="s">
        <v>6143</v>
      </c>
      <c r="K1154" s="1" t="s">
        <v>77</v>
      </c>
      <c r="L1154" s="1" t="s">
        <v>5174</v>
      </c>
      <c r="M1154" s="1" t="s">
        <v>6144</v>
      </c>
      <c r="N1154" s="2">
        <v>42978</v>
      </c>
      <c r="O1154" s="1"/>
      <c r="P1154" s="1"/>
      <c r="Q1154" s="1" t="s">
        <v>34</v>
      </c>
      <c r="R1154" s="1"/>
      <c r="S1154" s="1" t="s">
        <v>35</v>
      </c>
      <c r="T1154" s="1"/>
      <c r="U1154" s="1"/>
      <c r="V1154" s="1" t="s">
        <v>6145</v>
      </c>
      <c r="W1154" s="1"/>
      <c r="X1154" s="1" t="s">
        <v>37</v>
      </c>
      <c r="Y1154" s="1" t="s">
        <v>6146</v>
      </c>
      <c r="Z1154" s="1">
        <v>5065</v>
      </c>
    </row>
    <row r="1155" spans="1:26" ht="42">
      <c r="A1155" s="1" t="str">
        <f>"000YZZ"</f>
        <v>000YZZ</v>
      </c>
      <c r="B1155" s="1" t="s">
        <v>6147</v>
      </c>
      <c r="C1155" s="1" t="s">
        <v>6148</v>
      </c>
      <c r="D1155" s="1" t="str">
        <f>"8024423840"</f>
        <v>8024423840</v>
      </c>
      <c r="E1155" s="1">
        <v>5230</v>
      </c>
      <c r="F1155" s="1" t="s">
        <v>28</v>
      </c>
      <c r="G1155" s="1" t="s">
        <v>6149</v>
      </c>
      <c r="H1155" s="1"/>
      <c r="I1155" s="1">
        <v>3</v>
      </c>
      <c r="J1155" s="1" t="s">
        <v>6150</v>
      </c>
      <c r="K1155" s="1" t="s">
        <v>187</v>
      </c>
      <c r="L1155" s="1" t="s">
        <v>188</v>
      </c>
      <c r="M1155" s="1" t="s">
        <v>6151</v>
      </c>
      <c r="N1155" s="2">
        <v>42983</v>
      </c>
      <c r="O1155" s="1"/>
      <c r="P1155" s="1"/>
      <c r="Q1155" s="1" t="s">
        <v>34</v>
      </c>
      <c r="R1155" s="1"/>
      <c r="S1155" s="1" t="s">
        <v>35</v>
      </c>
      <c r="T1155" s="1">
        <v>42.869801000000002</v>
      </c>
      <c r="U1155" s="1">
        <v>-73.186789999999903</v>
      </c>
      <c r="V1155" s="1" t="s">
        <v>6152</v>
      </c>
      <c r="W1155" s="1"/>
      <c r="X1155" s="1" t="s">
        <v>37</v>
      </c>
      <c r="Y1155" s="1" t="s">
        <v>6153</v>
      </c>
      <c r="Z1155" s="1">
        <v>5201</v>
      </c>
    </row>
    <row r="1156" spans="1:26" ht="42">
      <c r="A1156" s="1" t="str">
        <f>"000Z0G"</f>
        <v>000Z0G</v>
      </c>
      <c r="B1156" s="1" t="s">
        <v>6154</v>
      </c>
      <c r="C1156" s="1" t="s">
        <v>6155</v>
      </c>
      <c r="D1156" s="1" t="str">
        <f>"8027342230"</f>
        <v>8027342230</v>
      </c>
      <c r="E1156" s="1">
        <v>5231</v>
      </c>
      <c r="F1156" s="1" t="s">
        <v>28</v>
      </c>
      <c r="G1156" s="1" t="s">
        <v>6156</v>
      </c>
      <c r="H1156" s="1"/>
      <c r="I1156" s="1">
        <v>8</v>
      </c>
      <c r="J1156" s="1" t="s">
        <v>6157</v>
      </c>
      <c r="K1156" s="1" t="s">
        <v>170</v>
      </c>
      <c r="L1156" s="1" t="s">
        <v>380</v>
      </c>
      <c r="M1156" s="1" t="s">
        <v>6158</v>
      </c>
      <c r="N1156" s="2">
        <v>42984</v>
      </c>
      <c r="O1156" s="1"/>
      <c r="P1156" s="1"/>
      <c r="Q1156" s="1" t="s">
        <v>34</v>
      </c>
      <c r="R1156" s="1"/>
      <c r="S1156" s="1" t="s">
        <v>35</v>
      </c>
      <c r="T1156" s="1">
        <v>44.589689900000003</v>
      </c>
      <c r="U1156" s="1">
        <v>-72.656348399999999</v>
      </c>
      <c r="V1156" s="1" t="s">
        <v>6159</v>
      </c>
      <c r="W1156" s="1"/>
      <c r="X1156" s="1" t="s">
        <v>37</v>
      </c>
      <c r="Y1156" s="1" t="s">
        <v>383</v>
      </c>
      <c r="Z1156" s="1">
        <v>5661</v>
      </c>
    </row>
    <row r="1157" spans="1:26" ht="42">
      <c r="A1157" s="1" t="str">
        <f>"000Z0G"</f>
        <v>000Z0G</v>
      </c>
      <c r="B1157" s="1" t="s">
        <v>6154</v>
      </c>
      <c r="C1157" s="1" t="s">
        <v>6155</v>
      </c>
      <c r="D1157" s="1" t="str">
        <f>"8027342230"</f>
        <v>8027342230</v>
      </c>
      <c r="E1157" s="1">
        <v>5231</v>
      </c>
      <c r="F1157" s="1" t="s">
        <v>28</v>
      </c>
      <c r="G1157" s="1" t="s">
        <v>6160</v>
      </c>
      <c r="H1157" s="1"/>
      <c r="I1157" s="1">
        <v>5</v>
      </c>
      <c r="J1157" s="1" t="s">
        <v>3859</v>
      </c>
      <c r="K1157" s="1" t="s">
        <v>170</v>
      </c>
      <c r="L1157" s="1" t="s">
        <v>3857</v>
      </c>
      <c r="M1157" s="1" t="s">
        <v>6161</v>
      </c>
      <c r="N1157" s="2">
        <v>42984</v>
      </c>
      <c r="O1157" s="1"/>
      <c r="P1157" s="1"/>
      <c r="Q1157" s="1" t="s">
        <v>34</v>
      </c>
      <c r="R1157" s="1"/>
      <c r="S1157" s="1" t="s">
        <v>35</v>
      </c>
      <c r="T1157" s="1">
        <v>44.498496799999998</v>
      </c>
      <c r="U1157" s="1">
        <v>-72.681644899999895</v>
      </c>
      <c r="V1157" s="1" t="s">
        <v>6162</v>
      </c>
      <c r="W1157" s="1"/>
      <c r="X1157" s="1" t="s">
        <v>37</v>
      </c>
      <c r="Y1157" s="1" t="s">
        <v>3859</v>
      </c>
      <c r="Z1157" s="1">
        <v>5442</v>
      </c>
    </row>
    <row r="1158" spans="1:26" ht="42">
      <c r="A1158" s="1" t="str">
        <f>"000Z0H"</f>
        <v>000Z0H</v>
      </c>
      <c r="B1158" s="1" t="s">
        <v>6163</v>
      </c>
      <c r="C1158" s="1" t="s">
        <v>6164</v>
      </c>
      <c r="D1158" s="1" t="str">
        <f>"8027826257"</f>
        <v>8027826257</v>
      </c>
      <c r="E1158" s="1">
        <v>5232</v>
      </c>
      <c r="F1158" s="1" t="s">
        <v>28</v>
      </c>
      <c r="G1158" s="1" t="s">
        <v>6165</v>
      </c>
      <c r="H1158" s="1"/>
      <c r="I1158" s="1">
        <v>2</v>
      </c>
      <c r="J1158" s="1" t="s">
        <v>6166</v>
      </c>
      <c r="K1158" s="1" t="s">
        <v>152</v>
      </c>
      <c r="L1158" s="1" t="s">
        <v>4798</v>
      </c>
      <c r="M1158" s="1" t="s">
        <v>6167</v>
      </c>
      <c r="N1158" s="2">
        <v>42984</v>
      </c>
      <c r="O1158" s="1"/>
      <c r="P1158" s="1"/>
      <c r="Q1158" s="1" t="s">
        <v>34</v>
      </c>
      <c r="R1158" s="1"/>
      <c r="S1158" s="1" t="s">
        <v>35</v>
      </c>
      <c r="T1158" s="1"/>
      <c r="U1158" s="1"/>
      <c r="V1158" s="1" t="s">
        <v>6168</v>
      </c>
      <c r="W1158" s="1"/>
      <c r="X1158" s="1" t="s">
        <v>37</v>
      </c>
      <c r="Y1158" s="1" t="s">
        <v>4801</v>
      </c>
      <c r="Z1158" s="1">
        <v>5455</v>
      </c>
    </row>
    <row r="1159" spans="1:26" ht="42">
      <c r="A1159" s="1" t="str">
        <f>"000Z0Y"</f>
        <v>000Z0Y</v>
      </c>
      <c r="B1159" s="1" t="s">
        <v>6169</v>
      </c>
      <c r="C1159" s="1" t="s">
        <v>6170</v>
      </c>
      <c r="D1159" s="1" t="str">
        <f>"8027679902"</f>
        <v>8027679902</v>
      </c>
      <c r="E1159" s="1">
        <v>5233</v>
      </c>
      <c r="F1159" s="1" t="s">
        <v>28</v>
      </c>
      <c r="G1159" s="1" t="s">
        <v>6171</v>
      </c>
      <c r="H1159" s="1"/>
      <c r="I1159" s="1">
        <v>23</v>
      </c>
      <c r="J1159" s="1">
        <v>1</v>
      </c>
      <c r="K1159" s="1" t="s">
        <v>77</v>
      </c>
      <c r="L1159" s="1" t="s">
        <v>103</v>
      </c>
      <c r="M1159" s="1" t="s">
        <v>6172</v>
      </c>
      <c r="N1159" s="2">
        <v>42990</v>
      </c>
      <c r="O1159" s="1"/>
      <c r="P1159" s="1"/>
      <c r="Q1159" s="1" t="s">
        <v>34</v>
      </c>
      <c r="R1159" s="1"/>
      <c r="S1159" s="1" t="s">
        <v>35</v>
      </c>
      <c r="T1159" s="1">
        <v>43.862521299999997</v>
      </c>
      <c r="U1159" s="1">
        <v>-72.843230300000002</v>
      </c>
      <c r="V1159" s="1" t="s">
        <v>6173</v>
      </c>
      <c r="W1159" s="1"/>
      <c r="X1159" s="1" t="s">
        <v>37</v>
      </c>
      <c r="Y1159" s="1" t="s">
        <v>107</v>
      </c>
      <c r="Z1159" s="1">
        <v>5767</v>
      </c>
    </row>
    <row r="1160" spans="1:26" ht="42">
      <c r="A1160" s="1" t="str">
        <f>"000Z0Y"</f>
        <v>000Z0Y</v>
      </c>
      <c r="B1160" s="1" t="s">
        <v>6169</v>
      </c>
      <c r="C1160" s="1" t="s">
        <v>6170</v>
      </c>
      <c r="D1160" s="1" t="str">
        <f>"8027679902"</f>
        <v>8027679902</v>
      </c>
      <c r="E1160" s="1">
        <v>5233</v>
      </c>
      <c r="F1160" s="1" t="s">
        <v>28</v>
      </c>
      <c r="G1160" s="1" t="s">
        <v>6174</v>
      </c>
      <c r="H1160" s="1"/>
      <c r="I1160" s="1">
        <v>2</v>
      </c>
      <c r="J1160" s="1" t="s">
        <v>6175</v>
      </c>
      <c r="K1160" s="1" t="s">
        <v>77</v>
      </c>
      <c r="L1160" s="1"/>
      <c r="M1160" s="1" t="s">
        <v>6176</v>
      </c>
      <c r="N1160" s="2">
        <v>42990</v>
      </c>
      <c r="O1160" s="1"/>
      <c r="P1160" s="1"/>
      <c r="Q1160" s="1" t="s">
        <v>34</v>
      </c>
      <c r="R1160" s="1"/>
      <c r="S1160" s="1" t="s">
        <v>35</v>
      </c>
      <c r="T1160" s="1">
        <v>43.8730391</v>
      </c>
      <c r="U1160" s="1">
        <v>-72.857834699999998</v>
      </c>
      <c r="V1160" s="1" t="s">
        <v>6177</v>
      </c>
      <c r="W1160" s="1"/>
      <c r="X1160" s="1" t="s">
        <v>37</v>
      </c>
      <c r="Y1160" s="1" t="s">
        <v>6178</v>
      </c>
      <c r="Z1160" s="1">
        <v>5767</v>
      </c>
    </row>
    <row r="1161" spans="1:26" ht="42">
      <c r="A1161" s="1" t="str">
        <f>"000Z0Y"</f>
        <v>000Z0Y</v>
      </c>
      <c r="B1161" s="1" t="s">
        <v>6169</v>
      </c>
      <c r="C1161" s="1" t="s">
        <v>6170</v>
      </c>
      <c r="D1161" s="1" t="str">
        <f>"8027679902"</f>
        <v>8027679902</v>
      </c>
      <c r="E1161" s="1">
        <v>5233</v>
      </c>
      <c r="F1161" s="1" t="s">
        <v>28</v>
      </c>
      <c r="G1161" s="1" t="s">
        <v>6179</v>
      </c>
      <c r="H1161" s="1"/>
      <c r="I1161" s="1">
        <v>2</v>
      </c>
      <c r="J1161" s="1" t="s">
        <v>6180</v>
      </c>
      <c r="K1161" s="1" t="s">
        <v>333</v>
      </c>
      <c r="L1161" s="1" t="s">
        <v>6181</v>
      </c>
      <c r="M1161" s="1" t="s">
        <v>6180</v>
      </c>
      <c r="N1161" s="2">
        <v>43259</v>
      </c>
      <c r="O1161" s="1"/>
      <c r="P1161" s="1"/>
      <c r="Q1161" s="1" t="s">
        <v>34</v>
      </c>
      <c r="R1161" s="1"/>
      <c r="S1161" s="1" t="s">
        <v>35</v>
      </c>
      <c r="T1161" s="1">
        <v>43.9456705999999</v>
      </c>
      <c r="U1161" s="1">
        <v>-72.880995299999995</v>
      </c>
      <c r="V1161" s="1" t="s">
        <v>6182</v>
      </c>
      <c r="W1161" s="1"/>
      <c r="X1161" s="1" t="s">
        <v>37</v>
      </c>
      <c r="Y1161" s="1" t="s">
        <v>6178</v>
      </c>
      <c r="Z1161" s="1">
        <v>0</v>
      </c>
    </row>
    <row r="1162" spans="1:26" ht="42">
      <c r="A1162" s="1" t="str">
        <f>"000Z10"</f>
        <v>000Z10</v>
      </c>
      <c r="B1162" s="1" t="s">
        <v>6183</v>
      </c>
      <c r="C1162" s="1" t="s">
        <v>6184</v>
      </c>
      <c r="D1162" s="1" t="str">
        <f>"8023234232"</f>
        <v>8023234232</v>
      </c>
      <c r="E1162" s="1">
        <v>5234</v>
      </c>
      <c r="F1162" s="1" t="s">
        <v>28</v>
      </c>
      <c r="G1162" s="1" t="s">
        <v>6185</v>
      </c>
      <c r="H1162" s="1"/>
      <c r="I1162" s="1">
        <v>5</v>
      </c>
      <c r="J1162" s="1" t="s">
        <v>6186</v>
      </c>
      <c r="K1162" s="1" t="s">
        <v>527</v>
      </c>
      <c r="L1162" s="1" t="s">
        <v>2561</v>
      </c>
      <c r="M1162" s="1" t="s">
        <v>6187</v>
      </c>
      <c r="N1162" s="2">
        <v>42991</v>
      </c>
      <c r="O1162" s="1"/>
      <c r="P1162" s="1"/>
      <c r="Q1162" s="1" t="s">
        <v>34</v>
      </c>
      <c r="R1162" s="1"/>
      <c r="S1162" s="1" t="s">
        <v>35</v>
      </c>
      <c r="T1162" s="1"/>
      <c r="U1162" s="1"/>
      <c r="V1162" s="1" t="s">
        <v>6188</v>
      </c>
      <c r="W1162" s="1"/>
      <c r="X1162" s="1" t="s">
        <v>37</v>
      </c>
      <c r="Y1162" s="1" t="s">
        <v>2564</v>
      </c>
      <c r="Z1162" s="1">
        <v>5845</v>
      </c>
    </row>
    <row r="1163" spans="1:26" ht="42">
      <c r="A1163" s="1" t="str">
        <f>"000Z1W"</f>
        <v>000Z1W</v>
      </c>
      <c r="B1163" s="1" t="s">
        <v>6189</v>
      </c>
      <c r="C1163" s="1" t="s">
        <v>6190</v>
      </c>
      <c r="D1163" s="1" t="str">
        <f>"8025844135"</f>
        <v>8025844135</v>
      </c>
      <c r="E1163" s="1">
        <v>5235</v>
      </c>
      <c r="F1163" s="1" t="s">
        <v>28</v>
      </c>
      <c r="G1163" s="1" t="s">
        <v>6191</v>
      </c>
      <c r="H1163" s="1"/>
      <c r="I1163" s="1">
        <v>1</v>
      </c>
      <c r="J1163" s="1" t="s">
        <v>6192</v>
      </c>
      <c r="K1163" s="1" t="s">
        <v>59</v>
      </c>
      <c r="L1163" s="1" t="s">
        <v>892</v>
      </c>
      <c r="M1163" s="1" t="s">
        <v>6193</v>
      </c>
      <c r="N1163" s="2">
        <v>43000</v>
      </c>
      <c r="O1163" s="1"/>
      <c r="P1163" s="1"/>
      <c r="Q1163" s="1" t="s">
        <v>34</v>
      </c>
      <c r="R1163" s="1"/>
      <c r="S1163" s="1" t="s">
        <v>35</v>
      </c>
      <c r="T1163" s="1"/>
      <c r="U1163" s="1"/>
      <c r="V1163" s="1" t="s">
        <v>6194</v>
      </c>
      <c r="W1163" s="1"/>
      <c r="X1163" s="1" t="s">
        <v>37</v>
      </c>
      <c r="Y1163" s="1" t="s">
        <v>4095</v>
      </c>
      <c r="Z1163" s="1">
        <v>5069</v>
      </c>
    </row>
    <row r="1164" spans="1:26" ht="42">
      <c r="A1164" s="1" t="str">
        <f>"000Z42"</f>
        <v>000Z42</v>
      </c>
      <c r="B1164" s="1" t="s">
        <v>6195</v>
      </c>
      <c r="C1164" s="1" t="s">
        <v>6196</v>
      </c>
      <c r="D1164" s="1" t="str">
        <f>"8022823862"</f>
        <v>8022823862</v>
      </c>
      <c r="E1164" s="1">
        <v>5237</v>
      </c>
      <c r="F1164" s="1" t="s">
        <v>28</v>
      </c>
      <c r="G1164" s="1" t="s">
        <v>6197</v>
      </c>
      <c r="H1164" s="1"/>
      <c r="I1164" s="1">
        <v>3</v>
      </c>
      <c r="J1164" s="1" t="s">
        <v>6198</v>
      </c>
      <c r="K1164" s="1" t="s">
        <v>135</v>
      </c>
      <c r="L1164" s="1" t="s">
        <v>1630</v>
      </c>
      <c r="M1164" s="1" t="s">
        <v>6199</v>
      </c>
      <c r="N1164" s="2">
        <v>43040</v>
      </c>
      <c r="O1164" s="1"/>
      <c r="P1164" s="1"/>
      <c r="Q1164" s="1" t="s">
        <v>34</v>
      </c>
      <c r="R1164" s="1"/>
      <c r="S1164" s="1" t="s">
        <v>35</v>
      </c>
      <c r="T1164" s="1"/>
      <c r="U1164" s="1"/>
      <c r="V1164" s="1" t="s">
        <v>6200</v>
      </c>
      <c r="W1164" s="1"/>
      <c r="X1164" s="1" t="s">
        <v>37</v>
      </c>
      <c r="Y1164" s="1" t="s">
        <v>1633</v>
      </c>
      <c r="Z1164" s="1">
        <v>5735</v>
      </c>
    </row>
    <row r="1165" spans="1:26" ht="42">
      <c r="A1165" s="1" t="str">
        <f>"000Z4B"</f>
        <v>000Z4B</v>
      </c>
      <c r="B1165" s="1" t="s">
        <v>6201</v>
      </c>
      <c r="C1165" s="1" t="s">
        <v>6202</v>
      </c>
      <c r="D1165" s="1" t="str">
        <f>"5409696771"</f>
        <v>5409696771</v>
      </c>
      <c r="E1165" s="1">
        <v>5236</v>
      </c>
      <c r="F1165" s="1" t="s">
        <v>28</v>
      </c>
      <c r="G1165" s="1" t="s">
        <v>6203</v>
      </c>
      <c r="H1165" s="1"/>
      <c r="I1165" s="1">
        <v>1</v>
      </c>
      <c r="J1165" s="1" t="s">
        <v>6204</v>
      </c>
      <c r="K1165" s="1" t="s">
        <v>170</v>
      </c>
      <c r="L1165" s="1" t="s">
        <v>1769</v>
      </c>
      <c r="M1165" s="1" t="s">
        <v>6205</v>
      </c>
      <c r="N1165" s="2">
        <v>43040</v>
      </c>
      <c r="O1165" s="1"/>
      <c r="P1165" s="1"/>
      <c r="Q1165" s="1" t="s">
        <v>34</v>
      </c>
      <c r="R1165" s="1"/>
      <c r="S1165" s="1" t="s">
        <v>35</v>
      </c>
      <c r="T1165" s="1"/>
      <c r="U1165" s="1"/>
      <c r="V1165" s="1" t="s">
        <v>6206</v>
      </c>
      <c r="W1165" s="1"/>
      <c r="X1165" s="1" t="s">
        <v>37</v>
      </c>
      <c r="Y1165" s="1" t="s">
        <v>1772</v>
      </c>
      <c r="Z1165" s="1">
        <v>5655</v>
      </c>
    </row>
    <row r="1166" spans="1:26" ht="28">
      <c r="A1166" s="1" t="str">
        <f>"000Z4X"</f>
        <v>000Z4X</v>
      </c>
      <c r="B1166" s="1" t="s">
        <v>6207</v>
      </c>
      <c r="C1166" s="1" t="s">
        <v>6208</v>
      </c>
      <c r="D1166" s="1"/>
      <c r="E1166" s="1">
        <v>5238</v>
      </c>
      <c r="F1166" s="1" t="s">
        <v>28</v>
      </c>
      <c r="G1166" s="1" t="s">
        <v>6209</v>
      </c>
      <c r="H1166" s="1"/>
      <c r="I1166" s="1">
        <v>4</v>
      </c>
      <c r="J1166" s="1"/>
      <c r="K1166" s="1" t="s">
        <v>159</v>
      </c>
      <c r="L1166" s="1"/>
      <c r="M1166" s="1" t="s">
        <v>6210</v>
      </c>
      <c r="N1166" s="2">
        <v>43059</v>
      </c>
      <c r="O1166" s="1"/>
      <c r="P1166" s="2">
        <v>43052</v>
      </c>
      <c r="Q1166" s="1" t="s">
        <v>34</v>
      </c>
      <c r="R1166" s="1"/>
      <c r="S1166" s="1" t="s">
        <v>35</v>
      </c>
      <c r="T1166" s="1"/>
      <c r="U1166" s="1"/>
      <c r="V1166" s="1" t="s">
        <v>6211</v>
      </c>
      <c r="W1166" s="1"/>
      <c r="X1166" s="1" t="s">
        <v>37</v>
      </c>
      <c r="Y1166" s="1" t="s">
        <v>6210</v>
      </c>
      <c r="Z1166" s="1">
        <v>5674</v>
      </c>
    </row>
    <row r="1167" spans="1:26" ht="42">
      <c r="A1167" s="1" t="str">
        <f>"000Z93"</f>
        <v>000Z93</v>
      </c>
      <c r="B1167" s="1" t="s">
        <v>6212</v>
      </c>
      <c r="C1167" s="1" t="s">
        <v>6213</v>
      </c>
      <c r="D1167" s="1" t="str">
        <f>"8022386540"</f>
        <v>8022386540</v>
      </c>
      <c r="E1167" s="1">
        <v>5240</v>
      </c>
      <c r="F1167" s="1" t="s">
        <v>28</v>
      </c>
      <c r="G1167" s="1" t="s">
        <v>6214</v>
      </c>
      <c r="H1167" s="1"/>
      <c r="I1167" s="1">
        <v>3</v>
      </c>
      <c r="J1167" s="1">
        <v>239</v>
      </c>
      <c r="K1167" s="1" t="s">
        <v>43</v>
      </c>
      <c r="L1167" s="1" t="s">
        <v>728</v>
      </c>
      <c r="M1167" s="1" t="s">
        <v>6215</v>
      </c>
      <c r="N1167" s="2">
        <v>43133</v>
      </c>
      <c r="O1167" s="1"/>
      <c r="P1167" s="1"/>
      <c r="Q1167" s="1" t="s">
        <v>34</v>
      </c>
      <c r="R1167" s="1"/>
      <c r="S1167" s="1" t="s">
        <v>35</v>
      </c>
      <c r="T1167" s="1">
        <v>44.338737000000002</v>
      </c>
      <c r="U1167" s="1">
        <v>-73.28125</v>
      </c>
      <c r="V1167" s="1" t="s">
        <v>6216</v>
      </c>
      <c r="W1167" s="1"/>
      <c r="X1167" s="1" t="s">
        <v>37</v>
      </c>
      <c r="Y1167" s="1" t="s">
        <v>6217</v>
      </c>
      <c r="Z1167" s="1">
        <v>5445</v>
      </c>
    </row>
    <row r="1168" spans="1:26" ht="42">
      <c r="A1168" s="1" t="str">
        <f>"0010M8"</f>
        <v>0010M8</v>
      </c>
      <c r="B1168" s="1" t="s">
        <v>6218</v>
      </c>
      <c r="C1168" s="1" t="s">
        <v>6219</v>
      </c>
      <c r="D1168" s="1" t="str">
        <f>"8023420343"</f>
        <v>8023420343</v>
      </c>
      <c r="E1168" s="1">
        <v>5241</v>
      </c>
      <c r="F1168" s="1" t="s">
        <v>28</v>
      </c>
      <c r="G1168" s="1" t="s">
        <v>6220</v>
      </c>
      <c r="H1168" s="1"/>
      <c r="I1168" s="1">
        <v>2</v>
      </c>
      <c r="J1168" s="1" t="s">
        <v>6221</v>
      </c>
      <c r="K1168" s="1" t="s">
        <v>135</v>
      </c>
      <c r="L1168" s="1" t="s">
        <v>1231</v>
      </c>
      <c r="M1168" s="1" t="s">
        <v>6222</v>
      </c>
      <c r="N1168" s="2">
        <v>43171</v>
      </c>
      <c r="O1168" s="1"/>
      <c r="P1168" s="1"/>
      <c r="Q1168" s="1" t="s">
        <v>34</v>
      </c>
      <c r="R1168" s="1"/>
      <c r="S1168" s="1" t="s">
        <v>35</v>
      </c>
      <c r="T1168" s="1"/>
      <c r="U1168" s="1"/>
      <c r="V1168" s="1" t="s">
        <v>6223</v>
      </c>
      <c r="W1168" s="1"/>
      <c r="X1168" s="1" t="s">
        <v>37</v>
      </c>
      <c r="Y1168" s="1" t="s">
        <v>1238</v>
      </c>
      <c r="Z1168" s="1">
        <v>5763</v>
      </c>
    </row>
    <row r="1169" spans="1:26" ht="42">
      <c r="A1169" s="1" t="str">
        <f>"0010VY"</f>
        <v>0010VY</v>
      </c>
      <c r="B1169" s="1" t="s">
        <v>6224</v>
      </c>
      <c r="C1169" s="1" t="s">
        <v>6225</v>
      </c>
      <c r="D1169" s="1" t="str">
        <f>"8028499767"</f>
        <v>8028499767</v>
      </c>
      <c r="E1169" s="1">
        <v>5255</v>
      </c>
      <c r="F1169" s="1" t="s">
        <v>28</v>
      </c>
      <c r="G1169" s="1" t="s">
        <v>6226</v>
      </c>
      <c r="H1169" s="1"/>
      <c r="I1169" s="1">
        <v>3</v>
      </c>
      <c r="J1169" s="1" t="s">
        <v>6227</v>
      </c>
      <c r="K1169" s="1" t="s">
        <v>152</v>
      </c>
      <c r="L1169" s="1" t="s">
        <v>4073</v>
      </c>
      <c r="M1169" s="1" t="s">
        <v>6228</v>
      </c>
      <c r="N1169" s="2">
        <v>43236</v>
      </c>
      <c r="O1169" s="1"/>
      <c r="P1169" s="1"/>
      <c r="Q1169" s="1" t="s">
        <v>34</v>
      </c>
      <c r="R1169" s="1"/>
      <c r="S1169" s="1" t="s">
        <v>35</v>
      </c>
      <c r="T1169" s="1"/>
      <c r="U1169" s="1"/>
      <c r="V1169" s="1" t="s">
        <v>4075</v>
      </c>
      <c r="W1169" s="1"/>
      <c r="X1169" s="1" t="s">
        <v>37</v>
      </c>
      <c r="Y1169" s="1" t="s">
        <v>2664</v>
      </c>
      <c r="Z1169" s="1">
        <v>5464</v>
      </c>
    </row>
    <row r="1170" spans="1:26" ht="42">
      <c r="A1170" s="1" t="str">
        <f>"0010YZ"</f>
        <v>0010YZ</v>
      </c>
      <c r="B1170" s="1" t="s">
        <v>6229</v>
      </c>
      <c r="C1170" s="1" t="s">
        <v>6230</v>
      </c>
      <c r="D1170" s="1" t="str">
        <f>"8023101058"</f>
        <v>8023101058</v>
      </c>
      <c r="E1170" s="1">
        <v>5242</v>
      </c>
      <c r="F1170" s="1" t="s">
        <v>28</v>
      </c>
      <c r="G1170" s="1" t="s">
        <v>6231</v>
      </c>
      <c r="H1170" s="1"/>
      <c r="I1170" s="1">
        <v>1</v>
      </c>
      <c r="J1170" s="1">
        <v>1</v>
      </c>
      <c r="K1170" s="1" t="s">
        <v>43</v>
      </c>
      <c r="L1170" s="1" t="s">
        <v>364</v>
      </c>
      <c r="M1170" s="1" t="s">
        <v>6232</v>
      </c>
      <c r="N1170" s="2">
        <v>43229</v>
      </c>
      <c r="O1170" s="1"/>
      <c r="P1170" s="1"/>
      <c r="Q1170" s="1" t="s">
        <v>34</v>
      </c>
      <c r="R1170" s="1"/>
      <c r="S1170" s="1" t="s">
        <v>35</v>
      </c>
      <c r="T1170" s="1">
        <v>44.521189999999997</v>
      </c>
      <c r="U1170" s="1">
        <v>-72.956739999999897</v>
      </c>
      <c r="V1170" s="1" t="s">
        <v>6233</v>
      </c>
      <c r="W1170" s="1"/>
      <c r="X1170" s="1" t="s">
        <v>37</v>
      </c>
      <c r="Y1170" s="1" t="s">
        <v>367</v>
      </c>
      <c r="Z1170" s="1">
        <v>5465</v>
      </c>
    </row>
    <row r="1171" spans="1:26" ht="42">
      <c r="A1171" s="1" t="str">
        <f>"0010Z0"</f>
        <v>0010Z0</v>
      </c>
      <c r="B1171" s="1" t="s">
        <v>6234</v>
      </c>
      <c r="C1171" s="1" t="s">
        <v>6235</v>
      </c>
      <c r="D1171" s="1" t="str">
        <f>"8022363869"</f>
        <v>8022363869</v>
      </c>
      <c r="E1171" s="1">
        <v>5243</v>
      </c>
      <c r="F1171" s="1" t="s">
        <v>28</v>
      </c>
      <c r="G1171" s="1" t="s">
        <v>6236</v>
      </c>
      <c r="H1171" s="1"/>
      <c r="I1171" s="1">
        <v>3</v>
      </c>
      <c r="J1171" s="1" t="s">
        <v>6237</v>
      </c>
      <c r="K1171" s="1" t="s">
        <v>135</v>
      </c>
      <c r="L1171" s="1" t="s">
        <v>1241</v>
      </c>
      <c r="M1171" s="1" t="s">
        <v>6238</v>
      </c>
      <c r="N1171" s="2">
        <v>43229</v>
      </c>
      <c r="O1171" s="1"/>
      <c r="P1171" s="1"/>
      <c r="Q1171" s="1" t="s">
        <v>34</v>
      </c>
      <c r="R1171" s="1"/>
      <c r="S1171" s="1" t="s">
        <v>35</v>
      </c>
      <c r="T1171" s="1">
        <v>43.8314083</v>
      </c>
      <c r="U1171" s="1">
        <v>-73.0554723999999</v>
      </c>
      <c r="V1171" s="1" t="s">
        <v>6239</v>
      </c>
      <c r="W1171" s="1"/>
      <c r="X1171" s="1" t="s">
        <v>37</v>
      </c>
      <c r="Y1171" s="1" t="s">
        <v>1244</v>
      </c>
      <c r="Z1171" s="1">
        <v>5733</v>
      </c>
    </row>
    <row r="1172" spans="1:26" ht="42">
      <c r="A1172" s="1" t="str">
        <f>"0010Z1"</f>
        <v>0010Z1</v>
      </c>
      <c r="B1172" s="1" t="s">
        <v>6240</v>
      </c>
      <c r="C1172" s="1" t="s">
        <v>6241</v>
      </c>
      <c r="D1172" s="1" t="str">
        <f>"2039545563"</f>
        <v>2039545563</v>
      </c>
      <c r="E1172" s="1">
        <v>5244</v>
      </c>
      <c r="F1172" s="1" t="s">
        <v>28</v>
      </c>
      <c r="G1172" s="1" t="s">
        <v>6242</v>
      </c>
      <c r="H1172" s="1"/>
      <c r="I1172" s="1">
        <v>2</v>
      </c>
      <c r="J1172" s="1" t="s">
        <v>6243</v>
      </c>
      <c r="K1172" s="1" t="s">
        <v>333</v>
      </c>
      <c r="L1172" s="1" t="s">
        <v>687</v>
      </c>
      <c r="M1172" s="1" t="s">
        <v>6244</v>
      </c>
      <c r="N1172" s="2">
        <v>43229</v>
      </c>
      <c r="O1172" s="1"/>
      <c r="P1172" s="1"/>
      <c r="Q1172" s="1" t="s">
        <v>34</v>
      </c>
      <c r="R1172" s="1"/>
      <c r="S1172" s="1" t="s">
        <v>35</v>
      </c>
      <c r="T1172" s="1">
        <v>44.152389900000003</v>
      </c>
      <c r="U1172" s="1">
        <v>-73.233413999999897</v>
      </c>
      <c r="V1172" s="1" t="s">
        <v>6245</v>
      </c>
      <c r="W1172" s="1"/>
      <c r="X1172" s="1" t="s">
        <v>37</v>
      </c>
      <c r="Y1172" s="1" t="s">
        <v>795</v>
      </c>
      <c r="Z1172" s="1">
        <v>5491</v>
      </c>
    </row>
    <row r="1173" spans="1:26" ht="42">
      <c r="A1173" s="1" t="str">
        <f>"0010Z4"</f>
        <v>0010Z4</v>
      </c>
      <c r="B1173" s="1" t="s">
        <v>6246</v>
      </c>
      <c r="C1173" s="1" t="s">
        <v>6247</v>
      </c>
      <c r="D1173" s="1" t="str">
        <f>"8023333860"</f>
        <v>8023333860</v>
      </c>
      <c r="E1173" s="1">
        <v>5245</v>
      </c>
      <c r="F1173" s="1" t="s">
        <v>28</v>
      </c>
      <c r="G1173" s="1" t="s">
        <v>6248</v>
      </c>
      <c r="H1173" s="1"/>
      <c r="I1173" s="1">
        <v>2</v>
      </c>
      <c r="J1173" s="1" t="s">
        <v>6249</v>
      </c>
      <c r="K1173" s="1" t="s">
        <v>68</v>
      </c>
      <c r="L1173" s="1" t="s">
        <v>634</v>
      </c>
      <c r="M1173" s="1" t="s">
        <v>6250</v>
      </c>
      <c r="N1173" s="2">
        <v>43230</v>
      </c>
      <c r="O1173" s="1"/>
      <c r="P1173" s="1"/>
      <c r="Q1173" s="1" t="s">
        <v>34</v>
      </c>
      <c r="R1173" s="1"/>
      <c r="S1173" s="1" t="s">
        <v>35</v>
      </c>
      <c r="T1173" s="1">
        <v>43.874420099999902</v>
      </c>
      <c r="U1173" s="1">
        <v>-72.3329868</v>
      </c>
      <c r="V1173" s="1" t="s">
        <v>6251</v>
      </c>
      <c r="W1173" s="1"/>
      <c r="X1173" s="1" t="s">
        <v>37</v>
      </c>
      <c r="Y1173" s="1" t="s">
        <v>636</v>
      </c>
      <c r="Z1173" s="1">
        <v>5075</v>
      </c>
    </row>
    <row r="1174" spans="1:26" ht="42">
      <c r="A1174" s="1" t="str">
        <f>"0010Z5"</f>
        <v>0010Z5</v>
      </c>
      <c r="B1174" s="1" t="s">
        <v>6252</v>
      </c>
      <c r="C1174" s="1" t="s">
        <v>6253</v>
      </c>
      <c r="D1174" s="1" t="str">
        <f>"6039916198"</f>
        <v>6039916198</v>
      </c>
      <c r="E1174" s="1">
        <v>5246</v>
      </c>
      <c r="F1174" s="1" t="s">
        <v>28</v>
      </c>
      <c r="G1174" s="1" t="s">
        <v>6254</v>
      </c>
      <c r="H1174" s="1"/>
      <c r="I1174" s="1">
        <v>2</v>
      </c>
      <c r="J1174" s="1" t="s">
        <v>6255</v>
      </c>
      <c r="K1174" s="1" t="s">
        <v>59</v>
      </c>
      <c r="L1174" s="1" t="s">
        <v>2466</v>
      </c>
      <c r="M1174" s="1" t="s">
        <v>6256</v>
      </c>
      <c r="N1174" s="2">
        <v>43230</v>
      </c>
      <c r="O1174" s="1"/>
      <c r="P1174" s="1"/>
      <c r="Q1174" s="1" t="s">
        <v>34</v>
      </c>
      <c r="R1174" s="1"/>
      <c r="S1174" s="1" t="s">
        <v>35</v>
      </c>
      <c r="T1174" s="1">
        <v>44.462622401417299</v>
      </c>
      <c r="U1174" s="1">
        <v>-71.949299467211901</v>
      </c>
      <c r="V1174" s="1" t="s">
        <v>6257</v>
      </c>
      <c r="W1174" s="1"/>
      <c r="X1174" s="1" t="s">
        <v>37</v>
      </c>
      <c r="Y1174" s="1" t="s">
        <v>6258</v>
      </c>
      <c r="Z1174" s="1">
        <v>5819</v>
      </c>
    </row>
    <row r="1175" spans="1:26" ht="42">
      <c r="A1175" s="1" t="str">
        <f>"0010Z6"</f>
        <v>0010Z6</v>
      </c>
      <c r="B1175" s="1" t="s">
        <v>6259</v>
      </c>
      <c r="C1175" s="1" t="s">
        <v>6260</v>
      </c>
      <c r="D1175" s="1" t="str">
        <f>"8022491508"</f>
        <v>8022491508</v>
      </c>
      <c r="E1175" s="1">
        <v>5247</v>
      </c>
      <c r="F1175" s="1" t="s">
        <v>28</v>
      </c>
      <c r="G1175" s="1" t="s">
        <v>6261</v>
      </c>
      <c r="H1175" s="1"/>
      <c r="I1175" s="1">
        <v>29</v>
      </c>
      <c r="J1175" s="1">
        <v>1</v>
      </c>
      <c r="K1175" s="1" t="s">
        <v>31</v>
      </c>
      <c r="L1175" s="1" t="s">
        <v>164</v>
      </c>
      <c r="M1175" s="1" t="s">
        <v>6262</v>
      </c>
      <c r="N1175" s="2">
        <v>43230</v>
      </c>
      <c r="O1175" s="1"/>
      <c r="P1175" s="1"/>
      <c r="Q1175" s="1" t="s">
        <v>34</v>
      </c>
      <c r="R1175" s="1"/>
      <c r="S1175" s="1" t="s">
        <v>35</v>
      </c>
      <c r="T1175" s="1">
        <v>44.287451999999902</v>
      </c>
      <c r="U1175" s="1">
        <v>-72.410252999999997</v>
      </c>
      <c r="V1175" s="1" t="s">
        <v>6263</v>
      </c>
      <c r="W1175" s="1"/>
      <c r="X1175" s="1" t="s">
        <v>37</v>
      </c>
      <c r="Y1175" s="1" t="s">
        <v>167</v>
      </c>
      <c r="Z1175" s="1">
        <v>5658</v>
      </c>
    </row>
    <row r="1176" spans="1:26" ht="42">
      <c r="A1176" s="1" t="str">
        <f>"0010ZA"</f>
        <v>0010ZA</v>
      </c>
      <c r="B1176" s="1" t="s">
        <v>6264</v>
      </c>
      <c r="C1176" s="1" t="s">
        <v>6265</v>
      </c>
      <c r="D1176" s="1" t="str">
        <f>"8029994622"</f>
        <v>8029994622</v>
      </c>
      <c r="E1176" s="1">
        <v>5248</v>
      </c>
      <c r="F1176" s="1" t="s">
        <v>28</v>
      </c>
      <c r="G1176" s="1" t="s">
        <v>6266</v>
      </c>
      <c r="H1176" s="1"/>
      <c r="I1176" s="1">
        <v>2</v>
      </c>
      <c r="J1176" s="1" t="s">
        <v>6267</v>
      </c>
      <c r="K1176" s="1" t="s">
        <v>43</v>
      </c>
      <c r="L1176" s="1" t="s">
        <v>112</v>
      </c>
      <c r="M1176" s="1" t="s">
        <v>6268</v>
      </c>
      <c r="N1176" s="2">
        <v>43230</v>
      </c>
      <c r="O1176" s="1"/>
      <c r="P1176" s="1"/>
      <c r="Q1176" s="1" t="s">
        <v>34</v>
      </c>
      <c r="R1176" s="1"/>
      <c r="S1176" s="1" t="s">
        <v>35</v>
      </c>
      <c r="T1176" s="1"/>
      <c r="U1176" s="1"/>
      <c r="V1176" s="1" t="s">
        <v>6269</v>
      </c>
      <c r="W1176" s="1"/>
      <c r="X1176" s="1" t="s">
        <v>37</v>
      </c>
      <c r="Y1176" s="1" t="s">
        <v>115</v>
      </c>
      <c r="Z1176" s="1">
        <v>5489</v>
      </c>
    </row>
    <row r="1177" spans="1:26" ht="42">
      <c r="A1177" s="1" t="str">
        <f>"0010ZG"</f>
        <v>0010ZG</v>
      </c>
      <c r="B1177" s="1" t="s">
        <v>6270</v>
      </c>
      <c r="C1177" s="1" t="s">
        <v>6271</v>
      </c>
      <c r="D1177" s="1" t="str">
        <f>"8022998692"</f>
        <v>8022998692</v>
      </c>
      <c r="E1177" s="1">
        <v>5249</v>
      </c>
      <c r="F1177" s="1" t="s">
        <v>28</v>
      </c>
      <c r="G1177" s="1" t="s">
        <v>6272</v>
      </c>
      <c r="H1177" s="1"/>
      <c r="I1177" s="1">
        <v>1</v>
      </c>
      <c r="J1177" s="1" t="s">
        <v>6273</v>
      </c>
      <c r="K1177" s="1" t="s">
        <v>77</v>
      </c>
      <c r="L1177" s="1" t="s">
        <v>1024</v>
      </c>
      <c r="M1177" s="1" t="s">
        <v>6274</v>
      </c>
      <c r="N1177" s="2">
        <v>43231</v>
      </c>
      <c r="O1177" s="1"/>
      <c r="P1177" s="1"/>
      <c r="Q1177" s="1" t="s">
        <v>34</v>
      </c>
      <c r="R1177" s="1"/>
      <c r="S1177" s="1" t="s">
        <v>35</v>
      </c>
      <c r="T1177" s="1">
        <v>43.472492000000003</v>
      </c>
      <c r="U1177" s="1">
        <v>-72.430824000000001</v>
      </c>
      <c r="V1177" s="1" t="s">
        <v>6275</v>
      </c>
      <c r="W1177" s="1"/>
      <c r="X1177" s="1" t="s">
        <v>37</v>
      </c>
      <c r="Y1177" s="1" t="s">
        <v>77</v>
      </c>
      <c r="Z1177" s="1">
        <v>5089</v>
      </c>
    </row>
    <row r="1178" spans="1:26" ht="42">
      <c r="A1178" s="1" t="str">
        <f>"0010ZW"</f>
        <v>0010ZW</v>
      </c>
      <c r="B1178" s="1" t="s">
        <v>6276</v>
      </c>
      <c r="C1178" s="1" t="s">
        <v>6277</v>
      </c>
      <c r="D1178" s="1" t="str">
        <f>"8024304190"</f>
        <v>8024304190</v>
      </c>
      <c r="E1178" s="1">
        <v>5250</v>
      </c>
      <c r="F1178" s="1" t="s">
        <v>28</v>
      </c>
      <c r="G1178" s="1" t="s">
        <v>6278</v>
      </c>
      <c r="H1178" s="1"/>
      <c r="I1178" s="1">
        <v>4</v>
      </c>
      <c r="J1178" s="1" t="s">
        <v>6279</v>
      </c>
      <c r="K1178" s="1" t="s">
        <v>144</v>
      </c>
      <c r="L1178" s="1" t="s">
        <v>578</v>
      </c>
      <c r="M1178" s="1" t="s">
        <v>6280</v>
      </c>
      <c r="N1178" s="2">
        <v>43234</v>
      </c>
      <c r="O1178" s="1"/>
      <c r="P1178" s="1"/>
      <c r="Q1178" s="1" t="s">
        <v>34</v>
      </c>
      <c r="R1178" s="1"/>
      <c r="S1178" s="1" t="s">
        <v>35</v>
      </c>
      <c r="T1178" s="1"/>
      <c r="U1178" s="1"/>
      <c r="V1178" s="1" t="s">
        <v>6281</v>
      </c>
      <c r="W1178" s="1"/>
      <c r="X1178" s="1" t="s">
        <v>37</v>
      </c>
      <c r="Y1178" s="1" t="s">
        <v>579</v>
      </c>
      <c r="Z1178" s="1">
        <v>5148</v>
      </c>
    </row>
    <row r="1179" spans="1:26" ht="42">
      <c r="A1179" s="1" t="str">
        <f>"00110A"</f>
        <v>00110A</v>
      </c>
      <c r="B1179" s="1" t="s">
        <v>6282</v>
      </c>
      <c r="C1179" s="1" t="s">
        <v>6283</v>
      </c>
      <c r="D1179" s="1" t="str">
        <f>"8023705637"</f>
        <v>8023705637</v>
      </c>
      <c r="E1179" s="1">
        <v>5251</v>
      </c>
      <c r="F1179" s="1" t="s">
        <v>28</v>
      </c>
      <c r="G1179" s="1" t="s">
        <v>6284</v>
      </c>
      <c r="H1179" s="1"/>
      <c r="I1179" s="1">
        <v>3</v>
      </c>
      <c r="J1179" s="1" t="s">
        <v>6285</v>
      </c>
      <c r="K1179" s="1" t="s">
        <v>152</v>
      </c>
      <c r="L1179" s="1" t="s">
        <v>4798</v>
      </c>
      <c r="M1179" s="1" t="s">
        <v>6286</v>
      </c>
      <c r="N1179" s="2">
        <v>43236</v>
      </c>
      <c r="O1179" s="1"/>
      <c r="P1179" s="1"/>
      <c r="Q1179" s="1" t="s">
        <v>34</v>
      </c>
      <c r="R1179" s="1"/>
      <c r="S1179" s="1" t="s">
        <v>35</v>
      </c>
      <c r="T1179" s="1">
        <v>44.685448999999998</v>
      </c>
      <c r="U1179" s="1">
        <v>-73.0353759999999</v>
      </c>
      <c r="V1179" s="1" t="s">
        <v>6287</v>
      </c>
      <c r="W1179" s="1"/>
      <c r="X1179" s="1" t="s">
        <v>37</v>
      </c>
      <c r="Y1179" s="1" t="s">
        <v>1051</v>
      </c>
      <c r="Z1179" s="1">
        <v>5454</v>
      </c>
    </row>
    <row r="1180" spans="1:26" ht="42">
      <c r="A1180" s="1" t="str">
        <f>"00110B"</f>
        <v>00110B</v>
      </c>
      <c r="B1180" s="1" t="s">
        <v>6288</v>
      </c>
      <c r="C1180" s="1" t="s">
        <v>6289</v>
      </c>
      <c r="D1180" s="1" t="str">
        <f>"8022388499"</f>
        <v>8022388499</v>
      </c>
      <c r="E1180" s="1">
        <v>5252</v>
      </c>
      <c r="F1180" s="1" t="s">
        <v>28</v>
      </c>
      <c r="G1180" s="1" t="s">
        <v>6290</v>
      </c>
      <c r="H1180" s="1"/>
      <c r="I1180" s="1">
        <v>2</v>
      </c>
      <c r="J1180" s="1" t="s">
        <v>6291</v>
      </c>
      <c r="K1180" s="1" t="s">
        <v>152</v>
      </c>
      <c r="L1180" s="1" t="s">
        <v>1137</v>
      </c>
      <c r="M1180" s="1" t="s">
        <v>6292</v>
      </c>
      <c r="N1180" s="2">
        <v>43236</v>
      </c>
      <c r="O1180" s="1"/>
      <c r="P1180" s="1"/>
      <c r="Q1180" s="1" t="s">
        <v>34</v>
      </c>
      <c r="R1180" s="1"/>
      <c r="S1180" s="1" t="s">
        <v>35</v>
      </c>
      <c r="T1180" s="1">
        <v>44.936708999999901</v>
      </c>
      <c r="U1180" s="1">
        <v>-73.116080099999905</v>
      </c>
      <c r="V1180" s="1" t="s">
        <v>6293</v>
      </c>
      <c r="W1180" s="1"/>
      <c r="X1180" s="1" t="s">
        <v>37</v>
      </c>
      <c r="Y1180" s="1" t="s">
        <v>1140</v>
      </c>
      <c r="Z1180" s="1">
        <v>0</v>
      </c>
    </row>
    <row r="1181" spans="1:26" ht="42">
      <c r="A1181" s="1" t="str">
        <f>"00110F"</f>
        <v>00110F</v>
      </c>
      <c r="B1181" s="1" t="s">
        <v>6294</v>
      </c>
      <c r="C1181" s="1" t="s">
        <v>6295</v>
      </c>
      <c r="D1181" s="1" t="str">
        <f>"8024577125"</f>
        <v>8024577125</v>
      </c>
      <c r="E1181" s="1">
        <v>5253</v>
      </c>
      <c r="F1181" s="1" t="s">
        <v>28</v>
      </c>
      <c r="G1181" s="1" t="s">
        <v>6296</v>
      </c>
      <c r="H1181" s="1"/>
      <c r="I1181" s="1">
        <v>2</v>
      </c>
      <c r="J1181" s="1" t="s">
        <v>6297</v>
      </c>
      <c r="K1181" s="1" t="s">
        <v>77</v>
      </c>
      <c r="L1181" s="1" t="s">
        <v>403</v>
      </c>
      <c r="M1181" s="1" t="s">
        <v>6298</v>
      </c>
      <c r="N1181" s="2">
        <v>43236</v>
      </c>
      <c r="O1181" s="1"/>
      <c r="P1181" s="1"/>
      <c r="Q1181" s="1" t="s">
        <v>34</v>
      </c>
      <c r="R1181" s="1"/>
      <c r="S1181" s="1" t="s">
        <v>35</v>
      </c>
      <c r="T1181" s="1">
        <v>43.621670099999903</v>
      </c>
      <c r="U1181" s="1">
        <v>-72.502611899999906</v>
      </c>
      <c r="V1181" s="1" t="s">
        <v>6299</v>
      </c>
      <c r="W1181" s="1"/>
      <c r="X1181" s="1" t="s">
        <v>37</v>
      </c>
      <c r="Y1181" s="1" t="s">
        <v>6300</v>
      </c>
      <c r="Z1181" s="1">
        <v>5091</v>
      </c>
    </row>
    <row r="1182" spans="1:26" ht="42">
      <c r="A1182" s="1" t="str">
        <f>"00110G"</f>
        <v>00110G</v>
      </c>
      <c r="B1182" s="1" t="s">
        <v>6301</v>
      </c>
      <c r="C1182" s="1" t="s">
        <v>6302</v>
      </c>
      <c r="D1182" s="1" t="str">
        <f>"8315943818"</f>
        <v>8315943818</v>
      </c>
      <c r="E1182" s="1">
        <v>5254</v>
      </c>
      <c r="F1182" s="1" t="s">
        <v>28</v>
      </c>
      <c r="G1182" s="1" t="s">
        <v>6303</v>
      </c>
      <c r="H1182" s="1"/>
      <c r="I1182" s="1">
        <v>2</v>
      </c>
      <c r="J1182" s="1" t="s">
        <v>6304</v>
      </c>
      <c r="K1182" s="1" t="s">
        <v>77</v>
      </c>
      <c r="L1182" s="1"/>
      <c r="M1182" s="1" t="s">
        <v>6305</v>
      </c>
      <c r="N1182" s="2">
        <v>43236</v>
      </c>
      <c r="O1182" s="1"/>
      <c r="P1182" s="1"/>
      <c r="Q1182" s="1" t="s">
        <v>34</v>
      </c>
      <c r="R1182" s="1"/>
      <c r="S1182" s="1" t="s">
        <v>35</v>
      </c>
      <c r="T1182" s="1">
        <v>43.631693899999902</v>
      </c>
      <c r="U1182" s="1">
        <v>-72.470991400000003</v>
      </c>
      <c r="V1182" s="1" t="s">
        <v>6306</v>
      </c>
      <c r="W1182" s="1"/>
      <c r="X1182" s="1" t="s">
        <v>37</v>
      </c>
      <c r="Y1182" s="1" t="s">
        <v>5365</v>
      </c>
      <c r="Z1182" s="1">
        <v>5073</v>
      </c>
    </row>
    <row r="1183" spans="1:26" ht="42">
      <c r="A1183" s="1" t="str">
        <f>"00110Z"</f>
        <v>00110Z</v>
      </c>
      <c r="B1183" s="1" t="s">
        <v>6307</v>
      </c>
      <c r="C1183" s="1" t="s">
        <v>6308</v>
      </c>
      <c r="D1183" s="1" t="str">
        <f>"8023535789"</f>
        <v>8023535789</v>
      </c>
      <c r="E1183" s="1">
        <v>5256</v>
      </c>
      <c r="F1183" s="1" t="s">
        <v>28</v>
      </c>
      <c r="G1183" s="1" t="s">
        <v>6309</v>
      </c>
      <c r="H1183" s="1"/>
      <c r="I1183" s="1">
        <v>2</v>
      </c>
      <c r="J1183" s="1" t="s">
        <v>6310</v>
      </c>
      <c r="K1183" s="1" t="s">
        <v>77</v>
      </c>
      <c r="L1183" s="1" t="s">
        <v>6311</v>
      </c>
      <c r="M1183" s="1" t="s">
        <v>6312</v>
      </c>
      <c r="N1183" s="2">
        <v>43241</v>
      </c>
      <c r="O1183" s="1"/>
      <c r="P1183" s="1"/>
      <c r="Q1183" s="1" t="s">
        <v>34</v>
      </c>
      <c r="R1183" s="1"/>
      <c r="S1183" s="1" t="s">
        <v>35</v>
      </c>
      <c r="T1183" s="1">
        <v>44.5574242</v>
      </c>
      <c r="U1183" s="1">
        <v>-72.607783499999897</v>
      </c>
      <c r="V1183" s="1" t="s">
        <v>6313</v>
      </c>
      <c r="W1183" s="1"/>
      <c r="X1183" s="1" t="s">
        <v>37</v>
      </c>
      <c r="Y1183" s="1" t="s">
        <v>6314</v>
      </c>
      <c r="Z1183" s="1">
        <v>5772</v>
      </c>
    </row>
    <row r="1184" spans="1:26" ht="42">
      <c r="A1184" s="1" t="str">
        <f>"001110"</f>
        <v>001110</v>
      </c>
      <c r="B1184" s="1" t="s">
        <v>6315</v>
      </c>
      <c r="C1184" s="1" t="s">
        <v>6316</v>
      </c>
      <c r="D1184" s="1" t="str">
        <f>"8029236146"</f>
        <v>8029236146</v>
      </c>
      <c r="E1184" s="1">
        <v>5257</v>
      </c>
      <c r="F1184" s="1" t="s">
        <v>28</v>
      </c>
      <c r="G1184" s="1" t="s">
        <v>6317</v>
      </c>
      <c r="H1184" s="1"/>
      <c r="I1184" s="1">
        <v>1</v>
      </c>
      <c r="J1184" s="1" t="s">
        <v>6318</v>
      </c>
      <c r="K1184" s="1" t="s">
        <v>43</v>
      </c>
      <c r="L1184" s="1" t="s">
        <v>112</v>
      </c>
      <c r="M1184" s="1" t="s">
        <v>6319</v>
      </c>
      <c r="N1184" s="2">
        <v>43241</v>
      </c>
      <c r="O1184" s="1"/>
      <c r="P1184" s="1"/>
      <c r="Q1184" s="1" t="s">
        <v>34</v>
      </c>
      <c r="R1184" s="1"/>
      <c r="S1184" s="1" t="s">
        <v>35</v>
      </c>
      <c r="T1184" s="1">
        <v>44.645928300000001</v>
      </c>
      <c r="U1184" s="1">
        <v>-72.885055099999903</v>
      </c>
      <c r="V1184" s="1" t="s">
        <v>6320</v>
      </c>
      <c r="W1184" s="1"/>
      <c r="X1184" s="1" t="s">
        <v>37</v>
      </c>
      <c r="Y1184" s="1" t="s">
        <v>115</v>
      </c>
      <c r="Z1184" s="1">
        <v>5489</v>
      </c>
    </row>
    <row r="1185" spans="1:26" ht="42">
      <c r="A1185" s="1" t="str">
        <f>"001111"</f>
        <v>001111</v>
      </c>
      <c r="B1185" s="1" t="s">
        <v>6321</v>
      </c>
      <c r="C1185" s="1" t="s">
        <v>6322</v>
      </c>
      <c r="D1185" s="1" t="str">
        <f>"8022581108"</f>
        <v>8022581108</v>
      </c>
      <c r="E1185" s="1">
        <v>5258</v>
      </c>
      <c r="F1185" s="1" t="s">
        <v>28</v>
      </c>
      <c r="G1185" s="1" t="s">
        <v>6323</v>
      </c>
      <c r="H1185" s="1"/>
      <c r="I1185" s="1">
        <v>1</v>
      </c>
      <c r="J1185" s="1" t="s">
        <v>6324</v>
      </c>
      <c r="K1185" s="1" t="s">
        <v>144</v>
      </c>
      <c r="L1185" s="1" t="s">
        <v>2169</v>
      </c>
      <c r="M1185" s="1" t="s">
        <v>6325</v>
      </c>
      <c r="N1185" s="2">
        <v>43241</v>
      </c>
      <c r="O1185" s="1"/>
      <c r="P1185" s="1"/>
      <c r="Q1185" s="1" t="s">
        <v>34</v>
      </c>
      <c r="R1185" s="1"/>
      <c r="S1185" s="1" t="s">
        <v>35</v>
      </c>
      <c r="T1185" s="1">
        <v>42.7573807999999</v>
      </c>
      <c r="U1185" s="1">
        <v>-73.073398299999994</v>
      </c>
      <c r="V1185" s="1" t="s">
        <v>6326</v>
      </c>
      <c r="W1185" s="1"/>
      <c r="X1185" s="1" t="s">
        <v>37</v>
      </c>
      <c r="Y1185" s="1" t="s">
        <v>2172</v>
      </c>
      <c r="Z1185" s="1">
        <v>5345</v>
      </c>
    </row>
    <row r="1186" spans="1:26" ht="42">
      <c r="A1186" s="1" t="str">
        <f>"001112"</f>
        <v>001112</v>
      </c>
      <c r="B1186" s="1" t="s">
        <v>6327</v>
      </c>
      <c r="C1186" s="1" t="s">
        <v>6328</v>
      </c>
      <c r="D1186" s="1" t="str">
        <f>"8025182082"</f>
        <v>8025182082</v>
      </c>
      <c r="E1186" s="1">
        <v>5259</v>
      </c>
      <c r="F1186" s="1" t="s">
        <v>28</v>
      </c>
      <c r="G1186" s="1" t="s">
        <v>6329</v>
      </c>
      <c r="H1186" s="1"/>
      <c r="I1186" s="1">
        <v>1</v>
      </c>
      <c r="J1186" s="1" t="s">
        <v>6330</v>
      </c>
      <c r="K1186" s="1" t="s">
        <v>144</v>
      </c>
      <c r="L1186" s="1" t="s">
        <v>411</v>
      </c>
      <c r="M1186" s="1" t="s">
        <v>6331</v>
      </c>
      <c r="N1186" s="2">
        <v>43241</v>
      </c>
      <c r="O1186" s="1"/>
      <c r="P1186" s="2">
        <v>43273</v>
      </c>
      <c r="Q1186" s="1" t="s">
        <v>34</v>
      </c>
      <c r="R1186" s="1"/>
      <c r="S1186" s="1" t="s">
        <v>35</v>
      </c>
      <c r="T1186" s="1">
        <v>43.085090999999899</v>
      </c>
      <c r="U1186" s="1">
        <v>-72.5063099999999</v>
      </c>
      <c r="V1186" s="1" t="s">
        <v>6332</v>
      </c>
      <c r="W1186" s="1"/>
      <c r="X1186" s="1" t="s">
        <v>37</v>
      </c>
      <c r="Y1186" s="1" t="s">
        <v>3744</v>
      </c>
      <c r="Z1186" s="1">
        <v>5346</v>
      </c>
    </row>
    <row r="1187" spans="1:26" ht="42">
      <c r="A1187" s="1" t="str">
        <f>"001113"</f>
        <v>001113</v>
      </c>
      <c r="B1187" s="1" t="s">
        <v>6333</v>
      </c>
      <c r="C1187" s="1" t="s">
        <v>6334</v>
      </c>
      <c r="D1187" s="1" t="str">
        <f>"8024622463"</f>
        <v>8024622463</v>
      </c>
      <c r="E1187" s="1">
        <v>5260</v>
      </c>
      <c r="F1187" s="1" t="s">
        <v>28</v>
      </c>
      <c r="G1187" s="1" t="s">
        <v>6335</v>
      </c>
      <c r="H1187" s="1"/>
      <c r="I1187" s="1">
        <v>1</v>
      </c>
      <c r="J1187" s="1" t="s">
        <v>6336</v>
      </c>
      <c r="K1187" s="1" t="s">
        <v>333</v>
      </c>
      <c r="L1187" s="1" t="s">
        <v>334</v>
      </c>
      <c r="M1187" s="1" t="s">
        <v>6337</v>
      </c>
      <c r="N1187" s="2">
        <v>43241</v>
      </c>
      <c r="O1187" s="1"/>
      <c r="P1187" s="1"/>
      <c r="Q1187" s="1" t="s">
        <v>34</v>
      </c>
      <c r="R1187" s="1"/>
      <c r="S1187" s="1" t="s">
        <v>35</v>
      </c>
      <c r="T1187" s="1">
        <v>43.963901999999898</v>
      </c>
      <c r="U1187" s="1">
        <v>-73.206397899999999</v>
      </c>
      <c r="V1187" s="1" t="s">
        <v>6338</v>
      </c>
      <c r="W1187" s="1"/>
      <c r="X1187" s="1" t="s">
        <v>37</v>
      </c>
      <c r="Y1187" s="1" t="s">
        <v>6339</v>
      </c>
      <c r="Z1187" s="1">
        <v>5753</v>
      </c>
    </row>
    <row r="1188" spans="1:26" ht="42">
      <c r="A1188" s="1" t="str">
        <f>"001116"</f>
        <v>001116</v>
      </c>
      <c r="B1188" s="1" t="s">
        <v>6340</v>
      </c>
      <c r="C1188" s="1" t="s">
        <v>6341</v>
      </c>
      <c r="D1188" s="1" t="str">
        <f>"8029893350"</f>
        <v>8029893350</v>
      </c>
      <c r="E1188" s="1">
        <v>5261</v>
      </c>
      <c r="F1188" s="1" t="s">
        <v>28</v>
      </c>
      <c r="G1188" s="1" t="s">
        <v>6342</v>
      </c>
      <c r="H1188" s="1"/>
      <c r="I1188" s="1">
        <v>1</v>
      </c>
      <c r="J1188" s="1" t="s">
        <v>6343</v>
      </c>
      <c r="K1188" s="1" t="s">
        <v>68</v>
      </c>
      <c r="L1188" s="1" t="s">
        <v>634</v>
      </c>
      <c r="M1188" s="1" t="s">
        <v>6344</v>
      </c>
      <c r="N1188" s="2">
        <v>43242</v>
      </c>
      <c r="O1188" s="1"/>
      <c r="P1188" s="1"/>
      <c r="Q1188" s="1" t="s">
        <v>34</v>
      </c>
      <c r="R1188" s="1"/>
      <c r="S1188" s="1" t="s">
        <v>35</v>
      </c>
      <c r="T1188" s="1">
        <v>43.830537799999902</v>
      </c>
      <c r="U1188" s="1">
        <v>-72.392676999999907</v>
      </c>
      <c r="V1188" s="1" t="s">
        <v>6345</v>
      </c>
      <c r="W1188" s="1"/>
      <c r="X1188" s="1" t="s">
        <v>37</v>
      </c>
      <c r="Y1188" s="1" t="s">
        <v>6346</v>
      </c>
      <c r="Z1188" s="1">
        <v>5070</v>
      </c>
    </row>
    <row r="1189" spans="1:26" ht="42">
      <c r="A1189" s="1" t="str">
        <f>"001118"</f>
        <v>001118</v>
      </c>
      <c r="B1189" s="1" t="s">
        <v>6347</v>
      </c>
      <c r="C1189" s="1" t="s">
        <v>6348</v>
      </c>
      <c r="D1189" s="1" t="str">
        <f>"8027517671"</f>
        <v>8027517671</v>
      </c>
      <c r="E1189" s="1">
        <v>5262</v>
      </c>
      <c r="F1189" s="1" t="s">
        <v>28</v>
      </c>
      <c r="G1189" s="1" t="s">
        <v>6349</v>
      </c>
      <c r="H1189" s="1"/>
      <c r="I1189" s="1">
        <v>1</v>
      </c>
      <c r="J1189" s="1" t="s">
        <v>6350</v>
      </c>
      <c r="K1189" s="1" t="s">
        <v>59</v>
      </c>
      <c r="L1189" s="1" t="s">
        <v>2466</v>
      </c>
      <c r="M1189" s="1" t="s">
        <v>6351</v>
      </c>
      <c r="N1189" s="2">
        <v>43242</v>
      </c>
      <c r="O1189" s="1"/>
      <c r="P1189" s="1"/>
      <c r="Q1189" s="1" t="s">
        <v>34</v>
      </c>
      <c r="R1189" s="1"/>
      <c r="S1189" s="1" t="s">
        <v>35</v>
      </c>
      <c r="T1189" s="1">
        <v>44.419455800000001</v>
      </c>
      <c r="U1189" s="1">
        <v>-72.024502499999898</v>
      </c>
      <c r="V1189" s="1" t="s">
        <v>6352</v>
      </c>
      <c r="W1189" s="1"/>
      <c r="X1189" s="1" t="s">
        <v>37</v>
      </c>
      <c r="Y1189" s="1" t="s">
        <v>6258</v>
      </c>
      <c r="Z1189" s="1">
        <v>5819</v>
      </c>
    </row>
    <row r="1190" spans="1:26" ht="42">
      <c r="A1190" s="1" t="str">
        <f>"00111V"</f>
        <v>00111V</v>
      </c>
      <c r="B1190" s="1" t="s">
        <v>6353</v>
      </c>
      <c r="C1190" s="1" t="s">
        <v>6354</v>
      </c>
      <c r="D1190" s="1" t="str">
        <f>"8027852226"</f>
        <v>8027852226</v>
      </c>
      <c r="E1190" s="1">
        <v>5263</v>
      </c>
      <c r="F1190" s="1" t="s">
        <v>28</v>
      </c>
      <c r="G1190" s="1" t="s">
        <v>6355</v>
      </c>
      <c r="H1190" s="1"/>
      <c r="I1190" s="1">
        <v>1</v>
      </c>
      <c r="J1190" s="1" t="s">
        <v>6356</v>
      </c>
      <c r="K1190" s="1" t="s">
        <v>68</v>
      </c>
      <c r="L1190" s="1" t="s">
        <v>69</v>
      </c>
      <c r="M1190" s="1" t="s">
        <v>6357</v>
      </c>
      <c r="N1190" s="2">
        <v>43243</v>
      </c>
      <c r="O1190" s="1"/>
      <c r="P1190" s="1"/>
      <c r="Q1190" s="1" t="s">
        <v>34</v>
      </c>
      <c r="R1190" s="1"/>
      <c r="S1190" s="1" t="s">
        <v>35</v>
      </c>
      <c r="T1190" s="1">
        <v>43.8178912999999</v>
      </c>
      <c r="U1190" s="1">
        <v>-72.217019999999906</v>
      </c>
      <c r="V1190" s="1" t="s">
        <v>6358</v>
      </c>
      <c r="W1190" s="1"/>
      <c r="X1190" s="1" t="s">
        <v>37</v>
      </c>
      <c r="Y1190" s="1" t="s">
        <v>72</v>
      </c>
      <c r="Z1190" s="1">
        <v>5043</v>
      </c>
    </row>
    <row r="1191" spans="1:26" ht="42">
      <c r="A1191" s="1" t="str">
        <f>"00111W"</f>
        <v>00111W</v>
      </c>
      <c r="B1191" s="1" t="s">
        <v>6359</v>
      </c>
      <c r="C1191" s="1" t="s">
        <v>6360</v>
      </c>
      <c r="D1191" s="1" t="str">
        <f>"8029993090"</f>
        <v>8029993090</v>
      </c>
      <c r="E1191" s="1">
        <v>5264</v>
      </c>
      <c r="F1191" s="1" t="s">
        <v>28</v>
      </c>
      <c r="G1191" s="1" t="s">
        <v>6361</v>
      </c>
      <c r="H1191" s="1"/>
      <c r="I1191" s="1">
        <v>2</v>
      </c>
      <c r="J1191" s="1" t="s">
        <v>6362</v>
      </c>
      <c r="K1191" s="1" t="s">
        <v>43</v>
      </c>
      <c r="L1191" s="1" t="s">
        <v>728</v>
      </c>
      <c r="M1191" s="1" t="s">
        <v>6363</v>
      </c>
      <c r="N1191" s="2">
        <v>43243</v>
      </c>
      <c r="O1191" s="1"/>
      <c r="P1191" s="1"/>
      <c r="Q1191" s="1" t="s">
        <v>34</v>
      </c>
      <c r="R1191" s="1"/>
      <c r="S1191" s="1" t="s">
        <v>35</v>
      </c>
      <c r="T1191" s="1">
        <v>44.319305</v>
      </c>
      <c r="U1191" s="1">
        <v>-73.287467999999905</v>
      </c>
      <c r="V1191" s="1" t="s">
        <v>6364</v>
      </c>
      <c r="W1191" s="1"/>
      <c r="X1191" s="1" t="s">
        <v>37</v>
      </c>
      <c r="Y1191" s="1" t="s">
        <v>736</v>
      </c>
      <c r="Z1191" s="1">
        <v>5445</v>
      </c>
    </row>
    <row r="1192" spans="1:26" ht="42">
      <c r="A1192" s="1" t="str">
        <f>"00111Y"</f>
        <v>00111Y</v>
      </c>
      <c r="B1192" s="1" t="s">
        <v>6365</v>
      </c>
      <c r="C1192" s="1" t="s">
        <v>6366</v>
      </c>
      <c r="D1192" s="1" t="str">
        <f>"8027236285"</f>
        <v>8027236285</v>
      </c>
      <c r="E1192" s="1">
        <v>5265</v>
      </c>
      <c r="F1192" s="1" t="s">
        <v>28</v>
      </c>
      <c r="G1192" s="1" t="s">
        <v>6367</v>
      </c>
      <c r="H1192" s="1"/>
      <c r="I1192" s="1">
        <v>1</v>
      </c>
      <c r="J1192" s="1" t="s">
        <v>6368</v>
      </c>
      <c r="K1192" s="1" t="s">
        <v>527</v>
      </c>
      <c r="L1192" s="1" t="s">
        <v>6369</v>
      </c>
      <c r="M1192" s="1" t="s">
        <v>6370</v>
      </c>
      <c r="N1192" s="2">
        <v>43243</v>
      </c>
      <c r="O1192" s="1"/>
      <c r="P1192" s="1"/>
      <c r="Q1192" s="1" t="s">
        <v>34</v>
      </c>
      <c r="R1192" s="1"/>
      <c r="S1192" s="1" t="s">
        <v>35</v>
      </c>
      <c r="T1192" s="1"/>
      <c r="U1192" s="1"/>
      <c r="V1192" s="1" t="s">
        <v>6371</v>
      </c>
      <c r="W1192" s="1"/>
      <c r="X1192" s="1" t="s">
        <v>37</v>
      </c>
      <c r="Y1192" s="1" t="s">
        <v>529</v>
      </c>
      <c r="Z1192" s="1">
        <v>5853</v>
      </c>
    </row>
    <row r="1193" spans="1:26" ht="42">
      <c r="A1193" s="1" t="str">
        <f>"001124"</f>
        <v>001124</v>
      </c>
      <c r="B1193" s="1" t="s">
        <v>6372</v>
      </c>
      <c r="C1193" s="1" t="s">
        <v>6373</v>
      </c>
      <c r="D1193" s="1" t="str">
        <f>"8024766351"</f>
        <v>8024766351</v>
      </c>
      <c r="E1193" s="1">
        <v>5266</v>
      </c>
      <c r="F1193" s="1" t="s">
        <v>28</v>
      </c>
      <c r="G1193" s="1" t="s">
        <v>6374</v>
      </c>
      <c r="H1193" s="1"/>
      <c r="I1193" s="1">
        <v>1</v>
      </c>
      <c r="J1193" s="1" t="s">
        <v>6375</v>
      </c>
      <c r="K1193" s="1" t="s">
        <v>31</v>
      </c>
      <c r="L1193" s="1" t="s">
        <v>716</v>
      </c>
      <c r="M1193" s="1" t="s">
        <v>6376</v>
      </c>
      <c r="N1193" s="2">
        <v>43244</v>
      </c>
      <c r="O1193" s="1"/>
      <c r="P1193" s="1"/>
      <c r="Q1193" s="1" t="s">
        <v>34</v>
      </c>
      <c r="R1193" s="1"/>
      <c r="S1193" s="1" t="s">
        <v>35</v>
      </c>
      <c r="T1193" s="1">
        <v>44.200487999999901</v>
      </c>
      <c r="U1193" s="1">
        <v>-72.438576999999995</v>
      </c>
      <c r="V1193" s="1" t="s">
        <v>6377</v>
      </c>
      <c r="W1193" s="1"/>
      <c r="X1193" s="1" t="s">
        <v>37</v>
      </c>
      <c r="Y1193" s="1" t="s">
        <v>237</v>
      </c>
      <c r="Z1193" s="1">
        <v>5641</v>
      </c>
    </row>
    <row r="1194" spans="1:26" ht="42">
      <c r="A1194" s="1" t="str">
        <f>"001128"</f>
        <v>001128</v>
      </c>
      <c r="B1194" s="1" t="s">
        <v>6378</v>
      </c>
      <c r="C1194" s="1" t="s">
        <v>6379</v>
      </c>
      <c r="D1194" s="1" t="str">
        <f>"8023933458"</f>
        <v>8023933458</v>
      </c>
      <c r="E1194" s="1">
        <v>5267</v>
      </c>
      <c r="F1194" s="1" t="s">
        <v>28</v>
      </c>
      <c r="G1194" s="1" t="s">
        <v>6380</v>
      </c>
      <c r="H1194" s="1"/>
      <c r="I1194" s="1">
        <v>2</v>
      </c>
      <c r="J1194" s="1" t="s">
        <v>6381</v>
      </c>
      <c r="K1194" s="1" t="s">
        <v>152</v>
      </c>
      <c r="L1194" s="1" t="s">
        <v>1137</v>
      </c>
      <c r="M1194" s="1" t="s">
        <v>6382</v>
      </c>
      <c r="N1194" s="2">
        <v>43244</v>
      </c>
      <c r="O1194" s="1"/>
      <c r="P1194" s="1"/>
      <c r="Q1194" s="1" t="s">
        <v>34</v>
      </c>
      <c r="R1194" s="1"/>
      <c r="S1194" s="1" t="s">
        <v>35</v>
      </c>
      <c r="T1194" s="1">
        <v>44.948562799999898</v>
      </c>
      <c r="U1194" s="1">
        <v>-73.079247099999904</v>
      </c>
      <c r="V1194" s="1" t="s">
        <v>6383</v>
      </c>
      <c r="W1194" s="1"/>
      <c r="X1194" s="1" t="s">
        <v>37</v>
      </c>
      <c r="Y1194" s="1" t="s">
        <v>6384</v>
      </c>
      <c r="Z1194" s="1">
        <v>5488</v>
      </c>
    </row>
    <row r="1195" spans="1:26" ht="42">
      <c r="A1195" s="1" t="str">
        <f>"001129"</f>
        <v>001129</v>
      </c>
      <c r="B1195" s="1" t="s">
        <v>6385</v>
      </c>
      <c r="C1195" s="1" t="s">
        <v>6386</v>
      </c>
      <c r="D1195" s="1" t="str">
        <f>"8028969492"</f>
        <v>8028969492</v>
      </c>
      <c r="E1195" s="1">
        <v>5268</v>
      </c>
      <c r="F1195" s="1" t="s">
        <v>28</v>
      </c>
      <c r="G1195" s="1" t="s">
        <v>6387</v>
      </c>
      <c r="H1195" s="1"/>
      <c r="I1195" s="1">
        <v>2</v>
      </c>
      <c r="J1195" s="1" t="s">
        <v>6388</v>
      </c>
      <c r="K1195" s="1" t="s">
        <v>144</v>
      </c>
      <c r="L1195" s="1" t="s">
        <v>586</v>
      </c>
      <c r="M1195" s="1" t="s">
        <v>6389</v>
      </c>
      <c r="N1195" s="2">
        <v>43244</v>
      </c>
      <c r="O1195" s="1"/>
      <c r="P1195" s="1"/>
      <c r="Q1195" s="1" t="s">
        <v>34</v>
      </c>
      <c r="R1195" s="1"/>
      <c r="S1195" s="1" t="s">
        <v>35</v>
      </c>
      <c r="T1195" s="1">
        <v>44.575676199999997</v>
      </c>
      <c r="U1195" s="1">
        <v>-72.5925273</v>
      </c>
      <c r="V1195" s="1" t="s">
        <v>6390</v>
      </c>
      <c r="W1195" s="1"/>
      <c r="X1195" s="1" t="s">
        <v>37</v>
      </c>
      <c r="Y1195" s="1" t="s">
        <v>5697</v>
      </c>
      <c r="Z1195" s="1">
        <v>5343</v>
      </c>
    </row>
    <row r="1196" spans="1:26" ht="42">
      <c r="A1196" s="1" t="str">
        <f>"00112H"</f>
        <v>00112H</v>
      </c>
      <c r="B1196" s="1" t="s">
        <v>6391</v>
      </c>
      <c r="C1196" s="1" t="s">
        <v>6392</v>
      </c>
      <c r="D1196" s="1" t="str">
        <f>"8027778008"</f>
        <v>8027778008</v>
      </c>
      <c r="E1196" s="1">
        <v>5269</v>
      </c>
      <c r="F1196" s="1" t="s">
        <v>28</v>
      </c>
      <c r="G1196" s="1" t="s">
        <v>6393</v>
      </c>
      <c r="H1196" s="1"/>
      <c r="I1196" s="1">
        <v>2</v>
      </c>
      <c r="J1196" s="1" t="s">
        <v>6394</v>
      </c>
      <c r="K1196" s="1" t="s">
        <v>43</v>
      </c>
      <c r="L1196" s="1" t="s">
        <v>1077</v>
      </c>
      <c r="M1196" s="1" t="s">
        <v>6395</v>
      </c>
      <c r="N1196" s="2">
        <v>43245</v>
      </c>
      <c r="O1196" s="1"/>
      <c r="P1196" s="1"/>
      <c r="Q1196" s="1" t="s">
        <v>34</v>
      </c>
      <c r="R1196" s="1"/>
      <c r="S1196" s="1" t="s">
        <v>35</v>
      </c>
      <c r="T1196" s="1">
        <v>44.411275999999901</v>
      </c>
      <c r="U1196" s="1">
        <v>-73.065691000000001</v>
      </c>
      <c r="V1196" s="1" t="s">
        <v>6396</v>
      </c>
      <c r="W1196" s="1"/>
      <c r="X1196" s="1" t="s">
        <v>37</v>
      </c>
      <c r="Y1196" s="1" t="s">
        <v>5540</v>
      </c>
      <c r="Z1196" s="1">
        <v>5495</v>
      </c>
    </row>
    <row r="1197" spans="1:26" ht="42">
      <c r="A1197" s="1" t="str">
        <f>"00112J"</f>
        <v>00112J</v>
      </c>
      <c r="B1197" s="1" t="s">
        <v>6397</v>
      </c>
      <c r="C1197" s="1" t="s">
        <v>6398</v>
      </c>
      <c r="D1197" s="1" t="str">
        <f>"7757711733"</f>
        <v>7757711733</v>
      </c>
      <c r="E1197" s="1">
        <v>5270</v>
      </c>
      <c r="F1197" s="1" t="s">
        <v>28</v>
      </c>
      <c r="G1197" s="1" t="s">
        <v>6399</v>
      </c>
      <c r="H1197" s="1"/>
      <c r="I1197" s="1">
        <v>2</v>
      </c>
      <c r="J1197" s="1" t="s">
        <v>6400</v>
      </c>
      <c r="K1197" s="1" t="s">
        <v>170</v>
      </c>
      <c r="L1197" s="1" t="s">
        <v>1614</v>
      </c>
      <c r="M1197" s="1" t="s">
        <v>6401</v>
      </c>
      <c r="N1197" s="2">
        <v>43249</v>
      </c>
      <c r="O1197" s="1"/>
      <c r="P1197" s="1"/>
      <c r="Q1197" s="1" t="s">
        <v>34</v>
      </c>
      <c r="R1197" s="1"/>
      <c r="S1197" s="1" t="s">
        <v>35</v>
      </c>
      <c r="T1197" s="1">
        <v>44.4963081</v>
      </c>
      <c r="U1197" s="1">
        <v>-72.580457499999895</v>
      </c>
      <c r="V1197" s="1" t="s">
        <v>6402</v>
      </c>
      <c r="W1197" s="1"/>
      <c r="X1197" s="1" t="s">
        <v>37</v>
      </c>
      <c r="Y1197" s="1" t="s">
        <v>6403</v>
      </c>
      <c r="Z1197" s="1">
        <v>5661</v>
      </c>
    </row>
    <row r="1198" spans="1:26" ht="42">
      <c r="A1198" s="1" t="str">
        <f>"00112K"</f>
        <v>00112K</v>
      </c>
      <c r="B1198" s="1" t="s">
        <v>6404</v>
      </c>
      <c r="C1198" s="1" t="s">
        <v>6405</v>
      </c>
      <c r="D1198" s="1" t="str">
        <f>"8023623622"</f>
        <v>8023623622</v>
      </c>
      <c r="E1198" s="1">
        <v>5271</v>
      </c>
      <c r="F1198" s="1" t="s">
        <v>28</v>
      </c>
      <c r="G1198" s="1" t="s">
        <v>6406</v>
      </c>
      <c r="H1198" s="1"/>
      <c r="I1198" s="1">
        <v>1</v>
      </c>
      <c r="J1198" s="1" t="s">
        <v>6407</v>
      </c>
      <c r="K1198" s="1" t="s">
        <v>187</v>
      </c>
      <c r="L1198" s="1" t="s">
        <v>2982</v>
      </c>
      <c r="M1198" s="1" t="s">
        <v>6404</v>
      </c>
      <c r="N1198" s="2">
        <v>43249</v>
      </c>
      <c r="O1198" s="1"/>
      <c r="P1198" s="1"/>
      <c r="Q1198" s="1" t="s">
        <v>34</v>
      </c>
      <c r="R1198" s="1"/>
      <c r="S1198" s="1" t="s">
        <v>35</v>
      </c>
      <c r="T1198" s="1">
        <v>43.050480499999999</v>
      </c>
      <c r="U1198" s="1">
        <v>-73.124296000000001</v>
      </c>
      <c r="V1198" s="1" t="s">
        <v>6408</v>
      </c>
      <c r="W1198" s="1"/>
      <c r="X1198" s="1" t="s">
        <v>37</v>
      </c>
      <c r="Y1198" s="1" t="s">
        <v>6409</v>
      </c>
      <c r="Z1198" s="1">
        <v>5250</v>
      </c>
    </row>
    <row r="1199" spans="1:26" ht="42">
      <c r="A1199" s="1" t="str">
        <f>"00112M"</f>
        <v>00112M</v>
      </c>
      <c r="B1199" s="1" t="s">
        <v>6410</v>
      </c>
      <c r="C1199" s="1" t="s">
        <v>6411</v>
      </c>
      <c r="D1199" s="1" t="str">
        <f>"8027633923"</f>
        <v>8027633923</v>
      </c>
      <c r="E1199" s="1">
        <v>5272</v>
      </c>
      <c r="F1199" s="1" t="s">
        <v>28</v>
      </c>
      <c r="G1199" s="1" t="s">
        <v>6412</v>
      </c>
      <c r="H1199" s="1"/>
      <c r="I1199" s="1">
        <v>3</v>
      </c>
      <c r="J1199" s="1" t="s">
        <v>6413</v>
      </c>
      <c r="K1199" s="1" t="s">
        <v>77</v>
      </c>
      <c r="L1199" s="1" t="s">
        <v>5746</v>
      </c>
      <c r="M1199" s="1" t="s">
        <v>6414</v>
      </c>
      <c r="N1199" s="2">
        <v>43249</v>
      </c>
      <c r="O1199" s="1"/>
      <c r="P1199" s="1"/>
      <c r="Q1199" s="1" t="s">
        <v>34</v>
      </c>
      <c r="R1199" s="1"/>
      <c r="S1199" s="1" t="s">
        <v>35</v>
      </c>
      <c r="T1199" s="1">
        <v>43.743977000000001</v>
      </c>
      <c r="U1199" s="1">
        <v>-72.548148999999896</v>
      </c>
      <c r="V1199" s="1" t="s">
        <v>6415</v>
      </c>
      <c r="W1199" s="1"/>
      <c r="X1199" s="1" t="s">
        <v>37</v>
      </c>
      <c r="Y1199" s="1" t="s">
        <v>6416</v>
      </c>
      <c r="Z1199" s="1">
        <v>5031</v>
      </c>
    </row>
    <row r="1200" spans="1:26" ht="42">
      <c r="A1200" s="1" t="str">
        <f>"001133"</f>
        <v>001133</v>
      </c>
      <c r="B1200" s="1" t="s">
        <v>6417</v>
      </c>
      <c r="C1200" s="1" t="s">
        <v>6418</v>
      </c>
      <c r="D1200" s="1" t="str">
        <f>"8026969333"</f>
        <v>8026969333</v>
      </c>
      <c r="E1200" s="1">
        <v>5273</v>
      </c>
      <c r="F1200" s="1" t="s">
        <v>28</v>
      </c>
      <c r="G1200" s="1" t="s">
        <v>6419</v>
      </c>
      <c r="H1200" s="1"/>
      <c r="I1200" s="1">
        <v>1</v>
      </c>
      <c r="J1200" s="1" t="s">
        <v>6420</v>
      </c>
      <c r="K1200" s="1" t="s">
        <v>170</v>
      </c>
      <c r="L1200" s="1"/>
      <c r="M1200" s="1" t="s">
        <v>6421</v>
      </c>
      <c r="N1200" s="2">
        <v>43250</v>
      </c>
      <c r="O1200" s="1"/>
      <c r="P1200" s="1"/>
      <c r="Q1200" s="1" t="s">
        <v>34</v>
      </c>
      <c r="R1200" s="1"/>
      <c r="S1200" s="1" t="s">
        <v>35</v>
      </c>
      <c r="T1200" s="1">
        <v>44.588518999999998</v>
      </c>
      <c r="U1200" s="1">
        <v>-72.789960599999901</v>
      </c>
      <c r="V1200" s="1" t="s">
        <v>6422</v>
      </c>
      <c r="W1200" s="1"/>
      <c r="X1200" s="1" t="s">
        <v>37</v>
      </c>
      <c r="Y1200" s="1" t="s">
        <v>6423</v>
      </c>
      <c r="Z1200" s="1">
        <v>5464</v>
      </c>
    </row>
    <row r="1201" spans="1:26" ht="42">
      <c r="A1201" s="1" t="str">
        <f>"001134"</f>
        <v>001134</v>
      </c>
      <c r="B1201" s="1" t="s">
        <v>6424</v>
      </c>
      <c r="C1201" s="1" t="s">
        <v>6425</v>
      </c>
      <c r="D1201" s="1" t="str">
        <f>"8027673327"</f>
        <v>8027673327</v>
      </c>
      <c r="E1201" s="1">
        <v>5274</v>
      </c>
      <c r="F1201" s="1" t="s">
        <v>28</v>
      </c>
      <c r="G1201" s="1" t="s">
        <v>6426</v>
      </c>
      <c r="H1201" s="1"/>
      <c r="I1201" s="1">
        <v>1</v>
      </c>
      <c r="J1201" s="1" t="s">
        <v>6427</v>
      </c>
      <c r="K1201" s="1" t="s">
        <v>77</v>
      </c>
      <c r="L1201" s="1" t="s">
        <v>103</v>
      </c>
      <c r="M1201" s="1" t="s">
        <v>6428</v>
      </c>
      <c r="N1201" s="2">
        <v>43250</v>
      </c>
      <c r="O1201" s="1"/>
      <c r="P1201" s="1"/>
      <c r="Q1201" s="1" t="s">
        <v>34</v>
      </c>
      <c r="R1201" s="1"/>
      <c r="S1201" s="1" t="s">
        <v>35</v>
      </c>
      <c r="T1201" s="1">
        <v>43.852783000000002</v>
      </c>
      <c r="U1201" s="1">
        <v>-72.799507000000006</v>
      </c>
      <c r="V1201" s="1" t="s">
        <v>6429</v>
      </c>
      <c r="W1201" s="1"/>
      <c r="X1201" s="1" t="s">
        <v>37</v>
      </c>
      <c r="Y1201" s="1" t="s">
        <v>6430</v>
      </c>
      <c r="Z1201" s="1">
        <v>5767</v>
      </c>
    </row>
    <row r="1202" spans="1:26" ht="42">
      <c r="A1202" s="1" t="str">
        <f>"001137"</f>
        <v>001137</v>
      </c>
      <c r="B1202" s="1" t="s">
        <v>6431</v>
      </c>
      <c r="C1202" s="1" t="s">
        <v>6432</v>
      </c>
      <c r="D1202" s="1" t="str">
        <f>"8025520910"</f>
        <v>8025520910</v>
      </c>
      <c r="E1202" s="1">
        <v>5275</v>
      </c>
      <c r="F1202" s="1" t="s">
        <v>28</v>
      </c>
      <c r="G1202" s="1" t="s">
        <v>6433</v>
      </c>
      <c r="H1202" s="1"/>
      <c r="I1202" s="1">
        <v>2</v>
      </c>
      <c r="J1202" s="1" t="s">
        <v>6434</v>
      </c>
      <c r="K1202" s="1" t="s">
        <v>170</v>
      </c>
      <c r="L1202" s="1" t="s">
        <v>1318</v>
      </c>
      <c r="M1202" s="1" t="s">
        <v>6435</v>
      </c>
      <c r="N1202" s="2">
        <v>43250</v>
      </c>
      <c r="O1202" s="1"/>
      <c r="P1202" s="1"/>
      <c r="Q1202" s="1" t="s">
        <v>34</v>
      </c>
      <c r="R1202" s="1"/>
      <c r="S1202" s="1" t="s">
        <v>35</v>
      </c>
      <c r="T1202" s="1">
        <v>44.566382999999902</v>
      </c>
      <c r="U1202" s="1">
        <v>-72.474493999999893</v>
      </c>
      <c r="V1202" s="1" t="s">
        <v>6436</v>
      </c>
      <c r="W1202" s="1"/>
      <c r="X1202" s="1" t="s">
        <v>37</v>
      </c>
      <c r="Y1202" s="1" t="s">
        <v>6437</v>
      </c>
      <c r="Z1202" s="1">
        <v>5680</v>
      </c>
    </row>
    <row r="1203" spans="1:26" ht="42">
      <c r="A1203" s="1" t="str">
        <f>"001138"</f>
        <v>001138</v>
      </c>
      <c r="B1203" s="1" t="s">
        <v>6438</v>
      </c>
      <c r="C1203" s="1" t="s">
        <v>6439</v>
      </c>
      <c r="D1203" s="1" t="str">
        <f>"2077124091"</f>
        <v>2077124091</v>
      </c>
      <c r="E1203" s="1">
        <v>5276</v>
      </c>
      <c r="F1203" s="1" t="s">
        <v>28</v>
      </c>
      <c r="G1203" s="1" t="s">
        <v>6440</v>
      </c>
      <c r="H1203" s="1"/>
      <c r="I1203" s="1">
        <v>2</v>
      </c>
      <c r="J1203" s="1" t="s">
        <v>6441</v>
      </c>
      <c r="K1203" s="1" t="s">
        <v>43</v>
      </c>
      <c r="L1203" s="1" t="s">
        <v>1099</v>
      </c>
      <c r="M1203" s="1" t="s">
        <v>6442</v>
      </c>
      <c r="N1203" s="2">
        <v>43250</v>
      </c>
      <c r="O1203" s="1"/>
      <c r="P1203" s="1"/>
      <c r="Q1203" s="1" t="s">
        <v>34</v>
      </c>
      <c r="R1203" s="1"/>
      <c r="S1203" s="1" t="s">
        <v>35</v>
      </c>
      <c r="T1203" s="1">
        <v>44.466919799999999</v>
      </c>
      <c r="U1203" s="1">
        <v>-73.165297799999905</v>
      </c>
      <c r="V1203" s="1" t="s">
        <v>6443</v>
      </c>
      <c r="W1203" s="1"/>
      <c r="X1203" s="1" t="s">
        <v>37</v>
      </c>
      <c r="Y1203" s="1" t="s">
        <v>6444</v>
      </c>
      <c r="Z1203" s="1">
        <v>5403</v>
      </c>
    </row>
    <row r="1204" spans="1:26" ht="42">
      <c r="A1204" s="1" t="str">
        <f>"001139"</f>
        <v>001139</v>
      </c>
      <c r="B1204" s="1" t="s">
        <v>6445</v>
      </c>
      <c r="C1204" s="1" t="s">
        <v>6446</v>
      </c>
      <c r="D1204" s="1" t="str">
        <f>"8023809559"</f>
        <v>8023809559</v>
      </c>
      <c r="E1204" s="1">
        <v>5277</v>
      </c>
      <c r="F1204" s="1" t="s">
        <v>28</v>
      </c>
      <c r="G1204" s="1" t="s">
        <v>6447</v>
      </c>
      <c r="H1204" s="1"/>
      <c r="I1204" s="1">
        <v>2</v>
      </c>
      <c r="J1204" s="1" t="s">
        <v>6448</v>
      </c>
      <c r="K1204" s="1" t="s">
        <v>144</v>
      </c>
      <c r="L1204" s="1" t="s">
        <v>609</v>
      </c>
      <c r="M1204" s="1" t="s">
        <v>6449</v>
      </c>
      <c r="N1204" s="2">
        <v>43250</v>
      </c>
      <c r="O1204" s="1"/>
      <c r="P1204" s="1"/>
      <c r="Q1204" s="1" t="s">
        <v>34</v>
      </c>
      <c r="R1204" s="1"/>
      <c r="S1204" s="1" t="s">
        <v>35</v>
      </c>
      <c r="T1204" s="1">
        <v>42.912585999999997</v>
      </c>
      <c r="U1204" s="1">
        <v>-72.622077999999902</v>
      </c>
      <c r="V1204" s="1" t="s">
        <v>6450</v>
      </c>
      <c r="W1204" s="1"/>
      <c r="X1204" s="1" t="s">
        <v>37</v>
      </c>
      <c r="Y1204" s="1" t="s">
        <v>6451</v>
      </c>
      <c r="Z1204" s="1">
        <v>5301</v>
      </c>
    </row>
    <row r="1205" spans="1:26" ht="42">
      <c r="A1205" s="1" t="str">
        <f>"00113A"</f>
        <v>00113A</v>
      </c>
      <c r="B1205" s="1" t="s">
        <v>6452</v>
      </c>
      <c r="C1205" s="1" t="s">
        <v>6453</v>
      </c>
      <c r="D1205" s="1" t="str">
        <f>"6038634352"</f>
        <v>6038634352</v>
      </c>
      <c r="E1205" s="1">
        <v>5278</v>
      </c>
      <c r="F1205" s="1" t="s">
        <v>28</v>
      </c>
      <c r="G1205" s="1" t="s">
        <v>6454</v>
      </c>
      <c r="H1205" s="1"/>
      <c r="I1205" s="1">
        <v>20</v>
      </c>
      <c r="J1205" s="1" t="s">
        <v>6455</v>
      </c>
      <c r="K1205" s="1" t="s">
        <v>77</v>
      </c>
      <c r="L1205" s="1" t="s">
        <v>78</v>
      </c>
      <c r="M1205" s="1" t="s">
        <v>6456</v>
      </c>
      <c r="N1205" s="2">
        <v>43250</v>
      </c>
      <c r="O1205" s="1"/>
      <c r="P1205" s="1"/>
      <c r="Q1205" s="1" t="s">
        <v>34</v>
      </c>
      <c r="R1205" s="1"/>
      <c r="S1205" s="1" t="s">
        <v>35</v>
      </c>
      <c r="T1205" s="1">
        <v>43.381412999999903</v>
      </c>
      <c r="U1205" s="1">
        <v>-72.692251999999996</v>
      </c>
      <c r="V1205" s="1" t="s">
        <v>6457</v>
      </c>
      <c r="W1205" s="1"/>
      <c r="X1205" s="1" t="s">
        <v>37</v>
      </c>
      <c r="Y1205" s="1" t="s">
        <v>6458</v>
      </c>
      <c r="Z1205" s="1">
        <v>5149</v>
      </c>
    </row>
    <row r="1206" spans="1:26" ht="42">
      <c r="A1206" s="1" t="str">
        <f>"00113Q"</f>
        <v>00113Q</v>
      </c>
      <c r="B1206" s="1" t="s">
        <v>6459</v>
      </c>
      <c r="C1206" s="1" t="s">
        <v>6460</v>
      </c>
      <c r="D1206" s="1" t="str">
        <f>"8028728106"</f>
        <v>8028728106</v>
      </c>
      <c r="E1206" s="1">
        <v>5279</v>
      </c>
      <c r="F1206" s="1" t="s">
        <v>28</v>
      </c>
      <c r="G1206" s="1" t="s">
        <v>6461</v>
      </c>
      <c r="H1206" s="1"/>
      <c r="I1206" s="1">
        <v>2</v>
      </c>
      <c r="J1206" s="1" t="s">
        <v>6462</v>
      </c>
      <c r="K1206" s="1" t="s">
        <v>31</v>
      </c>
      <c r="L1206" s="1" t="s">
        <v>1293</v>
      </c>
      <c r="M1206" s="1" t="s">
        <v>6463</v>
      </c>
      <c r="N1206" s="2">
        <v>43251</v>
      </c>
      <c r="O1206" s="1"/>
      <c r="P1206" s="1"/>
      <c r="Q1206" s="1" t="s">
        <v>34</v>
      </c>
      <c r="R1206" s="1"/>
      <c r="S1206" s="1" t="s">
        <v>35</v>
      </c>
      <c r="T1206" s="1">
        <v>44.2711185</v>
      </c>
      <c r="U1206" s="1">
        <v>-72.588203899999996</v>
      </c>
      <c r="V1206" s="1" t="s">
        <v>6464</v>
      </c>
      <c r="W1206" s="1"/>
      <c r="X1206" s="1" t="s">
        <v>37</v>
      </c>
      <c r="Y1206" s="1" t="s">
        <v>802</v>
      </c>
      <c r="Z1206" s="1">
        <v>5602</v>
      </c>
    </row>
    <row r="1207" spans="1:26" ht="42">
      <c r="A1207" s="1" t="str">
        <f>"00113V"</f>
        <v>00113V</v>
      </c>
      <c r="B1207" s="1" t="s">
        <v>6465</v>
      </c>
      <c r="C1207" s="1" t="s">
        <v>6466</v>
      </c>
      <c r="D1207" s="1" t="str">
        <f>"8025955311"</f>
        <v>8025955311</v>
      </c>
      <c r="E1207" s="1">
        <v>5280</v>
      </c>
      <c r="F1207" s="1" t="s">
        <v>28</v>
      </c>
      <c r="G1207" s="1" t="s">
        <v>6467</v>
      </c>
      <c r="H1207" s="1"/>
      <c r="I1207" s="1">
        <v>100</v>
      </c>
      <c r="J1207" s="1" t="s">
        <v>6468</v>
      </c>
      <c r="K1207" s="1" t="s">
        <v>170</v>
      </c>
      <c r="L1207" s="1" t="s">
        <v>380</v>
      </c>
      <c r="M1207" s="1" t="s">
        <v>6469</v>
      </c>
      <c r="N1207" s="2">
        <v>43251</v>
      </c>
      <c r="O1207" s="1"/>
      <c r="P1207" s="1"/>
      <c r="Q1207" s="1" t="s">
        <v>34</v>
      </c>
      <c r="R1207" s="1"/>
      <c r="S1207" s="1" t="s">
        <v>35</v>
      </c>
      <c r="T1207" s="1">
        <v>44.500549900000003</v>
      </c>
      <c r="U1207" s="1">
        <v>-72.613422</v>
      </c>
      <c r="V1207" s="1" t="s">
        <v>6470</v>
      </c>
      <c r="W1207" s="1"/>
      <c r="X1207" s="1" t="s">
        <v>37</v>
      </c>
      <c r="Y1207" s="1" t="s">
        <v>383</v>
      </c>
      <c r="Z1207" s="1">
        <v>5661</v>
      </c>
    </row>
    <row r="1208" spans="1:26" ht="42">
      <c r="A1208" s="1" t="str">
        <f>"00113V"</f>
        <v>00113V</v>
      </c>
      <c r="B1208" s="1" t="s">
        <v>6465</v>
      </c>
      <c r="C1208" s="1" t="s">
        <v>6466</v>
      </c>
      <c r="D1208" s="1" t="str">
        <f>"8025955311"</f>
        <v>8025955311</v>
      </c>
      <c r="E1208" s="1">
        <v>5280</v>
      </c>
      <c r="F1208" s="1" t="s">
        <v>28</v>
      </c>
      <c r="G1208" s="1" t="s">
        <v>6471</v>
      </c>
      <c r="H1208" s="1"/>
      <c r="I1208" s="1">
        <v>100</v>
      </c>
      <c r="J1208" s="1" t="s">
        <v>4246</v>
      </c>
      <c r="K1208" s="1" t="s">
        <v>170</v>
      </c>
      <c r="L1208" s="1" t="s">
        <v>380</v>
      </c>
      <c r="M1208" s="1" t="s">
        <v>6472</v>
      </c>
      <c r="N1208" s="2">
        <v>43251</v>
      </c>
      <c r="O1208" s="1"/>
      <c r="P1208" s="1"/>
      <c r="Q1208" s="1" t="s">
        <v>34</v>
      </c>
      <c r="R1208" s="1"/>
      <c r="S1208" s="1" t="s">
        <v>35</v>
      </c>
      <c r="T1208" s="1">
        <v>44.5190792</v>
      </c>
      <c r="U1208" s="1">
        <v>-72.560640100000001</v>
      </c>
      <c r="V1208" s="1" t="s">
        <v>6473</v>
      </c>
      <c r="W1208" s="1"/>
      <c r="X1208" s="1" t="s">
        <v>37</v>
      </c>
      <c r="Y1208" s="1" t="s">
        <v>383</v>
      </c>
      <c r="Z1208" s="1">
        <v>5661</v>
      </c>
    </row>
    <row r="1209" spans="1:26" ht="42">
      <c r="A1209" s="1" t="str">
        <f>"00113V"</f>
        <v>00113V</v>
      </c>
      <c r="B1209" s="1" t="s">
        <v>6465</v>
      </c>
      <c r="C1209" s="1" t="s">
        <v>6466</v>
      </c>
      <c r="D1209" s="1" t="str">
        <f>"8025955311"</f>
        <v>8025955311</v>
      </c>
      <c r="E1209" s="1">
        <v>5280</v>
      </c>
      <c r="F1209" s="1" t="s">
        <v>28</v>
      </c>
      <c r="G1209" s="1" t="s">
        <v>6474</v>
      </c>
      <c r="H1209" s="1"/>
      <c r="I1209" s="1">
        <v>100</v>
      </c>
      <c r="J1209" s="1" t="s">
        <v>6475</v>
      </c>
      <c r="K1209" s="1" t="s">
        <v>170</v>
      </c>
      <c r="L1209" s="1" t="s">
        <v>380</v>
      </c>
      <c r="M1209" s="1" t="s">
        <v>6476</v>
      </c>
      <c r="N1209" s="2">
        <v>43251</v>
      </c>
      <c r="O1209" s="1"/>
      <c r="P1209" s="1"/>
      <c r="Q1209" s="1" t="s">
        <v>34</v>
      </c>
      <c r="R1209" s="1"/>
      <c r="S1209" s="1" t="s">
        <v>35</v>
      </c>
      <c r="T1209" s="1">
        <v>44.523865000000001</v>
      </c>
      <c r="U1209" s="1">
        <v>-72.638656900000001</v>
      </c>
      <c r="V1209" s="1" t="s">
        <v>6477</v>
      </c>
      <c r="W1209" s="1"/>
      <c r="X1209" s="1" t="s">
        <v>37</v>
      </c>
      <c r="Y1209" s="1" t="s">
        <v>383</v>
      </c>
      <c r="Z1209" s="1">
        <v>5661</v>
      </c>
    </row>
    <row r="1210" spans="1:26" ht="42">
      <c r="A1210" s="1" t="str">
        <f>"00113V"</f>
        <v>00113V</v>
      </c>
      <c r="B1210" s="1" t="s">
        <v>6465</v>
      </c>
      <c r="C1210" s="1" t="s">
        <v>6466</v>
      </c>
      <c r="D1210" s="1" t="str">
        <f>"8025955311"</f>
        <v>8025955311</v>
      </c>
      <c r="E1210" s="1">
        <v>5280</v>
      </c>
      <c r="F1210" s="1" t="s">
        <v>28</v>
      </c>
      <c r="G1210" s="1" t="s">
        <v>6478</v>
      </c>
      <c r="H1210" s="1"/>
      <c r="I1210" s="1">
        <v>100</v>
      </c>
      <c r="J1210" s="1" t="s">
        <v>6479</v>
      </c>
      <c r="K1210" s="1" t="s">
        <v>170</v>
      </c>
      <c r="L1210" s="1" t="s">
        <v>1614</v>
      </c>
      <c r="M1210" s="1" t="s">
        <v>6480</v>
      </c>
      <c r="N1210" s="2">
        <v>43251</v>
      </c>
      <c r="O1210" s="1"/>
      <c r="P1210" s="1"/>
      <c r="Q1210" s="1" t="s">
        <v>34</v>
      </c>
      <c r="R1210" s="1"/>
      <c r="S1210" s="1" t="s">
        <v>35</v>
      </c>
      <c r="T1210" s="1">
        <v>44.531185000000001</v>
      </c>
      <c r="U1210" s="1">
        <v>-72.5181658999999</v>
      </c>
      <c r="V1210" s="1" t="s">
        <v>6481</v>
      </c>
      <c r="W1210" s="1"/>
      <c r="X1210" s="1" t="s">
        <v>37</v>
      </c>
      <c r="Y1210" s="1" t="s">
        <v>3884</v>
      </c>
      <c r="Z1210" s="1">
        <v>0</v>
      </c>
    </row>
    <row r="1211" spans="1:26" ht="42">
      <c r="A1211" s="1" t="str">
        <f>"00113V"</f>
        <v>00113V</v>
      </c>
      <c r="B1211" s="1" t="s">
        <v>6465</v>
      </c>
      <c r="C1211" s="1" t="s">
        <v>6466</v>
      </c>
      <c r="D1211" s="1" t="str">
        <f>"8025955311"</f>
        <v>8025955311</v>
      </c>
      <c r="E1211" s="1">
        <v>5280</v>
      </c>
      <c r="F1211" s="1" t="s">
        <v>28</v>
      </c>
      <c r="G1211" s="1" t="s">
        <v>6482</v>
      </c>
      <c r="H1211" s="1"/>
      <c r="I1211" s="1">
        <v>100</v>
      </c>
      <c r="J1211" s="1" t="s">
        <v>6483</v>
      </c>
      <c r="K1211" s="1" t="s">
        <v>31</v>
      </c>
      <c r="L1211" s="1" t="s">
        <v>2147</v>
      </c>
      <c r="M1211" s="1" t="s">
        <v>6484</v>
      </c>
      <c r="N1211" s="2">
        <v>43251</v>
      </c>
      <c r="O1211" s="1"/>
      <c r="P1211" s="1"/>
      <c r="Q1211" s="1" t="s">
        <v>34</v>
      </c>
      <c r="R1211" s="1"/>
      <c r="S1211" s="1" t="s">
        <v>35</v>
      </c>
      <c r="T1211" s="1">
        <v>44.372300099999997</v>
      </c>
      <c r="U1211" s="1">
        <v>-72.302834099999899</v>
      </c>
      <c r="V1211" s="1" t="s">
        <v>6485</v>
      </c>
      <c r="W1211" s="1"/>
      <c r="X1211" s="1" t="s">
        <v>37</v>
      </c>
      <c r="Y1211" s="1" t="s">
        <v>2150</v>
      </c>
      <c r="Z1211" s="1">
        <v>0</v>
      </c>
    </row>
    <row r="1212" spans="1:26" ht="42">
      <c r="A1212" s="1" t="str">
        <f>"00113Y"</f>
        <v>00113Y</v>
      </c>
      <c r="B1212" s="1" t="s">
        <v>6486</v>
      </c>
      <c r="C1212" s="1" t="s">
        <v>6487</v>
      </c>
      <c r="D1212" s="1" t="str">
        <f>"8027638946"</f>
        <v>8027638946</v>
      </c>
      <c r="E1212" s="1">
        <v>5281</v>
      </c>
      <c r="F1212" s="1" t="s">
        <v>28</v>
      </c>
      <c r="G1212" s="1" t="s">
        <v>6488</v>
      </c>
      <c r="H1212" s="1"/>
      <c r="I1212" s="1">
        <v>2</v>
      </c>
      <c r="J1212" s="1" t="s">
        <v>6489</v>
      </c>
      <c r="K1212" s="1" t="s">
        <v>77</v>
      </c>
      <c r="L1212" s="1" t="s">
        <v>5174</v>
      </c>
      <c r="M1212" s="1" t="s">
        <v>6490</v>
      </c>
      <c r="N1212" s="2">
        <v>43251</v>
      </c>
      <c r="O1212" s="1"/>
      <c r="P1212" s="1"/>
      <c r="Q1212" s="1" t="s">
        <v>34</v>
      </c>
      <c r="R1212" s="1"/>
      <c r="S1212" s="1" t="s">
        <v>35</v>
      </c>
      <c r="T1212" s="1">
        <v>43.800258499999899</v>
      </c>
      <c r="U1212" s="1">
        <v>-72.416659100000004</v>
      </c>
      <c r="V1212" s="1" t="s">
        <v>6491</v>
      </c>
      <c r="W1212" s="1"/>
      <c r="X1212" s="1" t="s">
        <v>37</v>
      </c>
      <c r="Y1212" s="1" t="s">
        <v>6146</v>
      </c>
      <c r="Z1212" s="1">
        <v>5065</v>
      </c>
    </row>
    <row r="1213" spans="1:26" ht="42">
      <c r="A1213" s="1" t="str">
        <f>"001145"</f>
        <v>001145</v>
      </c>
      <c r="B1213" s="1" t="s">
        <v>6492</v>
      </c>
      <c r="C1213" s="1" t="s">
        <v>6493</v>
      </c>
      <c r="D1213" s="1" t="str">
        <f>"8022382522"</f>
        <v>8022382522</v>
      </c>
      <c r="E1213" s="1">
        <v>5282</v>
      </c>
      <c r="F1213" s="1" t="s">
        <v>28</v>
      </c>
      <c r="G1213" s="1" t="s">
        <v>6494</v>
      </c>
      <c r="H1213" s="1"/>
      <c r="I1213" s="1">
        <v>2</v>
      </c>
      <c r="J1213" s="1" t="s">
        <v>6495</v>
      </c>
      <c r="K1213" s="1" t="s">
        <v>43</v>
      </c>
      <c r="L1213" s="1" t="s">
        <v>178</v>
      </c>
      <c r="M1213" s="1" t="s">
        <v>6496</v>
      </c>
      <c r="N1213" s="2">
        <v>43252</v>
      </c>
      <c r="O1213" s="1"/>
      <c r="P1213" s="1"/>
      <c r="Q1213" s="1" t="s">
        <v>34</v>
      </c>
      <c r="R1213" s="1"/>
      <c r="S1213" s="1" t="s">
        <v>35</v>
      </c>
      <c r="T1213" s="1"/>
      <c r="U1213" s="1"/>
      <c r="V1213" s="1" t="s">
        <v>6497</v>
      </c>
      <c r="W1213" s="1"/>
      <c r="X1213" s="1" t="s">
        <v>37</v>
      </c>
      <c r="Y1213" s="1" t="s">
        <v>5971</v>
      </c>
      <c r="Z1213" s="1">
        <v>5452</v>
      </c>
    </row>
    <row r="1214" spans="1:26" ht="42">
      <c r="A1214" s="1" t="str">
        <f>"00114G"</f>
        <v>00114G</v>
      </c>
      <c r="B1214" s="1" t="s">
        <v>6498</v>
      </c>
      <c r="C1214" s="1" t="s">
        <v>6499</v>
      </c>
      <c r="D1214" s="1" t="str">
        <f>"8023236785"</f>
        <v>8023236785</v>
      </c>
      <c r="E1214" s="1">
        <v>5283</v>
      </c>
      <c r="F1214" s="1" t="s">
        <v>28</v>
      </c>
      <c r="G1214" s="1" t="s">
        <v>6500</v>
      </c>
      <c r="H1214" s="1"/>
      <c r="I1214" s="1">
        <v>1</v>
      </c>
      <c r="J1214" s="1" t="s">
        <v>6501</v>
      </c>
      <c r="K1214" s="1" t="s">
        <v>527</v>
      </c>
      <c r="L1214" s="1" t="s">
        <v>5770</v>
      </c>
      <c r="M1214" s="1" t="s">
        <v>6502</v>
      </c>
      <c r="N1214" s="2">
        <v>43255</v>
      </c>
      <c r="O1214" s="1"/>
      <c r="P1214" s="1"/>
      <c r="Q1214" s="1" t="s">
        <v>34</v>
      </c>
      <c r="R1214" s="1"/>
      <c r="S1214" s="1" t="s">
        <v>35</v>
      </c>
      <c r="T1214" s="1">
        <v>44.852578999999999</v>
      </c>
      <c r="U1214" s="1">
        <v>-72.198859999999897</v>
      </c>
      <c r="V1214" s="1" t="s">
        <v>6503</v>
      </c>
      <c r="W1214" s="1"/>
      <c r="X1214" s="1" t="s">
        <v>37</v>
      </c>
      <c r="Y1214" s="1" t="s">
        <v>3836</v>
      </c>
      <c r="Z1214" s="1">
        <v>5860</v>
      </c>
    </row>
    <row r="1215" spans="1:26" ht="42">
      <c r="A1215" s="1" t="str">
        <f>"00114H"</f>
        <v>00114H</v>
      </c>
      <c r="B1215" s="1" t="s">
        <v>6504</v>
      </c>
      <c r="C1215" s="1" t="s">
        <v>6505</v>
      </c>
      <c r="D1215" s="1" t="str">
        <f>"8027780311"</f>
        <v>8027780311</v>
      </c>
      <c r="E1215" s="1">
        <v>5284</v>
      </c>
      <c r="F1215" s="1" t="s">
        <v>28</v>
      </c>
      <c r="G1215" s="1" t="s">
        <v>6506</v>
      </c>
      <c r="H1215" s="1"/>
      <c r="I1215" s="1">
        <v>1</v>
      </c>
      <c r="J1215" s="1" t="s">
        <v>6507</v>
      </c>
      <c r="K1215" s="1" t="s">
        <v>31</v>
      </c>
      <c r="L1215" s="1" t="s">
        <v>716</v>
      </c>
      <c r="M1215" s="1" t="s">
        <v>6508</v>
      </c>
      <c r="N1215" s="2">
        <v>43255</v>
      </c>
      <c r="O1215" s="1"/>
      <c r="P1215" s="1"/>
      <c r="Q1215" s="1" t="s">
        <v>34</v>
      </c>
      <c r="R1215" s="1"/>
      <c r="S1215" s="1" t="s">
        <v>35</v>
      </c>
      <c r="T1215" s="1"/>
      <c r="U1215" s="1"/>
      <c r="V1215" s="1" t="s">
        <v>6509</v>
      </c>
      <c r="W1215" s="1"/>
      <c r="X1215" s="1" t="s">
        <v>37</v>
      </c>
      <c r="Y1215" s="1" t="s">
        <v>237</v>
      </c>
      <c r="Z1215" s="1">
        <v>5641</v>
      </c>
    </row>
    <row r="1216" spans="1:26" ht="42">
      <c r="A1216" s="1" t="str">
        <f>"00114P"</f>
        <v>00114P</v>
      </c>
      <c r="B1216" s="1" t="s">
        <v>6510</v>
      </c>
      <c r="C1216" s="1" t="s">
        <v>6511</v>
      </c>
      <c r="D1216" s="1" t="str">
        <f>"5142081836"</f>
        <v>5142081836</v>
      </c>
      <c r="E1216" s="1">
        <v>5285</v>
      </c>
      <c r="F1216" s="1" t="s">
        <v>28</v>
      </c>
      <c r="G1216" s="1" t="s">
        <v>6512</v>
      </c>
      <c r="H1216" s="1"/>
      <c r="I1216" s="1">
        <v>4</v>
      </c>
      <c r="J1216" s="1" t="s">
        <v>6513</v>
      </c>
      <c r="K1216" s="1"/>
      <c r="L1216" s="1"/>
      <c r="M1216" s="1" t="s">
        <v>6514</v>
      </c>
      <c r="N1216" s="2">
        <v>43256</v>
      </c>
      <c r="O1216" s="1"/>
      <c r="P1216" s="1"/>
      <c r="Q1216" s="1" t="s">
        <v>34</v>
      </c>
      <c r="R1216" s="1"/>
      <c r="S1216" s="1" t="s">
        <v>35</v>
      </c>
      <c r="T1216" s="1"/>
      <c r="U1216" s="1"/>
      <c r="V1216" s="1" t="s">
        <v>6515</v>
      </c>
      <c r="W1216" s="1"/>
      <c r="X1216" s="1" t="s">
        <v>37</v>
      </c>
      <c r="Y1216" s="1" t="s">
        <v>6516</v>
      </c>
      <c r="Z1216" s="1">
        <v>5859</v>
      </c>
    </row>
    <row r="1217" spans="1:26" ht="42">
      <c r="A1217" s="1" t="str">
        <f>"00114V"</f>
        <v>00114V</v>
      </c>
      <c r="B1217" s="1" t="s">
        <v>6517</v>
      </c>
      <c r="C1217" s="1" t="s">
        <v>6518</v>
      </c>
      <c r="D1217" s="1" t="str">
        <f>"8023638799"</f>
        <v>8023638799</v>
      </c>
      <c r="E1217" s="1">
        <v>5286</v>
      </c>
      <c r="F1217" s="1" t="s">
        <v>28</v>
      </c>
      <c r="G1217" s="1" t="s">
        <v>6519</v>
      </c>
      <c r="H1217" s="1"/>
      <c r="I1217" s="1">
        <v>2</v>
      </c>
      <c r="J1217" s="1" t="s">
        <v>6520</v>
      </c>
      <c r="K1217" s="1" t="s">
        <v>152</v>
      </c>
      <c r="L1217" s="1" t="s">
        <v>4073</v>
      </c>
      <c r="M1217" s="1" t="s">
        <v>6521</v>
      </c>
      <c r="N1217" s="2">
        <v>43256</v>
      </c>
      <c r="O1217" s="1"/>
      <c r="P1217" s="1"/>
      <c r="Q1217" s="1" t="s">
        <v>34</v>
      </c>
      <c r="R1217" s="1"/>
      <c r="S1217" s="1" t="s">
        <v>35</v>
      </c>
      <c r="T1217" s="1">
        <v>44.722516300000002</v>
      </c>
      <c r="U1217" s="1">
        <v>-72.851896199999999</v>
      </c>
      <c r="V1217" s="1" t="s">
        <v>6522</v>
      </c>
      <c r="W1217" s="1"/>
      <c r="X1217" s="1" t="s">
        <v>37</v>
      </c>
      <c r="Y1217" s="1" t="s">
        <v>6423</v>
      </c>
      <c r="Z1217" s="1">
        <v>5464</v>
      </c>
    </row>
    <row r="1218" spans="1:26" ht="42">
      <c r="A1218" s="1" t="str">
        <f>"00115Y"</f>
        <v>00115Y</v>
      </c>
      <c r="B1218" s="1" t="s">
        <v>6523</v>
      </c>
      <c r="C1218" s="1" t="s">
        <v>6524</v>
      </c>
      <c r="D1218" s="1" t="str">
        <f>"8025785219"</f>
        <v>8025785219</v>
      </c>
      <c r="E1218" s="1">
        <v>5287</v>
      </c>
      <c r="F1218" s="1" t="s">
        <v>28</v>
      </c>
      <c r="G1218" s="1" t="s">
        <v>6525</v>
      </c>
      <c r="H1218" s="1"/>
      <c r="I1218" s="1">
        <v>1</v>
      </c>
      <c r="J1218" s="1" t="s">
        <v>6526</v>
      </c>
      <c r="K1218" s="1" t="s">
        <v>428</v>
      </c>
      <c r="L1218" s="1" t="s">
        <v>1416</v>
      </c>
      <c r="M1218" s="1" t="s">
        <v>6527</v>
      </c>
      <c r="N1218" s="2">
        <v>43262</v>
      </c>
      <c r="O1218" s="1"/>
      <c r="P1218" s="1"/>
      <c r="Q1218" s="1" t="s">
        <v>34</v>
      </c>
      <c r="R1218" s="1"/>
      <c r="S1218" s="1" t="s">
        <v>35</v>
      </c>
      <c r="T1218" s="1">
        <v>44.699805999999903</v>
      </c>
      <c r="U1218" s="1">
        <v>-73.335380999999899</v>
      </c>
      <c r="V1218" s="1" t="s">
        <v>6528</v>
      </c>
      <c r="W1218" s="1"/>
      <c r="X1218" s="1" t="s">
        <v>37</v>
      </c>
      <c r="Y1218" s="1" t="s">
        <v>5884</v>
      </c>
      <c r="Z1218" s="1">
        <v>5458</v>
      </c>
    </row>
    <row r="1219" spans="1:26" ht="42">
      <c r="A1219" s="1" t="str">
        <f>"001163"</f>
        <v>001163</v>
      </c>
      <c r="B1219" s="1" t="s">
        <v>6529</v>
      </c>
      <c r="C1219" s="1" t="s">
        <v>6530</v>
      </c>
      <c r="D1219" s="1" t="str">
        <f>"8025243870"</f>
        <v>8025243870</v>
      </c>
      <c r="E1219" s="1">
        <v>5288</v>
      </c>
      <c r="F1219" s="1" t="s">
        <v>28</v>
      </c>
      <c r="G1219" s="1" t="s">
        <v>6531</v>
      </c>
      <c r="H1219" s="1"/>
      <c r="I1219" s="1">
        <v>3</v>
      </c>
      <c r="J1219" s="1" t="s">
        <v>6532</v>
      </c>
      <c r="K1219" s="1" t="s">
        <v>152</v>
      </c>
      <c r="L1219" s="1" t="s">
        <v>1137</v>
      </c>
      <c r="M1219" s="1" t="s">
        <v>6533</v>
      </c>
      <c r="N1219" s="2">
        <v>43262</v>
      </c>
      <c r="O1219" s="1"/>
      <c r="P1219" s="1"/>
      <c r="Q1219" s="1" t="s">
        <v>34</v>
      </c>
      <c r="R1219" s="1"/>
      <c r="S1219" s="1" t="s">
        <v>35</v>
      </c>
      <c r="T1219" s="1"/>
      <c r="U1219" s="1"/>
      <c r="V1219" s="1" t="s">
        <v>6534</v>
      </c>
      <c r="W1219" s="1"/>
      <c r="X1219" s="1" t="s">
        <v>37</v>
      </c>
      <c r="Y1219" s="1" t="s">
        <v>1509</v>
      </c>
      <c r="Z1219" s="1">
        <v>5483</v>
      </c>
    </row>
    <row r="1220" spans="1:26" ht="42">
      <c r="A1220" s="1" t="str">
        <f>"00116V"</f>
        <v>00116V</v>
      </c>
      <c r="B1220" s="1" t="s">
        <v>6535</v>
      </c>
      <c r="C1220" s="1" t="s">
        <v>6536</v>
      </c>
      <c r="D1220" s="1" t="str">
        <f>"8024963922"</f>
        <v>8024963922</v>
      </c>
      <c r="E1220" s="1">
        <v>5289</v>
      </c>
      <c r="F1220" s="1" t="s">
        <v>28</v>
      </c>
      <c r="G1220" s="1" t="s">
        <v>6537</v>
      </c>
      <c r="H1220" s="1"/>
      <c r="I1220" s="1">
        <v>2</v>
      </c>
      <c r="J1220" s="1" t="s">
        <v>6538</v>
      </c>
      <c r="K1220" s="1" t="s">
        <v>31</v>
      </c>
      <c r="L1220" s="1" t="s">
        <v>94</v>
      </c>
      <c r="M1220" s="1" t="s">
        <v>6539</v>
      </c>
      <c r="N1220" s="2">
        <v>43263</v>
      </c>
      <c r="O1220" s="1"/>
      <c r="P1220" s="1"/>
      <c r="Q1220" s="1" t="s">
        <v>34</v>
      </c>
      <c r="R1220" s="1"/>
      <c r="S1220" s="1" t="s">
        <v>35</v>
      </c>
      <c r="T1220" s="1">
        <v>44.202030000000001</v>
      </c>
      <c r="U1220" s="1">
        <v>-72.811387400000001</v>
      </c>
      <c r="V1220" s="1" t="s">
        <v>6540</v>
      </c>
      <c r="W1220" s="1"/>
      <c r="X1220" s="1" t="s">
        <v>37</v>
      </c>
      <c r="Y1220" s="1" t="s">
        <v>6541</v>
      </c>
      <c r="Z1220" s="1">
        <v>5673</v>
      </c>
    </row>
    <row r="1221" spans="1:26" ht="42">
      <c r="A1221" s="1" t="str">
        <f>"00116Z"</f>
        <v>00116Z</v>
      </c>
      <c r="B1221" s="1" t="s">
        <v>6542</v>
      </c>
      <c r="C1221" s="1" t="s">
        <v>6543</v>
      </c>
      <c r="D1221" s="1" t="str">
        <f>"8027854132"</f>
        <v>8027854132</v>
      </c>
      <c r="E1221" s="1">
        <v>5290</v>
      </c>
      <c r="F1221" s="1" t="s">
        <v>28</v>
      </c>
      <c r="G1221" s="1" t="s">
        <v>6544</v>
      </c>
      <c r="H1221" s="1"/>
      <c r="I1221" s="1">
        <v>2</v>
      </c>
      <c r="J1221" s="1" t="s">
        <v>6545</v>
      </c>
      <c r="K1221" s="1" t="s">
        <v>68</v>
      </c>
      <c r="L1221" s="1" t="s">
        <v>69</v>
      </c>
      <c r="M1221" s="1" t="s">
        <v>6546</v>
      </c>
      <c r="N1221" s="2">
        <v>43264</v>
      </c>
      <c r="O1221" s="1"/>
      <c r="P1221" s="1"/>
      <c r="Q1221" s="1" t="s">
        <v>34</v>
      </c>
      <c r="R1221" s="1"/>
      <c r="S1221" s="1" t="s">
        <v>35</v>
      </c>
      <c r="T1221" s="1">
        <v>43.830959</v>
      </c>
      <c r="U1221" s="1">
        <v>-72.2560419</v>
      </c>
      <c r="V1221" s="1" t="s">
        <v>6547</v>
      </c>
      <c r="W1221" s="1"/>
      <c r="X1221" s="1" t="s">
        <v>37</v>
      </c>
      <c r="Y1221" s="1" t="s">
        <v>5354</v>
      </c>
      <c r="Z1221" s="1">
        <v>5075</v>
      </c>
    </row>
    <row r="1222" spans="1:26" ht="42">
      <c r="A1222" s="1" t="str">
        <f>"00117X"</f>
        <v>00117X</v>
      </c>
      <c r="B1222" s="1" t="s">
        <v>6548</v>
      </c>
      <c r="C1222" s="1" t="s">
        <v>6549</v>
      </c>
      <c r="D1222" s="1" t="str">
        <f>"8025843224"</f>
        <v>8025843224</v>
      </c>
      <c r="E1222" s="1">
        <v>5291</v>
      </c>
      <c r="F1222" s="1" t="s">
        <v>28</v>
      </c>
      <c r="G1222" s="1" t="s">
        <v>6550</v>
      </c>
      <c r="H1222" s="1"/>
      <c r="I1222" s="1">
        <v>2</v>
      </c>
      <c r="J1222" s="1" t="s">
        <v>6551</v>
      </c>
      <c r="K1222" s="1" t="s">
        <v>68</v>
      </c>
      <c r="L1222" s="1" t="s">
        <v>1375</v>
      </c>
      <c r="M1222" s="1" t="s">
        <v>6552</v>
      </c>
      <c r="N1222" s="2">
        <v>43269</v>
      </c>
      <c r="O1222" s="1"/>
      <c r="P1222" s="1"/>
      <c r="Q1222" s="1" t="s">
        <v>34</v>
      </c>
      <c r="R1222" s="1"/>
      <c r="S1222" s="1" t="s">
        <v>35</v>
      </c>
      <c r="T1222" s="1">
        <v>44.139880999999903</v>
      </c>
      <c r="U1222" s="1">
        <v>-72.181281999999996</v>
      </c>
      <c r="V1222" s="1" t="s">
        <v>6553</v>
      </c>
      <c r="W1222" s="1"/>
      <c r="X1222" s="1" t="s">
        <v>37</v>
      </c>
      <c r="Y1222" s="1" t="s">
        <v>6554</v>
      </c>
      <c r="Z1222" s="1">
        <v>5051</v>
      </c>
    </row>
    <row r="1223" spans="1:26" ht="42">
      <c r="A1223" s="1" t="str">
        <f>"001181"</f>
        <v>001181</v>
      </c>
      <c r="B1223" s="1" t="s">
        <v>6555</v>
      </c>
      <c r="C1223" s="1" t="s">
        <v>6556</v>
      </c>
      <c r="D1223" s="1" t="str">
        <f>"8025035188"</f>
        <v>8025035188</v>
      </c>
      <c r="E1223" s="1">
        <v>5292</v>
      </c>
      <c r="F1223" s="1" t="s">
        <v>28</v>
      </c>
      <c r="G1223" s="1" t="s">
        <v>6557</v>
      </c>
      <c r="H1223" s="1"/>
      <c r="I1223" s="1">
        <v>1</v>
      </c>
      <c r="J1223" s="1" t="s">
        <v>6558</v>
      </c>
      <c r="K1223" s="1" t="s">
        <v>43</v>
      </c>
      <c r="L1223" s="1" t="s">
        <v>728</v>
      </c>
      <c r="M1223" s="1" t="s">
        <v>6559</v>
      </c>
      <c r="N1223" s="2">
        <v>43270</v>
      </c>
      <c r="O1223" s="1"/>
      <c r="P1223" s="1"/>
      <c r="Q1223" s="1" t="s">
        <v>34</v>
      </c>
      <c r="R1223" s="1"/>
      <c r="S1223" s="1" t="s">
        <v>35</v>
      </c>
      <c r="T1223" s="1">
        <v>44.316546000000002</v>
      </c>
      <c r="U1223" s="1">
        <v>-73.1843539999999</v>
      </c>
      <c r="V1223" s="1" t="s">
        <v>6560</v>
      </c>
      <c r="W1223" s="1"/>
      <c r="X1223" s="1" t="s">
        <v>37</v>
      </c>
      <c r="Y1223" s="1" t="s">
        <v>6217</v>
      </c>
      <c r="Z1223" s="1">
        <v>5445</v>
      </c>
    </row>
    <row r="1224" spans="1:26" ht="42">
      <c r="A1224" s="1" t="str">
        <f>"001183"</f>
        <v>001183</v>
      </c>
      <c r="B1224" s="1" t="s">
        <v>6561</v>
      </c>
      <c r="C1224" s="1" t="s">
        <v>6562</v>
      </c>
      <c r="D1224" s="1" t="str">
        <f>"8023765984"</f>
        <v>8023765984</v>
      </c>
      <c r="E1224" s="1">
        <v>5293</v>
      </c>
      <c r="F1224" s="1" t="s">
        <v>28</v>
      </c>
      <c r="G1224" s="1" t="s">
        <v>6563</v>
      </c>
      <c r="H1224" s="1"/>
      <c r="I1224" s="1">
        <v>2</v>
      </c>
      <c r="J1224" s="1" t="s">
        <v>6564</v>
      </c>
      <c r="K1224" s="1" t="s">
        <v>144</v>
      </c>
      <c r="L1224" s="1" t="s">
        <v>609</v>
      </c>
      <c r="M1224" s="1" t="s">
        <v>6565</v>
      </c>
      <c r="N1224" s="2">
        <v>43271</v>
      </c>
      <c r="O1224" s="1"/>
      <c r="P1224" s="1"/>
      <c r="Q1224" s="1" t="s">
        <v>34</v>
      </c>
      <c r="R1224" s="1"/>
      <c r="S1224" s="1" t="s">
        <v>35</v>
      </c>
      <c r="T1224" s="1"/>
      <c r="U1224" s="1"/>
      <c r="V1224" s="1" t="s">
        <v>6566</v>
      </c>
      <c r="W1224" s="1"/>
      <c r="X1224" s="1" t="s">
        <v>37</v>
      </c>
      <c r="Y1224" s="1" t="s">
        <v>611</v>
      </c>
      <c r="Z1224" s="1">
        <v>5346</v>
      </c>
    </row>
    <row r="1225" spans="1:26" ht="42">
      <c r="A1225" s="1" t="str">
        <f>"001184"</f>
        <v>001184</v>
      </c>
      <c r="B1225" s="1" t="s">
        <v>6567</v>
      </c>
      <c r="C1225" s="1" t="s">
        <v>6568</v>
      </c>
      <c r="D1225" s="1" t="str">
        <f>"8022763242"</f>
        <v>8022763242</v>
      </c>
      <c r="E1225" s="1">
        <v>5294</v>
      </c>
      <c r="F1225" s="1" t="s">
        <v>28</v>
      </c>
      <c r="G1225" s="1" t="s">
        <v>6569</v>
      </c>
      <c r="H1225" s="1"/>
      <c r="I1225" s="1">
        <v>2</v>
      </c>
      <c r="J1225" s="1" t="s">
        <v>6570</v>
      </c>
      <c r="K1225" s="1" t="s">
        <v>68</v>
      </c>
      <c r="L1225" s="1" t="s">
        <v>2265</v>
      </c>
      <c r="M1225" s="1" t="s">
        <v>6571</v>
      </c>
      <c r="N1225" s="2">
        <v>43271</v>
      </c>
      <c r="O1225" s="1"/>
      <c r="P1225" s="1"/>
      <c r="Q1225" s="1" t="s">
        <v>34</v>
      </c>
      <c r="R1225" s="1"/>
      <c r="S1225" s="1" t="s">
        <v>35</v>
      </c>
      <c r="T1225" s="1"/>
      <c r="U1225" s="1"/>
      <c r="V1225" s="1" t="s">
        <v>6572</v>
      </c>
      <c r="W1225" s="1"/>
      <c r="X1225" s="1" t="s">
        <v>37</v>
      </c>
      <c r="Y1225" s="1" t="s">
        <v>2268</v>
      </c>
      <c r="Z1225" s="1">
        <v>5036</v>
      </c>
    </row>
    <row r="1226" spans="1:26" ht="42">
      <c r="A1226" s="1" t="str">
        <f>"00118A"</f>
        <v>00118A</v>
      </c>
      <c r="B1226" s="1" t="s">
        <v>6573</v>
      </c>
      <c r="C1226" s="1" t="s">
        <v>6574</v>
      </c>
      <c r="D1226" s="1" t="str">
        <f>"4043682453"</f>
        <v>4043682453</v>
      </c>
      <c r="E1226" s="1">
        <v>5295</v>
      </c>
      <c r="F1226" s="1" t="s">
        <v>28</v>
      </c>
      <c r="G1226" s="1" t="s">
        <v>6575</v>
      </c>
      <c r="H1226" s="1"/>
      <c r="I1226" s="1">
        <v>2</v>
      </c>
      <c r="J1226" s="1" t="s">
        <v>6576</v>
      </c>
      <c r="K1226" s="1" t="s">
        <v>43</v>
      </c>
      <c r="L1226" s="1" t="s">
        <v>364</v>
      </c>
      <c r="M1226" s="1" t="s">
        <v>6577</v>
      </c>
      <c r="N1226" s="2">
        <v>43272</v>
      </c>
      <c r="O1226" s="1"/>
      <c r="P1226" s="1"/>
      <c r="Q1226" s="1" t="s">
        <v>34</v>
      </c>
      <c r="R1226" s="1"/>
      <c r="S1226" s="1" t="s">
        <v>35</v>
      </c>
      <c r="T1226" s="1"/>
      <c r="U1226" s="1"/>
      <c r="V1226" s="1" t="s">
        <v>6578</v>
      </c>
      <c r="W1226" s="1"/>
      <c r="X1226" s="1" t="s">
        <v>37</v>
      </c>
      <c r="Y1226" s="1" t="s">
        <v>367</v>
      </c>
      <c r="Z1226" s="1">
        <v>5465</v>
      </c>
    </row>
    <row r="1227" spans="1:26" ht="42">
      <c r="A1227" s="1" t="str">
        <f>"00118F"</f>
        <v>00118F</v>
      </c>
      <c r="B1227" s="1" t="s">
        <v>6579</v>
      </c>
      <c r="C1227" s="1" t="s">
        <v>6580</v>
      </c>
      <c r="D1227" s="1" t="str">
        <f>"8022592864"</f>
        <v>8022592864</v>
      </c>
      <c r="E1227" s="1">
        <v>5296</v>
      </c>
      <c r="F1227" s="1" t="s">
        <v>28</v>
      </c>
      <c r="G1227" s="1" t="s">
        <v>6581</v>
      </c>
      <c r="H1227" s="1"/>
      <c r="I1227" s="1">
        <v>2</v>
      </c>
      <c r="J1227" s="1" t="s">
        <v>6582</v>
      </c>
      <c r="K1227" s="1" t="s">
        <v>77</v>
      </c>
      <c r="L1227" s="1" t="s">
        <v>6583</v>
      </c>
      <c r="M1227" s="1" t="s">
        <v>6584</v>
      </c>
      <c r="N1227" s="2">
        <v>43273</v>
      </c>
      <c r="O1227" s="1"/>
      <c r="P1227" s="1"/>
      <c r="Q1227" s="1" t="s">
        <v>34</v>
      </c>
      <c r="R1227" s="1"/>
      <c r="S1227" s="1" t="s">
        <v>35</v>
      </c>
      <c r="T1227" s="1">
        <v>43.356345599999997</v>
      </c>
      <c r="U1227" s="1">
        <v>-72.570385499999901</v>
      </c>
      <c r="V1227" s="1" t="s">
        <v>6585</v>
      </c>
      <c r="W1227" s="1"/>
      <c r="X1227" s="1" t="s">
        <v>37</v>
      </c>
      <c r="Y1227" s="1" t="s">
        <v>4852</v>
      </c>
      <c r="Z1227" s="1">
        <v>5143</v>
      </c>
    </row>
    <row r="1228" spans="1:26">
      <c r="I1228">
        <f>SUM(I2:I1227)</f>
        <v>12271</v>
      </c>
    </row>
  </sheetData>
  <sortState ref="A2:Z1228">
    <sortCondition ref="F2:F122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(14)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Tremblay, David</dc:creator>
  <cp:lastModifiedBy>Samantha</cp:lastModifiedBy>
  <dcterms:created xsi:type="dcterms:W3CDTF">2018-06-22T19:52:38Z</dcterms:created>
  <dcterms:modified xsi:type="dcterms:W3CDTF">2018-07-17T19:35:23Z</dcterms:modified>
</cp:coreProperties>
</file>