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<sst xmlns="http://schemas.openxmlformats.org/spreadsheetml/2006/main" count="48168" uniqueCount="15662">
  <si>
    <t>PaPlantsID</t>
  </si>
  <si>
    <t>AccountName</t>
  </si>
  <si>
    <t>AccountAddress</t>
  </si>
  <si>
    <t>Phone</t>
  </si>
  <si>
    <t>BeekeeperID</t>
  </si>
  <si>
    <t>BeeKeeperStatus</t>
  </si>
  <si>
    <t>LocationID</t>
  </si>
  <si>
    <t>ColonyCount</t>
  </si>
  <si>
    <t>AnnualColonyLoss</t>
  </si>
  <si>
    <t>WinterColonyLoss</t>
  </si>
  <si>
    <t>FallMiteCount</t>
  </si>
  <si>
    <t>MiteNotes</t>
  </si>
  <si>
    <t>LocationName</t>
  </si>
  <si>
    <t>CountyName</t>
  </si>
  <si>
    <t>TownshipName</t>
  </si>
  <si>
    <t>OwnerName</t>
  </si>
  <si>
    <t>EffectiveStartDate</t>
  </si>
  <si>
    <t>EffectiveEndDate</t>
  </si>
  <si>
    <t>LastInspectionDate</t>
  </si>
  <si>
    <t>YardType</t>
  </si>
  <si>
    <t>Orientation</t>
  </si>
  <si>
    <t>MixInd</t>
  </si>
  <si>
    <t>Latitude</t>
  </si>
  <si>
    <t>Longtitude</t>
  </si>
  <si>
    <t>Address1</t>
  </si>
  <si>
    <t>Address2</t>
  </si>
  <si>
    <t>StateCode</t>
  </si>
  <si>
    <t>City</t>
  </si>
  <si>
    <t>ZipCode</t>
  </si>
  <si>
    <t>Barcelow, Jerry</t>
  </si>
  <si>
    <t>71 OXBOW ROAD SOUTH ROYALTON VT 05068</t>
  </si>
  <si>
    <t>Delinquent</t>
  </si>
  <si>
    <t>0008QN-1</t>
  </si>
  <si>
    <t>Home Yard</t>
  </si>
  <si>
    <t>Windsor</t>
  </si>
  <si>
    <t>Royalton Town</t>
  </si>
  <si>
    <t>(Same)</t>
  </si>
  <si>
    <t>Permanent</t>
  </si>
  <si>
    <t>N</t>
  </si>
  <si>
    <t>71 Oxbow Road</t>
  </si>
  <si>
    <t>VT</t>
  </si>
  <si>
    <t>South Royalton</t>
  </si>
  <si>
    <t>Wagner, Christopher</t>
  </si>
  <si>
    <t>RD 1 BOX 2185 ENOSBURG FALLS VT 05450</t>
  </si>
  <si>
    <t>Closed</t>
  </si>
  <si>
    <t>0008J3-1</t>
  </si>
  <si>
    <t>0.25M N of Dairy</t>
  </si>
  <si>
    <t>Franklin</t>
  </si>
  <si>
    <t>Enosburg Town</t>
  </si>
  <si>
    <t>Unknown</t>
  </si>
  <si>
    <t>Enosburg</t>
  </si>
  <si>
    <t>0008J3-2</t>
  </si>
  <si>
    <t>J.J. Dairy Towle Neighberhood Rd by pit</t>
  </si>
  <si>
    <t>Vermont Beekeeping Supply Co.</t>
  </si>
  <si>
    <t>68 MEADOW LANE UNDERHILL VT 05489-9232 - CHITTENDEN</t>
  </si>
  <si>
    <t>0007YJ-1</t>
  </si>
  <si>
    <t>Tardie Yard</t>
  </si>
  <si>
    <t>Chittenden</t>
  </si>
  <si>
    <t>Underhill Town</t>
  </si>
  <si>
    <t>John Tardie</t>
  </si>
  <si>
    <t>68 Meadow Lane</t>
  </si>
  <si>
    <t>Underhill</t>
  </si>
  <si>
    <t>Fontaine, Dan</t>
  </si>
  <si>
    <t>PO BOX 257 TOWNSHEND VT 05353 - WINDHAM</t>
  </si>
  <si>
    <t>0007D8-1</t>
  </si>
  <si>
    <t>Tarbell Yard - E. Hill Road</t>
  </si>
  <si>
    <t>Windham</t>
  </si>
  <si>
    <t>Townshend Town</t>
  </si>
  <si>
    <t>Townshend</t>
  </si>
  <si>
    <t>Peterson, Mary</t>
  </si>
  <si>
    <t>465 HAMILTON ROAD BRATTLEBORO VT 05301 - WINDHAM</t>
  </si>
  <si>
    <t>0008MJ-1</t>
  </si>
  <si>
    <t>Home</t>
  </si>
  <si>
    <t>Marlboro Town</t>
  </si>
  <si>
    <t>Marlboro</t>
  </si>
  <si>
    <t>Kamimski, Rick</t>
  </si>
  <si>
    <t>2096 SUGAR HOLLOW ROAD PITTSFORD VT 05763 - RUTLAND</t>
  </si>
  <si>
    <t>0008MH-1</t>
  </si>
  <si>
    <t>Rutland</t>
  </si>
  <si>
    <t>Pittsford Town</t>
  </si>
  <si>
    <t>Pittsford</t>
  </si>
  <si>
    <t>Ostler, George H.</t>
  </si>
  <si>
    <t>RR 1 BOX 387D SHARON VT 05065 - WINDSOR</t>
  </si>
  <si>
    <t>0008MG-1</t>
  </si>
  <si>
    <t>Outyard - son's? (George J. Ostler)</t>
  </si>
  <si>
    <t>Hartland Town</t>
  </si>
  <si>
    <t>Hartland</t>
  </si>
  <si>
    <t>0008MG-2</t>
  </si>
  <si>
    <t>Sharon Town</t>
  </si>
  <si>
    <t>Sharon</t>
  </si>
  <si>
    <t>Laliberte, Karen</t>
  </si>
  <si>
    <t>7 BRIAN DRIVE LONDONDERRY NH 03053</t>
  </si>
  <si>
    <t>0008MF-1</t>
  </si>
  <si>
    <t>Summer home</t>
  </si>
  <si>
    <t>Orleans</t>
  </si>
  <si>
    <t>Westfield Town</t>
  </si>
  <si>
    <t>Westfield</t>
  </si>
  <si>
    <t>Pipes, Dan</t>
  </si>
  <si>
    <t>1060 BARRY ROAD FAIRFIELD VT 05455 - FRANKLIN</t>
  </si>
  <si>
    <t>0008MD-1</t>
  </si>
  <si>
    <t>Fairfield Town</t>
  </si>
  <si>
    <t>1060 Barry Hill Road</t>
  </si>
  <si>
    <t>Fairfield</t>
  </si>
  <si>
    <t>North Country Bees</t>
  </si>
  <si>
    <t>122 ADAMS SCHOOL ROAD GRAND ISLE VT 05458 - GRAND ISLE</t>
  </si>
  <si>
    <t>0008MC-1</t>
  </si>
  <si>
    <t>Grenon land</t>
  </si>
  <si>
    <t>Grand Isle</t>
  </si>
  <si>
    <t>Grand Isle Town</t>
  </si>
  <si>
    <t>Basin Farm</t>
  </si>
  <si>
    <t>175 BASIN FARM ROAD BELLOWS FALLS VT 05101</t>
  </si>
  <si>
    <t>0008M8-1</t>
  </si>
  <si>
    <t>BasinFm</t>
  </si>
  <si>
    <t>Westminster Town</t>
  </si>
  <si>
    <t>Westminster</t>
  </si>
  <si>
    <t>Moore, Jim</t>
  </si>
  <si>
    <t>51 EDEN AVENUE PROCTOR VT 05765 - RUTLAND</t>
  </si>
  <si>
    <t>Active</t>
  </si>
  <si>
    <t>0008M7-1</t>
  </si>
  <si>
    <t>NA</t>
  </si>
  <si>
    <t>Moore-Home</t>
  </si>
  <si>
    <t>Proctor Town</t>
  </si>
  <si>
    <t>Jim Moore</t>
  </si>
  <si>
    <t>51 Eden AVenue</t>
  </si>
  <si>
    <t>Proctor</t>
  </si>
  <si>
    <t>Faeth, Frederick</t>
  </si>
  <si>
    <t>DANVILLE ROAD ST JOHNSBURY VT 05819</t>
  </si>
  <si>
    <t>0008M6-1</t>
  </si>
  <si>
    <t>Caledonia</t>
  </si>
  <si>
    <t>Danville Town</t>
  </si>
  <si>
    <t>Danville</t>
  </si>
  <si>
    <t>Matheson, Robert</t>
  </si>
  <si>
    <t>542 RT 12 BERLIN VT 05602 - WASHINGTON</t>
  </si>
  <si>
    <t>0007QP-1</t>
  </si>
  <si>
    <t>Camp</t>
  </si>
  <si>
    <t>Washington</t>
  </si>
  <si>
    <t>Northfield Town</t>
  </si>
  <si>
    <t>Northfield</t>
  </si>
  <si>
    <t>Mccosker, Phebe</t>
  </si>
  <si>
    <t>268 HOUGHTON HILL ROAD THETFORD VT 05074-0066 - ORANGE</t>
  </si>
  <si>
    <t>0008M4-1</t>
  </si>
  <si>
    <t>McCosker-Home Yard</t>
  </si>
  <si>
    <t>Orange</t>
  </si>
  <si>
    <t>Thetford Town</t>
  </si>
  <si>
    <t>Phebe McCosker</t>
  </si>
  <si>
    <t>268 Houghton Hill Road</t>
  </si>
  <si>
    <t>Thetford</t>
  </si>
  <si>
    <t>Smith, Lisa</t>
  </si>
  <si>
    <t>RR2 BOX 820 WHITTIER ROAD BETHEL VT 05032 - WINDSOR</t>
  </si>
  <si>
    <t>0008M2-1</t>
  </si>
  <si>
    <t>Bethel Town</t>
  </si>
  <si>
    <t>Bethel</t>
  </si>
  <si>
    <t>Leclair, Gilbert M.</t>
  </si>
  <si>
    <t>RR2 BOX 3660 WESTFORD VT 05494 - CHITTENDEN</t>
  </si>
  <si>
    <t>0008M3-1</t>
  </si>
  <si>
    <t>Westford Town</t>
  </si>
  <si>
    <t>Westford</t>
  </si>
  <si>
    <t>Singing Cedars Apiaries</t>
  </si>
  <si>
    <t>77 SINGING CEDARS ROAD ORWELL VT 05760 - ADDISON</t>
  </si>
  <si>
    <t>00072K-1</t>
  </si>
  <si>
    <t>Gill Yard</t>
  </si>
  <si>
    <t>Addison</t>
  </si>
  <si>
    <t>Cornwall Town</t>
  </si>
  <si>
    <t>Gill</t>
  </si>
  <si>
    <t>Migratory</t>
  </si>
  <si>
    <t>Bingham Street</t>
  </si>
  <si>
    <t>Cornwall</t>
  </si>
  <si>
    <t>00072K-2</t>
  </si>
  <si>
    <t>Bingham Yard</t>
  </si>
  <si>
    <t>North Bingham</t>
  </si>
  <si>
    <t>N. Bingham Street</t>
  </si>
  <si>
    <t>Vermont Beekeepers Association</t>
  </si>
  <si>
    <t>PO BOX 764 BURLINGTON VT 05402-0764 - CHITTENDEN</t>
  </si>
  <si>
    <t>0008DG-1</t>
  </si>
  <si>
    <t>Intervale Road</t>
  </si>
  <si>
    <t>Burlington City</t>
  </si>
  <si>
    <t>Burlington</t>
  </si>
  <si>
    <t>Miles, John</t>
  </si>
  <si>
    <t>RFD 1 BOX 2448 2509 SHAKER MOUNTAINRD STARKSBORO VT 05487 - ADDISON</t>
  </si>
  <si>
    <t>0007J4-1</t>
  </si>
  <si>
    <t>Starksboro Town</t>
  </si>
  <si>
    <t>Starksboro</t>
  </si>
  <si>
    <t>Stearns, Gary</t>
  </si>
  <si>
    <t>326 FIDDLEHEAD ROAD VERGENNES VT 05491-9683 - ADDISON</t>
  </si>
  <si>
    <t>0007NJ-1</t>
  </si>
  <si>
    <t>New Haven Town</t>
  </si>
  <si>
    <t>New Haven</t>
  </si>
  <si>
    <t>Mckain, Walter</t>
  </si>
  <si>
    <t>98 MCKAIN ROAD NORTHFIELD VT 05663 - WASHINGTON</t>
  </si>
  <si>
    <t>0007J6-1</t>
  </si>
  <si>
    <t>98 McKain Road</t>
  </si>
  <si>
    <t>Mcgandy, Margaret</t>
  </si>
  <si>
    <t>2072 OLD SILO ROAD ST JOHNSBURY VT 05819</t>
  </si>
  <si>
    <t>0007NH-1</t>
  </si>
  <si>
    <t>Barnet Town</t>
  </si>
  <si>
    <t>2072 Old Silo Road</t>
  </si>
  <si>
    <t>St. Johnsbury</t>
  </si>
  <si>
    <t>Montgomery, Margart</t>
  </si>
  <si>
    <t>BOX 2191 TEXAS HILL ROAD HINESBURG VT 05461 - CHITTENDEN</t>
  </si>
  <si>
    <t>0008CC-1</t>
  </si>
  <si>
    <t>Off Rt 2</t>
  </si>
  <si>
    <t>Richmond Town</t>
  </si>
  <si>
    <t>Richmond</t>
  </si>
  <si>
    <t>0008CC-2</t>
  </si>
  <si>
    <t>Hinesburg Town</t>
  </si>
  <si>
    <t>Hinesburg</t>
  </si>
  <si>
    <t>Banak, Marty</t>
  </si>
  <si>
    <t>390 CLAY HILL ROAD HARTLAND VT 05048 - WINDSOR</t>
  </si>
  <si>
    <t>0008QM-1</t>
  </si>
  <si>
    <t>390 Clay Hill Road</t>
  </si>
  <si>
    <t>Tymon, Sheila</t>
  </si>
  <si>
    <t>201 PARK STREET MORRISVILLE VT 05661</t>
  </si>
  <si>
    <t>0007Q0-1</t>
  </si>
  <si>
    <t>Lamoille</t>
  </si>
  <si>
    <t>Morristown Town</t>
  </si>
  <si>
    <t>Sheila Tymon</t>
  </si>
  <si>
    <t>201 Park Street</t>
  </si>
  <si>
    <t>Morristown</t>
  </si>
  <si>
    <t>Pinehurst Bee Supplies</t>
  </si>
  <si>
    <t>BOX 247 WEST TOPSHAM VT 05086</t>
  </si>
  <si>
    <t>0008B5-1</t>
  </si>
  <si>
    <t>Taplin Hill yard</t>
  </si>
  <si>
    <t>Corinth Town</t>
  </si>
  <si>
    <t>Corinth</t>
  </si>
  <si>
    <t>Tucker, Orville</t>
  </si>
  <si>
    <t>RFD 1 BOX 136 WRIGHTS MOUNTAIN ROAD EAST CORINTH VT 05040</t>
  </si>
  <si>
    <t>0007GC-1</t>
  </si>
  <si>
    <t>Bradford Town</t>
  </si>
  <si>
    <t>Bradford</t>
  </si>
  <si>
    <t>Karp, Josh</t>
  </si>
  <si>
    <t>697 SHADOW LAKE ROAD CRAFTSBURY COMMON VT 05827</t>
  </si>
  <si>
    <t>0008KZ-1</t>
  </si>
  <si>
    <t>Greensboro Town</t>
  </si>
  <si>
    <t>697 Shadow Lake Road</t>
  </si>
  <si>
    <t>Craftsbury Common</t>
  </si>
  <si>
    <t>Rubin, Deborah</t>
  </si>
  <si>
    <t>497 S WILLARD ST BURLINGTON VT 05401 - CHITTENDEN</t>
  </si>
  <si>
    <t>0007FB-1</t>
  </si>
  <si>
    <t>Shelburne Town</t>
  </si>
  <si>
    <t>Shelburne</t>
  </si>
  <si>
    <t>Maclay, Roderick</t>
  </si>
  <si>
    <t>BOX 28 SOUTH STRAFFORD VT 05070</t>
  </si>
  <si>
    <t>0008AQ-1</t>
  </si>
  <si>
    <t>Strafford Town</t>
  </si>
  <si>
    <t>Rod Maclay</t>
  </si>
  <si>
    <t>264 Route 132</t>
  </si>
  <si>
    <t>Strafford</t>
  </si>
  <si>
    <t>Parent, Tim</t>
  </si>
  <si>
    <t>RFD BOX 300 SMOKY HOUSE PROJECT DANBY VT 05739 - RUTLAND</t>
  </si>
  <si>
    <t>0008KY-1</t>
  </si>
  <si>
    <t>Smoky House Project</t>
  </si>
  <si>
    <t>Danby Town</t>
  </si>
  <si>
    <t>Danby</t>
  </si>
  <si>
    <t>Minor, Dale E.</t>
  </si>
  <si>
    <t>209 ROUTE 7 NORTH MILTON VT 05468-9069 - CHITTENDEN</t>
  </si>
  <si>
    <t>0008KX-1</t>
  </si>
  <si>
    <t>Milton Town</t>
  </si>
  <si>
    <t>Milton</t>
  </si>
  <si>
    <t>Battistoni, Charles</t>
  </si>
  <si>
    <t>RR1 BOX 141C EAST CORINTH VT 05040</t>
  </si>
  <si>
    <t>0008G8-1</t>
  </si>
  <si>
    <t>Lauffer, Ferdinand</t>
  </si>
  <si>
    <t>5861 WEST BERKSHIRE ROAD ENOSBURG VT 05450 - FRANKLIN</t>
  </si>
  <si>
    <t>0008M1-1</t>
  </si>
  <si>
    <t>Berkshire Town</t>
  </si>
  <si>
    <t>F Lauffer</t>
  </si>
  <si>
    <t>5861 W Berkshire Road</t>
  </si>
  <si>
    <t>Enosburg Falls</t>
  </si>
  <si>
    <t>Smith, Edward W.</t>
  </si>
  <si>
    <t>853 SHUNPIKE ROAD MT HOLLY VT 05758</t>
  </si>
  <si>
    <t>0008KW-1</t>
  </si>
  <si>
    <t>Smith Home Yard</t>
  </si>
  <si>
    <t>Mount Holly Town</t>
  </si>
  <si>
    <t>Edward Smith</t>
  </si>
  <si>
    <t>853 Shunpike Road</t>
  </si>
  <si>
    <t>Mt. Holly</t>
  </si>
  <si>
    <t>Daut, Beth</t>
  </si>
  <si>
    <t>793 CROSSTOWN ROAD BERLIN VT 05602 - WASHINGTON</t>
  </si>
  <si>
    <t>00083X-1</t>
  </si>
  <si>
    <t>Berlin Town</t>
  </si>
  <si>
    <t>793 Crosstown Road</t>
  </si>
  <si>
    <t>Berlin</t>
  </si>
  <si>
    <t>Willy, George L.</t>
  </si>
  <si>
    <t>PO BOX 186 EAST BURKE VT 05832 - CALEDONIA</t>
  </si>
  <si>
    <t>0008KQ-1</t>
  </si>
  <si>
    <t>Behind Village Inn</t>
  </si>
  <si>
    <t>Burke Town</t>
  </si>
  <si>
    <t>Burke</t>
  </si>
  <si>
    <t>Faris, Ted</t>
  </si>
  <si>
    <t>PO BOX 124 BARNET VT 05821 - CALEDONIA</t>
  </si>
  <si>
    <t>0007WQ-1</t>
  </si>
  <si>
    <t>Barnet(pass.)</t>
  </si>
  <si>
    <t>Vezina, Armand R.</t>
  </si>
  <si>
    <t>103 ORCHARD LANE WINDSOR VT 05089 - WINDSOR</t>
  </si>
  <si>
    <t>0008KN-1</t>
  </si>
  <si>
    <t>Windsor Town</t>
  </si>
  <si>
    <t>Cronk, Donald F.</t>
  </si>
  <si>
    <t>5796 LAKE ROAD NEWPORT CENTER VT 05857-9447</t>
  </si>
  <si>
    <t>0008KM-1</t>
  </si>
  <si>
    <t>Cronk home yard</t>
  </si>
  <si>
    <t>Newport City</t>
  </si>
  <si>
    <t>Donald Cronk</t>
  </si>
  <si>
    <t>19A Lake Road</t>
  </si>
  <si>
    <t>Newport Center</t>
  </si>
  <si>
    <t>Carter, Eric</t>
  </si>
  <si>
    <t>129 LAFRANCE ROAD BRISTOL VT 05443 - ADDISON</t>
  </si>
  <si>
    <t>0008KK-1</t>
  </si>
  <si>
    <t>Bristol Town</t>
  </si>
  <si>
    <t>Bristol</t>
  </si>
  <si>
    <t>Pleasant Mount Farm</t>
  </si>
  <si>
    <t>MAIN ROAD HUNTINGTON VT 05462 - CHITTENDEN</t>
  </si>
  <si>
    <t>0008X7-1</t>
  </si>
  <si>
    <t>Hunt.Ctr.long drive passed wht barn</t>
  </si>
  <si>
    <t>Huntington Town</t>
  </si>
  <si>
    <t>Huntington</t>
  </si>
  <si>
    <t>Schurger, Jon</t>
  </si>
  <si>
    <t>898 BERKSHIRE CTR RD ENOSBURG FALLS VT 05450-5242</t>
  </si>
  <si>
    <t>0008CJ-1</t>
  </si>
  <si>
    <t>Same</t>
  </si>
  <si>
    <t>898 Berkshire Center Road</t>
  </si>
  <si>
    <t>West Berkshire</t>
  </si>
  <si>
    <t>Schwartzman, David</t>
  </si>
  <si>
    <t>601 RANDALL ROAD WOODSTOCK VT 05091 - WINDSOR</t>
  </si>
  <si>
    <t>0008KJ-1</t>
  </si>
  <si>
    <t>Woodstock Town</t>
  </si>
  <si>
    <t>601 Randall Road</t>
  </si>
  <si>
    <t>Woodstock</t>
  </si>
  <si>
    <t>Hassell, Joseph R.</t>
  </si>
  <si>
    <t>PO BOX 443 ISLAND POND VT 05846</t>
  </si>
  <si>
    <t>0008KH-1</t>
  </si>
  <si>
    <t>Eugene Sage Farm</t>
  </si>
  <si>
    <t>Essex</t>
  </si>
  <si>
    <t>Brighton Town</t>
  </si>
  <si>
    <t>Brighton</t>
  </si>
  <si>
    <t>Hurley, Phillip</t>
  </si>
  <si>
    <t>RD 2 BOX 228 LYNDONVILLE VT 05851</t>
  </si>
  <si>
    <t>0008KG-1</t>
  </si>
  <si>
    <t>Lyndon Town</t>
  </si>
  <si>
    <t>Lyndon</t>
  </si>
  <si>
    <t>Tremblay, Jacques</t>
  </si>
  <si>
    <t>58 BRIDGE ST SOUTH ROYALTON VT 05068 - WINDSOR</t>
  </si>
  <si>
    <t>0008KF-1</t>
  </si>
  <si>
    <t>Brent Duff land</t>
  </si>
  <si>
    <t>Barre Town</t>
  </si>
  <si>
    <t>0008KF-2</t>
  </si>
  <si>
    <t>Royalton</t>
  </si>
  <si>
    <t>Finn, Rosalind</t>
  </si>
  <si>
    <t>PO BOX 218 SOUTH STRAFFORD VT 05070</t>
  </si>
  <si>
    <t>0008KD-1</t>
  </si>
  <si>
    <t>30TurnpikeRd</t>
  </si>
  <si>
    <t>Rowley, James</t>
  </si>
  <si>
    <t>312 ROWLEY STREET BROOKFIELD VT 05036 - ORANGE</t>
  </si>
  <si>
    <t>0008KC-1</t>
  </si>
  <si>
    <t>Brookfield Town</t>
  </si>
  <si>
    <t>312 Rowley Street</t>
  </si>
  <si>
    <t>Brookfield</t>
  </si>
  <si>
    <t>Bradley, John</t>
  </si>
  <si>
    <t>65 ALLEN DRIVE BRAINTREE VT 05060 - ORANGE</t>
  </si>
  <si>
    <t>0008KB-1</t>
  </si>
  <si>
    <t>Braintree Town</t>
  </si>
  <si>
    <t>65 Allen Drive</t>
  </si>
  <si>
    <t>Braintree</t>
  </si>
  <si>
    <t>Steel, Anne</t>
  </si>
  <si>
    <t>495 STERLING RIDGE RD STOWE VT 05672 - LAMOILLE</t>
  </si>
  <si>
    <t>0008KA-1</t>
  </si>
  <si>
    <t>Stowe Town</t>
  </si>
  <si>
    <t>Stowe-moscow</t>
  </si>
  <si>
    <t>Whitney, Thomas</t>
  </si>
  <si>
    <t>164 TADMER ROAD WELLS VT 05774 - RUTLAND</t>
  </si>
  <si>
    <t>0008K9-1</t>
  </si>
  <si>
    <t>Whitney-Home Yard</t>
  </si>
  <si>
    <t>Wells Town</t>
  </si>
  <si>
    <t>Thomas Whitney</t>
  </si>
  <si>
    <t>164 Tadmer Road</t>
  </si>
  <si>
    <t>Wells</t>
  </si>
  <si>
    <t>Cothalis, Steve</t>
  </si>
  <si>
    <t>203 HUNT STREET FAIRFAX VT 05454 - FRANKLIN</t>
  </si>
  <si>
    <t>0008K8-1</t>
  </si>
  <si>
    <t>Fairfax Town</t>
  </si>
  <si>
    <t>Greace and Steve Cothalis</t>
  </si>
  <si>
    <t>203 Hunt Street</t>
  </si>
  <si>
    <t>Fairfax</t>
  </si>
  <si>
    <t>Dunbar, Glen H.</t>
  </si>
  <si>
    <t>GREENSBORO BEND VT 05842</t>
  </si>
  <si>
    <t>0008K7-1</t>
  </si>
  <si>
    <t>Greensboro</t>
  </si>
  <si>
    <t>Flying Bear Farm</t>
  </si>
  <si>
    <t>134 NEWFANE HILL ROAD NEWFANE VT 05345 - WINDHAM</t>
  </si>
  <si>
    <t>000820-1</t>
  </si>
  <si>
    <t>Newfane Town</t>
  </si>
  <si>
    <t>Newfane</t>
  </si>
  <si>
    <t>Finkbeiner, Alan W.</t>
  </si>
  <si>
    <t>RR 1 BOX 672 SILVER STREET HINESBURG VT 05461 - CHITTENDEN</t>
  </si>
  <si>
    <t>0008K5-1</t>
  </si>
  <si>
    <t>Monkton Town</t>
  </si>
  <si>
    <t>Monkton</t>
  </si>
  <si>
    <t>Hanlon, John F.</t>
  </si>
  <si>
    <t>RR 1 BOX 39R WEST TOPSHAM VT 05086</t>
  </si>
  <si>
    <t>0008K3-1</t>
  </si>
  <si>
    <t>RT 25</t>
  </si>
  <si>
    <t>Topsham Town</t>
  </si>
  <si>
    <t>Topsham</t>
  </si>
  <si>
    <t>Strong, George</t>
  </si>
  <si>
    <t>JUNZETTA COURT MILTON VT 05468 - CHITTENDEN</t>
  </si>
  <si>
    <t>0008MP-1</t>
  </si>
  <si>
    <t>Carroll, Dave</t>
  </si>
  <si>
    <t>PO BOX 242 CABOT VT 05647 - WASHINGTON</t>
  </si>
  <si>
    <t>000853-1</t>
  </si>
  <si>
    <t>73 Danville Hill Rd</t>
  </si>
  <si>
    <t>Cabot Town</t>
  </si>
  <si>
    <t>Cabot</t>
  </si>
  <si>
    <t>Chinn, Austin</t>
  </si>
  <si>
    <t>104 KIRBY HOLLOW ROAD DORSET VT 05251 - BENNINGTON</t>
  </si>
  <si>
    <t>0007VV-1</t>
  </si>
  <si>
    <t>Bennington</t>
  </si>
  <si>
    <t>Dorset Town</t>
  </si>
  <si>
    <t>Dorset</t>
  </si>
  <si>
    <t>Chestnut-tangerm, Robin</t>
  </si>
  <si>
    <t>72 SUNDOG LANE MIDDLETOWN SPRINGS VT 05757 - RUTLAND</t>
  </si>
  <si>
    <t>000823-1</t>
  </si>
  <si>
    <t>Middletown Springs Town</t>
  </si>
  <si>
    <t>Middletown Spg</t>
  </si>
  <si>
    <t>Stony Point Apiaries</t>
  </si>
  <si>
    <t>PO BOX 165 BENSON VT 05731 - RUTLAND</t>
  </si>
  <si>
    <t>0008K2-1</t>
  </si>
  <si>
    <t>Home yard</t>
  </si>
  <si>
    <t>Benson Town</t>
  </si>
  <si>
    <t>Benson</t>
  </si>
  <si>
    <t>Henderson, D. Michael</t>
  </si>
  <si>
    <t>RD 1 BOX 7150 UNDERHILL VT 05489 - CHITTENDEN</t>
  </si>
  <si>
    <t>0008K1-1</t>
  </si>
  <si>
    <t>Corey, Gladys</t>
  </si>
  <si>
    <t>RFD 1 BOX 2390 PAWLET VT 05761 - RUTLAND</t>
  </si>
  <si>
    <t>0008K0-1</t>
  </si>
  <si>
    <t>Pawlet Town</t>
  </si>
  <si>
    <t>Pawlet</t>
  </si>
  <si>
    <t>Mulconnery, William</t>
  </si>
  <si>
    <t>C/O WEATHERTOP LODGE RD 1 BOX 151 WAITSFIELD VT 05673 - WASHINGTON</t>
  </si>
  <si>
    <t>0008JZ-1</t>
  </si>
  <si>
    <t>At lodge</t>
  </si>
  <si>
    <t>Waitsfield Town</t>
  </si>
  <si>
    <t>Waitsfield</t>
  </si>
  <si>
    <t>Capaldi, Charles</t>
  </si>
  <si>
    <t>3885 HINMAN SETTLER RD NEWPORT VT 05855</t>
  </si>
  <si>
    <t>0007G0-1</t>
  </si>
  <si>
    <t>Olden Yard</t>
  </si>
  <si>
    <t>Morgan Town</t>
  </si>
  <si>
    <t>Morgan</t>
  </si>
  <si>
    <t>Castor, Darwin A.</t>
  </si>
  <si>
    <t>RR3 BOX 86 PLYMOUTH NH 03264</t>
  </si>
  <si>
    <t>0008JX-1</t>
  </si>
  <si>
    <t>William Sharp(775-4923)Quarter Line Rd</t>
  </si>
  <si>
    <t>Rutland Town</t>
  </si>
  <si>
    <t>Pixley, Robert</t>
  </si>
  <si>
    <t>RR1 BOX 41 WHITEVILLE ROAD CAVENDISH VT 05142 - WINDSOR</t>
  </si>
  <si>
    <t>0008JW-1</t>
  </si>
  <si>
    <t>Home .2M N on Whiteville Rd off Rt131</t>
  </si>
  <si>
    <t>Cavendish Town</t>
  </si>
  <si>
    <t>Cavendish</t>
  </si>
  <si>
    <t>Montshire Museum</t>
  </si>
  <si>
    <t>ONE MONTSHIRE ROAD NORWICH VT 05055 - WINDSOR</t>
  </si>
  <si>
    <t>0008JV-1</t>
  </si>
  <si>
    <t>At museum</t>
  </si>
  <si>
    <t>Norwich Town</t>
  </si>
  <si>
    <t>Montshire Museum of Science</t>
  </si>
  <si>
    <t>Montshire Road</t>
  </si>
  <si>
    <t>Norwich</t>
  </si>
  <si>
    <t>Hudy, Stephen</t>
  </si>
  <si>
    <t>1130 RIVER ROAD WELLS VT 05774 - RUTLAND</t>
  </si>
  <si>
    <t>0008JQ-1</t>
  </si>
  <si>
    <t>Homenear XRt 153&amp;Rt30</t>
  </si>
  <si>
    <t>Crompton</t>
  </si>
  <si>
    <t>SOUNTH RANDOLPH ROAD RANDOLPH CENTER VT 05061</t>
  </si>
  <si>
    <t>0008JP-1</t>
  </si>
  <si>
    <t>Randolph Town</t>
  </si>
  <si>
    <t>Randolph</t>
  </si>
  <si>
    <t>Jessup, Ben</t>
  </si>
  <si>
    <t>2005 BULL RUN ROAD NORTHFIELD VT 05663 - WASHINGTON</t>
  </si>
  <si>
    <t>0008JN-1</t>
  </si>
  <si>
    <t>Beguin, Rebecca</t>
  </si>
  <si>
    <t>RR1 BOX 79 BROADBROOK MOUNTAIN FM ROYALTON VT 05055 - WINDSOR</t>
  </si>
  <si>
    <t>0008JM-1</t>
  </si>
  <si>
    <t>Broadbrook Mnt Fm1.5M up Johnson Hill Rd</t>
  </si>
  <si>
    <t>Limoges, Art</t>
  </si>
  <si>
    <t>RR2 BOX 259A NORTH TROY VT 05859</t>
  </si>
  <si>
    <t>00081Z-1</t>
  </si>
  <si>
    <t>Roger Tetreault land</t>
  </si>
  <si>
    <t>00081Z-2</t>
  </si>
  <si>
    <t>Richard Morrissette land</t>
  </si>
  <si>
    <t>Troy Town</t>
  </si>
  <si>
    <t>Troy</t>
  </si>
  <si>
    <t>Gray, Eleanor Y.</t>
  </si>
  <si>
    <t>BOX 125 BURKE GREEN ROAD EAST BURKE VT 05832</t>
  </si>
  <si>
    <t>0008JK-1</t>
  </si>
  <si>
    <t>Gregoire, Paul</t>
  </si>
  <si>
    <t>323 KING ROAD RICHFORD VT 05476 - FRANKLIN</t>
  </si>
  <si>
    <t>0008JJ-1</t>
  </si>
  <si>
    <t>323 King Road</t>
  </si>
  <si>
    <t>Berkshire</t>
  </si>
  <si>
    <t>Gitlin, Mara</t>
  </si>
  <si>
    <t>187 LOOMIS STAPT1 BURLINGTON VT 05401 - CHITTENDEN</t>
  </si>
  <si>
    <t>0008AX-1</t>
  </si>
  <si>
    <t>UVM-in field across from Mares yard</t>
  </si>
  <si>
    <t>South Burlington City</t>
  </si>
  <si>
    <t>So. Burlington</t>
  </si>
  <si>
    <t>Kolvoord, Phil</t>
  </si>
  <si>
    <t>15 UPPER MAIN STREET ESSEX JUNCTION VT 05452</t>
  </si>
  <si>
    <t>0008J0-1</t>
  </si>
  <si>
    <t>Home Rt. 15 on RT wagon wheels by drive</t>
  </si>
  <si>
    <t>Essex Town</t>
  </si>
  <si>
    <t>Willis, William</t>
  </si>
  <si>
    <t>PO BOX 213 ALBANY VT 05820 - ORLEANS</t>
  </si>
  <si>
    <t>0008HZ-1</t>
  </si>
  <si>
    <t>Albany Town</t>
  </si>
  <si>
    <t>Albany</t>
  </si>
  <si>
    <t>Bryce, Wallace</t>
  </si>
  <si>
    <t>RFD4 BOX 195 W BRATTLEBORO VT 05301</t>
  </si>
  <si>
    <t>0008HY-1</t>
  </si>
  <si>
    <t>Gladstone, Walt</t>
  </si>
  <si>
    <t>161 MALLARY ROAD BRADFORD VT 05033-8912 - ORANGE</t>
  </si>
  <si>
    <t>00082D-1</t>
  </si>
  <si>
    <t>Nof town</t>
  </si>
  <si>
    <t>Lund, George</t>
  </si>
  <si>
    <t>1839 E LYNDON ROAD LYNDON VT 05851 - CALEDONIA</t>
  </si>
  <si>
    <t>0008MX-1</t>
  </si>
  <si>
    <t>Kirby Town</t>
  </si>
  <si>
    <t>Kirby</t>
  </si>
  <si>
    <t>Brigham, Dick</t>
  </si>
  <si>
    <t>262 SHUNPIKE ROAD CUTTINGSVILLE VT 05738 - UNKNOWN</t>
  </si>
  <si>
    <t>00070D-1</t>
  </si>
  <si>
    <t>E. Creek Yard</t>
  </si>
  <si>
    <t>Orwell Town</t>
  </si>
  <si>
    <t>Orwell</t>
  </si>
  <si>
    <t>00070D-2</t>
  </si>
  <si>
    <t>Burdock Hill Yard</t>
  </si>
  <si>
    <t>Mount Independence Road</t>
  </si>
  <si>
    <t>Gray, Robert H</t>
  </si>
  <si>
    <t>306 DOE HILL RD NEWBURY VT 05051 - ORANGE</t>
  </si>
  <si>
    <t>00086K-1</t>
  </si>
  <si>
    <t>Edge of field</t>
  </si>
  <si>
    <t>Newbury Town</t>
  </si>
  <si>
    <t>Newbury</t>
  </si>
  <si>
    <t>Cook, Molly</t>
  </si>
  <si>
    <t>2111 RT 30 TOWNSHEND VT 05343 - WINDHAM</t>
  </si>
  <si>
    <t>000714-1</t>
  </si>
  <si>
    <t>Holliday, Jenny</t>
  </si>
  <si>
    <t>2053 SILVER STREET HINESBURG VT 05461 - CHITTENDEN</t>
  </si>
  <si>
    <t>0008DJ-1</t>
  </si>
  <si>
    <t>Stehouwer, Jim</t>
  </si>
  <si>
    <t>RT 1 BOX 364 WOODSTOCK VT 05091 - WINDSOR</t>
  </si>
  <si>
    <t>0007XG-1</t>
  </si>
  <si>
    <t>Barnard Town</t>
  </si>
  <si>
    <t>Barnard</t>
  </si>
  <si>
    <t>Audy, Linda B.</t>
  </si>
  <si>
    <t>RT 15 MORRISTOWN VT 05661 - LAMOILLE</t>
  </si>
  <si>
    <t>0008HJ-1</t>
  </si>
  <si>
    <t>Countryside Motors, Inc.</t>
  </si>
  <si>
    <t>538 ROOSEVELT HWY ROUTE 7 COLCHESTER VT 05446 - CHITTENDEN</t>
  </si>
  <si>
    <t>0008DW-1</t>
  </si>
  <si>
    <t>Colchester Town</t>
  </si>
  <si>
    <t>Colchester</t>
  </si>
  <si>
    <t>Farley, Peter</t>
  </si>
  <si>
    <t>186 LACROSS ROAD SPRINGFIELD VT 05156 - WINDSOR</t>
  </si>
  <si>
    <t>000775-1</t>
  </si>
  <si>
    <t>Michael Farley</t>
  </si>
  <si>
    <t>Chester Town</t>
  </si>
  <si>
    <t>Chester</t>
  </si>
  <si>
    <t>Champlain Valley Bees and Queens</t>
  </si>
  <si>
    <t>PO BOX 381 MIDDLEBURY VT 05753 - ADDISON</t>
  </si>
  <si>
    <t>0007WB-1</t>
  </si>
  <si>
    <t>Stoddard Drone Yard</t>
  </si>
  <si>
    <t>Lincoln Town</t>
  </si>
  <si>
    <t>Stoddard</t>
  </si>
  <si>
    <t>Lincoln</t>
  </si>
  <si>
    <t>0007WB-2</t>
  </si>
  <si>
    <t>Dryer Yard</t>
  </si>
  <si>
    <t>Addison Town</t>
  </si>
  <si>
    <t>Dryer</t>
  </si>
  <si>
    <t>Benedict, David</t>
  </si>
  <si>
    <t>C/O 340 AVERYVILLE AVE LAKE PLACID NY 12946</t>
  </si>
  <si>
    <t>000857-1</t>
  </si>
  <si>
    <t>Land X 886 Bullock Rd</t>
  </si>
  <si>
    <t>Georgia Town</t>
  </si>
  <si>
    <t>Georgia</t>
  </si>
  <si>
    <t>0007WB-3</t>
  </si>
  <si>
    <t>DeSautel Nuc Yd.</t>
  </si>
  <si>
    <t>Bridport Town</t>
  </si>
  <si>
    <t>DeSautel</t>
  </si>
  <si>
    <t>Middle Road</t>
  </si>
  <si>
    <t>Bridport</t>
  </si>
  <si>
    <t>Kibby, Ruth</t>
  </si>
  <si>
    <t>RR4 BOX 645 PUTNEY VT 05346 - WINDHAM</t>
  </si>
  <si>
    <t>0008M9-1</t>
  </si>
  <si>
    <t>Putney Town</t>
  </si>
  <si>
    <t>Putney</t>
  </si>
  <si>
    <t>Little, John</t>
  </si>
  <si>
    <t>737 RUSHFORD VALLEY RD MONTGOMRY CENTER VT 05471-3031</t>
  </si>
  <si>
    <t>000737-1</t>
  </si>
  <si>
    <t>Little-Home</t>
  </si>
  <si>
    <t>Montgomery Town</t>
  </si>
  <si>
    <t>John Little</t>
  </si>
  <si>
    <t>737 Rushford Valley Road</t>
  </si>
  <si>
    <t>Montgomery</t>
  </si>
  <si>
    <t>Salas, Pedro</t>
  </si>
  <si>
    <t>258 BIG HOLLOW ROAD STARKSBORO VT 05487 - ADDISON</t>
  </si>
  <si>
    <t>000941-1</t>
  </si>
  <si>
    <t>Pedro Salas</t>
  </si>
  <si>
    <t>Mccue, David J.</t>
  </si>
  <si>
    <t>731 VERMONT DRIVE LYNDONVILLE VT 05851</t>
  </si>
  <si>
    <t>0008HQ-1</t>
  </si>
  <si>
    <t>731 Vermont Drive</t>
  </si>
  <si>
    <t>Myer Apiaries</t>
  </si>
  <si>
    <t>148 HONEY HILL LN GRANVILLE NY 12832</t>
  </si>
  <si>
    <t>00070A-1</t>
  </si>
  <si>
    <t>Pond farm</t>
  </si>
  <si>
    <t>Poultney Town</t>
  </si>
  <si>
    <t>Poultney</t>
  </si>
  <si>
    <t>Bolio, Gary</t>
  </si>
  <si>
    <t>77 HILLTOP DRIVE CAMBRIDGE VT 05444 - LAMOILLE</t>
  </si>
  <si>
    <t>0008HM-1</t>
  </si>
  <si>
    <t>Cambridge Town</t>
  </si>
  <si>
    <t>Cambridge</t>
  </si>
  <si>
    <t>Tallman, Sonny</t>
  </si>
  <si>
    <t>RFD RT1 BOX 2869 HYDE PARK VT 05655 - LAMOILLE</t>
  </si>
  <si>
    <t>0008HK-1</t>
  </si>
  <si>
    <t>Hyde Park Town</t>
  </si>
  <si>
    <t>Hyde Park</t>
  </si>
  <si>
    <t>Sanders, Chuck</t>
  </si>
  <si>
    <t>110 TURKEY HILL ROAD NORTHFIELD VT 05663 - WASHINGTON</t>
  </si>
  <si>
    <t>00075Y-1</t>
  </si>
  <si>
    <t>Friends Camp</t>
  </si>
  <si>
    <t>Kellerman, Peter &amp; Kima</t>
  </si>
  <si>
    <t>619 NORTONTOWN ROAD ADDISON VT 05491 - ADDISON</t>
  </si>
  <si>
    <t>0008HG-1</t>
  </si>
  <si>
    <t>Bish, Stanley A.</t>
  </si>
  <si>
    <t>RD 2 BOX 539 NEWPORT VT 05855</t>
  </si>
  <si>
    <t>0008HD-1</t>
  </si>
  <si>
    <t>Newport Town</t>
  </si>
  <si>
    <t>Compare, Alan</t>
  </si>
  <si>
    <t>PO BOX 1102 QUECHEE VT 05059</t>
  </si>
  <si>
    <t>0008HC-1</t>
  </si>
  <si>
    <t>000775-2</t>
  </si>
  <si>
    <t>Springfield Town</t>
  </si>
  <si>
    <t>Springfield</t>
  </si>
  <si>
    <t>Gaiser, Betsy</t>
  </si>
  <si>
    <t>25 CLARKSVILLE ROAD TUNBRIDGE VT 05077 - ORANGE</t>
  </si>
  <si>
    <t>0008HB-1</t>
  </si>
  <si>
    <t>Home Town Rd 59</t>
  </si>
  <si>
    <t>Tunbridge Town</t>
  </si>
  <si>
    <t>25 Clarksville Road</t>
  </si>
  <si>
    <t>Tunbridge</t>
  </si>
  <si>
    <t>Sairs, Jonathan</t>
  </si>
  <si>
    <t>1005 COUNTY ROAD EAST CALAIS VT 05650-8221</t>
  </si>
  <si>
    <t>0008HA-1</t>
  </si>
  <si>
    <t>Home 4.5 M N. Maple Corner</t>
  </si>
  <si>
    <t>Woodbury Town</t>
  </si>
  <si>
    <t>Woodbury</t>
  </si>
  <si>
    <t>Fox, Alexander</t>
  </si>
  <si>
    <t>PO BOX 5 PERU VT 05152 - BENNINGTON</t>
  </si>
  <si>
    <t>0008H9-1</t>
  </si>
  <si>
    <t>Peru Town</t>
  </si>
  <si>
    <t>Peru</t>
  </si>
  <si>
    <t>Luskin, Deborah</t>
  </si>
  <si>
    <t>PO BOX 99 WILLIAMSVILLE VT 05362</t>
  </si>
  <si>
    <t>00079G-1</t>
  </si>
  <si>
    <t>Home-143GrimesHill Road</t>
  </si>
  <si>
    <t>Rogacki, Larry</t>
  </si>
  <si>
    <t>RR 1 BOX 314 G JEFFERSONVILLE VT 05464</t>
  </si>
  <si>
    <t>00081N-1</t>
  </si>
  <si>
    <t>Willard Mahoney land</t>
  </si>
  <si>
    <t>Sheldon Town</t>
  </si>
  <si>
    <t>Sheldon</t>
  </si>
  <si>
    <t>Petty, Joseph</t>
  </si>
  <si>
    <t>5508 GEORGIA SHORE RD GEORGIA VT 05478 - FRANKLIN</t>
  </si>
  <si>
    <t>0007PB-1</t>
  </si>
  <si>
    <t>Gabriel, James</t>
  </si>
  <si>
    <t>12445 BRYSON CITY ROAD BRYSON CITY NC 28713-9559</t>
  </si>
  <si>
    <t>0008P1-1</t>
  </si>
  <si>
    <t>5757 Lake Street</t>
  </si>
  <si>
    <t>Ring, John</t>
  </si>
  <si>
    <t>BOX 236 THETFORD CENTER VT 05075</t>
  </si>
  <si>
    <t>0008HX-1</t>
  </si>
  <si>
    <t>Kleespies, John P.</t>
  </si>
  <si>
    <t>1649 BRUCE BADGER MEMORIAL HIGHWAY DANVILLE VT 05828 - CALEDONIA</t>
  </si>
  <si>
    <t>0008P0-1</t>
  </si>
  <si>
    <t>1649 Bruce Badger Memorial Highway</t>
  </si>
  <si>
    <t>Hedges, Robert</t>
  </si>
  <si>
    <t>270 AUBE RIDGE ROAD HINESBURG VT 05461-9416 - CHITTENDEN</t>
  </si>
  <si>
    <t>0007YP-1</t>
  </si>
  <si>
    <t>Hedges Home yard</t>
  </si>
  <si>
    <t>Robert Hedges</t>
  </si>
  <si>
    <t>270 Aube Ridge Road</t>
  </si>
  <si>
    <t>05461-9416</t>
  </si>
  <si>
    <t>Powell, Margot</t>
  </si>
  <si>
    <t>PO BOX 95 BARNARD VT 05031 - WINDSOR</t>
  </si>
  <si>
    <t>0008H8-1</t>
  </si>
  <si>
    <t>Tobin, Peter</t>
  </si>
  <si>
    <t>131 BELLEVUE AVENUE RUTLAND VT 05701</t>
  </si>
  <si>
    <t>0008H1-1</t>
  </si>
  <si>
    <t>R. Kopsack land</t>
  </si>
  <si>
    <t>0008H1-2</t>
  </si>
  <si>
    <t>Gleason Rd</t>
  </si>
  <si>
    <t>Rutland City</t>
  </si>
  <si>
    <t>Lepper, Ozzie</t>
  </si>
  <si>
    <t>C/O WILSON HOUSE PO BOX 46 E DORSET VT 05253</t>
  </si>
  <si>
    <t>0008GZ-1</t>
  </si>
  <si>
    <t>Backyard Wilson House</t>
  </si>
  <si>
    <t>Jones, Kyle</t>
  </si>
  <si>
    <t>MARSH BILLINGS ROCKEFELLER 54 ELM ST WOODSTOCK VT 05091 - WINDSOR</t>
  </si>
  <si>
    <t>000852-1</t>
  </si>
  <si>
    <t>FatRoosterFm</t>
  </si>
  <si>
    <t>James, William</t>
  </si>
  <si>
    <t>RFD 1 BOX 1910 LINCOLN VT 05443 - ADDISON</t>
  </si>
  <si>
    <t>0008GX-1</t>
  </si>
  <si>
    <t>Davis, Timothy</t>
  </si>
  <si>
    <t>3051 VT RT 22A ADDISON VT 05491 - ADDISON</t>
  </si>
  <si>
    <t>00071C-1</t>
  </si>
  <si>
    <t>Dunn, Frederick</t>
  </si>
  <si>
    <t>512 FULLER ROAD BENNINGTON VT 05201 - BENNINGTON</t>
  </si>
  <si>
    <t>00091Y-1</t>
  </si>
  <si>
    <t>Bennington Town</t>
  </si>
  <si>
    <t>Wilusz, Joe</t>
  </si>
  <si>
    <t>614 W SHORE ROAD NORTH HERO VT 05474 - GRAND ISLE</t>
  </si>
  <si>
    <t>000701-1</t>
  </si>
  <si>
    <t>North Hero Town</t>
  </si>
  <si>
    <t>North Hero</t>
  </si>
  <si>
    <t>Miller, Forrest</t>
  </si>
  <si>
    <t>280 BICKNELL HILL ROAD TUNBRIDGE VT 05077 - ORANGE</t>
  </si>
  <si>
    <t>00089D-1</t>
  </si>
  <si>
    <t>Sumner, Sandy</t>
  </si>
  <si>
    <t>37 SUSAN TAYLOR LANE N BENNINGTON VT 05257</t>
  </si>
  <si>
    <t>00072D-1</t>
  </si>
  <si>
    <t>Ward, Jerry</t>
  </si>
  <si>
    <t>214 PENNY BROOK ROAD RANDOLPH CENTER VT 05061-4449 - ORANGE</t>
  </si>
  <si>
    <t>0007G1-1</t>
  </si>
  <si>
    <t>214 Penny Brook Road</t>
  </si>
  <si>
    <t>Randolph Center</t>
  </si>
  <si>
    <t>05061-4449</t>
  </si>
  <si>
    <t>Begin, Mark</t>
  </si>
  <si>
    <t>1464 BLACKMER BLVD STOCKBRIDGE VT 05772 - WINDSOR</t>
  </si>
  <si>
    <t>0008ZQ-1</t>
  </si>
  <si>
    <t>Lenhart Yd</t>
  </si>
  <si>
    <t>Mitchell, Bob</t>
  </si>
  <si>
    <t>PO BOX 1008 JERICHO VT 05465-1008 - CHITTENDEN</t>
  </si>
  <si>
    <t>00086D-1</t>
  </si>
  <si>
    <t>Jericho Town</t>
  </si>
  <si>
    <t>Jericho</t>
  </si>
  <si>
    <t>Williams, Benjamin</t>
  </si>
  <si>
    <t>2791 TURKEY MOUNTAIN ROAD JAMAICA VT 05343 - WINDHAM</t>
  </si>
  <si>
    <t>0008GV-1</t>
  </si>
  <si>
    <t>Williams-Home Yard</t>
  </si>
  <si>
    <t>Jamaica Town</t>
  </si>
  <si>
    <t>Ben Williams</t>
  </si>
  <si>
    <t>2791 Turkey Mt Road</t>
  </si>
  <si>
    <t>Jamaica</t>
  </si>
  <si>
    <t>Farnham, Lloyd</t>
  </si>
  <si>
    <t>BOX 986 MIDDLE ROAD PLAINFIELD VT 05667 - WASHINGTON</t>
  </si>
  <si>
    <t>0007P9-1</t>
  </si>
  <si>
    <t>Plainfield Town</t>
  </si>
  <si>
    <t>Plainfield</t>
  </si>
  <si>
    <t>Lidster, Ed</t>
  </si>
  <si>
    <t>RD 1 BOX 1690 CAMBRIDGE VT 05444 - LAMOILLE</t>
  </si>
  <si>
    <t>0008GP-1</t>
  </si>
  <si>
    <t>Fletcher Town</t>
  </si>
  <si>
    <t>Fletcher</t>
  </si>
  <si>
    <t>Dam, Doeke</t>
  </si>
  <si>
    <t>118 BUTTON BAY LANE VERGENNES VT 05491 - ADDISON</t>
  </si>
  <si>
    <t>0008GN-1</t>
  </si>
  <si>
    <t>Button Bay Rd.</t>
  </si>
  <si>
    <t>Ferrisburgh Town</t>
  </si>
  <si>
    <t>Ferrisburg</t>
  </si>
  <si>
    <t>Lackey, Thomas H.</t>
  </si>
  <si>
    <t>PO BOX 683 STOWE VT 05672 - LAMOILLE</t>
  </si>
  <si>
    <t>0007GB-1</t>
  </si>
  <si>
    <t>Gregg Hill Rd.</t>
  </si>
  <si>
    <t>Waterbury Town</t>
  </si>
  <si>
    <t>Waterbury</t>
  </si>
  <si>
    <t>Beebe, Sheldon</t>
  </si>
  <si>
    <t>10 DEERMONT ROAD N WESTMINSTER VT 05101</t>
  </si>
  <si>
    <t>0007J5-1</t>
  </si>
  <si>
    <t>Cassidy, Dennis C.</t>
  </si>
  <si>
    <t>RT 125 BOX 290 HANCOCK VT 05748 - ADDISON</t>
  </si>
  <si>
    <t>0008GM-1</t>
  </si>
  <si>
    <t>Hancock Town</t>
  </si>
  <si>
    <t>Hancock</t>
  </si>
  <si>
    <t>Metcalfe, Edward, C., Jr.</t>
  </si>
  <si>
    <t>6373 VT RTE 100 WHITINGHAM VT 05361-9802 - WINDHAM</t>
  </si>
  <si>
    <t>0008GK-1</t>
  </si>
  <si>
    <t>Whitingham Town</t>
  </si>
  <si>
    <t>Whitingham</t>
  </si>
  <si>
    <t>Davis, Jeanne</t>
  </si>
  <si>
    <t>173 PRATT ROAD POWNAL VT 05261 - BENNINGTON</t>
  </si>
  <si>
    <t>000764-1</t>
  </si>
  <si>
    <t>Jones Yard</t>
  </si>
  <si>
    <t>Pownal Town</t>
  </si>
  <si>
    <t>Donna Jones</t>
  </si>
  <si>
    <t>428 Schenkar Road</t>
  </si>
  <si>
    <t>Pownal</t>
  </si>
  <si>
    <t>000764-2</t>
  </si>
  <si>
    <t>Davis-Home Yard</t>
  </si>
  <si>
    <t>Jeanne Davis</t>
  </si>
  <si>
    <t>173 Pratt Road</t>
  </si>
  <si>
    <t>Czaplinski, Richard</t>
  </si>
  <si>
    <t>BOX 50 SODOM POND ROAD ADAMANT VT 05640</t>
  </si>
  <si>
    <t>0008GJ-1</t>
  </si>
  <si>
    <t>East Montpelier Town</t>
  </si>
  <si>
    <t>E. Montpelier</t>
  </si>
  <si>
    <t>Dixon, Susan &amp; Kiley</t>
  </si>
  <si>
    <t>398 PARKER ROAD PITTSFORD VT 05763 - RUTLAND</t>
  </si>
  <si>
    <t>0008G6-1</t>
  </si>
  <si>
    <t>Kiley &amp; Susan Dixon</t>
  </si>
  <si>
    <t>398 Parker Road</t>
  </si>
  <si>
    <t>Yanus, Paul</t>
  </si>
  <si>
    <t>PO BOX 174 UNDERHILL CENTER VT 05490</t>
  </si>
  <si>
    <t>00085P-1</t>
  </si>
  <si>
    <t>Becker</t>
  </si>
  <si>
    <t>16 Orchard ROad</t>
  </si>
  <si>
    <t>Bedard, Adelard</t>
  </si>
  <si>
    <t>339 MIDDLE ROAD MILTON VT 05468 - CHITTENDEN</t>
  </si>
  <si>
    <t>0008GC-1</t>
  </si>
  <si>
    <t>Sunset View Rd.</t>
  </si>
  <si>
    <t>South Hero Town</t>
  </si>
  <si>
    <t>South Hero</t>
  </si>
  <si>
    <t>0008GC-2</t>
  </si>
  <si>
    <t>Gardener Road (Earl Gardener - owner)</t>
  </si>
  <si>
    <t>0008GC-3</t>
  </si>
  <si>
    <t>Holzer, Marianna</t>
  </si>
  <si>
    <t>66 KOZAS RUN HINESBURG VT 05461 - CHITTENDEN</t>
  </si>
  <si>
    <t>00077J-1</t>
  </si>
  <si>
    <t>NC</t>
  </si>
  <si>
    <t>&lt;Unknown&gt;</t>
  </si>
  <si>
    <t>Holzer-Home Yard</t>
  </si>
  <si>
    <t>Marianna Holzer-Rik Palieri</t>
  </si>
  <si>
    <t>66 Kozas Run</t>
  </si>
  <si>
    <t>Young, Jim</t>
  </si>
  <si>
    <t>3147 DUGWAY ROAD RICHMOND VT 05477 - CHITTENDEN</t>
  </si>
  <si>
    <t>0007GH-1</t>
  </si>
  <si>
    <t>Young Home Yard</t>
  </si>
  <si>
    <t>Jim Young</t>
  </si>
  <si>
    <t>3147 Dugway Road</t>
  </si>
  <si>
    <t>Chapman, Heidi</t>
  </si>
  <si>
    <t>203 DENSMORE ROAD CHELSEA VT 05038-4407 - ORANGE</t>
  </si>
  <si>
    <t>0007K7-1</t>
  </si>
  <si>
    <t>&lt;Plenty&gt;</t>
  </si>
  <si>
    <t>Chelsea Town</t>
  </si>
  <si>
    <t>self</t>
  </si>
  <si>
    <t>203 Densmore Road</t>
  </si>
  <si>
    <t>Chelsea</t>
  </si>
  <si>
    <t>Pokrywka, Stanley</t>
  </si>
  <si>
    <t>744 CAMPBELL ROAD RUTLAND VT 05701</t>
  </si>
  <si>
    <t>0007XF-1</t>
  </si>
  <si>
    <t>North side Campbell Road</t>
  </si>
  <si>
    <t>Litchfield, Rodney</t>
  </si>
  <si>
    <t>81 LILLIAN DRIVE CASTLETON VT 05735 - RUTLAND</t>
  </si>
  <si>
    <t>000702-1</t>
  </si>
  <si>
    <t>Castleton Town</t>
  </si>
  <si>
    <t>81 Lillian Drive</t>
  </si>
  <si>
    <t>Castleton</t>
  </si>
  <si>
    <t>Farwell, George</t>
  </si>
  <si>
    <t>BOX 199A RR1 ORWELL VT 05760 - ADDISON</t>
  </si>
  <si>
    <t>000807-1</t>
  </si>
  <si>
    <t>next to creek</t>
  </si>
  <si>
    <t>Ward, Bob</t>
  </si>
  <si>
    <t>5 COLUMBIAN ST PROCTOR VT 05765 - RUTLAND</t>
  </si>
  <si>
    <t>000878-1</t>
  </si>
  <si>
    <t>home new</t>
  </si>
  <si>
    <t>Olsen, Roger</t>
  </si>
  <si>
    <t>PO BOX 655 PITTSFIELD VT 05762 - RUTLAND</t>
  </si>
  <si>
    <t>00070Y-1</t>
  </si>
  <si>
    <t>Pittsfield Town</t>
  </si>
  <si>
    <t>Pittsfield</t>
  </si>
  <si>
    <t>Vittum, Greg</t>
  </si>
  <si>
    <t>3030 HORTONIA ROAD FAIR HAVEN VT 05743 - RUTLAND</t>
  </si>
  <si>
    <t>0007JY-1</t>
  </si>
  <si>
    <t>EastmanYd</t>
  </si>
  <si>
    <t>Townhouse Road</t>
  </si>
  <si>
    <t>Schneider, Craig</t>
  </si>
  <si>
    <t>569 IRISH SETTLEMENT R UNDERHILL VT 05489 - CHITTENDEN</t>
  </si>
  <si>
    <t>000940-1</t>
  </si>
  <si>
    <t>Turn at569 Irish Set.Rd</t>
  </si>
  <si>
    <t>Rooney, Siri</t>
  </si>
  <si>
    <t>2693 MUD CITY LOOP MORRISVILLE VT 05661</t>
  </si>
  <si>
    <t>0007KC-1</t>
  </si>
  <si>
    <t>St.germain, Norma</t>
  </si>
  <si>
    <t>RD 1 EAST HARDWICK VT 05836</t>
  </si>
  <si>
    <t>0007KF-1</t>
  </si>
  <si>
    <t>Black Mail Box</t>
  </si>
  <si>
    <t>Walden Town</t>
  </si>
  <si>
    <t>Walden</t>
  </si>
  <si>
    <t>Furnari, Mark</t>
  </si>
  <si>
    <t>62 CENTRAL AVENUE S BURLINGTON VT 05403</t>
  </si>
  <si>
    <t>0007KG-1</t>
  </si>
  <si>
    <t>behind garage by island Rt 7</t>
  </si>
  <si>
    <t>Frelich, Ann</t>
  </si>
  <si>
    <t>PO BOX 851 PUTNEY VT 05346 - WINDHAM</t>
  </si>
  <si>
    <t>0007W6-1</t>
  </si>
  <si>
    <t>Young, Peter</t>
  </si>
  <si>
    <t>PO BOX 36 S WARDSBORO VT 05355 - WINDHAM</t>
  </si>
  <si>
    <t>0007HY-1</t>
  </si>
  <si>
    <t>Janeway Fm. take lane opp. sugar hse</t>
  </si>
  <si>
    <t>Londonderry Town</t>
  </si>
  <si>
    <t>Londonderry</t>
  </si>
  <si>
    <t>0007HY-2</t>
  </si>
  <si>
    <t>Leetch Fm</t>
  </si>
  <si>
    <t>0007HY-3</t>
  </si>
  <si>
    <t>Arthur Chamberlin S. Hill Jamaica</t>
  </si>
  <si>
    <t>0007HY-4</t>
  </si>
  <si>
    <t>H.M. Newell Fm. W. Wardsboro</t>
  </si>
  <si>
    <t>Wardsboro Town</t>
  </si>
  <si>
    <t>Wardsboro</t>
  </si>
  <si>
    <t>0007HY-5</t>
  </si>
  <si>
    <t>Roy Coleman and Son W. Townshend</t>
  </si>
  <si>
    <t>0007HY-6</t>
  </si>
  <si>
    <t>Ray Young Sr. S. Wardsboro</t>
  </si>
  <si>
    <t>Rooks, Robert J.</t>
  </si>
  <si>
    <t>677 CAMBRIDGE ROAD WESTFORD VT 05494 - CHITTENDEN</t>
  </si>
  <si>
    <t>0008HF-2</t>
  </si>
  <si>
    <t>Perry Yard</t>
  </si>
  <si>
    <t>Perry Bland</t>
  </si>
  <si>
    <t>510 Cambridge Road</t>
  </si>
  <si>
    <t>Fogg, Bill</t>
  </si>
  <si>
    <t>CONNECTICUT RIVER ROAD SPRINGFIELD VT 05156 - WINDSOR</t>
  </si>
  <si>
    <t>0007CC-1</t>
  </si>
  <si>
    <t>Gerry Cole's SE end of Crown Pt. Rd.</t>
  </si>
  <si>
    <t>Sonski, Sue</t>
  </si>
  <si>
    <t>RFD 1 WATERVILLE MNT ROAD BAKERSFIELD VT 05441 - FRANKLIN</t>
  </si>
  <si>
    <t>0007N8-1</t>
  </si>
  <si>
    <t>new 88</t>
  </si>
  <si>
    <t>Bakersfield Town</t>
  </si>
  <si>
    <t>Bakersfield</t>
  </si>
  <si>
    <t>Nordmeyer, Elaine</t>
  </si>
  <si>
    <t>2699 MONUMENT HILL RD CASTLETON VT 05735 - RUTLAND</t>
  </si>
  <si>
    <t>00073Q-1</t>
  </si>
  <si>
    <t>Coltran, Doris</t>
  </si>
  <si>
    <t>10 FOLEY RD COLCHESTER VT 05446 - CHITTENDEN</t>
  </si>
  <si>
    <t>00075F-1</t>
  </si>
  <si>
    <t>R. off Porter's Pt. Rd. by Drive In</t>
  </si>
  <si>
    <t>Carpentier, David</t>
  </si>
  <si>
    <t>76 CLAY POINT RD COLCHESTER VT 05446 - CHITTENDEN</t>
  </si>
  <si>
    <t>00074C-1</t>
  </si>
  <si>
    <t>Turn left off Rt 2 2nd left on left</t>
  </si>
  <si>
    <t>0007WB-4</t>
  </si>
  <si>
    <t>Hospital Yard end Morse Rd.</t>
  </si>
  <si>
    <t>Middlebury Town</t>
  </si>
  <si>
    <t>Hospital</t>
  </si>
  <si>
    <t>Middlebury</t>
  </si>
  <si>
    <t>Royce, Bill</t>
  </si>
  <si>
    <t>38 DAGGETT ROAD E MONTPELIER VT 05651</t>
  </si>
  <si>
    <t>0007WY-1</t>
  </si>
  <si>
    <t>Conrad, Bruce</t>
  </si>
  <si>
    <t>RT 14 W HARTFORD VT</t>
  </si>
  <si>
    <t>0007XW-1</t>
  </si>
  <si>
    <t>call 90 Rex Associates hive from Holden</t>
  </si>
  <si>
    <t>Hartford Town</t>
  </si>
  <si>
    <t>Hartford</t>
  </si>
  <si>
    <t>Broadwell, Jeff</t>
  </si>
  <si>
    <t>762 CROWN POINT ROAD PLYMOUTH VT 05056 - WINDSOR</t>
  </si>
  <si>
    <t>0007AD-1</t>
  </si>
  <si>
    <t>Plymouth Town</t>
  </si>
  <si>
    <t>Plymouth</t>
  </si>
  <si>
    <t>Hunt, Patricia</t>
  </si>
  <si>
    <t>7 LAWRENCE LANE BRISTOL VT 05443 - ADDISON</t>
  </si>
  <si>
    <t>0007Y8-1</t>
  </si>
  <si>
    <t>HuntFam.Fm</t>
  </si>
  <si>
    <t>Perry, Marcia</t>
  </si>
  <si>
    <t>1476 SHAKER HILL ROAD STARKSBORO VT 05487 - ADDISON</t>
  </si>
  <si>
    <t>0007KJ-1</t>
  </si>
  <si>
    <t>1476 Shaker Hill Road</t>
  </si>
  <si>
    <t>Sciotto, J.p.</t>
  </si>
  <si>
    <t>ENOSBURG CENTER VT 05450</t>
  </si>
  <si>
    <t>0007ZW-1</t>
  </si>
  <si>
    <t>on corner by Gaines</t>
  </si>
  <si>
    <t>Smith, Darrell</t>
  </si>
  <si>
    <t>488 VT RTE 14 SOUTH ROYALTAON VT 05068</t>
  </si>
  <si>
    <t>000871-1</t>
  </si>
  <si>
    <t>HodgedonYd</t>
  </si>
  <si>
    <t>Dezotelle, Myron</t>
  </si>
  <si>
    <t>E RICHFORD VT 05476</t>
  </si>
  <si>
    <t>000725-1</t>
  </si>
  <si>
    <t>behind house</t>
  </si>
  <si>
    <t>Richford Town</t>
  </si>
  <si>
    <t>Richford</t>
  </si>
  <si>
    <t>Newell, Rae</t>
  </si>
  <si>
    <t>1178 OLD BRIDGEWATER HILL ROAD BRIDGEWATER CORNERS VT 05035</t>
  </si>
  <si>
    <t>0008FK-1</t>
  </si>
  <si>
    <t>Bridgewater Town</t>
  </si>
  <si>
    <t>1178 Old Bridgewater Hill Road</t>
  </si>
  <si>
    <t>Bridgewater</t>
  </si>
  <si>
    <t>Philip Brown</t>
  </si>
  <si>
    <t>116 LAROSE LANE GLOVER VT 05839 - ORLEANS</t>
  </si>
  <si>
    <t>0008AN-1</t>
  </si>
  <si>
    <t>Brown-Home</t>
  </si>
  <si>
    <t>Glover Town</t>
  </si>
  <si>
    <t>116 LaRose Lane</t>
  </si>
  <si>
    <t>Glover</t>
  </si>
  <si>
    <t>Connor, Bernard</t>
  </si>
  <si>
    <t>BOX 1500 FAIRFIELD VT 05455 - FRANKLIN</t>
  </si>
  <si>
    <t>00087X-1</t>
  </si>
  <si>
    <t>Anderson, Kent</t>
  </si>
  <si>
    <t>359 FISHER ROAD ORWELL VT 05760 - ADDISON</t>
  </si>
  <si>
    <t>0008V6-1</t>
  </si>
  <si>
    <t>&lt;Very light&gt;</t>
  </si>
  <si>
    <t>Anderson-Home Yard</t>
  </si>
  <si>
    <t>Kent Anderson</t>
  </si>
  <si>
    <t>359 Fisher Road</t>
  </si>
  <si>
    <t>Trolls Bridge Farm</t>
  </si>
  <si>
    <t>PO BOX 56 TOPSHAM VT 05076 - ORANGE</t>
  </si>
  <si>
    <t>00071H-1</t>
  </si>
  <si>
    <t>Bland, W. Perry</t>
  </si>
  <si>
    <t>581 CAMBRIDGE ROAD WESTFORD VT 05494 - CHITTENDEN</t>
  </si>
  <si>
    <t>00083A-1</t>
  </si>
  <si>
    <t>581 Cambridge Road</t>
  </si>
  <si>
    <t>Sweeney, Mark</t>
  </si>
  <si>
    <t>LUNENBURG VT 05906 - ESSEX</t>
  </si>
  <si>
    <t>00082M-1</t>
  </si>
  <si>
    <t>Lunenburg Town</t>
  </si>
  <si>
    <t>Lunenburg</t>
  </si>
  <si>
    <t>0007G0-2</t>
  </si>
  <si>
    <t>Capaldi-Home</t>
  </si>
  <si>
    <t>Derby Town</t>
  </si>
  <si>
    <t>Charles Capaldi</t>
  </si>
  <si>
    <t>3883 Hinman Settler Road</t>
  </si>
  <si>
    <t>Newport</t>
  </si>
  <si>
    <t>Mascoveta, David J.</t>
  </si>
  <si>
    <t>PO BOX 354 CHELSEA VT 05038 - ORANGE</t>
  </si>
  <si>
    <t>0008GD-1</t>
  </si>
  <si>
    <t>Washington Town</t>
  </si>
  <si>
    <t>Keyes, Mak</t>
  </si>
  <si>
    <t>69 TOWN FARM ROAD CHELSEA VT 05038 - ORANGE</t>
  </si>
  <si>
    <t>0008FD-1</t>
  </si>
  <si>
    <t>Keyes home yard</t>
  </si>
  <si>
    <t>Mak Keyes</t>
  </si>
  <si>
    <t>69 Town Farm Road</t>
  </si>
  <si>
    <t>Norman, Cynthia</t>
  </si>
  <si>
    <t>115 WALNUT BURLINGTON VT 05401 - CHITTENDEN</t>
  </si>
  <si>
    <t>00082G-1</t>
  </si>
  <si>
    <t>Intervale by community garden</t>
  </si>
  <si>
    <t>Prushko, John</t>
  </si>
  <si>
    <t>96 EAST SHORE SOUTH GRAND ISLE VT 05458 - GRAND ISLE</t>
  </si>
  <si>
    <t>0008MN-1</t>
  </si>
  <si>
    <t>Pearl Bay Ln</t>
  </si>
  <si>
    <t>Lloyd, John</t>
  </si>
  <si>
    <t>POBOX 106 S STRAFFORD VT 05070</t>
  </si>
  <si>
    <t>000859-1</t>
  </si>
  <si>
    <t>Paye, John</t>
  </si>
  <si>
    <t>RYEGATE VT 05042 - CALEDONIA</t>
  </si>
  <si>
    <t>0008FM-1</t>
  </si>
  <si>
    <t>On map</t>
  </si>
  <si>
    <t>Ryegate Town</t>
  </si>
  <si>
    <t>Ryegate</t>
  </si>
  <si>
    <t>Maguire, Polly</t>
  </si>
  <si>
    <t>286 HANDS COVE ROAD SHOREHAM VT 05770 - ADDISON</t>
  </si>
  <si>
    <t>0008FX-1</t>
  </si>
  <si>
    <t>Shoreham Town</t>
  </si>
  <si>
    <t>Shoreham</t>
  </si>
  <si>
    <t>Jarvis, Todd</t>
  </si>
  <si>
    <t>ROUTE 58 LOWELL VT 05847 - ORLEANS</t>
  </si>
  <si>
    <t>0007YG-1</t>
  </si>
  <si>
    <t>Lowell Town</t>
  </si>
  <si>
    <t>Lowell</t>
  </si>
  <si>
    <t>Lamberton, Tony</t>
  </si>
  <si>
    <t>PO BOX 1192 MIDDLETOWN SPRINGS VT 05757 - RUTLAND</t>
  </si>
  <si>
    <t>00090Z-1</t>
  </si>
  <si>
    <t>Raymond Lamberton</t>
  </si>
  <si>
    <t>Heyburn, Franklin</t>
  </si>
  <si>
    <t>PO BOX 201 CALAIS VT 05648</t>
  </si>
  <si>
    <t>0007ZQ-1</t>
  </si>
  <si>
    <t>LeDuc-Cheese Factory Rd</t>
  </si>
  <si>
    <t>LeDuc Farm</t>
  </si>
  <si>
    <t>Cheese factory Road</t>
  </si>
  <si>
    <t>Brandt, Wilmer</t>
  </si>
  <si>
    <t>784 ENNIS HILL ROAD MARSHFIELD VT 05658 - WASHINGTON</t>
  </si>
  <si>
    <t>0007QV-1</t>
  </si>
  <si>
    <t>Marshfield Town</t>
  </si>
  <si>
    <t>784 Ennis Hill Road</t>
  </si>
  <si>
    <t>Marshfield</t>
  </si>
  <si>
    <t>Gilcris, Erwin</t>
  </si>
  <si>
    <t>RR 1 BOX 1097 HARDWICK VT 05843 - CALEDONIA</t>
  </si>
  <si>
    <t>00071J-1</t>
  </si>
  <si>
    <t>Hardwick Town</t>
  </si>
  <si>
    <t>Hardwick</t>
  </si>
  <si>
    <t>Wright, Julia</t>
  </si>
  <si>
    <t>2442 GOULDEN RIDGE RD WEATHERSFIELD VT 05156 - WINDSOR</t>
  </si>
  <si>
    <t>0007MX-1</t>
  </si>
  <si>
    <t>Hunter Press</t>
  </si>
  <si>
    <t>Weathersfield Town</t>
  </si>
  <si>
    <t>Weathersfield</t>
  </si>
  <si>
    <t>Kravitz, Toby</t>
  </si>
  <si>
    <t>985 DOTHAN ROAD WHITE RIVER JUNCTION VT 05001</t>
  </si>
  <si>
    <t>000715-1</t>
  </si>
  <si>
    <t>Kravitz-Home</t>
  </si>
  <si>
    <t>Toby Kravitz</t>
  </si>
  <si>
    <t>985 Dothan Road</t>
  </si>
  <si>
    <t>Horner, Gordon</t>
  </si>
  <si>
    <t>RR 1 BX 309 JEFFERSONVILLE VT 05464</t>
  </si>
  <si>
    <t>00088J-1</t>
  </si>
  <si>
    <t>Moving to Milton call first</t>
  </si>
  <si>
    <t>0007WA-2</t>
  </si>
  <si>
    <t>Duffany Road Yard</t>
  </si>
  <si>
    <t>Mobile</t>
  </si>
  <si>
    <t>Barris, Lars</t>
  </si>
  <si>
    <t>RD 1 BX 1333 E FAIRFIELD VT 05448</t>
  </si>
  <si>
    <t>0008FF-1</t>
  </si>
  <si>
    <t>Carey Rd by Broderick</t>
  </si>
  <si>
    <t>Wiswall, Richard</t>
  </si>
  <si>
    <t>CATE FARM RD 2 PLAINFIELD VT 05667 - WASHINGTON</t>
  </si>
  <si>
    <t>0007X5-1</t>
  </si>
  <si>
    <t>Cate Farm</t>
  </si>
  <si>
    <t>Palmer, Mike</t>
  </si>
  <si>
    <t>441 FOREST DRIVE ST ALBANS VT 05478</t>
  </si>
  <si>
    <t>00081Y-1</t>
  </si>
  <si>
    <t>MoreauYd</t>
  </si>
  <si>
    <t>Swanton Town</t>
  </si>
  <si>
    <t>Mike Palmer</t>
  </si>
  <si>
    <t>Woods Hill Road</t>
  </si>
  <si>
    <t>Swanton</t>
  </si>
  <si>
    <t>Martin, Skip</t>
  </si>
  <si>
    <t>PO BOX 706 WINDSOR VT 05089 - WINDSOR</t>
  </si>
  <si>
    <t>000806-1</t>
  </si>
  <si>
    <t>Brwn. stained hse. trailer by Rd.RT 44</t>
  </si>
  <si>
    <t>Spruit, Donald</t>
  </si>
  <si>
    <t>620 N MAIN STREET WALLINGFORD VT 05773 - RUTLAND</t>
  </si>
  <si>
    <t>000970-1</t>
  </si>
  <si>
    <t>Spruit-Home Yard</t>
  </si>
  <si>
    <t>Wallingford Town</t>
  </si>
  <si>
    <t>Donald Spruit</t>
  </si>
  <si>
    <t>620 N. Main Street</t>
  </si>
  <si>
    <t>Wallingford</t>
  </si>
  <si>
    <t>Morton, Robert</t>
  </si>
  <si>
    <t>BOX 182 E WALLINGFORD VT 05742</t>
  </si>
  <si>
    <t>00072Z-1</t>
  </si>
  <si>
    <t>Belmont Yd</t>
  </si>
  <si>
    <t>Hannan, Peter</t>
  </si>
  <si>
    <t>STAGE RD GUILFORD VT - WINDHAM</t>
  </si>
  <si>
    <t>0007GP-1</t>
  </si>
  <si>
    <t>Archie LaTulippes' Guilford Center Rd</t>
  </si>
  <si>
    <t>Guilford Town</t>
  </si>
  <si>
    <t>Guilford</t>
  </si>
  <si>
    <t>Allen, Jeffrey J.</t>
  </si>
  <si>
    <t>77 ADAMANT ROD ADAMANT VT 05640 - WASHINGTON</t>
  </si>
  <si>
    <t>000840-1</t>
  </si>
  <si>
    <t>Dewey</t>
  </si>
  <si>
    <t>Montpelier City</t>
  </si>
  <si>
    <t>Jeffrey Allen</t>
  </si>
  <si>
    <t>11 Dewey Street</t>
  </si>
  <si>
    <t>Montpelier</t>
  </si>
  <si>
    <t>Swaim, Nina</t>
  </si>
  <si>
    <t>PO BOX 65 SHARON VT 05065 - WINDSOR</t>
  </si>
  <si>
    <t>000825-1</t>
  </si>
  <si>
    <t>Nina Swain</t>
  </si>
  <si>
    <t>1034 Moore Road</t>
  </si>
  <si>
    <t>Reynolds, Ron</t>
  </si>
  <si>
    <t>539 BACON ROAD JOHNSON VT 05656 - LAMOILLE</t>
  </si>
  <si>
    <t>0008NW-1</t>
  </si>
  <si>
    <t>Johnson Town</t>
  </si>
  <si>
    <t>Johnson</t>
  </si>
  <si>
    <t>Burnham, Dr. William</t>
  </si>
  <si>
    <t>PO BOX 356 SHAFTSBURY VT 05262 - BENNINGTON</t>
  </si>
  <si>
    <t>0007NF-1</t>
  </si>
  <si>
    <t>Myers Rd Ridge Dale Farm SE of Hse</t>
  </si>
  <si>
    <t>Shaftsbury Town</t>
  </si>
  <si>
    <t>Shaftsbury</t>
  </si>
  <si>
    <t>Punderson, Frank</t>
  </si>
  <si>
    <t>CODY RD LANDGROVE VT - BENNINGTON</t>
  </si>
  <si>
    <t>0007KM-1</t>
  </si>
  <si>
    <t>No bees for 3 yrs.</t>
  </si>
  <si>
    <t>Landgrove Town</t>
  </si>
  <si>
    <t>Landgrove</t>
  </si>
  <si>
    <t>Cook, Andrew</t>
  </si>
  <si>
    <t>40 SCHOOL N SPRINGFIELD VT 05150 - WINDSOR</t>
  </si>
  <si>
    <t>000883-1</t>
  </si>
  <si>
    <t>Benson, Mike</t>
  </si>
  <si>
    <t>6720 RT 103 CUTTINGSVILLE VT 05738 - RUTLAND</t>
  </si>
  <si>
    <t>0007MH-1</t>
  </si>
  <si>
    <t>2045 RT 103</t>
  </si>
  <si>
    <t>Cuttingsville</t>
  </si>
  <si>
    <t>Venheim, Herman</t>
  </si>
  <si>
    <t>RR NO 1 LUNENBURG VT 05906 - ESSEX</t>
  </si>
  <si>
    <t>0008FN-1</t>
  </si>
  <si>
    <t>home</t>
  </si>
  <si>
    <t>Newland, Loraine</t>
  </si>
  <si>
    <t>994 NEWARK STREET W BURKE VT 05871</t>
  </si>
  <si>
    <t>0008AW-1</t>
  </si>
  <si>
    <t>994 Newark Street</t>
  </si>
  <si>
    <t>Draper, Corey</t>
  </si>
  <si>
    <t>2739 RANDOLPH ROAD MORRISTOWN VT 05661 - LAMOILLE</t>
  </si>
  <si>
    <t>00071W-1</t>
  </si>
  <si>
    <t>Keller-rogoff, Erika</t>
  </si>
  <si>
    <t>659 CHESTNUT STREET WADAN MA 02468</t>
  </si>
  <si>
    <t>0008WK-1</t>
  </si>
  <si>
    <t>761 Lillieville BrkRd</t>
  </si>
  <si>
    <t>Wheeler, Frederick</t>
  </si>
  <si>
    <t>RR 1 BOX 60 LUNENBURG VT 05906 - ESSEX</t>
  </si>
  <si>
    <t>000835-1</t>
  </si>
  <si>
    <t>1 1-2 M. from River Rd (Rt 2 )</t>
  </si>
  <si>
    <t>Thomson, Bob</t>
  </si>
  <si>
    <t>PO BOX 728 SAXTONS RIVER VT 05154-0728</t>
  </si>
  <si>
    <t>0007DH-1</t>
  </si>
  <si>
    <t>Hitchcock Hill Bob's property</t>
  </si>
  <si>
    <t>Rockingham Town</t>
  </si>
  <si>
    <t>Rockingham</t>
  </si>
  <si>
    <t>Loerch, Caitlin</t>
  </si>
  <si>
    <t>700 EAST STREET HUNTINGTON VT 05462 - CHITTENDEN</t>
  </si>
  <si>
    <t>0008WD-1</t>
  </si>
  <si>
    <t>Rutz, Lorenz</t>
  </si>
  <si>
    <t>PO BOX 94 STRAFFORD VT 05072 - ORANGE</t>
  </si>
  <si>
    <t>0007JF-1</t>
  </si>
  <si>
    <t>Rutz Home yard</t>
  </si>
  <si>
    <t>Lorenz Rutz</t>
  </si>
  <si>
    <t>Grote, Doug</t>
  </si>
  <si>
    <t>VERSHIRE VT 05079 - ORANGE</t>
  </si>
  <si>
    <t>00080C-1</t>
  </si>
  <si>
    <t>new</t>
  </si>
  <si>
    <t>Vershire Town</t>
  </si>
  <si>
    <t>Vershire</t>
  </si>
  <si>
    <t>Wagner, Paula</t>
  </si>
  <si>
    <t>BOX 45A SUTTON VT 05867 - CALEDONIA</t>
  </si>
  <si>
    <t>00080N-1</t>
  </si>
  <si>
    <t>Sutton Town</t>
  </si>
  <si>
    <t>Sutton</t>
  </si>
  <si>
    <t>Cavoto, Albert</t>
  </si>
  <si>
    <t>62 MAIN STREET LUDLOW VT 05149 - WINDSOR</t>
  </si>
  <si>
    <t>00079N-1</t>
  </si>
  <si>
    <t>Ron Yarish Place Healdville Rd</t>
  </si>
  <si>
    <t>St. Pierre, Jeremy</t>
  </si>
  <si>
    <t>382 WOODLAND ROAD FAIRFIELD VT 05455-5489 - FRANKLIN</t>
  </si>
  <si>
    <t>0008FA-1</t>
  </si>
  <si>
    <t>Cushman, Charles</t>
  </si>
  <si>
    <t>PO BOX 29 HARTLAND 4-CORNERS VT 05049</t>
  </si>
  <si>
    <t>0007Y6-1</t>
  </si>
  <si>
    <t>Cushman Home Yard</t>
  </si>
  <si>
    <t>Charles &amp; Carol Cushman</t>
  </si>
  <si>
    <t>28 Fareham Farm Road</t>
  </si>
  <si>
    <t>Hartland 4-Corners</t>
  </si>
  <si>
    <t>Murphy, John, F., Jr.</t>
  </si>
  <si>
    <t>PO BOX 125 LUDLOW VT 05149 - WINDSOR</t>
  </si>
  <si>
    <t>00088Z-1</t>
  </si>
  <si>
    <t>Ludlow Town</t>
  </si>
  <si>
    <t>Ludlow</t>
  </si>
  <si>
    <t>00070D-3</t>
  </si>
  <si>
    <t>Audet Farm</t>
  </si>
  <si>
    <t>Rich, Ronald</t>
  </si>
  <si>
    <t>MT BROOK FM PO BX 87 PERKINSVILLE VT 05151</t>
  </si>
  <si>
    <t>0007W1-1</t>
  </si>
  <si>
    <t>Lyons Dr. last hse. 75 yds. in back</t>
  </si>
  <si>
    <t>Pilon, Joe</t>
  </si>
  <si>
    <t>73 RUSSELL ROAD ST ALBANS VT 05478</t>
  </si>
  <si>
    <t>0007VH-1</t>
  </si>
  <si>
    <t>Woods Hill Rd</t>
  </si>
  <si>
    <t>Ronald, Coltran</t>
  </si>
  <si>
    <t>0007VJ-1</t>
  </si>
  <si>
    <t>new check out 87</t>
  </si>
  <si>
    <t>Richardson, Bess</t>
  </si>
  <si>
    <t>DAY RD PO BX 73 W DUMMERSTON VT 05357</t>
  </si>
  <si>
    <t>0007VK-1</t>
  </si>
  <si>
    <t>over cov. bridge 2nd hse on L new</t>
  </si>
  <si>
    <t>Dummerston Town</t>
  </si>
  <si>
    <t>Dummerston</t>
  </si>
  <si>
    <t>Drutchas, Richard</t>
  </si>
  <si>
    <t>18 NORTON ROAD WORCESTER VT 05682 - WASHINGTON</t>
  </si>
  <si>
    <t>0007P4-7</t>
  </si>
  <si>
    <t>&lt;light&gt;</t>
  </si>
  <si>
    <t>Shelburne Farm</t>
  </si>
  <si>
    <t>Shelburne Farms</t>
  </si>
  <si>
    <t>Ahern, Stephen E.</t>
  </si>
  <si>
    <t>PO BOX 89 STARKSBORO VT 05487-0089 - ADDISON</t>
  </si>
  <si>
    <t>0007AN-1</t>
  </si>
  <si>
    <t>Thieret, Eugene</t>
  </si>
  <si>
    <t>150 SWIFT ST S BURLINGTON VT 05403</t>
  </si>
  <si>
    <t>0007WX-1</t>
  </si>
  <si>
    <t>at Farramont Orchards</t>
  </si>
  <si>
    <t>Stoney Hill Farm</t>
  </si>
  <si>
    <t>BRISTOL VT 05443 - ADDISON</t>
  </si>
  <si>
    <t>00070C-1</t>
  </si>
  <si>
    <t>Chadwick, Barry</t>
  </si>
  <si>
    <t>42 LECLAIR STREET WINOOSKI VT 05404 - WINDSOR</t>
  </si>
  <si>
    <t>0008G0-1</t>
  </si>
  <si>
    <t>Rochester Town</t>
  </si>
  <si>
    <t>Rochester</t>
  </si>
  <si>
    <t>Burch, Jeffifer</t>
  </si>
  <si>
    <t>98 WILCOX PEAK ROAD PITTSFIELD VT 05762 - RUTLAND</t>
  </si>
  <si>
    <t>0007NY-1</t>
  </si>
  <si>
    <t>Hiebert, Brian</t>
  </si>
  <si>
    <t>BOX 197 POMFRET ROAD N POMFRET VT 05053</t>
  </si>
  <si>
    <t>0008FZ-1</t>
  </si>
  <si>
    <t>couldn't find hive 86</t>
  </si>
  <si>
    <t>Pomfret Town</t>
  </si>
  <si>
    <t>Pomfret</t>
  </si>
  <si>
    <t>Nowlan, Peter</t>
  </si>
  <si>
    <t>MASON RD RANDOLPH VT - ORANGE</t>
  </si>
  <si>
    <t>0008FY-1</t>
  </si>
  <si>
    <t>Junction of Hollyhock and Mason grn hse</t>
  </si>
  <si>
    <t>Maxham, Timothy</t>
  </si>
  <si>
    <t>25 ELLISON ROAD HARTLAND VT 05048 - WINDSOR</t>
  </si>
  <si>
    <t>0007G3-1</t>
  </si>
  <si>
    <t>100 deeps in barn ? AFB</t>
  </si>
  <si>
    <t>Politis, Teddy</t>
  </si>
  <si>
    <t>RR1 BOX 83 SO ROYALTON VT 05068</t>
  </si>
  <si>
    <t>0007JK-1</t>
  </si>
  <si>
    <t>?</t>
  </si>
  <si>
    <t>Fillmore, Todd</t>
  </si>
  <si>
    <t>167 LINCOLN HILL ROAD SHREWSBURY VT 05738 - RUTLAND</t>
  </si>
  <si>
    <t>0008V2-1</t>
  </si>
  <si>
    <t>Shrewsbury Town</t>
  </si>
  <si>
    <t>Shrewsbury</t>
  </si>
  <si>
    <t>Zisman, Walter</t>
  </si>
  <si>
    <t>RD 4 BX 290 W BRATTLEBORO VT 05301</t>
  </si>
  <si>
    <t>0008FW-1</t>
  </si>
  <si>
    <t>Rt 9 before Golden Eagle motel</t>
  </si>
  <si>
    <t>Bob's Repair</t>
  </si>
  <si>
    <t>3415 VT RT 113 WEST FAIRLEE VT 05083 - ORANGE</t>
  </si>
  <si>
    <t>0008V7-1</t>
  </si>
  <si>
    <t>Bob's Small Engines</t>
  </si>
  <si>
    <t>Bob Eastman</t>
  </si>
  <si>
    <t>Thurber, Alan</t>
  </si>
  <si>
    <t>RFD 3 BX 260 GUILFORD CTR VT 05301</t>
  </si>
  <si>
    <t>0007GQ-1</t>
  </si>
  <si>
    <t>off School St. long drive on L by clerk</t>
  </si>
  <si>
    <t>Vesosky, John</t>
  </si>
  <si>
    <t>206 NASHVILLE ROAD JERICHO VT 05465 - CHITTENDEN</t>
  </si>
  <si>
    <t>0007VB-1</t>
  </si>
  <si>
    <t>206 Nashville Road</t>
  </si>
  <si>
    <t>Seymour, Judy</t>
  </si>
  <si>
    <t>STAGE RD GUILFORD VT 05301 - WINDHAM</t>
  </si>
  <si>
    <t>0008FQ-1</t>
  </si>
  <si>
    <t>Red hse and barn</t>
  </si>
  <si>
    <t>Clark, Philip</t>
  </si>
  <si>
    <t>SWEETS POND RD GUILFORD CENTER VT 05301</t>
  </si>
  <si>
    <t>0008FP-1</t>
  </si>
  <si>
    <t>at Dorthy Clark's 2nd L up Tinker Hill R</t>
  </si>
  <si>
    <t>Dana, Fred, R.</t>
  </si>
  <si>
    <t>RT 2 BOX 327 GROTON VT 05046 - CALEDONIA</t>
  </si>
  <si>
    <t>00078X-1</t>
  </si>
  <si>
    <t>Groton Town</t>
  </si>
  <si>
    <t>Groton</t>
  </si>
  <si>
    <t>Screpetis, Karen J.</t>
  </si>
  <si>
    <t>1345 DAVIDSON HILL RD WESTMINSTER VT 05158 - WINDHAM</t>
  </si>
  <si>
    <t>0008FJ-1</t>
  </si>
  <si>
    <t>Hedgehog Hill Apiary</t>
  </si>
  <si>
    <t>Parrott, Roger T.</t>
  </si>
  <si>
    <t>RR 4 27 SPRING HILL ROAD PUTNEY VT 05346 - WINDHAM</t>
  </si>
  <si>
    <t>0007D3-1</t>
  </si>
  <si>
    <t>.6 M frm Rt5 L at dirt L at Y on drive</t>
  </si>
  <si>
    <t>Holmes, Russell</t>
  </si>
  <si>
    <t>40 BROWNS RIVER ROAD ESSEX JUNCTION VT 05452</t>
  </si>
  <si>
    <t>0008VB-1</t>
  </si>
  <si>
    <t>bees now at Lynn Langs house</t>
  </si>
  <si>
    <t>Wright, Diana</t>
  </si>
  <si>
    <t>61 NEW BOSTON ROAD THETFORD CENTER VT 05075</t>
  </si>
  <si>
    <t>000808-1</t>
  </si>
  <si>
    <t>61 New Boston Road</t>
  </si>
  <si>
    <t>Youngman, Dick</t>
  </si>
  <si>
    <t>404 TOWN HALL ROAD LYNDONVILLE VT 05851</t>
  </si>
  <si>
    <t>0008FH-1</t>
  </si>
  <si>
    <t>Shepard, Larry</t>
  </si>
  <si>
    <t>1109 ROBERT YOUNG ROAD STARKSBORO VT 05487 - ADDISON</t>
  </si>
  <si>
    <t>00072N-1</t>
  </si>
  <si>
    <t>East Hill Bison Farm</t>
  </si>
  <si>
    <t>PO BOX 51 TOWNSHEND VT 05353 - WINDHAM</t>
  </si>
  <si>
    <t>00071G-1</t>
  </si>
  <si>
    <t>EastHillRd</t>
  </si>
  <si>
    <t>Kinney, Dwight</t>
  </si>
  <si>
    <t>61 WATERWHEEL WAY MILTON VT 05468 - CHITTENDEN</t>
  </si>
  <si>
    <t>00090A-1</t>
  </si>
  <si>
    <t>Packer Yard</t>
  </si>
  <si>
    <t>Marcy, Edward J.</t>
  </si>
  <si>
    <t>PO BOX 1062 MIDDLETOWN SPRINGS VT 05757 - RUTLAND</t>
  </si>
  <si>
    <t>0007GW-1</t>
  </si>
  <si>
    <t>Margaret Fowler</t>
  </si>
  <si>
    <t>Fox Bridge Road</t>
  </si>
  <si>
    <t>Hoard, Claude M.</t>
  </si>
  <si>
    <t>1630 VT RT 67 EAST N BENNINGTON VT 05257</t>
  </si>
  <si>
    <t>0008DK-1</t>
  </si>
  <si>
    <t>1630 VT RT 67</t>
  </si>
  <si>
    <t>N. Bennington</t>
  </si>
  <si>
    <t>Turner, Richard</t>
  </si>
  <si>
    <t>255 RIVER ROAD ESSEX JCT VT 05452</t>
  </si>
  <si>
    <t>00083D-1</t>
  </si>
  <si>
    <t>Brewster, Kingman</t>
  </si>
  <si>
    <t>1766 DODD ROAD EAST FAIRFIELD VT 05448</t>
  </si>
  <si>
    <t>0008JB-1</t>
  </si>
  <si>
    <t>1766 Dodd Road</t>
  </si>
  <si>
    <t>East Fairfield</t>
  </si>
  <si>
    <t>Barton, Howard R.</t>
  </si>
  <si>
    <t>25 WEST HILL ROAD LUDLOW VT 05149 - WINDSOR</t>
  </si>
  <si>
    <t>0007QK-1</t>
  </si>
  <si>
    <t>Dockum land</t>
  </si>
  <si>
    <t>Naaktgeboren, David</t>
  </si>
  <si>
    <t>PO BOX 243 ARLINGTON VT 05250 - BENNINGTON</t>
  </si>
  <si>
    <t>00085F-1</t>
  </si>
  <si>
    <t>Arlington Town</t>
  </si>
  <si>
    <t>Arlington</t>
  </si>
  <si>
    <t>Hasting, Judy</t>
  </si>
  <si>
    <t>787 KIBBEE ROAD BROOKFIELD VT 05036 - ORANGE</t>
  </si>
  <si>
    <t>00087D-1</t>
  </si>
  <si>
    <t>Richardson, Gerald</t>
  </si>
  <si>
    <t>RFD 1 BOX 353 WAITSFIELD VT 05673 - WASHINGTON</t>
  </si>
  <si>
    <t>00087G-1</t>
  </si>
  <si>
    <t>de Bruyn Kops, Peter</t>
  </si>
  <si>
    <t>427-3 AMHERST STREET SUITE 341 NASHUA NH 03063</t>
  </si>
  <si>
    <t>00087V-1</t>
  </si>
  <si>
    <t>Alex MacLennan pumpkins</t>
  </si>
  <si>
    <t>Palmer, Alden</t>
  </si>
  <si>
    <t>PO BOX 204 THETFORD CENTER VT 05075</t>
  </si>
  <si>
    <t>0007BJ-1</t>
  </si>
  <si>
    <t>CedarCircleYD</t>
  </si>
  <si>
    <t>0007BJ-2</t>
  </si>
  <si>
    <t>Lyons Yd.at RT5&amp;PavillonRd</t>
  </si>
  <si>
    <t>Reilly, James</t>
  </si>
  <si>
    <t>224 CASTLE HILL ROAD WILMINGTON VT 05363 - WINDHAM</t>
  </si>
  <si>
    <t>00070Z-1</t>
  </si>
  <si>
    <t>Wilmington Town</t>
  </si>
  <si>
    <t>Wilmington</t>
  </si>
  <si>
    <t>0007BJ-3</t>
  </si>
  <si>
    <t>Blake, Chris</t>
  </si>
  <si>
    <t>178 MINK HILL ROAD BRADFORD VT 05033 - ORANGE</t>
  </si>
  <si>
    <t>000915-1</t>
  </si>
  <si>
    <t>Mcgill, Dr. J. Bishop</t>
  </si>
  <si>
    <t>152 SANBORN ROAD STOWE VT 05672 - LAMOILLE</t>
  </si>
  <si>
    <t>0007WW-1</t>
  </si>
  <si>
    <t>00072K-4</t>
  </si>
  <si>
    <t>Mill Yard</t>
  </si>
  <si>
    <t>Tylord</t>
  </si>
  <si>
    <t>00072K-5</t>
  </si>
  <si>
    <t>Bartholomew II</t>
  </si>
  <si>
    <t>Bartholomew</t>
  </si>
  <si>
    <t>East Road</t>
  </si>
  <si>
    <t>00072K-6</t>
  </si>
  <si>
    <t>Brierre Yd East Rd</t>
  </si>
  <si>
    <t>Briere</t>
  </si>
  <si>
    <t>Brochu, Aaron</t>
  </si>
  <si>
    <t>1150 BUCHLER ROAD WHEELOCK VT 05851 - CALEDONIA</t>
  </si>
  <si>
    <t>0007Y9-1</t>
  </si>
  <si>
    <t>Wheelock Town</t>
  </si>
  <si>
    <t>Wheelock</t>
  </si>
  <si>
    <t>McFarline, Tim</t>
  </si>
  <si>
    <t>833 PARKHILL ROAD BENSON VT 05743 - RUTLAND</t>
  </si>
  <si>
    <t>00072K-7</t>
  </si>
  <si>
    <t>Munger Yard</t>
  </si>
  <si>
    <t>Munger</t>
  </si>
  <si>
    <t>North Lake Road</t>
  </si>
  <si>
    <t>00072K-8</t>
  </si>
  <si>
    <t>Quinneville</t>
  </si>
  <si>
    <t>Old Sawmill Road</t>
  </si>
  <si>
    <t>Earl, Michael W.,sr.</t>
  </si>
  <si>
    <t>PO BOX 57 E BARRE VT 05649</t>
  </si>
  <si>
    <t>0008FC-1</t>
  </si>
  <si>
    <t>North of Waitsfield</t>
  </si>
  <si>
    <t>Dawley, Lee</t>
  </si>
  <si>
    <t>BOX 64 S RYEGATE VT 05069</t>
  </si>
  <si>
    <t>0008FB-1</t>
  </si>
  <si>
    <t>1/4 M. N. off 302 from light in S R</t>
  </si>
  <si>
    <t>O'connor, Gerald</t>
  </si>
  <si>
    <t>24 EVELYN PARK PITTSFIELD MA 01201</t>
  </si>
  <si>
    <t>0008A8-1</t>
  </si>
  <si>
    <t>975 South Winsor Street</t>
  </si>
  <si>
    <t>Heller, David V.</t>
  </si>
  <si>
    <t>84 BEST ST MORRISVILLE VT 05661</t>
  </si>
  <si>
    <t>0008AV-1</t>
  </si>
  <si>
    <t>Quad res.</t>
  </si>
  <si>
    <t>Beattie Electrical Service</t>
  </si>
  <si>
    <t>1115 HOLLOW ROAD STOWE VT 05672 - LAMOILLE</t>
  </si>
  <si>
    <t>0008F8-1</t>
  </si>
  <si>
    <t>Hirsch, Jane</t>
  </si>
  <si>
    <t>RR1 BOX 784 PUTNEY VT 05346 - WINDHAM</t>
  </si>
  <si>
    <t>0007WP-1</t>
  </si>
  <si>
    <t>Eubanks, Steven</t>
  </si>
  <si>
    <t>2299 STONY BROOK ROAD STOCKBRIDGE VT 05772 - WINDSOR</t>
  </si>
  <si>
    <t>00080K-1</t>
  </si>
  <si>
    <t>Stockbridge Town</t>
  </si>
  <si>
    <t>2299 Stony Brook Road</t>
  </si>
  <si>
    <t>Stockbridge</t>
  </si>
  <si>
    <t>Isabelle, Donald</t>
  </si>
  <si>
    <t>PO BOX 418 PITTSFORD VT 05763 - RUTLAND</t>
  </si>
  <si>
    <t>00082P-1</t>
  </si>
  <si>
    <t>Isabell-Home Yard</t>
  </si>
  <si>
    <t>Isabelle</t>
  </si>
  <si>
    <t>117 Blue Quarry Road</t>
  </si>
  <si>
    <t>Florence</t>
  </si>
  <si>
    <t>Havell, George</t>
  </si>
  <si>
    <t>PO BOX 94 RIPTON VT 05766-0094 - ADDISON</t>
  </si>
  <si>
    <t>0007JQ-1</t>
  </si>
  <si>
    <t>Ripton Town</t>
  </si>
  <si>
    <t>Ripton</t>
  </si>
  <si>
    <t>Spear, Terry</t>
  </si>
  <si>
    <t>STOWE VT 05672 - LAMOILLE</t>
  </si>
  <si>
    <t>0008F5-1</t>
  </si>
  <si>
    <t>Olson, R.e.(dick)</t>
  </si>
  <si>
    <t>757 SCRAG MNT ROAD WAITSFIELD VT 05673 - WASHINGTON</t>
  </si>
  <si>
    <t>000977-1</t>
  </si>
  <si>
    <t>Cobb Hill Co-Housing Community</t>
  </si>
  <si>
    <t>28A LINDEN ROAD HARTLAND VT 05048 - WINDSOR</t>
  </si>
  <si>
    <t>0008F4-1</t>
  </si>
  <si>
    <t>Home - Cobb Hill Cohousing</t>
  </si>
  <si>
    <t>28A Linden Road</t>
  </si>
  <si>
    <t>Rideout, Molly</t>
  </si>
  <si>
    <t>103 LAKEVIEW ROAD SOUTH HERO VT 05486 - GRAND ISLE</t>
  </si>
  <si>
    <t>00093G-1</t>
  </si>
  <si>
    <t>Randall, Greg</t>
  </si>
  <si>
    <t>1772 US ROUTE 7 LEICESTER VT 05733 - ADDISON</t>
  </si>
  <si>
    <t>0008F2-1</t>
  </si>
  <si>
    <t>Leicester Town</t>
  </si>
  <si>
    <t>Greg &amp; Diane Randall</t>
  </si>
  <si>
    <t>1772 US Route 7</t>
  </si>
  <si>
    <t>Leicester</t>
  </si>
  <si>
    <t>Sippel, Richard</t>
  </si>
  <si>
    <t>PO BOX 651 SAXTONS RIVER VT 05154</t>
  </si>
  <si>
    <t>00073Z-1</t>
  </si>
  <si>
    <t>Home - Miller Hill Road</t>
  </si>
  <si>
    <t>Athens Town</t>
  </si>
  <si>
    <t>Athens</t>
  </si>
  <si>
    <t>Jones, Roger</t>
  </si>
  <si>
    <t>121 CLARK AVENUE JOHNSON VT 05656 - LAMOILLE</t>
  </si>
  <si>
    <t>0008DZ-1</t>
  </si>
  <si>
    <t>Perkins, Dan</t>
  </si>
  <si>
    <t>276 W SETTLEMENT ROAD JOHNSON VT 05656 - LAMOILLE</t>
  </si>
  <si>
    <t>0008DY-1</t>
  </si>
  <si>
    <t>off 15</t>
  </si>
  <si>
    <t>Beard, Milton (Tony)</t>
  </si>
  <si>
    <t>1606 BARNES HILL ROAD WATERBURY CENTER VT 05677</t>
  </si>
  <si>
    <t>00084B-1</t>
  </si>
  <si>
    <t>East offRT100 onGuptil</t>
  </si>
  <si>
    <t>(Tony) Beard Milton</t>
  </si>
  <si>
    <t>1606 Barnes Hill Road</t>
  </si>
  <si>
    <t>Kvitek, Harold</t>
  </si>
  <si>
    <t>PO BOX 70 SOUTH NEWFANE VT 05351</t>
  </si>
  <si>
    <t>0008JG-1</t>
  </si>
  <si>
    <t>Austin, Steve</t>
  </si>
  <si>
    <t>PO BOX 101 COVENTRY VT 05855 - ORLEANS</t>
  </si>
  <si>
    <t>0008DP-1</t>
  </si>
  <si>
    <t>Merritt, Celeste</t>
  </si>
  <si>
    <t>16 SLEDDING HILL ROAD BETHEL VT 05032 - WINDSOR</t>
  </si>
  <si>
    <t>0008GF-1</t>
  </si>
  <si>
    <t>Mcdowell, Don</t>
  </si>
  <si>
    <t>JOHNSON VT 05656 - LAMOILLE</t>
  </si>
  <si>
    <t>0008DN-1</t>
  </si>
  <si>
    <t>off School St.</t>
  </si>
  <si>
    <t>Frey, Judy</t>
  </si>
  <si>
    <t>51 MOUNTAIN ROAD WESTFORD VT 05494 - CHITTENDEN</t>
  </si>
  <si>
    <t>0008DM-1</t>
  </si>
  <si>
    <t>Aquacure</t>
  </si>
  <si>
    <t>336 WEST MILTON ROAD MILTON VT 05468 - CHITTENDEN</t>
  </si>
  <si>
    <t>0008NY-1</t>
  </si>
  <si>
    <t>0008NY-2</t>
  </si>
  <si>
    <t>Bishop Road Yard</t>
  </si>
  <si>
    <t>Kuntzelmann, Bernie</t>
  </si>
  <si>
    <t>RD 1 BOX 219 JEFFERSONVILLE VT 05464</t>
  </si>
  <si>
    <t>000899-1</t>
  </si>
  <si>
    <t>Home/big knapp weed field</t>
  </si>
  <si>
    <t>Manchester, Henry</t>
  </si>
  <si>
    <t>PO BOX 304 JOHNSON VT 05656-0304 - LAMOILLE</t>
  </si>
  <si>
    <t>000894-1</t>
  </si>
  <si>
    <t>off 109</t>
  </si>
  <si>
    <t>B's R Us? Apiaries</t>
  </si>
  <si>
    <t>101 RADAR ROAD VICTORY VT 05858 - ESSEX</t>
  </si>
  <si>
    <t>0008N3-1</t>
  </si>
  <si>
    <t>Ed Lund Rd</t>
  </si>
  <si>
    <t>Granby Town</t>
  </si>
  <si>
    <t>Granby</t>
  </si>
  <si>
    <t>000871-2</t>
  </si>
  <si>
    <t>SkrillYd</t>
  </si>
  <si>
    <t>Laidman, Steve</t>
  </si>
  <si>
    <t>606 GOOSE POND ROAD FAIRFAX VT 05454 - FRANKLIN</t>
  </si>
  <si>
    <t>00082J-1</t>
  </si>
  <si>
    <t>2.75 M up Goose Pond Rd from Fairfax Fal</t>
  </si>
  <si>
    <t>0007WA-3</t>
  </si>
  <si>
    <t>Barnes Yd.Raymond Rd</t>
  </si>
  <si>
    <t>Savage</t>
  </si>
  <si>
    <t>Raymond Road</t>
  </si>
  <si>
    <t>Fisher, Dave</t>
  </si>
  <si>
    <t>RFD LUNENBURG VT 05868 - ESSEX</t>
  </si>
  <si>
    <t>0008DF-1</t>
  </si>
  <si>
    <t>off Rt 2</t>
  </si>
  <si>
    <t>Concord Town</t>
  </si>
  <si>
    <t>Concord</t>
  </si>
  <si>
    <t>Miracle, Stephen</t>
  </si>
  <si>
    <t>645 BARNES ROAD MONTPELIER VT 05602 - WASHINGTON</t>
  </si>
  <si>
    <t>0008DD-1</t>
  </si>
  <si>
    <t>Cobb, Jim</t>
  </si>
  <si>
    <t>RFD 1 ORLEANS VT 05860</t>
  </si>
  <si>
    <t>0008DC-1</t>
  </si>
  <si>
    <t>home Revoir Hill</t>
  </si>
  <si>
    <t>Coventry Town</t>
  </si>
  <si>
    <t>Coventry</t>
  </si>
  <si>
    <t>Peck, Stuart E.</t>
  </si>
  <si>
    <t>RR 1 BOX 281 CLYDE STREET NEWPORT VT 05855-9714</t>
  </si>
  <si>
    <t>0008B7-1</t>
  </si>
  <si>
    <t>Logons Rt 5</t>
  </si>
  <si>
    <t>Sproat, Audrey</t>
  </si>
  <si>
    <t>BOX 1320 HOLLAND HILL PUTNEY VT - WINDHAM</t>
  </si>
  <si>
    <t>0008DB-1</t>
  </si>
  <si>
    <t>Scott, Bruce</t>
  </si>
  <si>
    <t>205 FIELDSTONE DRIVE POULTNEY VT 05764 - RUTLAND</t>
  </si>
  <si>
    <t>0008D9-1</t>
  </si>
  <si>
    <t>Columbia, Bob</t>
  </si>
  <si>
    <t>NEWPORT CTR VT 05857</t>
  </si>
  <si>
    <t>0008D8-1</t>
  </si>
  <si>
    <t>Behind hse</t>
  </si>
  <si>
    <t>Sempf, Barbara</t>
  </si>
  <si>
    <t>1618 N MAIN STREET FAIRFAX VT 05454 - FRANKLIN</t>
  </si>
  <si>
    <t>0008D7-1</t>
  </si>
  <si>
    <t>1618 North Main Street</t>
  </si>
  <si>
    <t>Farrar, Donald</t>
  </si>
  <si>
    <t>0008D6-1</t>
  </si>
  <si>
    <t>? call</t>
  </si>
  <si>
    <t>Welna, Louis</t>
  </si>
  <si>
    <t>BOX 4297 MILTON VT 05468 - CHITTENDEN</t>
  </si>
  <si>
    <t>0008D5-1</t>
  </si>
  <si>
    <t>Sodom Rd.</t>
  </si>
  <si>
    <t>Peabody Mountain Apiaries</t>
  </si>
  <si>
    <t>21 TURNER ROAD WESTON VT 05161 - WINDSOR</t>
  </si>
  <si>
    <t>0008Y3-1</t>
  </si>
  <si>
    <t>Woodcock Farm</t>
  </si>
  <si>
    <t>Mark Fisher</t>
  </si>
  <si>
    <t>Rt 100</t>
  </si>
  <si>
    <t>Emmonds, Mark</t>
  </si>
  <si>
    <t>HOLLAND VT - ORLEANS</t>
  </si>
  <si>
    <t>0008D2-1</t>
  </si>
  <si>
    <t>Holland Town</t>
  </si>
  <si>
    <t>Holland</t>
  </si>
  <si>
    <t>Worth, Donald</t>
  </si>
  <si>
    <t>MAPLE ST ISLAND POND VT 05846</t>
  </si>
  <si>
    <t>0008D1-1</t>
  </si>
  <si>
    <t>Maple St</t>
  </si>
  <si>
    <t>Vermont Honey Supply</t>
  </si>
  <si>
    <t>1822 HARWOOD HILL ROAD BENNINGTON VT 05201 - BENNINGTON</t>
  </si>
  <si>
    <t>00073P-1</t>
  </si>
  <si>
    <t>Home 1822 Harwood Hill</t>
  </si>
  <si>
    <t>Esh</t>
  </si>
  <si>
    <t>1822 Harwood Hill Road</t>
  </si>
  <si>
    <t>Rattner, Lisa &amp; Bill</t>
  </si>
  <si>
    <t>2044 PRINDLE ROAD CHARLOTTE VT 05445 - CHITTENDEN</t>
  </si>
  <si>
    <t>0008X9-1</t>
  </si>
  <si>
    <t>Charlotte Town</t>
  </si>
  <si>
    <t>Charlotte</t>
  </si>
  <si>
    <t>Wade, Julie</t>
  </si>
  <si>
    <t>1914 PRINDLE ROAD CHARLOTTE VT 05445 - CHITTENDEN</t>
  </si>
  <si>
    <t>0008W3-1</t>
  </si>
  <si>
    <t>Patell, Carolyn</t>
  </si>
  <si>
    <t>RFD 1 DERBY LINE VT 05830</t>
  </si>
  <si>
    <t>0008CX-1</t>
  </si>
  <si>
    <t>Home ?</t>
  </si>
  <si>
    <t>0007JY-2</t>
  </si>
  <si>
    <t>Feltman Yard</t>
  </si>
  <si>
    <t>Nortontown Road</t>
  </si>
  <si>
    <t>Doloz, Larry</t>
  </si>
  <si>
    <t>GLOVER VT 05839 - ORLEANS</t>
  </si>
  <si>
    <t>0008CQ-1</t>
  </si>
  <si>
    <t>Griffier, Donald</t>
  </si>
  <si>
    <t>E CHARLESTON VT 05833</t>
  </si>
  <si>
    <t>0008CN-1</t>
  </si>
  <si>
    <t>Charleston Town</t>
  </si>
  <si>
    <t>Charleston</t>
  </si>
  <si>
    <t>Likus, Paul</t>
  </si>
  <si>
    <t>2163 GOULDEN RIDGE RD WEATHERSFIELD VT 05156 - WINDSOR</t>
  </si>
  <si>
    <t>00076D-1</t>
  </si>
  <si>
    <t>Devlin, Kerry</t>
  </si>
  <si>
    <t>1355 THRALL ROAD POULTNEY VT 05764 - RUTLAND</t>
  </si>
  <si>
    <t>0008CM-1</t>
  </si>
  <si>
    <t>Waring, Erik</t>
  </si>
  <si>
    <t>273 BACK OF THE MOON ROAD KIRBY VT 05832 - CALEDONIA</t>
  </si>
  <si>
    <t>0008CK-1</t>
  </si>
  <si>
    <t>Waring home yard</t>
  </si>
  <si>
    <t>Erik Waring</t>
  </si>
  <si>
    <t>273 Back of The Moon Road</t>
  </si>
  <si>
    <t>Bruce, William A.</t>
  </si>
  <si>
    <t>PO BOX 157 BAKERSFIELD VT 05441-0157 - FRANKLIN</t>
  </si>
  <si>
    <t>0007MF-1</t>
  </si>
  <si>
    <t>Liley, Clarence</t>
  </si>
  <si>
    <t>BARTON VT 05822 - ORLEANS</t>
  </si>
  <si>
    <t>0008CH-1</t>
  </si>
  <si>
    <t>Lives with Freeheart</t>
  </si>
  <si>
    <t>Barton Town</t>
  </si>
  <si>
    <t>Barton</t>
  </si>
  <si>
    <t>Hazelton, David and Betty</t>
  </si>
  <si>
    <t>BUNKER DUMMERSTON VT - WINDHAM</t>
  </si>
  <si>
    <t>0008CG-1</t>
  </si>
  <si>
    <t>Park Loughton Rd on L. past Bolster's</t>
  </si>
  <si>
    <t>Racine, Charles</t>
  </si>
  <si>
    <t>1708 GROTON ROAD GROTON VT 05046 - CALEDONIA</t>
  </si>
  <si>
    <t>0008CF-1</t>
  </si>
  <si>
    <t>moved to Barnet 4M So. of S. Peacha</t>
  </si>
  <si>
    <t>Palen, Peter</t>
  </si>
  <si>
    <t>ALBANY VT 05820 - ORLEANS</t>
  </si>
  <si>
    <t>00088K-1</t>
  </si>
  <si>
    <t>Linck, David</t>
  </si>
  <si>
    <t>577 WILD BRANCH ROAD CRAFTSBURY VT 05826 - ORLEANS</t>
  </si>
  <si>
    <t>00089K-1</t>
  </si>
  <si>
    <t>Craftsbury Town</t>
  </si>
  <si>
    <t>577 Wild Branch Road</t>
  </si>
  <si>
    <t>Craftsbury</t>
  </si>
  <si>
    <t>Greenleaf, Alan</t>
  </si>
  <si>
    <t>3038 COUNTY ROAD GROTON VT 05046 - CALEDONIA</t>
  </si>
  <si>
    <t>00089W-1</t>
  </si>
  <si>
    <t>Davis Dairy Farm</t>
  </si>
  <si>
    <t>Peacham Town</t>
  </si>
  <si>
    <t>Peacham</t>
  </si>
  <si>
    <t>Wagner, Paul &amp; Shirley</t>
  </si>
  <si>
    <t>RR 2 BOX 132 SHEFFIELD VT 05866 - CALEDONIA</t>
  </si>
  <si>
    <t>0008F7-1</t>
  </si>
  <si>
    <t>has mites 88</t>
  </si>
  <si>
    <t>Sheffield Town</t>
  </si>
  <si>
    <t>Sheffield</t>
  </si>
  <si>
    <t>Clark, Richard</t>
  </si>
  <si>
    <t>6 MAIN ST RAYMOND NH 03077</t>
  </si>
  <si>
    <t>000778-1</t>
  </si>
  <si>
    <t>Crow Hill Orchard also on hill</t>
  </si>
  <si>
    <t>Saint Johnsbury Town</t>
  </si>
  <si>
    <t>Perkins, Victor</t>
  </si>
  <si>
    <t>RR1 BOX 554 BETHEL VT 05032-9724 - WINDSOR</t>
  </si>
  <si>
    <t>0008CD-1</t>
  </si>
  <si>
    <t>Up road/in field opp. house Bethel Road</t>
  </si>
  <si>
    <t>Fraser, Mat</t>
  </si>
  <si>
    <t>397 PERO HILL ROAD THETFORD CENTER VT 05075</t>
  </si>
  <si>
    <t>0007GV-1</t>
  </si>
  <si>
    <t>Reider, Sandy</t>
  </si>
  <si>
    <t>PO BOX 116 SHELBURNE VT 05482 - CHITTENDEN</t>
  </si>
  <si>
    <t>0007KW-1</t>
  </si>
  <si>
    <t>awakening ctr. 2 Harbor Rd.</t>
  </si>
  <si>
    <t>Drake, Chuck</t>
  </si>
  <si>
    <t>PO BOX 21 UNDERHILL VT 05489 - CHITTENDEN</t>
  </si>
  <si>
    <t>0008WP-1</t>
  </si>
  <si>
    <t>0007ZQ-2</t>
  </si>
  <si>
    <t>Marchant Yard</t>
  </si>
  <si>
    <t>Marchant</t>
  </si>
  <si>
    <t>Goose Pond Road</t>
  </si>
  <si>
    <t>Hungerford, Chris</t>
  </si>
  <si>
    <t>750 SWAMP ROAD ENOSBURG FALLS VT 05450</t>
  </si>
  <si>
    <t>000832-1</t>
  </si>
  <si>
    <t>Kennedy, Guy</t>
  </si>
  <si>
    <t>PO BOX 23 9 SOUTH HILL UNDERHILL CENTER VT 05490 - CHITTENDEN</t>
  </si>
  <si>
    <t>00070W-1</t>
  </si>
  <si>
    <t>Kennedy-Home Yard</t>
  </si>
  <si>
    <t>Guy Kennedy</t>
  </si>
  <si>
    <t>9 South Hill</t>
  </si>
  <si>
    <t>Crevier, Franklin</t>
  </si>
  <si>
    <t>8 WOODLAND PLACE S BURLINGTON VT 05401</t>
  </si>
  <si>
    <t>0008CA-1</t>
  </si>
  <si>
    <t>Perkins, Abigail and Vern</t>
  </si>
  <si>
    <t>PO BOX 96 TOWNSHEND VT 05353 - WINDHAM</t>
  </si>
  <si>
    <t>0007C0-1</t>
  </si>
  <si>
    <t>In field across from Alice Wellman hse.</t>
  </si>
  <si>
    <t>Brookline Town</t>
  </si>
  <si>
    <t>Brookline</t>
  </si>
  <si>
    <t>Hurlburt, George</t>
  </si>
  <si>
    <t>BOX 45 NEW HAVEN VT 05472 - ADDISON</t>
  </si>
  <si>
    <t>0008C9-1</t>
  </si>
  <si>
    <t>On North St.</t>
  </si>
  <si>
    <t>Baribault, Tom</t>
  </si>
  <si>
    <t>413 BROWNS TRACE ROAD JERICHO VT 05465 - CHITTENDEN</t>
  </si>
  <si>
    <t>0007HH-1</t>
  </si>
  <si>
    <t>Hudak, Steve</t>
  </si>
  <si>
    <t>769 LAKE SHORE ROAD GREENSBORO VT 05841 - ORLEANS</t>
  </si>
  <si>
    <t>00077D-1</t>
  </si>
  <si>
    <t>Syz, Stephan</t>
  </si>
  <si>
    <t>458 GOULD HILL ROAD MONTPELIER VT 05602 - WASHINGTON</t>
  </si>
  <si>
    <t>00083W-1</t>
  </si>
  <si>
    <t>458 Gould Hill Road</t>
  </si>
  <si>
    <t>Chamberlain, John</t>
  </si>
  <si>
    <t>5431 WEYBRIDGE ROAD WEYBRIDGE VT 05753 - ADDISON</t>
  </si>
  <si>
    <t>0007W4-1</t>
  </si>
  <si>
    <t>Weybridge Town</t>
  </si>
  <si>
    <t>5431 Weybridge Road</t>
  </si>
  <si>
    <t>Weybridge</t>
  </si>
  <si>
    <t>0007JY-3</t>
  </si>
  <si>
    <t>Kayhart Yd</t>
  </si>
  <si>
    <t>Country Club Road</t>
  </si>
  <si>
    <t>Upton, Peter</t>
  </si>
  <si>
    <t>PO BOX 247 WALLINGFORD VT 05773 - RUTLAND</t>
  </si>
  <si>
    <t>000730-1</t>
  </si>
  <si>
    <t>Corbett Yard</t>
  </si>
  <si>
    <t>Randall, Joan</t>
  </si>
  <si>
    <t>301 PROSPER ROAD WOODSTOCK VT 05091 - WINDSOR</t>
  </si>
  <si>
    <t>00077W-1</t>
  </si>
  <si>
    <t>Keene, Peter</t>
  </si>
  <si>
    <t>2208 BACKWAY ROAD CORINTH VT 05039 - ORANGE</t>
  </si>
  <si>
    <t>0007P2-1</t>
  </si>
  <si>
    <t>30 Swamp Road</t>
  </si>
  <si>
    <t>0007WB-5</t>
  </si>
  <si>
    <t>Johnson Nuc Yd.</t>
  </si>
  <si>
    <t>Morgan Horse Farm Rd</t>
  </si>
  <si>
    <t>000871-3</t>
  </si>
  <si>
    <t>Cemetary Yd.</t>
  </si>
  <si>
    <t>Harris, Jase</t>
  </si>
  <si>
    <t>16 CHURCH STREET N SPRINGFIELD VT 05150</t>
  </si>
  <si>
    <t>0007N7-1</t>
  </si>
  <si>
    <t>16 Chruch Street</t>
  </si>
  <si>
    <t>Margolis, Gary</t>
  </si>
  <si>
    <t>SPERRY ST CORNWALL VT 05753 - ADDISON</t>
  </si>
  <si>
    <t>0007NN-1</t>
  </si>
  <si>
    <t>home Sperry Rd.</t>
  </si>
  <si>
    <t>Cota, Robert</t>
  </si>
  <si>
    <t>R2 BOX 3220 BRISTOL VT 05443 - ADDISON</t>
  </si>
  <si>
    <t>0007NP-1</t>
  </si>
  <si>
    <t>x from Tracy Fm. next to Sugar Hse.</t>
  </si>
  <si>
    <t>Bombard, Gary</t>
  </si>
  <si>
    <t>RR1 BOX 202-B WARREN VT 05674</t>
  </si>
  <si>
    <t>0007B2-1</t>
  </si>
  <si>
    <t>Warren Town</t>
  </si>
  <si>
    <t>Warren</t>
  </si>
  <si>
    <t>Price, George H., Jr.</t>
  </si>
  <si>
    <t>196 COWDREY OUTLOOK BETHEL VT 05032 - WINDSOR</t>
  </si>
  <si>
    <t>0007AZ-1</t>
  </si>
  <si>
    <t>Home off Rt12</t>
  </si>
  <si>
    <t>Bourdeau, Brad</t>
  </si>
  <si>
    <t>502 THOMPSON HILL ROAD HYDE PARK VT 05655 - LAMOILLE</t>
  </si>
  <si>
    <t>0007YM-1</t>
  </si>
  <si>
    <t>Bourdeau Construction</t>
  </si>
  <si>
    <t>00070D-4</t>
  </si>
  <si>
    <t>Lewis Hall Farm/Route 73</t>
  </si>
  <si>
    <t>00070D-5</t>
  </si>
  <si>
    <t>Mt. Independence Yard</t>
  </si>
  <si>
    <t>Mt. Independence Road</t>
  </si>
  <si>
    <t>Barlow, Virgina</t>
  </si>
  <si>
    <t>211 JOE LORD ROAD CORINTH VT 05039 - ORANGE</t>
  </si>
  <si>
    <t>0008Y7-1</t>
  </si>
  <si>
    <t>Barlow-Home Yard</t>
  </si>
  <si>
    <t>Virginia Barlow</t>
  </si>
  <si>
    <t>211 Joe Lord Road</t>
  </si>
  <si>
    <t>Dieter, Hermann</t>
  </si>
  <si>
    <t>867 S MAIN NORTHFIELD VT 05663 - WASHINGTON</t>
  </si>
  <si>
    <t>000749-1</t>
  </si>
  <si>
    <t>next to barn on 12A</t>
  </si>
  <si>
    <t>Donovan, Dick</t>
  </si>
  <si>
    <t>95 PINE RIDGE DRIVE PUTNEY VT 05346 - WINDHAM</t>
  </si>
  <si>
    <t>000768-1</t>
  </si>
  <si>
    <t>Pike Hill Apiaries</t>
  </si>
  <si>
    <t>132 ROLLIE DAY ROAD CORINTH VT 05039 - ORANGE</t>
  </si>
  <si>
    <t>000866-1</t>
  </si>
  <si>
    <t>Pierson Yd</t>
  </si>
  <si>
    <t>0007WA-4</t>
  </si>
  <si>
    <t>Slinky Gate Yd.</t>
  </si>
  <si>
    <t>Slinky Gate</t>
  </si>
  <si>
    <t>Watch Point Road</t>
  </si>
  <si>
    <t>00070D-7</t>
  </si>
  <si>
    <t>Castleton Yd</t>
  </si>
  <si>
    <t>RT 4A</t>
  </si>
  <si>
    <t>Clattenburg, Dick</t>
  </si>
  <si>
    <t>1067 CADY HILL ROAD PERKINSVILLE VT 05151</t>
  </si>
  <si>
    <t>000776-1</t>
  </si>
  <si>
    <t>Clattenburg-Home</t>
  </si>
  <si>
    <t>Dick Clattenburg</t>
  </si>
  <si>
    <t>1067 Cady Hill Road</t>
  </si>
  <si>
    <t>Cadwallader, Len</t>
  </si>
  <si>
    <t>RD 1 BOX 409 W HILL ROAD WALLINGFORD VT 05733 - RUTLAND</t>
  </si>
  <si>
    <t>00084A-1</t>
  </si>
  <si>
    <t>On hill by stone wall</t>
  </si>
  <si>
    <t>Maier, Larry</t>
  </si>
  <si>
    <t>137 TWITCHELL HILL NEW HAVEN VT 05472 - ADDISON</t>
  </si>
  <si>
    <t>0008W5-1</t>
  </si>
  <si>
    <t>Beauregard, Marcel</t>
  </si>
  <si>
    <t>32 WILDWOOD DR BURLINGTON VT 05401 - CHITTENDEN</t>
  </si>
  <si>
    <t>0008G9-1</t>
  </si>
  <si>
    <t>Shelburne point</t>
  </si>
  <si>
    <t>Highberg, Paul</t>
  </si>
  <si>
    <t>PO BOX 436 WOODSTOCK VT 05091 - WINDSOR</t>
  </si>
  <si>
    <t>0008C5-1</t>
  </si>
  <si>
    <t>Lang, Lynn, H.</t>
  </si>
  <si>
    <t>405 BROWNS RIVER ROAD ESSEX JUNCTION VT 05452</t>
  </si>
  <si>
    <t>0008C4-1</t>
  </si>
  <si>
    <t>Knapp, Wyness</t>
  </si>
  <si>
    <t>29 SHELDON ROAD MILTON VT 05468 - CHITTENDEN</t>
  </si>
  <si>
    <t>0007BB-1</t>
  </si>
  <si>
    <t>Rose, Doug</t>
  </si>
  <si>
    <t>SEARS ROAD LUDLOW VT 05149 - WINDSOR</t>
  </si>
  <si>
    <t>0008C3-1</t>
  </si>
  <si>
    <t>by hse and at end of field NE corner</t>
  </si>
  <si>
    <t>Kenyon, Thomas</t>
  </si>
  <si>
    <t>PO BOX 3 BROWNSVILLE VT 05037</t>
  </si>
  <si>
    <t>00077M-1</t>
  </si>
  <si>
    <t>West Windsor Town</t>
  </si>
  <si>
    <t>52 Seems Road</t>
  </si>
  <si>
    <t>Brownsville</t>
  </si>
  <si>
    <t>Sparrow, Perley</t>
  </si>
  <si>
    <t>POND ROAD VERNON VT 05354 - WINDHAM</t>
  </si>
  <si>
    <t>0008C2-1</t>
  </si>
  <si>
    <t>Light green hse 1st on L on drive</t>
  </si>
  <si>
    <t>Vernon Town</t>
  </si>
  <si>
    <t>Vernon</t>
  </si>
  <si>
    <t>Wojtowitz, Daniel</t>
  </si>
  <si>
    <t>MILLER ROAD E DUMMERSTON VT 05357</t>
  </si>
  <si>
    <t>0008C1-1</t>
  </si>
  <si>
    <t>Bozetarnik, Martin F.</t>
  </si>
  <si>
    <t>EAST WEST ROAD DUMMERSTON VT 05357 - WINDHAM</t>
  </si>
  <si>
    <t>0007H4-1</t>
  </si>
  <si>
    <t>Kramer, Clarence J.</t>
  </si>
  <si>
    <t>APRIL FOOL FARM CORINTH VT 05039 - ORANGE</t>
  </si>
  <si>
    <t>0008C0-1</t>
  </si>
  <si>
    <t>At summer place in Corinth</t>
  </si>
  <si>
    <t>Drori, Richard</t>
  </si>
  <si>
    <t>196 PINEY BROOK WAY MARLBORO VT 05344 - WINDHAM</t>
  </si>
  <si>
    <t>0008BZ-1</t>
  </si>
  <si>
    <t>2nd dr. N. of Morse's on rt/bear rt</t>
  </si>
  <si>
    <t>Segar, Adrian</t>
  </si>
  <si>
    <t>SUNSET LAKE ROAD MARLBORO VT 05344 - WINDHAM</t>
  </si>
  <si>
    <t>0008BY-1</t>
  </si>
  <si>
    <t>Morse, Jonathan</t>
  </si>
  <si>
    <t>PO BOX 127 MARLBORO VT 05344 - WINDHAM</t>
  </si>
  <si>
    <t>0008BX-1</t>
  </si>
  <si>
    <t>Burdo, Victor</t>
  </si>
  <si>
    <t>RICE FARM ROAD DUMMERSTON VT 05357 - WINDHAM</t>
  </si>
  <si>
    <t>0008BW-1</t>
  </si>
  <si>
    <t>Opp. Doubleday driveway/NE of barn</t>
  </si>
  <si>
    <t>Dyson, Ernest</t>
  </si>
  <si>
    <t>TOWN HIGHWAY 521 ROCKINGHAM VT 05101 - WINDHAM</t>
  </si>
  <si>
    <t>0008BV-1</t>
  </si>
  <si>
    <t>Across cov brdg/by Kussela/.5mi lft</t>
  </si>
  <si>
    <t>Leacock, Alexis</t>
  </si>
  <si>
    <t>970 DUMP ROAD WARREN VT 05674</t>
  </si>
  <si>
    <t>00080A-1</t>
  </si>
  <si>
    <t>Lester, Maura</t>
  </si>
  <si>
    <t>247 DOG TEAM ROAD NEW HAVEN VT 05472 - ADDISON</t>
  </si>
  <si>
    <t>000851-1</t>
  </si>
  <si>
    <t>Pinney, Warren</t>
  </si>
  <si>
    <t>CUMMINGS ROAD BX 53 CHESTER VT 05143 - WINDSOR</t>
  </si>
  <si>
    <t>0008BP-1</t>
  </si>
  <si>
    <t>after Kingdom Valley 5th drive on L</t>
  </si>
  <si>
    <t>Bartlett, Rex</t>
  </si>
  <si>
    <t>HOLLAND ROAD BX 113 E DOVER VT 05341</t>
  </si>
  <si>
    <t>0008BN-1</t>
  </si>
  <si>
    <t>Fire Warden R.at daycare 1st on L.</t>
  </si>
  <si>
    <t>Dover Town</t>
  </si>
  <si>
    <t>Dover</t>
  </si>
  <si>
    <t>Blanchet, Sylvia</t>
  </si>
  <si>
    <t>SCHOOL HILL ROAD EAST DOVER VT 05341</t>
  </si>
  <si>
    <t>0008BM-1</t>
  </si>
  <si>
    <t>moved in 89 to Marlboro call first</t>
  </si>
  <si>
    <t>The Fold Ministries</t>
  </si>
  <si>
    <t>RR2 BOX 46 LYNDONVILLE VT 05851</t>
  </si>
  <si>
    <t>0008DV-1</t>
  </si>
  <si>
    <t>Cornerstone Boy's Homeby Lyndon.St.Coll.</t>
  </si>
  <si>
    <t>Tree of Life Ministries</t>
  </si>
  <si>
    <t>PO BOX 50 BAKERSFIELD VT 05441 - FRANKLIN</t>
  </si>
  <si>
    <t>0007J7-1</t>
  </si>
  <si>
    <t>L'esperance, Mike</t>
  </si>
  <si>
    <t>602 SWAMP ROAD FAIRFIELD VT 05455 - FRANKLIN</t>
  </si>
  <si>
    <t>0008DH-1</t>
  </si>
  <si>
    <t>Dad'sPlace</t>
  </si>
  <si>
    <t>Arms, William</t>
  </si>
  <si>
    <t>HARRINGTON HILL ROAD WESTMINSTER VT 05158 - WINDHAM</t>
  </si>
  <si>
    <t>0008BH-1</t>
  </si>
  <si>
    <t>South of house</t>
  </si>
  <si>
    <t>0007C0-2</t>
  </si>
  <si>
    <t>In field Herbert Dutten Fm.</t>
  </si>
  <si>
    <t>Windham Town</t>
  </si>
  <si>
    <t>Tribou, Chad</t>
  </si>
  <si>
    <t>PO BOX 22 HARTLAND VT 05048 - WINDSOR</t>
  </si>
  <si>
    <t>0007DM-1</t>
  </si>
  <si>
    <t>Davis, Sherwin Z.</t>
  </si>
  <si>
    <t>237 RANDALL HILL ROAD SPRINGFIELD VT 05156 - WINDSOR</t>
  </si>
  <si>
    <t>0007C7-1</t>
  </si>
  <si>
    <t>Howe, Greg</t>
  </si>
  <si>
    <t>146 CONVENT AVE BENNINGTON VT 05201 - BENNINGTON</t>
  </si>
  <si>
    <t>0008CB-1</t>
  </si>
  <si>
    <t>Harris, Mark P.</t>
  </si>
  <si>
    <t>622 WHITNEY ROAD SPRINGFIELD VT 05156 - WINDSOR</t>
  </si>
  <si>
    <t>00078G-1</t>
  </si>
  <si>
    <t>Fox Chair Mountain Orchards</t>
  </si>
  <si>
    <t>Mark Harris</t>
  </si>
  <si>
    <t>622 Whitney Road</t>
  </si>
  <si>
    <t>0007WA-5</t>
  </si>
  <si>
    <t>BaldwinYd</t>
  </si>
  <si>
    <t>Baldwin</t>
  </si>
  <si>
    <t>Davis Road</t>
  </si>
  <si>
    <t>0007BJ-4</t>
  </si>
  <si>
    <t>PavillionRd</t>
  </si>
  <si>
    <t>Lariviere, Jean P.</t>
  </si>
  <si>
    <t>770 VT RTE 244 FAIRLEE VT 05045 - ORANGE</t>
  </si>
  <si>
    <t>0008BF-1</t>
  </si>
  <si>
    <t>770 Vt Rte 244</t>
  </si>
  <si>
    <t>Brakeley, Pete</t>
  </si>
  <si>
    <t>1108 QUARRY ROAD MIDDLEBURY VT 05753 - ADDISON</t>
  </si>
  <si>
    <t>0007KQ-1</t>
  </si>
  <si>
    <t>00089W-2</t>
  </si>
  <si>
    <t>3038 County Road</t>
  </si>
  <si>
    <t>Black River Apiary, Inc.</t>
  </si>
  <si>
    <t>PO BOX 560 DERBY VT 05829 - ORLEANS</t>
  </si>
  <si>
    <t>00084H-1</t>
  </si>
  <si>
    <t>Derby</t>
  </si>
  <si>
    <t>Goldblatt, Alan</t>
  </si>
  <si>
    <t>67 GILSON ROAD HARTLAND VT 05048 - WINDSOR</t>
  </si>
  <si>
    <t>0007KH-1</t>
  </si>
  <si>
    <t>Lemoyne, Kenneth, W.</t>
  </si>
  <si>
    <t>PO BOX 7 DERBY VT 05829 - ORLEANS</t>
  </si>
  <si>
    <t>0008BB-1</t>
  </si>
  <si>
    <t>Mumford, Mark</t>
  </si>
  <si>
    <t>1207 COBB HILL ROAD LINCOLN VT 05443 - ADDISON</t>
  </si>
  <si>
    <t>0008H0-2</t>
  </si>
  <si>
    <t>Alan Karnatz house</t>
  </si>
  <si>
    <t>Allen Karnatz</t>
  </si>
  <si>
    <t>1207 Cobb Hill Road</t>
  </si>
  <si>
    <t>Moore, Bill</t>
  </si>
  <si>
    <t>423 MEADE HILL MORGAN VT 05853 - ORLEANS</t>
  </si>
  <si>
    <t>0008B9-1</t>
  </si>
  <si>
    <t>Bouffard, Ray</t>
  </si>
  <si>
    <t>161 JACKSON ROAD MILTON VT 05468 - CHITTENDEN</t>
  </si>
  <si>
    <t>0008B8-1</t>
  </si>
  <si>
    <t>Morse Farm</t>
  </si>
  <si>
    <t>0008B7-2</t>
  </si>
  <si>
    <t>Home/Upper Clyde</t>
  </si>
  <si>
    <t>Pauquette, Richard</t>
  </si>
  <si>
    <t>PO BOX 232 POULTNEY VT 05764 - RUTLAND</t>
  </si>
  <si>
    <t>0008JH-1</t>
  </si>
  <si>
    <t>Sherman Yard</t>
  </si>
  <si>
    <t>Rupert Town</t>
  </si>
  <si>
    <t>Rupert</t>
  </si>
  <si>
    <t>0008B5-2</t>
  </si>
  <si>
    <t>Milligan, Jerry</t>
  </si>
  <si>
    <t>PO BOX 15 LUDLOW VT 05149 - WINDSOR</t>
  </si>
  <si>
    <t>0007JX-1</t>
  </si>
  <si>
    <t>Boardman, Lance</t>
  </si>
  <si>
    <t>142 CONCORD AVENUE ST JOHNSBURY VT 05819</t>
  </si>
  <si>
    <t>0008B3-1</t>
  </si>
  <si>
    <t>Fortin, Mathieu (Matt) (Fortin's Apiaries) R.</t>
  </si>
  <si>
    <t>495 TRUCK ROUTE ALBURG VT 05440 - GRAND ISLE</t>
  </si>
  <si>
    <t>0008B2-1</t>
  </si>
  <si>
    <t>Alburgh Town</t>
  </si>
  <si>
    <t>Matt Fortin</t>
  </si>
  <si>
    <t>371A West Shore Road</t>
  </si>
  <si>
    <t>Alburg</t>
  </si>
  <si>
    <t>Lane, Jenny</t>
  </si>
  <si>
    <t>2133 GEE HILL ROYALTON VT 05068 - WINDSOR</t>
  </si>
  <si>
    <t>0007CM-1</t>
  </si>
  <si>
    <t>Ely, Janice</t>
  </si>
  <si>
    <t>193 OLD CONCORD ROAD E ST JOHNSBURY VT 05819</t>
  </si>
  <si>
    <t>00079Q-1</t>
  </si>
  <si>
    <t>193 Old Concord Road</t>
  </si>
  <si>
    <t>East St. Johnsbury</t>
  </si>
  <si>
    <t>Bixby, Frank M.</t>
  </si>
  <si>
    <t>NORTH HILL ROAD LUDLOW VT 05149 - WINDSOR</t>
  </si>
  <si>
    <t>0008B0-1</t>
  </si>
  <si>
    <t>Derosia, Victor</t>
  </si>
  <si>
    <t>1219 BIXBY ROAD LUDLOW VT 05149 - WINDSOR</t>
  </si>
  <si>
    <t>0008AZ-1</t>
  </si>
  <si>
    <t>behind garage</t>
  </si>
  <si>
    <t>Coleman, Nelson</t>
  </si>
  <si>
    <t>688 COLEMAN HILL ROAD RAWSONVILLE VT 05155</t>
  </si>
  <si>
    <t>0008AY-1</t>
  </si>
  <si>
    <t>Nelson Coleman Home</t>
  </si>
  <si>
    <t>Nelson Coleman</t>
  </si>
  <si>
    <t>688 Coleman Hill Road</t>
  </si>
  <si>
    <t>Rawsonville</t>
  </si>
  <si>
    <t>0007J5-2</t>
  </si>
  <si>
    <t>Allen, Larry</t>
  </si>
  <si>
    <t>PO BOX 178 WESTMINISTER VT 05158</t>
  </si>
  <si>
    <t>0007J8-1</t>
  </si>
  <si>
    <t>2nd level of 3 level frm/above barn</t>
  </si>
  <si>
    <t>Voorhees, Stephan</t>
  </si>
  <si>
    <t>ROUTE 5 PUTNEY VT 05346 - WINDHAM</t>
  </si>
  <si>
    <t>0007G5-1</t>
  </si>
  <si>
    <t>Opp. Grout's/W Hill Rd/field/2 spot</t>
  </si>
  <si>
    <t>Anderson, Erik</t>
  </si>
  <si>
    <t>PO BOX 364 CHELSEA VT 05038 - ORANGE</t>
  </si>
  <si>
    <t>0007FF-1</t>
  </si>
  <si>
    <t>Nicholson, Karen</t>
  </si>
  <si>
    <t>842 BARNES HILL ROAD STOWE VT 05672 - LAMOILLE</t>
  </si>
  <si>
    <t>0008NV-1</t>
  </si>
  <si>
    <t>Morton, S. Jenne</t>
  </si>
  <si>
    <t>4067 MONKTON ROAD NEW HAVEN VT 05472 - ADDISON</t>
  </si>
  <si>
    <t>0007FN-1</t>
  </si>
  <si>
    <t>Rick Hurlburt Land</t>
  </si>
  <si>
    <t>Benoit, Mary</t>
  </si>
  <si>
    <t>1137 IRON GATE ROAD CAMBRIDGE VT 05444 - LAMOILLE</t>
  </si>
  <si>
    <t>0007GK-1</t>
  </si>
  <si>
    <t>00072K-9</t>
  </si>
  <si>
    <t>Cold Springs Road Yard</t>
  </si>
  <si>
    <t>West Haven Town</t>
  </si>
  <si>
    <t>Cold Spring</t>
  </si>
  <si>
    <t>Cold Springs Road</t>
  </si>
  <si>
    <t>West Haven</t>
  </si>
  <si>
    <t>Pantoine, Frank</t>
  </si>
  <si>
    <t>WALDEN VT 05873 - CALEDONIA</t>
  </si>
  <si>
    <t>0008AF-1</t>
  </si>
  <si>
    <t>Belanger, Beverly</t>
  </si>
  <si>
    <t>RR1 BOX 303 SUTTON VT 05851 - CALEDONIA</t>
  </si>
  <si>
    <t>0008AD-1</t>
  </si>
  <si>
    <t>Welch, Peter</t>
  </si>
  <si>
    <t>218 BULLOCK ROAD GUILFORD VT 05301 - WINDHAM</t>
  </si>
  <si>
    <t>0008AC-1</t>
  </si>
  <si>
    <t>Childs, Daniel</t>
  </si>
  <si>
    <t>1148 KIBBEE ROAD BROOKFIELD VT 05036 - ORANGE</t>
  </si>
  <si>
    <t>00092V-2</t>
  </si>
  <si>
    <t>Khan Yd</t>
  </si>
  <si>
    <t>unknown</t>
  </si>
  <si>
    <t>284 Turkey Hill Road</t>
  </si>
  <si>
    <t>Half Pint Farm</t>
  </si>
  <si>
    <t>214 INTERVALE ROAD BURLINGTON VT 05401 - CHITTENDEN</t>
  </si>
  <si>
    <t>00071Z-1</t>
  </si>
  <si>
    <t>At the Intervale</t>
  </si>
  <si>
    <t>Painter, Ruth</t>
  </si>
  <si>
    <t>688 WILLISTON RD WILLISTON VT 05495 - CHITTENDEN</t>
  </si>
  <si>
    <t>0008A6-1</t>
  </si>
  <si>
    <t>Williston Town</t>
  </si>
  <si>
    <t>Williston</t>
  </si>
  <si>
    <t>Bryan, J.B.</t>
  </si>
  <si>
    <t>298 SALVAS ROAD HUNTINGTON VT 05462 - CHITTENDEN</t>
  </si>
  <si>
    <t>0008Y0-1</t>
  </si>
  <si>
    <t>Willard, Abbey</t>
  </si>
  <si>
    <t>3106 RIDGE ROAD RANDOLPH CTR VT 05061</t>
  </si>
  <si>
    <t>0008A4-1</t>
  </si>
  <si>
    <t>Schwartz, Mary</t>
  </si>
  <si>
    <t>241 MAD TOM ROAD E DORSET VT 05253</t>
  </si>
  <si>
    <t>0008A3-1</t>
  </si>
  <si>
    <t>Laramee, Bill</t>
  </si>
  <si>
    <t>VAIL HILL LYNDONVILLE VT 05851</t>
  </si>
  <si>
    <t>0008A2-1</t>
  </si>
  <si>
    <t>Austin, Jim</t>
  </si>
  <si>
    <t>PUDDING HILL LYNDONVILLE VT 05851</t>
  </si>
  <si>
    <t>0008A1-1</t>
  </si>
  <si>
    <t>Linden Apiaries</t>
  </si>
  <si>
    <t>1 MCLEAN ROAD WALPOLE NH 03608-0165</t>
  </si>
  <si>
    <t>0007N2-1</t>
  </si>
  <si>
    <t>Kestrel Farm(Tom Harlow)</t>
  </si>
  <si>
    <t>Leblanc, Patty</t>
  </si>
  <si>
    <t>HARDWICK VT 05843 - CALEDONIA</t>
  </si>
  <si>
    <t>0008A0-1</t>
  </si>
  <si>
    <t>0007P4-9</t>
  </si>
  <si>
    <t>&lt;heavy&gt;</t>
  </si>
  <si>
    <t>Nichols Farm</t>
  </si>
  <si>
    <t>Nichols</t>
  </si>
  <si>
    <t>Spear St</t>
  </si>
  <si>
    <t>E Charlotte</t>
  </si>
  <si>
    <t>0007P4-10</t>
  </si>
  <si>
    <t>Bean Yd</t>
  </si>
  <si>
    <t>Bean Family</t>
  </si>
  <si>
    <t>Hinesburg - Charlotte Road</t>
  </si>
  <si>
    <t>Polcaro, Lisa</t>
  </si>
  <si>
    <t>126 GRANGER STREET RUTLAND VT 05701</t>
  </si>
  <si>
    <t>0008F0-1</t>
  </si>
  <si>
    <t>Mccoy, Harold</t>
  </si>
  <si>
    <t>RFD HARDWICK VT 05843 - CALEDONIA</t>
  </si>
  <si>
    <t>00089X-1</t>
  </si>
  <si>
    <t>Bridgewarm Hill Road</t>
  </si>
  <si>
    <t>Ginsberg, Hy</t>
  </si>
  <si>
    <t>RR3 BOX 1058 PUTNEY VT 05346 - WINDHAM</t>
  </si>
  <si>
    <t>00081Q-1</t>
  </si>
  <si>
    <t>Warner, Robert</t>
  </si>
  <si>
    <t>EAST RYEGATE VT 05042</t>
  </si>
  <si>
    <t>00089V-1</t>
  </si>
  <si>
    <t>Behind Phils Restaurant Near Pond</t>
  </si>
  <si>
    <t>Watts, David G.</t>
  </si>
  <si>
    <t>PO BOX 61 BOMOSEEN VT 05732 - RUTLAND</t>
  </si>
  <si>
    <t>0008P3-1</t>
  </si>
  <si>
    <t>Holt, Steve</t>
  </si>
  <si>
    <t>7 RANDALL HILL RD ROCKINGHAM VT 05101 - WINDHAM</t>
  </si>
  <si>
    <t>00089M-1</t>
  </si>
  <si>
    <t>off Rt5 Long Dr. behind dish</t>
  </si>
  <si>
    <t>Myrick, Charlie</t>
  </si>
  <si>
    <t>DANVILLE VT 05828 - CALEDONIA</t>
  </si>
  <si>
    <t>00089J-1</t>
  </si>
  <si>
    <t>Pollard, Tom</t>
  </si>
  <si>
    <t>3 DEER AVE ST JOHNSBURY VT 05819</t>
  </si>
  <si>
    <t>00089G-1</t>
  </si>
  <si>
    <t>Kennedy, Lawrence (Jay)</t>
  </si>
  <si>
    <t>613 KING ROAD WOLCOTT VT 05680 - LAMOILLE</t>
  </si>
  <si>
    <t>0007HJ-1</t>
  </si>
  <si>
    <t>Elmore Town</t>
  </si>
  <si>
    <t>Elmore</t>
  </si>
  <si>
    <t>High Meadow Farm</t>
  </si>
  <si>
    <t>4411 CHESTER ARTHUR RD ENOSBURG FALLS VT 05450</t>
  </si>
  <si>
    <t>0008X4-1</t>
  </si>
  <si>
    <t>Lindsay, Airie</t>
  </si>
  <si>
    <t>399 WILD LEEK LANE ST JOHNSBURY VT 05819-8572</t>
  </si>
  <si>
    <t>00089C-1</t>
  </si>
  <si>
    <t>Mowrey, Carl</t>
  </si>
  <si>
    <t>RFD 1 BOX WARDSBORO VT 05355 - WINDHAM</t>
  </si>
  <si>
    <t>0007KV-1</t>
  </si>
  <si>
    <t>0.5M W. of W. Townshend</t>
  </si>
  <si>
    <t>Lanpher, Wendall</t>
  </si>
  <si>
    <t>96 CUTTING HILL WATERVILLE VT 05492 - LAMOILLE</t>
  </si>
  <si>
    <t>000898-1</t>
  </si>
  <si>
    <t>Waterville Town</t>
  </si>
  <si>
    <t>96 Cutting Hill</t>
  </si>
  <si>
    <t>Waterville</t>
  </si>
  <si>
    <t>Bennett, Dallas</t>
  </si>
  <si>
    <t>1765 VT RT 109 WATERVILLE VT 05492 - LAMOILLE</t>
  </si>
  <si>
    <t>000897-1</t>
  </si>
  <si>
    <t>Bees at sugarhouse</t>
  </si>
  <si>
    <t>Dallas Bennett</t>
  </si>
  <si>
    <t>1765 Vermont 109</t>
  </si>
  <si>
    <t>Belvidere</t>
  </si>
  <si>
    <t>Tozloski, Albert H.</t>
  </si>
  <si>
    <t>636 UPPER HOLLOW ROAD STOWE VT 05672 - LAMOILLE</t>
  </si>
  <si>
    <t>000896-1</t>
  </si>
  <si>
    <t>Latham, Shelly</t>
  </si>
  <si>
    <t>7 GREEN LANE NANTUCKET MA 02554</t>
  </si>
  <si>
    <t>00097Q-1</t>
  </si>
  <si>
    <t>Summer camp</t>
  </si>
  <si>
    <t>Palmer, Jean</t>
  </si>
  <si>
    <t>22 JACKSON STEET ESSEX JUNCTION VT 05452</t>
  </si>
  <si>
    <t>00098N-1</t>
  </si>
  <si>
    <t>Schlueter, Max</t>
  </si>
  <si>
    <t>PO BOX 267 NORTHFIELD FALLS VT 05664 - WASHINGTON</t>
  </si>
  <si>
    <t>00098M-1</t>
  </si>
  <si>
    <t>Schlueter-Home Yard</t>
  </si>
  <si>
    <t>Max Schlueter</t>
  </si>
  <si>
    <t>328 RT 12</t>
  </si>
  <si>
    <t>Northfield Falls</t>
  </si>
  <si>
    <t>Bishop, Paul</t>
  </si>
  <si>
    <t>5834 HOLLISTER ROAD MARSHFIELD VT 05658 - WASHINGTON</t>
  </si>
  <si>
    <t>0007X7-1</t>
  </si>
  <si>
    <t>Dead End Farm</t>
  </si>
  <si>
    <t>Meiller, Richard</t>
  </si>
  <si>
    <t>687 BACKWESTMINSTER RD WESTMINSTER ROAD VT 05158</t>
  </si>
  <si>
    <t>00098K-1</t>
  </si>
  <si>
    <t>Sage, Gary</t>
  </si>
  <si>
    <t>PO BOX 613 WILMINGTON VT 05363 - WINDHAM</t>
  </si>
  <si>
    <t>00098J-1</t>
  </si>
  <si>
    <t>Searsburg Town</t>
  </si>
  <si>
    <t>Searsburg</t>
  </si>
  <si>
    <t>Coolidge, John, H.</t>
  </si>
  <si>
    <t>455 COOLIDGE LANE DORSET VT 05251 - BENNINGTON</t>
  </si>
  <si>
    <t>0007XX-1</t>
  </si>
  <si>
    <t>Home Dorset Hollow Road</t>
  </si>
  <si>
    <t>Darling, Malcolm</t>
  </si>
  <si>
    <t>PO BOX 93 S RYEGATE VT 05069</t>
  </si>
  <si>
    <t>0007H1-1</t>
  </si>
  <si>
    <t>378 Farquharson Drive</t>
  </si>
  <si>
    <t>South Ryegate</t>
  </si>
  <si>
    <t>Olsen, Ed</t>
  </si>
  <si>
    <t>20 CAMP ROAD LAKE ELMORE VT 05657</t>
  </si>
  <si>
    <t>000892-1</t>
  </si>
  <si>
    <t>&lt;low-used oxalic acid late fall&gt;</t>
  </si>
  <si>
    <t>Olsen Home Yard</t>
  </si>
  <si>
    <t>Ed Olsen</t>
  </si>
  <si>
    <t>20 Camp Road</t>
  </si>
  <si>
    <t>Lake Elmore</t>
  </si>
  <si>
    <t>Stancliff, Ronald L.</t>
  </si>
  <si>
    <t>P O BOX 457 MORRISVILLE VT 05661</t>
  </si>
  <si>
    <t>000890-1</t>
  </si>
  <si>
    <t>Upper Elmore Rd.</t>
  </si>
  <si>
    <t>00072K-10</t>
  </si>
  <si>
    <t>Wing Yard</t>
  </si>
  <si>
    <t>Bait Shop</t>
  </si>
  <si>
    <t>Stage Road</t>
  </si>
  <si>
    <t>00072K-11</t>
  </si>
  <si>
    <t>Stannard Farm</t>
  </si>
  <si>
    <t>Stannard</t>
  </si>
  <si>
    <t>Goodrich Cross Road</t>
  </si>
  <si>
    <t>French, Harold &amp; Fran</t>
  </si>
  <si>
    <t>5016 ROXBURY ROAD ROXBURY VT 05669-9826 - WASHINGTON</t>
  </si>
  <si>
    <t>00088N-1</t>
  </si>
  <si>
    <t>Rt 12A 1.5M South of Fish Hatchery between hatchery &amp; RR overpass</t>
  </si>
  <si>
    <t>Roxbury Town</t>
  </si>
  <si>
    <t>Roxbury</t>
  </si>
  <si>
    <t>Vaillancourt, Norman</t>
  </si>
  <si>
    <t>87 FISKE ROAD ALBURG VT 05440 - GRAND ISLE</t>
  </si>
  <si>
    <t>0007K1-1</t>
  </si>
  <si>
    <t>Pat VaillancourtFarm</t>
  </si>
  <si>
    <t>Roux, Lloyd Roy</t>
  </si>
  <si>
    <t>673 FERNO ROAD WILLIAMSTOWN VT 05679 - ORANGE</t>
  </si>
  <si>
    <t>00088D-1</t>
  </si>
  <si>
    <t>by 89</t>
  </si>
  <si>
    <t>Williamstown Town</t>
  </si>
  <si>
    <t>Williamstown</t>
  </si>
  <si>
    <t>Barthel, Hank</t>
  </si>
  <si>
    <t>SHAFTSBURY VT - BENNINGTON</t>
  </si>
  <si>
    <t>0008D0-1</t>
  </si>
  <si>
    <t>at Dan Adam's Townline Rd. L.at Whte hse</t>
  </si>
  <si>
    <t>Kish, Edward J.</t>
  </si>
  <si>
    <t>618 HOUSTON HILL ROAD HARDWICK VT 05843 - CALEDONIA</t>
  </si>
  <si>
    <t>0009A3-1</t>
  </si>
  <si>
    <t>Kish-Home Yard</t>
  </si>
  <si>
    <t>Edward Kish</t>
  </si>
  <si>
    <t>618 Houston Road</t>
  </si>
  <si>
    <t>Flies, Richard</t>
  </si>
  <si>
    <t>22 BOYCE ROAD WILLIAMSTOWN VT 05679 - ORANGE</t>
  </si>
  <si>
    <t>000889-1</t>
  </si>
  <si>
    <t>Beyond tennis courts</t>
  </si>
  <si>
    <t>Geer, Bartlett</t>
  </si>
  <si>
    <t>P O BOX 147 WEST FAIRLEE VT 05083 - ORANGE</t>
  </si>
  <si>
    <t>000888-1</t>
  </si>
  <si>
    <t>West Fairlee Town</t>
  </si>
  <si>
    <t>West Fairlee</t>
  </si>
  <si>
    <t>Poulin, Phil</t>
  </si>
  <si>
    <t>487 E ORANGE ROAD WASHINGTON VT 05675 - ORANGE</t>
  </si>
  <si>
    <t>000885-1</t>
  </si>
  <si>
    <t>Davis, Andrew</t>
  </si>
  <si>
    <t>1959 US RT 5 WEST BURKE VT 05871</t>
  </si>
  <si>
    <t>000884-1</t>
  </si>
  <si>
    <t>1959 Us Route 5</t>
  </si>
  <si>
    <t>West Burke</t>
  </si>
  <si>
    <t>0008B5-3</t>
  </si>
  <si>
    <t>Milton Partington home</t>
  </si>
  <si>
    <t>Langdell, Richard</t>
  </si>
  <si>
    <t>235 TOPSHAM-CORINTH RD EAST TOPSHAM VT 05S07-6</t>
  </si>
  <si>
    <t>000882-1</t>
  </si>
  <si>
    <t>Howell, Allen</t>
  </si>
  <si>
    <t>000881-1</t>
  </si>
  <si>
    <t>[f</t>
  </si>
  <si>
    <t>000881-2</t>
  </si>
  <si>
    <t>Swanson, Richard</t>
  </si>
  <si>
    <t>823 MAIN STREET COLCHESTER VT 05446 - CHITTENDEN</t>
  </si>
  <si>
    <t>0008X1-1</t>
  </si>
  <si>
    <t>Leonard, Iris</t>
  </si>
  <si>
    <t>3505 GOSHEN ROAD BRADFORD VT 05033 - ORANGE</t>
  </si>
  <si>
    <t>00087Z-1</t>
  </si>
  <si>
    <t>3505 Goshen Road</t>
  </si>
  <si>
    <t>Akaogi, Linda</t>
  </si>
  <si>
    <t>27 EARTHBRIDGE RD PUTNEY VT 05346 - WINDHAM</t>
  </si>
  <si>
    <t>0007Y0-1</t>
  </si>
  <si>
    <t>Chapman, Craig</t>
  </si>
  <si>
    <t>SPRING ROAD TUNBRIDGE VT 05077 - ORANGE</t>
  </si>
  <si>
    <t>00087W-1</t>
  </si>
  <si>
    <t>Spring Road</t>
  </si>
  <si>
    <t>Wilson, James W.</t>
  </si>
  <si>
    <t>287 PARK PLACE LANE BARNET VT 05046 - CALEDONIA</t>
  </si>
  <si>
    <t>00087Q-1</t>
  </si>
  <si>
    <t>At Too Little Farm</t>
  </si>
  <si>
    <t>Schmit, Elizabeth</t>
  </si>
  <si>
    <t>5115 MOUNTAIN ROAD BRISTOL VT 05443 - ADDISON</t>
  </si>
  <si>
    <t>0008N9-1</t>
  </si>
  <si>
    <t>1st drive</t>
  </si>
  <si>
    <t>Santini, Bob</t>
  </si>
  <si>
    <t>1558 STONE ROAD BROOKFIELD VT 05036 - ORANGE</t>
  </si>
  <si>
    <t>0007WV-1</t>
  </si>
  <si>
    <t>1558 Stone Road</t>
  </si>
  <si>
    <t>0007ZQ-3</t>
  </si>
  <si>
    <t>GodinYd</t>
  </si>
  <si>
    <t>Franklin Town</t>
  </si>
  <si>
    <t>Dodge, James C., Sr.</t>
  </si>
  <si>
    <t>674 NORTH ROAD CASTLETON VT 05735 - RUTLAND</t>
  </si>
  <si>
    <t>00085C-1</t>
  </si>
  <si>
    <t>Bowan Yard</t>
  </si>
  <si>
    <t>Lisaius, Robert</t>
  </si>
  <si>
    <t>PRICKLEY MOUNTAIN ROAD WARREN VT 05674</t>
  </si>
  <si>
    <t>00087J-1</t>
  </si>
  <si>
    <t>Tremblay, David</t>
  </si>
  <si>
    <t>1426 SOUTH HILL ROAD MORETOWN VT 05660 - WASHINGTON</t>
  </si>
  <si>
    <t>00081M-1</t>
  </si>
  <si>
    <t>Holland Yard</t>
  </si>
  <si>
    <t>Moretown Town</t>
  </si>
  <si>
    <t>Moretown</t>
  </si>
  <si>
    <t>00085P-2</t>
  </si>
  <si>
    <t>Yanus-Home Yard</t>
  </si>
  <si>
    <t>Paul Yanus</t>
  </si>
  <si>
    <t>103 Irish Settlement Road</t>
  </si>
  <si>
    <t>Underhill Center</t>
  </si>
  <si>
    <t>Perry, Phoebe</t>
  </si>
  <si>
    <t>HOUGHTON HILL ROAD THETFORD VT 05074 - ORANGE</t>
  </si>
  <si>
    <t>00087F-1</t>
  </si>
  <si>
    <t>Houghton Hill Road</t>
  </si>
  <si>
    <t>Capy, Pierre</t>
  </si>
  <si>
    <t>169 COVEY ROAD BRATTLEBORO VT 05301 - WINDHAM</t>
  </si>
  <si>
    <t>00070K-1</t>
  </si>
  <si>
    <t>Capy-Home Yard</t>
  </si>
  <si>
    <t>Brattleboro Town</t>
  </si>
  <si>
    <t>Pierre Capy</t>
  </si>
  <si>
    <t>169 Covey Road</t>
  </si>
  <si>
    <t>Brattleboro</t>
  </si>
  <si>
    <t>Wetmore, Stephen</t>
  </si>
  <si>
    <t>RFD STRAFFORD VT 05072 - ORANGE</t>
  </si>
  <si>
    <t>00087A-1</t>
  </si>
  <si>
    <t>Home (no bees)</t>
  </si>
  <si>
    <t>0007WA-6</t>
  </si>
  <si>
    <t>Houle Farm</t>
  </si>
  <si>
    <t>Eastman, Rowland C.</t>
  </si>
  <si>
    <t>RT 1 BOX 129 STRAFFORD VT 05072 - ORANGE</t>
  </si>
  <si>
    <t>000876-1</t>
  </si>
  <si>
    <t>Jarmy, David</t>
  </si>
  <si>
    <t>RANDOLPH CENTER VT 05061</t>
  </si>
  <si>
    <t>000875-1</t>
  </si>
  <si>
    <t>Brandon, Carl</t>
  </si>
  <si>
    <t>SOUTH ROYALTON ROAD RANDOLPH CENTER VT 05061</t>
  </si>
  <si>
    <t>000874-1</t>
  </si>
  <si>
    <t>South Royalton Road</t>
  </si>
  <si>
    <t>Spensley, Steve</t>
  </si>
  <si>
    <t>BOX 174 PITTSFORD VT 05763 - RUTLAND</t>
  </si>
  <si>
    <t>000873-1</t>
  </si>
  <si>
    <t>sent in sample 88</t>
  </si>
  <si>
    <t>Smith, Robert E.</t>
  </si>
  <si>
    <t>955 EAGLE POINT ROAD NEWPORT VT 05855</t>
  </si>
  <si>
    <t>000872-1</t>
  </si>
  <si>
    <t>955 Eagle Point Road</t>
  </si>
  <si>
    <t>0008B5-4</t>
  </si>
  <si>
    <t>Brothers House</t>
  </si>
  <si>
    <t>Orange Town</t>
  </si>
  <si>
    <t>Fowler, William</t>
  </si>
  <si>
    <t>RD2 MASON ROAD RANDOLPH VT 05060 - ORANGE</t>
  </si>
  <si>
    <t>000870-1</t>
  </si>
  <si>
    <t>Mason Road</t>
  </si>
  <si>
    <t>Brink, Walter J.</t>
  </si>
  <si>
    <t>WARD HOLLOW ROAD FAYSTON VT 05673 - WASHINGTON</t>
  </si>
  <si>
    <t>00086Z-1</t>
  </si>
  <si>
    <t>Fayston Town</t>
  </si>
  <si>
    <t>Ward Hollow Road</t>
  </si>
  <si>
    <t>Fayston</t>
  </si>
  <si>
    <t>Armstrong, Stephen</t>
  </si>
  <si>
    <t>530 MILLBROOK ROAD FAYSTON VT 05673 - WASHINGTON</t>
  </si>
  <si>
    <t>00086Y-1</t>
  </si>
  <si>
    <t>Armstrong Trucking</t>
  </si>
  <si>
    <t>Steve Armstrong</t>
  </si>
  <si>
    <t>530 Millbrook Road</t>
  </si>
  <si>
    <t>Slayton, Stephen</t>
  </si>
  <si>
    <t>48 NELSON STREET ST JOHNSBURY VT 05819</t>
  </si>
  <si>
    <t>00084K-1</t>
  </si>
  <si>
    <t>Crane land</t>
  </si>
  <si>
    <t>48 Nelson Street</t>
  </si>
  <si>
    <t>Mcknight, Robin</t>
  </si>
  <si>
    <t>PO BOX 163 TOOPSHAM VT 05076</t>
  </si>
  <si>
    <t>0008NJ-1</t>
  </si>
  <si>
    <t>Farnum, Chad</t>
  </si>
  <si>
    <t>35 JOHNSONS CURVE RD EAST DUMMERSTON VT 05346</t>
  </si>
  <si>
    <t>000743-1</t>
  </si>
  <si>
    <t>Scott, Larry</t>
  </si>
  <si>
    <t>6059 RT 5 S NEWBURY VT 05051</t>
  </si>
  <si>
    <t>00086V-1</t>
  </si>
  <si>
    <t>Farm</t>
  </si>
  <si>
    <t>Larry Scott</t>
  </si>
  <si>
    <t>6059 Rte % South</t>
  </si>
  <si>
    <t>Broderick, Patrick</t>
  </si>
  <si>
    <t>1274 POND ROAD JEFFERSONVILLE VT 05464</t>
  </si>
  <si>
    <t>000975-1</t>
  </si>
  <si>
    <t>Mayer, Susan</t>
  </si>
  <si>
    <t>RFD SOUTH RYEGATE VT 05069</t>
  </si>
  <si>
    <t>00086P-1</t>
  </si>
  <si>
    <t>00086K-2</t>
  </si>
  <si>
    <t>Four Corners Farm Route 5 S. of greenhse</t>
  </si>
  <si>
    <t>Chamberlin, Irving</t>
  </si>
  <si>
    <t>RR1 BOX 183 NEWBURY VT 05051 - ORANGE</t>
  </si>
  <si>
    <t>00086J-1</t>
  </si>
  <si>
    <t>Sanborn, William</t>
  </si>
  <si>
    <t>PO BOX 236 BRADFORD VT 05033 - ORANGE</t>
  </si>
  <si>
    <t>00086F-1</t>
  </si>
  <si>
    <t>Brad Nat. Bank next to Williams Fm.</t>
  </si>
  <si>
    <t>Gleason, Robert, W.</t>
  </si>
  <si>
    <t>284 WEYBRIDGE STREET MIDDLEBURY VT 05753-1065 - ADDISON</t>
  </si>
  <si>
    <t>0008NA-1</t>
  </si>
  <si>
    <t>Orch.Run Subdivision</t>
  </si>
  <si>
    <t>Jamieson, Jonathan</t>
  </si>
  <si>
    <t>223 PINE HILL LANE WAITSFIELD VT 05673 - WASHINGTON</t>
  </si>
  <si>
    <t>0008NG-1</t>
  </si>
  <si>
    <t>223 Pine Hill Lane</t>
  </si>
  <si>
    <t>Howe, Adam</t>
  </si>
  <si>
    <t>1242 MYERS ROAD SHAFTSBURY VT 05262 - BENNINGTON</t>
  </si>
  <si>
    <t>0008NN-1</t>
  </si>
  <si>
    <t>Home Yard Stockpile Yard</t>
  </si>
  <si>
    <t>James Howe</t>
  </si>
  <si>
    <t>1242 Meyers Road</t>
  </si>
  <si>
    <t>Young, Neil</t>
  </si>
  <si>
    <t>BOX 270 VILLAGE ROAD EAST CORINTH VT 05040</t>
  </si>
  <si>
    <t>00086A-1</t>
  </si>
  <si>
    <t>Neil Young</t>
  </si>
  <si>
    <t>270 Village Road</t>
  </si>
  <si>
    <t>Meara, Kermit O.</t>
  </si>
  <si>
    <t>EAST CORINTH VT 05040</t>
  </si>
  <si>
    <t>000869-1</t>
  </si>
  <si>
    <t>Henshaw, Wayne</t>
  </si>
  <si>
    <t>101 W THOMAS ROAD LUNENBURG VT 05906 - ESSEX</t>
  </si>
  <si>
    <t>000868-1</t>
  </si>
  <si>
    <t>0.5M from corner W.Thomas&amp;Oregon Rd</t>
  </si>
  <si>
    <t>Hatch, Steve</t>
  </si>
  <si>
    <t>PO BOX NORTHFIELD VT 05663 - WASHINGTON</t>
  </si>
  <si>
    <t>000867-1</t>
  </si>
  <si>
    <t>Barrows Road</t>
  </si>
  <si>
    <t>000866-2</t>
  </si>
  <si>
    <t>Barber, Arlan</t>
  </si>
  <si>
    <t>PIKE HILL ROAD CORINTH VT 05039 - ORANGE</t>
  </si>
  <si>
    <t>000865-1</t>
  </si>
  <si>
    <t>by old leo knapp place</t>
  </si>
  <si>
    <t>Maurice, Armand</t>
  </si>
  <si>
    <t>28 EMERY ROAD ORANGE VT 05641 - ORANGE</t>
  </si>
  <si>
    <t>0008JY-1</t>
  </si>
  <si>
    <t>Northwoods Apiaries</t>
  </si>
  <si>
    <t>2770 LOOP ROAD WESTFIELD VT 05874 - ORLEANS</t>
  </si>
  <si>
    <t>00088H-1</t>
  </si>
  <si>
    <t>T. Collins Yard</t>
  </si>
  <si>
    <t>Collins</t>
  </si>
  <si>
    <t>Collins Mill Road</t>
  </si>
  <si>
    <t>Collette, Norm</t>
  </si>
  <si>
    <t>2283 BACKWAY ROAD CORINTH VT 05039 - ORANGE</t>
  </si>
  <si>
    <t>000861-1</t>
  </si>
  <si>
    <t>000866-3</t>
  </si>
  <si>
    <t>Mallary Farm</t>
  </si>
  <si>
    <t>Fairlee Town</t>
  </si>
  <si>
    <t>Fairlee</t>
  </si>
  <si>
    <t>Copland, James</t>
  </si>
  <si>
    <t>CORINTH VT 05039 - ORANGE</t>
  </si>
  <si>
    <t>00085Z-1</t>
  </si>
  <si>
    <t>Walker, Glenn</t>
  </si>
  <si>
    <t>3678 MUD CITY LOOP MORRISVILLE VT 05661</t>
  </si>
  <si>
    <t>0007A1-1</t>
  </si>
  <si>
    <t>&lt;3/100&gt;</t>
  </si>
  <si>
    <t>Mayoun Yd.</t>
  </si>
  <si>
    <t>Glenn Walker</t>
  </si>
  <si>
    <t>3678 Mud City Loop</t>
  </si>
  <si>
    <t>Snow, Leon</t>
  </si>
  <si>
    <t>WESTERN STREET BROOKFIELD VT 05036 - ORANGE</t>
  </si>
  <si>
    <t>00085X-1</t>
  </si>
  <si>
    <t>Western Street</t>
  </si>
  <si>
    <t>Reynolds, James B.</t>
  </si>
  <si>
    <t>6 TENNEY ROAD MENDON VT 05701 - RUTLAND</t>
  </si>
  <si>
    <t>00085W-1</t>
  </si>
  <si>
    <t>Mendon Town</t>
  </si>
  <si>
    <t>Mendon</t>
  </si>
  <si>
    <t>Parent, Gene</t>
  </si>
  <si>
    <t>2584 NORTHFIELD ROAD BROOKFIELD VT 05036 - ORANGE</t>
  </si>
  <si>
    <t>00085V-1</t>
  </si>
  <si>
    <t>2584 Northfield Road</t>
  </si>
  <si>
    <t>Bingham, Robert</t>
  </si>
  <si>
    <t>64 EAST STREET BRISTOL VT 05443 - ADDISON</t>
  </si>
  <si>
    <t>00085Q-1</t>
  </si>
  <si>
    <t>White, Eric &amp; Penny</t>
  </si>
  <si>
    <t>201 LINE DRIVE CHARLOTTE VT 05445 - CHITTENDEN</t>
  </si>
  <si>
    <t>00086B-1</t>
  </si>
  <si>
    <t>Dunning, Glenn</t>
  </si>
  <si>
    <t>1300 KIBBEE BROOKFIELD VT 05036 - ORANGE</t>
  </si>
  <si>
    <t>00085N-1</t>
  </si>
  <si>
    <t>by Snow</t>
  </si>
  <si>
    <t>Loomis Hill Apiary</t>
  </si>
  <si>
    <t>RR1 BOX 9190 WATERBURY CENTER VT 05677</t>
  </si>
  <si>
    <t>00087N-1</t>
  </si>
  <si>
    <t>Ficher, John N.</t>
  </si>
  <si>
    <t>MAPLE AVENUE FM N POMFRET VT</t>
  </si>
  <si>
    <t>0007PD-1</t>
  </si>
  <si>
    <t>Home new</t>
  </si>
  <si>
    <t>Duclos, Verne</t>
  </si>
  <si>
    <t>242 DUCLOS ROAD RANDOLPH VT 05060 - ORANGE</t>
  </si>
  <si>
    <t>00085J-1</t>
  </si>
  <si>
    <t>242 Duclos Road</t>
  </si>
  <si>
    <t>Pliner, Joel</t>
  </si>
  <si>
    <t>PO BOX 721 WEST RUTLAND VT 05777 - RUTLAND</t>
  </si>
  <si>
    <t>000925-1</t>
  </si>
  <si>
    <t>Outyard</t>
  </si>
  <si>
    <t>Kalmar, Georg</t>
  </si>
  <si>
    <t>PO BOX 415 HARDWICK VT 05843 - CALEDONIA</t>
  </si>
  <si>
    <t>00090H-1</t>
  </si>
  <si>
    <t>Lew-Smith Land</t>
  </si>
  <si>
    <t>Jordon, Cyrus</t>
  </si>
  <si>
    <t>11 LINCOLN AVE MONTPELIER VT 05602 - WASHINGTON</t>
  </si>
  <si>
    <t>00085D-1</t>
  </si>
  <si>
    <t>last hse on Road new 89</t>
  </si>
  <si>
    <t>00085C-2</t>
  </si>
  <si>
    <t>Williams, Jack</t>
  </si>
  <si>
    <t>MERRY MEADOW FARM BRADFORD VT 05033 - ORANGE</t>
  </si>
  <si>
    <t>00085B-1</t>
  </si>
  <si>
    <t>on point</t>
  </si>
  <si>
    <t>Mclaine, Michael P.</t>
  </si>
  <si>
    <t>130 DILLION DRIVE WINDHAM VT 05359 - WINDHAM</t>
  </si>
  <si>
    <t>00085A-1</t>
  </si>
  <si>
    <t>St. Amour, Douglas</t>
  </si>
  <si>
    <t>PO BOX 631 RICHMOND VT 05477 - CHITTENDEN</t>
  </si>
  <si>
    <t>000858-1</t>
  </si>
  <si>
    <t>&lt;I had NO mites on my bottom board. This past summer (2016) so, I did not treat for mites. Previous years mite load was ~100-200 on the bottom board after sugar application&gt;</t>
  </si>
  <si>
    <t>Harold DeGraaf</t>
  </si>
  <si>
    <t>1070 Route 2</t>
  </si>
  <si>
    <t>000743-2</t>
  </si>
  <si>
    <t>Boswell land</t>
  </si>
  <si>
    <t>Westcom, Brenda</t>
  </si>
  <si>
    <t>157 BELVEDERE MNTROAD BAKERSFIELD VT 05441 - FRANKLIN</t>
  </si>
  <si>
    <t>00073F-1</t>
  </si>
  <si>
    <t>Cogan, Patrick S.</t>
  </si>
  <si>
    <t>27 REYNOLDS ROAD MILTON VT 05468 - CHITTENDEN</t>
  </si>
  <si>
    <t>000854-1</t>
  </si>
  <si>
    <t>Koier, Davis</t>
  </si>
  <si>
    <t>RFD 3 BOX 1380 MORRISVILLE VT 05661</t>
  </si>
  <si>
    <t>000855-1</t>
  </si>
  <si>
    <t>Randolph Rd 1/4 M from Rt 100</t>
  </si>
  <si>
    <t>Benson, Patrick</t>
  </si>
  <si>
    <t>EAST HILL ROAD WOLCOTT VT 05680 - LAMOILLE</t>
  </si>
  <si>
    <t>00074G-1</t>
  </si>
  <si>
    <t>RT15</t>
  </si>
  <si>
    <t>Wolcott Town</t>
  </si>
  <si>
    <t>Wolcott</t>
  </si>
  <si>
    <t>Winkler, Heather</t>
  </si>
  <si>
    <t>NE MENTAL HEALTH NEWPORT VT 05885</t>
  </si>
  <si>
    <t>00083V-1</t>
  </si>
  <si>
    <t>call when in area needs help</t>
  </si>
  <si>
    <t>Marschke, Charles, H.</t>
  </si>
  <si>
    <t>53 BEAVER POND ROAD HINESBURG VT 05461 - CHITTENDEN</t>
  </si>
  <si>
    <t>0008NK-1</t>
  </si>
  <si>
    <t>Kennedy, Molly</t>
  </si>
  <si>
    <t>2459 MCCONNELL ROAD BRANDON VT 05733 - RUTLAND</t>
  </si>
  <si>
    <t>000891-1</t>
  </si>
  <si>
    <t>Brandon Town</t>
  </si>
  <si>
    <t>Brandon</t>
  </si>
  <si>
    <t>Morvan, Ray</t>
  </si>
  <si>
    <t>RFD 1 NORTHFIELD VT 05663 - WASHINGTON</t>
  </si>
  <si>
    <t>00084Z-1</t>
  </si>
  <si>
    <t>??? call</t>
  </si>
  <si>
    <t>Miller's Maple</t>
  </si>
  <si>
    <t>RR 1 BOX 101 W DANVILLE VT 05873 - CALEDONIA</t>
  </si>
  <si>
    <t>00084Y-1</t>
  </si>
  <si>
    <t>Munger, Judy</t>
  </si>
  <si>
    <t>PO BOX 1201 NORWICH VT 05055 - WINDSOR</t>
  </si>
  <si>
    <t>00084X-1</t>
  </si>
  <si>
    <t>Goodrich 4 Corners Union Village Rd</t>
  </si>
  <si>
    <t>Nijensohn, Diane</t>
  </si>
  <si>
    <t>6884 VT RT 122 SHEFFIELD VT 05868 - CALEDONIA</t>
  </si>
  <si>
    <t>00091M-1</t>
  </si>
  <si>
    <t>Collins, Albert</t>
  </si>
  <si>
    <t>BOX 68 WEBSTERVILLE VT 05678</t>
  </si>
  <si>
    <t>00084V-1</t>
  </si>
  <si>
    <t>up the Rd. from Snow</t>
  </si>
  <si>
    <t>Wallen, Richard</t>
  </si>
  <si>
    <t>RR 1 BOX 340 BETHEL VT 05032 - WINDSOR</t>
  </si>
  <si>
    <t>00084Q-1</t>
  </si>
  <si>
    <t>Aiken land</t>
  </si>
  <si>
    <t>Reynolds, Allen</t>
  </si>
  <si>
    <t>1132 OLD STAGE ROAD WESTFORD VT 05494 - CHITTENDEN</t>
  </si>
  <si>
    <t>00084N-1</t>
  </si>
  <si>
    <t>Vance, Michael</t>
  </si>
  <si>
    <t>947 NEW BOSTON ROAD ST JOHNSBURY VT 05819</t>
  </si>
  <si>
    <t>00084M-1</t>
  </si>
  <si>
    <t>Fred Westons Bible Hill</t>
  </si>
  <si>
    <t>00084M-2</t>
  </si>
  <si>
    <t>947 New Boston Road</t>
  </si>
  <si>
    <t>000871-4</t>
  </si>
  <si>
    <t>Boles Yd.</t>
  </si>
  <si>
    <t>Abts, Jon</t>
  </si>
  <si>
    <t>PO BOX 55 WASHINGTON VT 05675 - ORANGE</t>
  </si>
  <si>
    <t>0008HP-1</t>
  </si>
  <si>
    <t>Riggie, Marry Ann</t>
  </si>
  <si>
    <t>CLOUGH RDRR1 BX 70 A W BURKE VT 05871</t>
  </si>
  <si>
    <t>00084J-1</t>
  </si>
  <si>
    <t>by Center Pond Rd.</t>
  </si>
  <si>
    <t>Newark Town</t>
  </si>
  <si>
    <t>Newark</t>
  </si>
  <si>
    <t>00084H-2</t>
  </si>
  <si>
    <t>D. Brown/Sias Rd./past Lindsay Rd.</t>
  </si>
  <si>
    <t>00084H-3</t>
  </si>
  <si>
    <t>J Ryan/Derby to Beebe Rd/gravel pit</t>
  </si>
  <si>
    <t>Applebrook Farms, Inc.</t>
  </si>
  <si>
    <t>248 COVEY ROAD WESTFORD VT 05494 - CHITTENDEN</t>
  </si>
  <si>
    <t>00080Q-1</t>
  </si>
  <si>
    <t>Rt 128 just out of town probably mites</t>
  </si>
  <si>
    <t>Roy, Carrie</t>
  </si>
  <si>
    <t>16 CONGER AVE BURLINGTON VT 05401 - CHITTENDEN</t>
  </si>
  <si>
    <t>0008CZ-1</t>
  </si>
  <si>
    <t>Out Yard</t>
  </si>
  <si>
    <t>V. Graaf</t>
  </si>
  <si>
    <t>53 Harrison Ave.</t>
  </si>
  <si>
    <t>Unknown #3</t>
  </si>
  <si>
    <t>BOX 424 STEVENS MILL ROAD RICHFORD VT 05476 - FRANKLIN</t>
  </si>
  <si>
    <t>00089P-1</t>
  </si>
  <si>
    <t>Stevens Mill Road</t>
  </si>
  <si>
    <t>Beard, Bruce</t>
  </si>
  <si>
    <t>1074 CLAY HILL ROAD JOHNSON VT 05656 - LAMOILLE</t>
  </si>
  <si>
    <t>0008J7-1</t>
  </si>
  <si>
    <t>Hilliard, Wayne</t>
  </si>
  <si>
    <t>PO BOX 188 SHAFTSBURY VT 05262 - BENNINGTON</t>
  </si>
  <si>
    <t>00084C-1</t>
  </si>
  <si>
    <t>Cleveland Ave 4rd Hse on L from P.O</t>
  </si>
  <si>
    <t>Bastien, George, F.</t>
  </si>
  <si>
    <t>1747 CORMIER ROAD DANVILLE VT 05828 - CALEDONIA</t>
  </si>
  <si>
    <t>0008W2-1</t>
  </si>
  <si>
    <t>1747 Cormier Road</t>
  </si>
  <si>
    <t>Brown, Dana</t>
  </si>
  <si>
    <t>670 RIDGE ROAD BROOKFIELD VT 05036 - ORANGE</t>
  </si>
  <si>
    <t>000849-1</t>
  </si>
  <si>
    <t>00086K-3</t>
  </si>
  <si>
    <t>By dairy barn</t>
  </si>
  <si>
    <t>Hall, Bob</t>
  </si>
  <si>
    <t>42 LEARY ROAD JERICHO VT 05465 - CHITTENDEN</t>
  </si>
  <si>
    <t>0007ZF-1</t>
  </si>
  <si>
    <t>Hull Home Rt 15 N. of Poker Hill Rd</t>
  </si>
  <si>
    <t>0007ZF-2</t>
  </si>
  <si>
    <t>Klein Home/Skunk Hollow Road</t>
  </si>
  <si>
    <t>Senecal, Maurice</t>
  </si>
  <si>
    <t>1296 HILL ST EXT BERLIN VT 05602 - WASHINGTON</t>
  </si>
  <si>
    <t>000847-1</t>
  </si>
  <si>
    <t>Hanna, Dr. Neil</t>
  </si>
  <si>
    <t>1414 DRUMMOND ST 909 MONTREAL QUE</t>
  </si>
  <si>
    <t>000846-1</t>
  </si>
  <si>
    <t>Home West side of Island</t>
  </si>
  <si>
    <t>Isle La Motte Town</t>
  </si>
  <si>
    <t>Isle Lamotte</t>
  </si>
  <si>
    <t>Leonard, Douglas, R.</t>
  </si>
  <si>
    <t>22 DANA ROAD WOODSTOCK VT 05091 - WINDSOR</t>
  </si>
  <si>
    <t>00083Q-1</t>
  </si>
  <si>
    <t>Bartmess, Kit</t>
  </si>
  <si>
    <t>67 GREENE STREET BURLINGTON VT 05401 - CHITTENDEN</t>
  </si>
  <si>
    <t>000905-1</t>
  </si>
  <si>
    <t>Orleans, Brian</t>
  </si>
  <si>
    <t>237 ROYCE HILL ROAD ORWELL VT 05760 - ADDISON</t>
  </si>
  <si>
    <t>0008YK-1</t>
  </si>
  <si>
    <t>Chartier, Bob</t>
  </si>
  <si>
    <t>PO BOX 172 EAST BARRE VT 05649</t>
  </si>
  <si>
    <t>000819-1</t>
  </si>
  <si>
    <t>Chevalier, Maurice</t>
  </si>
  <si>
    <t>RR 2 BOX 397 SWANTON VT 05448 - FRANKLIN</t>
  </si>
  <si>
    <t>000843-1</t>
  </si>
  <si>
    <t>Lakewood Drive - Home Check bee location</t>
  </si>
  <si>
    <t>Wheelock, Wheatliegh</t>
  </si>
  <si>
    <t>PO BOX 219 ALBURG VT 05440 - GRAND ISLE</t>
  </si>
  <si>
    <t>000842-1</t>
  </si>
  <si>
    <t>Behind house</t>
  </si>
  <si>
    <t>Johnson, Don</t>
  </si>
  <si>
    <t>155 HEATH ROAD HYDE PARK VT 05655 - LAMOILLE</t>
  </si>
  <si>
    <t>000906-1</t>
  </si>
  <si>
    <t>Pillsbury, David</t>
  </si>
  <si>
    <t>25 TOWNLINE RD GRAND ISLE VT 05458 - GRAND ISLE</t>
  </si>
  <si>
    <t>00083Y-1</t>
  </si>
  <si>
    <t>Behind hse. poison ivy</t>
  </si>
  <si>
    <t>00085Q-2</t>
  </si>
  <si>
    <t>Myrick Yard-1M W RT116/117J</t>
  </si>
  <si>
    <t>Vallee, Rod</t>
  </si>
  <si>
    <t>RD 3 BOX 321-A ST ALBANS VT 05478</t>
  </si>
  <si>
    <t>0007JV-1</t>
  </si>
  <si>
    <t>Home by old school house</t>
  </si>
  <si>
    <t>Hartman, Lester</t>
  </si>
  <si>
    <t>BOX 427 HILL FARM ROAD SUNDERLAND VT 05250 - BENNINGTON</t>
  </si>
  <si>
    <t>0008H6-1</t>
  </si>
  <si>
    <t>Sunderland Town</t>
  </si>
  <si>
    <t>Sunderland</t>
  </si>
  <si>
    <t>Congdon, Bernie, Jr.</t>
  </si>
  <si>
    <t>139 POWER HOUSE ROAD CHITTENDEN VT 05737 - RUTLAND</t>
  </si>
  <si>
    <t>00074W-1</t>
  </si>
  <si>
    <t>Chittenden Town</t>
  </si>
  <si>
    <t>00090A-2</t>
  </si>
  <si>
    <t>Picard, Tammy</t>
  </si>
  <si>
    <t>49 PRIVATE ROAD 3 MIDDLESEX VT 05602 - WASHINGTON</t>
  </si>
  <si>
    <t>000844-1</t>
  </si>
  <si>
    <t>Middlesex Town</t>
  </si>
  <si>
    <t>Private Drive #3</t>
  </si>
  <si>
    <t>Middlesex</t>
  </si>
  <si>
    <t>Kahle, Roger</t>
  </si>
  <si>
    <t>RFD 3 BOX 874 PUTNEY VT 05346 - WINDHAM</t>
  </si>
  <si>
    <t>0008H5-1</t>
  </si>
  <si>
    <t>Lane, Mark</t>
  </si>
  <si>
    <t>790 GOULD HILL ROAD MONTPELIER VT 05620 - WASHINGTON</t>
  </si>
  <si>
    <t>000836-1</t>
  </si>
  <si>
    <t>Zak, John D.</t>
  </si>
  <si>
    <t>RR 1 BOX 228 JACK CROSS ROAD SHAFTSBURY VT 05262 - BENNINGTON</t>
  </si>
  <si>
    <t>0008H4-1</t>
  </si>
  <si>
    <t>Lawrence, Kathleen</t>
  </si>
  <si>
    <t>5 OLD TOWN ROAD PUTNEY VT 05346 - WINDHAM</t>
  </si>
  <si>
    <t>0008H3-1</t>
  </si>
  <si>
    <t>Gray, Michael</t>
  </si>
  <si>
    <t>RD 1 BOX 133 SOUTH WOODBURY VT 05650</t>
  </si>
  <si>
    <t>0007W8-1</t>
  </si>
  <si>
    <t>Jewett, Dennis</t>
  </si>
  <si>
    <t>126 VANCOR DRIVE CAMBRIDGE VT 05444 - LAMOILLE</t>
  </si>
  <si>
    <t>0008WJ-1</t>
  </si>
  <si>
    <t>Coffin, Linda</t>
  </si>
  <si>
    <t>173 US RT 2 GRAND ISLE VT 05458 - GRAND ISLE</t>
  </si>
  <si>
    <t>00083P-1</t>
  </si>
  <si>
    <t>Behind Shed</t>
  </si>
  <si>
    <t>Case, Thomas D.</t>
  </si>
  <si>
    <t>PO BOX 8082 BURLINGTON VT 05402 - CHITTENDEN</t>
  </si>
  <si>
    <t>00071A-1</t>
  </si>
  <si>
    <t>Intervale</t>
  </si>
  <si>
    <t>Beaudry, Gerard</t>
  </si>
  <si>
    <t>BOX 58 LOOP ROAD JAY VT 05859 - ORLEANS</t>
  </si>
  <si>
    <t>0008BC-1</t>
  </si>
  <si>
    <t>Jay Town</t>
  </si>
  <si>
    <t>Jay</t>
  </si>
  <si>
    <t>Trask, Claire</t>
  </si>
  <si>
    <t>LITTLE POND RD LONDONDERRY VT 05148 - WINDHAM</t>
  </si>
  <si>
    <t>00088Q-1</t>
  </si>
  <si>
    <t>1st paved L. out of London.1st R.</t>
  </si>
  <si>
    <t>00081Y-2</t>
  </si>
  <si>
    <t>Allard Yd.Lapan Bay</t>
  </si>
  <si>
    <t>Saint Albans Town</t>
  </si>
  <si>
    <t>Allard</t>
  </si>
  <si>
    <t>Lapin Road</t>
  </si>
  <si>
    <t>St. Albans Twn</t>
  </si>
  <si>
    <t>Greenan, Kathleen</t>
  </si>
  <si>
    <t>RD 1 BOX 1520 EAST HARDWICK VT 05836</t>
  </si>
  <si>
    <t>00083M-1</t>
  </si>
  <si>
    <t>Brosseau, Andre</t>
  </si>
  <si>
    <t>109 FAIRFIELD ST ST ALBANS VT 05478</t>
  </si>
  <si>
    <t>00083K-1</t>
  </si>
  <si>
    <t>at Albert Brosseau's Fm near 89</t>
  </si>
  <si>
    <t>Messier, Sam</t>
  </si>
  <si>
    <t>BOX 12 FAIRFIELD VT 05455 - FRANKLIN</t>
  </si>
  <si>
    <t>0007QN-1</t>
  </si>
  <si>
    <t>Champlain Valley Apiaries</t>
  </si>
  <si>
    <t>PO BOX 127 MIDDLEBURY VT 05753 - ADDISON</t>
  </si>
  <si>
    <t>0007K0-1</t>
  </si>
  <si>
    <t>Morses Line</t>
  </si>
  <si>
    <t>Ron Nichols</t>
  </si>
  <si>
    <t>550 Gore Rd</t>
  </si>
  <si>
    <t>Highgate</t>
  </si>
  <si>
    <t>Illenye, Sharon</t>
  </si>
  <si>
    <t>56 LEDGE ROAD 166 BRIGHAM HILL ROAD ESSEX JUNCTION VT 05452</t>
  </si>
  <si>
    <t>000741-1</t>
  </si>
  <si>
    <t>Sheney, Gordon</t>
  </si>
  <si>
    <t>21 FOURTH STREET SWANTON VT 05488 - FRANKLIN</t>
  </si>
  <si>
    <t>00083F-1</t>
  </si>
  <si>
    <t>In back yard</t>
  </si>
  <si>
    <t>Bourjeois, Wayne</t>
  </si>
  <si>
    <t>15 FOURTH STREET SWANTON VT 05488 - FRANKLIN</t>
  </si>
  <si>
    <t>00083C-1</t>
  </si>
  <si>
    <t>@ fathers orchard/W. Swanton/Rt 78</t>
  </si>
  <si>
    <t>O'connor, Robert</t>
  </si>
  <si>
    <t>RD 1 BOX 3450 SHELDON VT 05483 - FRANKLIN</t>
  </si>
  <si>
    <t>00083B-1</t>
  </si>
  <si>
    <t>Chris Brigham land</t>
  </si>
  <si>
    <t>Mcdermet, Stewart &amp; Kris</t>
  </si>
  <si>
    <t>RR 4 BOX 1227 W BRATTLEBORRO VT 05301</t>
  </si>
  <si>
    <t>000841-1</t>
  </si>
  <si>
    <t>Sunset Lake Rd 2.9M R .8M L .2M onR</t>
  </si>
  <si>
    <t>00085P-3</t>
  </si>
  <si>
    <t>Squires Yd.</t>
  </si>
  <si>
    <t>Squires</t>
  </si>
  <si>
    <t>35 Cilley Hill Road</t>
  </si>
  <si>
    <t>0007K0-2</t>
  </si>
  <si>
    <t>Sheldon Yd</t>
  </si>
  <si>
    <t>418 Cook Rd</t>
  </si>
  <si>
    <t>St Albans</t>
  </si>
  <si>
    <t>Silberfarb, Peter</t>
  </si>
  <si>
    <t>287 BRAGG HILL NORWICH VT 05055 - WINDSOR</t>
  </si>
  <si>
    <t>00080Y-1</t>
  </si>
  <si>
    <t>Howland, Dale</t>
  </si>
  <si>
    <t>642 TUCKER HILL ROAD THETFORD CENTER VT 05075</t>
  </si>
  <si>
    <t>0008YN-1</t>
  </si>
  <si>
    <t>Howland Home yard</t>
  </si>
  <si>
    <t>Dale &amp; Cindy Howland</t>
  </si>
  <si>
    <t>642 Tucker Hill Road</t>
  </si>
  <si>
    <t>Reed, Chris</t>
  </si>
  <si>
    <t>1399 CHESTER ARTHUR RD APT 2 FAIRFIELD VT 05455 - FRANKLIN</t>
  </si>
  <si>
    <t>000838-1</t>
  </si>
  <si>
    <t>1399 Chester Arthur Road</t>
  </si>
  <si>
    <t>Lord, Gary</t>
  </si>
  <si>
    <t>419 WEST STREET BROOKFIELD VT 05036 - ORANGE</t>
  </si>
  <si>
    <t>0008YG-1</t>
  </si>
  <si>
    <t>00081Y-5</t>
  </si>
  <si>
    <t>YandowYd</t>
  </si>
  <si>
    <t>Yandow</t>
  </si>
  <si>
    <t>Dunsmore Road</t>
  </si>
  <si>
    <t>00081Y-6</t>
  </si>
  <si>
    <t>Camisa Yard</t>
  </si>
  <si>
    <t>Camisa</t>
  </si>
  <si>
    <t>Brigham</t>
  </si>
  <si>
    <t>Ide, Philip</t>
  </si>
  <si>
    <t>RFD BX 2070 CAMBRIDGE VT 05444 - LAMOILLE</t>
  </si>
  <si>
    <t>000837-1</t>
  </si>
  <si>
    <t>bought hives from tomkins 90</t>
  </si>
  <si>
    <t>0007WB-6</t>
  </si>
  <si>
    <t>Torrey Yard</t>
  </si>
  <si>
    <t>Barnes</t>
  </si>
  <si>
    <t>Lapham Bay Rd</t>
  </si>
  <si>
    <t>O'lena, Harry</t>
  </si>
  <si>
    <t>RR1 BOX 443 ST ALBANS TOWN VT 05478</t>
  </si>
  <si>
    <t>000833-1</t>
  </si>
  <si>
    <t>N. Main St.</t>
  </si>
  <si>
    <t>Saint Albans City</t>
  </si>
  <si>
    <t>St. Albans Cty</t>
  </si>
  <si>
    <t>Costes, George</t>
  </si>
  <si>
    <t>88 HIGH ST ST ALBANS VT 05478</t>
  </si>
  <si>
    <t>000831-1</t>
  </si>
  <si>
    <t>in town behind tennis court</t>
  </si>
  <si>
    <t>Carmola, R. John</t>
  </si>
  <si>
    <t>90 CONGRESS STREET ST ALBANS VT 05478</t>
  </si>
  <si>
    <t>000830-1</t>
  </si>
  <si>
    <t>French Hill Yd</t>
  </si>
  <si>
    <t>Mott, Francis</t>
  </si>
  <si>
    <t>RT 3 LAKE ROAD ST ALBANS VT 05478</t>
  </si>
  <si>
    <t>00082Z-1</t>
  </si>
  <si>
    <t>Roberts, Wayne</t>
  </si>
  <si>
    <t>2155 BARTLETT HILL RD JEFFERSONVILLE VT 05464-9820</t>
  </si>
  <si>
    <t>0008W8-1</t>
  </si>
  <si>
    <t>Landon, William</t>
  </si>
  <si>
    <t>6800 VT RTE 131 PERKINSVILLE VT 05151</t>
  </si>
  <si>
    <t>000845-1</t>
  </si>
  <si>
    <t>Tucker, Paul &amp; Carolyn</t>
  </si>
  <si>
    <t>107 W HILL ROAD LUDLOW VT 05149 - WINDSOR</t>
  </si>
  <si>
    <t>00082V-1</t>
  </si>
  <si>
    <t>Tucker-Home Yard</t>
  </si>
  <si>
    <t>Paul &amp; Carolyn Tucker</t>
  </si>
  <si>
    <t>107 West Hill Road</t>
  </si>
  <si>
    <t>Norris Berry Farm</t>
  </si>
  <si>
    <t>686 DAVIS ROAD HINESBURG VT 05461 - CHITTENDEN</t>
  </si>
  <si>
    <t>00082Q-1</t>
  </si>
  <si>
    <t>HomeFm</t>
  </si>
  <si>
    <t>0008MC-2</t>
  </si>
  <si>
    <t>ClayPtRd</t>
  </si>
  <si>
    <t>Colvin, John</t>
  </si>
  <si>
    <t>1202 W TINMOUTH ROAD WEST RUTLAND VT 05777 - RUTLAND</t>
  </si>
  <si>
    <t>00082N-1</t>
  </si>
  <si>
    <t>Colvin Home Yard</t>
  </si>
  <si>
    <t>Tinmouth Town</t>
  </si>
  <si>
    <t>John Colvin</t>
  </si>
  <si>
    <t>1202 West Tinmouth Road</t>
  </si>
  <si>
    <t>Tinmouth</t>
  </si>
  <si>
    <t>Beers, Timothy, B.</t>
  </si>
  <si>
    <t>RR1 BOX 605 MANCHESTER VT 05255 - BENNINGTON</t>
  </si>
  <si>
    <t>0007QD-1</t>
  </si>
  <si>
    <t>Skating Rink Yard</t>
  </si>
  <si>
    <t>Manchester Town</t>
  </si>
  <si>
    <t>Manchester</t>
  </si>
  <si>
    <t>Sedney, Damian</t>
  </si>
  <si>
    <t>39 KELLEY ROAD UNDERHILL VT 05489-9206 - CHITTENDEN</t>
  </si>
  <si>
    <t>00070V-1</t>
  </si>
  <si>
    <t>39 Kelley Road</t>
  </si>
  <si>
    <t>05489-9206</t>
  </si>
  <si>
    <t>00081Y-7</t>
  </si>
  <si>
    <t>FerlandYd</t>
  </si>
  <si>
    <t>Highgate Town</t>
  </si>
  <si>
    <t>Ferland</t>
  </si>
  <si>
    <t>Carter Hill Road</t>
  </si>
  <si>
    <t>0007ZQ-9</t>
  </si>
  <si>
    <t>RainvilleYd</t>
  </si>
  <si>
    <t>Rainville</t>
  </si>
  <si>
    <t>Urie, Donna</t>
  </si>
  <si>
    <t>3436 RT 100 NEWPORT CENTER VT 05859 - ORLEANS</t>
  </si>
  <si>
    <t>000856-1</t>
  </si>
  <si>
    <t>3436 Route 100</t>
  </si>
  <si>
    <t>Breezy Acres Farm</t>
  </si>
  <si>
    <t>105 S RICHFORD ROAD RICHFORD VT 05476-9654 - FRANKLIN</t>
  </si>
  <si>
    <t>00071K-1</t>
  </si>
  <si>
    <t>Old Cabana Fm</t>
  </si>
  <si>
    <t>0007WA-7</t>
  </si>
  <si>
    <t>Home Stockpile Yard</t>
  </si>
  <si>
    <t>Roland Smith</t>
  </si>
  <si>
    <t>77 Singing Cedars Road</t>
  </si>
  <si>
    <t>Nuissl, Kathryn</t>
  </si>
  <si>
    <t>2007 HILL STREET BERLIN VT 05602 - WASHINGTON</t>
  </si>
  <si>
    <t>0008MA-1</t>
  </si>
  <si>
    <t>Morse, Jason</t>
  </si>
  <si>
    <t>557 OSGOOD HILL ROAD WESTFORD VT 05494 - CHITTENDEN</t>
  </si>
  <si>
    <t>0008QC-1</t>
  </si>
  <si>
    <t>Morse-Home Yard</t>
  </si>
  <si>
    <t>Jason Morse</t>
  </si>
  <si>
    <t>557 Osgood Hill Road</t>
  </si>
  <si>
    <t>Grimes, Jerry</t>
  </si>
  <si>
    <t>50 THURBER DRIVE GUILFORD VT 05301 - WINDHAM</t>
  </si>
  <si>
    <t>0008JC-1</t>
  </si>
  <si>
    <t>Old Roy Thurber Fm</t>
  </si>
  <si>
    <t>Simard, Greg</t>
  </si>
  <si>
    <t>217 CHAMPLAIN STREET SWANTON VT 05488 - FRANKLIN</t>
  </si>
  <si>
    <t>00082C-1</t>
  </si>
  <si>
    <t>&lt;Low&gt;</t>
  </si>
  <si>
    <t>Greg Simard</t>
  </si>
  <si>
    <t>217 Champlain Street</t>
  </si>
  <si>
    <t>0008HF-3</t>
  </si>
  <si>
    <t>Robert Rooks</t>
  </si>
  <si>
    <t>677 Cambridge Road</t>
  </si>
  <si>
    <t>00081Y-8</t>
  </si>
  <si>
    <t>MartinYd</t>
  </si>
  <si>
    <t>Martin</t>
  </si>
  <si>
    <t>1871 Oakland Station Road</t>
  </si>
  <si>
    <t>Olsen, Rodney</t>
  </si>
  <si>
    <t>8 MOUNTAIN VIEW LANE VERGENNES VT 05491 - ADDISON</t>
  </si>
  <si>
    <t>0008WF-1</t>
  </si>
  <si>
    <t>Jack Forques</t>
  </si>
  <si>
    <t>Gaudette, Vito</t>
  </si>
  <si>
    <t>GEORGIA VT 05478 - FRANKLIN</t>
  </si>
  <si>
    <t>00082B-1</t>
  </si>
  <si>
    <t>Meat Plant Rt 7 &amp; 104A</t>
  </si>
  <si>
    <t>Trivento, Gary</t>
  </si>
  <si>
    <t>LAKE SHORE RD GEORGIA VT 05478 - FRANKLIN</t>
  </si>
  <si>
    <t>00082A-1</t>
  </si>
  <si>
    <t>S. of Melville Landing</t>
  </si>
  <si>
    <t>Brunn, Leslie</t>
  </si>
  <si>
    <t>926 HAVERSTRAW ROAD SUFFERN NY 10901-2201</t>
  </si>
  <si>
    <t>00082F-1</t>
  </si>
  <si>
    <t>89 Wellman Road</t>
  </si>
  <si>
    <t>Wheeler, James</t>
  </si>
  <si>
    <t>RFD 3 ST ALBANS VT 05478</t>
  </si>
  <si>
    <t>000829-1</t>
  </si>
  <si>
    <t>.7M N of Georgia Rec. area</t>
  </si>
  <si>
    <t>Morse, Walt</t>
  </si>
  <si>
    <t>176 JENSEN ROAD BARRE VT 05641</t>
  </si>
  <si>
    <t>00088A-1</t>
  </si>
  <si>
    <t>0008DH-2</t>
  </si>
  <si>
    <t>Tim Beamon</t>
  </si>
  <si>
    <t>602 Swamp Road</t>
  </si>
  <si>
    <t>00081Y-9</t>
  </si>
  <si>
    <t>GagneYd</t>
  </si>
  <si>
    <t>Gagne</t>
  </si>
  <si>
    <t>RT 7</t>
  </si>
  <si>
    <t>00081Y-10</t>
  </si>
  <si>
    <t>DeckerYd</t>
  </si>
  <si>
    <t>Decker</t>
  </si>
  <si>
    <t>Decker Road</t>
  </si>
  <si>
    <t>0007ZQ-17</t>
  </si>
  <si>
    <t>Ballard Yard - 1.75 mi.S. of Georgia Cnt</t>
  </si>
  <si>
    <t>Aldon Ballard Farm</t>
  </si>
  <si>
    <t>0007ZQ-18</t>
  </si>
  <si>
    <t>Richards Yard -2 mi.S. of Georgia Plains</t>
  </si>
  <si>
    <t>Richard Farm</t>
  </si>
  <si>
    <t>Maurice, Leo</t>
  </si>
  <si>
    <t>23 GARFIELD AVE BARRE VT 05641</t>
  </si>
  <si>
    <t>00088P-1</t>
  </si>
  <si>
    <t>By Mauric Granite Monuments</t>
  </si>
  <si>
    <t>Jones, Bruce &amp; Sue</t>
  </si>
  <si>
    <t>149 W TROTTIER ROAD SOUTH ROYALTON VT 05068 - WINDSOR</t>
  </si>
  <si>
    <t>000824-1</t>
  </si>
  <si>
    <t>149 Trottier Road</t>
  </si>
  <si>
    <t>Rus, Ivan</t>
  </si>
  <si>
    <t>PO BOX 76 WOODBURY VT 05681 - WASHINGTON</t>
  </si>
  <si>
    <t>00086W-1</t>
  </si>
  <si>
    <t>Run-Home</t>
  </si>
  <si>
    <t>Ivan Rus</t>
  </si>
  <si>
    <t>83 Ainsworth Road</t>
  </si>
  <si>
    <t>Fregeau, Marcel</t>
  </si>
  <si>
    <t>SCOTT RD FRANKLIN VT 05457 - FRANKLIN</t>
  </si>
  <si>
    <t>000822-1</t>
  </si>
  <si>
    <t>above E. Franklin near border</t>
  </si>
  <si>
    <t>Mulac, Vincent J., Jr.</t>
  </si>
  <si>
    <t>386 BROWNS TRACE ROAD JERICHO VT 05465 - CHITTENDEN</t>
  </si>
  <si>
    <t>0008BQ-1</t>
  </si>
  <si>
    <t>Reinhardt, Dennis</t>
  </si>
  <si>
    <t>PO BOX 242 MOSCOW VT 05662</t>
  </si>
  <si>
    <t>0008YZ-1</t>
  </si>
  <si>
    <t>00081Z-3</t>
  </si>
  <si>
    <t>Home River Road?</t>
  </si>
  <si>
    <t>Freeman, Patrick, K.</t>
  </si>
  <si>
    <t>RD 3 BOX 3344 MONTPELIER VT 05602 - WASHINGTON</t>
  </si>
  <si>
    <t>00073N-1</t>
  </si>
  <si>
    <t>Petrak, Thanice</t>
  </si>
  <si>
    <t>408 DOVER ROAD SOUTH NEWFANE VT 05351</t>
  </si>
  <si>
    <t>0008XV-1</t>
  </si>
  <si>
    <t>Geno, Irving</t>
  </si>
  <si>
    <t>HUNTSVILLE ROAD FAIRFAX VT 05454 - FRANKLIN</t>
  </si>
  <si>
    <t>00081W-1</t>
  </si>
  <si>
    <t>Behind house/state trooper</t>
  </si>
  <si>
    <t>0007JY-4</t>
  </si>
  <si>
    <t>Trombley Yard</t>
  </si>
  <si>
    <t>West Street</t>
  </si>
  <si>
    <t>People's Academy School</t>
  </si>
  <si>
    <t>COPLEY BUILDING MORRISVILLE VT 05661</t>
  </si>
  <si>
    <t>000828-1</t>
  </si>
  <si>
    <t>In back field</t>
  </si>
  <si>
    <t>0007QN-2</t>
  </si>
  <si>
    <t>BarryRd</t>
  </si>
  <si>
    <t>00081N-2</t>
  </si>
  <si>
    <t>Home 1.8M E Rte 108X Rte 15</t>
  </si>
  <si>
    <t>Grant, Douglas H.</t>
  </si>
  <si>
    <t>RFD 1 BOX 2830 SHELDON VT 05483 - FRANKLIN</t>
  </si>
  <si>
    <t>00081K-1</t>
  </si>
  <si>
    <t>Howrigan, Richard</t>
  </si>
  <si>
    <t>PO BOX 16 FAIRFIELD VT 05455 - FRANKLIN</t>
  </si>
  <si>
    <t>00081H-1</t>
  </si>
  <si>
    <t>Rt.36</t>
  </si>
  <si>
    <t>Ryan, Eaden</t>
  </si>
  <si>
    <t>2088 VT RT 30 PAWLET VT 05761 - RUTLAND</t>
  </si>
  <si>
    <t>00081G-1</t>
  </si>
  <si>
    <t>Kimball, Adriene</t>
  </si>
  <si>
    <t>5 WORCESTER SQUARE BOSTON MA 02118</t>
  </si>
  <si>
    <t>00081D-1</t>
  </si>
  <si>
    <t>Summer Home</t>
  </si>
  <si>
    <t>Sandgate Town</t>
  </si>
  <si>
    <t>W. Sandgate Road</t>
  </si>
  <si>
    <t>Sandgate</t>
  </si>
  <si>
    <t>Mills, Steven</t>
  </si>
  <si>
    <t>705 RTE 2 EAST DANVILLE VT 05828</t>
  </si>
  <si>
    <t>00081B-3</t>
  </si>
  <si>
    <t>Kitchel Yard</t>
  </si>
  <si>
    <t>Robert &amp; Jane Kitchel</t>
  </si>
  <si>
    <t>81 Walden Hill Road</t>
  </si>
  <si>
    <t>Grant, David</t>
  </si>
  <si>
    <t>PO BOX 416 ENOSBURG FALLS VT 05450</t>
  </si>
  <si>
    <t>00081A-1</t>
  </si>
  <si>
    <t>Willard Mahoney</t>
  </si>
  <si>
    <t>3453 Kittell Road</t>
  </si>
  <si>
    <t>Nation, Cheryl</t>
  </si>
  <si>
    <t>HC 73 BOX 37 WEST FAIRLEE VT 05083 - ORANGE</t>
  </si>
  <si>
    <t>0007PY-1</t>
  </si>
  <si>
    <t>Carpenter, Nicole</t>
  </si>
  <si>
    <t>161 AUSTIN DRIVE 3 BURLINGTON VT 05401 - CHITTENDEN</t>
  </si>
  <si>
    <t>00082K-1</t>
  </si>
  <si>
    <t>At Intervale</t>
  </si>
  <si>
    <t>Heath, David</t>
  </si>
  <si>
    <t>BOX 147 MOUNTAIN ROAD JAY VT 05859 - ORLEANS</t>
  </si>
  <si>
    <t>000815-1</t>
  </si>
  <si>
    <t>N. side RT242</t>
  </si>
  <si>
    <t>Brown, Ann</t>
  </si>
  <si>
    <t>1380 OLD STAGE ROAD WESTFORD VT 05494 - CHITTENDEN</t>
  </si>
  <si>
    <t>000814-1</t>
  </si>
  <si>
    <t>Ann Brown</t>
  </si>
  <si>
    <t>1380 Old Stage Road</t>
  </si>
  <si>
    <t>05494-9792</t>
  </si>
  <si>
    <t>Maynard, Richard</t>
  </si>
  <si>
    <t>RT108 BAKERSFIELD VT 05441 - FRANKLIN</t>
  </si>
  <si>
    <t>000813-1</t>
  </si>
  <si>
    <t>Rt108 9th Hse. S of Rt 36 call</t>
  </si>
  <si>
    <t>Buchanan, Gus</t>
  </si>
  <si>
    <t>4 BALSAM ST BURLINGTON VT 05401 - CHITTENDEN</t>
  </si>
  <si>
    <t>00092C-1</t>
  </si>
  <si>
    <t>Episcopal Diocese of Vermont</t>
  </si>
  <si>
    <t>1 Rock Point Road</t>
  </si>
  <si>
    <t>Mares, Bill</t>
  </si>
  <si>
    <t>429 S WILLARD BURLINGTON VT 05401 - CHITTENDEN</t>
  </si>
  <si>
    <t>000810-2</t>
  </si>
  <si>
    <t>&lt;2%&gt;</t>
  </si>
  <si>
    <t>Mares Home Yard</t>
  </si>
  <si>
    <t>429 South Willard Street</t>
  </si>
  <si>
    <t>Pierce, John</t>
  </si>
  <si>
    <t>300 CHRISTMAS LANE WILLISTON VT 05495 - CHITTENDEN</t>
  </si>
  <si>
    <t>00080Z-1</t>
  </si>
  <si>
    <t>Rosales, Louise</t>
  </si>
  <si>
    <t>28 TARBOX ROAD JERICHO VT 05465 - CHITTENDEN</t>
  </si>
  <si>
    <t>00079M-1</t>
  </si>
  <si>
    <t>RosalesHome Yard</t>
  </si>
  <si>
    <t>Louise Rosales</t>
  </si>
  <si>
    <t>28 Tarbox Road</t>
  </si>
  <si>
    <t>Patton, Elizabeth E.</t>
  </si>
  <si>
    <t>1121 ORCHARD ROAD CHARLOTTE VT 05445 - CHITTENDEN</t>
  </si>
  <si>
    <t>00087M-1</t>
  </si>
  <si>
    <t>Primmer, John</t>
  </si>
  <si>
    <t>536 SCHENKAR ROAD POWNAL VT 05261 - BENNINGTON</t>
  </si>
  <si>
    <t>00079Y-1</t>
  </si>
  <si>
    <t>536 Schenkar Road</t>
  </si>
  <si>
    <t>Bronner, Douglas</t>
  </si>
  <si>
    <t>RD 1 BOX 7050 MORRISVILLE VT 05661</t>
  </si>
  <si>
    <t>0008J2-1</t>
  </si>
  <si>
    <t>Rice, Robert</t>
  </si>
  <si>
    <t>RD 1 BOX 270 WESTFORD VT 05494 - CHITTENDEN</t>
  </si>
  <si>
    <t>00080V-1</t>
  </si>
  <si>
    <t>Home Alabama packages 89</t>
  </si>
  <si>
    <t>Merrill, Steve</t>
  </si>
  <si>
    <t>267 MAIN STREET TROY VT 05859 - ORLEANS</t>
  </si>
  <si>
    <t>0008WV-1</t>
  </si>
  <si>
    <t>NicosiaYd</t>
  </si>
  <si>
    <t>Palm, Warren</t>
  </si>
  <si>
    <t>1096 LAKE RD MILTON VT 05468 - CHITTENDEN</t>
  </si>
  <si>
    <t>00080P-1</t>
  </si>
  <si>
    <t>Heyer, Lyndall</t>
  </si>
  <si>
    <t>5039 MOUNTAIN ROAD STOWE VT 05672 - LAMOILLE</t>
  </si>
  <si>
    <t>00070X-1</t>
  </si>
  <si>
    <t>Sorenson, Eric</t>
  </si>
  <si>
    <t>885 PECK HILL ROAD E CALIS VT 05650-8014</t>
  </si>
  <si>
    <t>00086N-1</t>
  </si>
  <si>
    <t>Calais Town</t>
  </si>
  <si>
    <t>Calais-adamant</t>
  </si>
  <si>
    <t>Bunnell, Colleen</t>
  </si>
  <si>
    <t>301 BEAR TRAP ROAD MILTON VT 05468 - CHITTENDEN</t>
  </si>
  <si>
    <t>00080M-1</t>
  </si>
  <si>
    <t>0007GB-2</t>
  </si>
  <si>
    <t>Brush Hill Road</t>
  </si>
  <si>
    <t>Tompkins, Enoch</t>
  </si>
  <si>
    <t>104 FALLS ROAD SHELBURNE VT 05482 - CHITTENDEN</t>
  </si>
  <si>
    <t>00080H-1</t>
  </si>
  <si>
    <t>Yandow, David</t>
  </si>
  <si>
    <t>163 OLD STAGE ROAD ESSEX JUNCTION VT 05452</t>
  </si>
  <si>
    <t>0007Y2-1</t>
  </si>
  <si>
    <t>0007K0-6</t>
  </si>
  <si>
    <t>Kwiniaska</t>
  </si>
  <si>
    <t>Bob Clark</t>
  </si>
  <si>
    <t>4947 Spear St</t>
  </si>
  <si>
    <t>0007C0-3</t>
  </si>
  <si>
    <t>Dutton Berry Fm. next to brook</t>
  </si>
  <si>
    <t>Burnham, Kelly</t>
  </si>
  <si>
    <t>FERRIS STREET N HYDE PARK VT</t>
  </si>
  <si>
    <t>00080F-1</t>
  </si>
  <si>
    <t>Home Alabama bees 90</t>
  </si>
  <si>
    <t>Madison, Dr. James</t>
  </si>
  <si>
    <t>2183 DORSET ST SHELBURNE VT 05482 - CHITTENDEN</t>
  </si>
  <si>
    <t>00080D-1</t>
  </si>
  <si>
    <t>Peck, Mark</t>
  </si>
  <si>
    <t>PO BOX 428 BROOKFIELD VT 05036 - ORANGE</t>
  </si>
  <si>
    <t>00079Z-1</t>
  </si>
  <si>
    <t>Home near I-89</t>
  </si>
  <si>
    <t>0007X7-2</t>
  </si>
  <si>
    <t>5834 Hollister Road</t>
  </si>
  <si>
    <t>Curtis, Louis</t>
  </si>
  <si>
    <t>SHOREHAM DEPOT ROAD SHOREHAM VT 05770 - ADDISON</t>
  </si>
  <si>
    <t>0008AM-1</t>
  </si>
  <si>
    <t>Davis, Ben</t>
  </si>
  <si>
    <t>1748 BAILEY HAZEN ROAD EAST HARDWICK VT 05836</t>
  </si>
  <si>
    <t>0008J5-1</t>
  </si>
  <si>
    <t>Mandy Howe land</t>
  </si>
  <si>
    <t>0007WA-8</t>
  </si>
  <si>
    <t>Degree Yd</t>
  </si>
  <si>
    <t>Shriner, Dr. W.l. (bud)</t>
  </si>
  <si>
    <t>37 NORTH PROSPECT ST BURLINGTON VT 05401 - CHITTENDEN</t>
  </si>
  <si>
    <t>000809-1</t>
  </si>
  <si>
    <t>Clark Fm.</t>
  </si>
  <si>
    <t>King, Tim, Honey Dew Homestead</t>
  </si>
  <si>
    <t>1372 OLD STAGE ROAD WILLISTON VT 05495 - CHITTENDEN</t>
  </si>
  <si>
    <t>00082Y-1</t>
  </si>
  <si>
    <t>&lt;M-Hi&gt;</t>
  </si>
  <si>
    <t>King Home Yard</t>
  </si>
  <si>
    <t>Tim King</t>
  </si>
  <si>
    <t>1372 Old Stage Road</t>
  </si>
  <si>
    <t>Cantin, Tom</t>
  </si>
  <si>
    <t>1346 COLBY ROAD LUNENBURG VT 05906 - ESSEX</t>
  </si>
  <si>
    <t>0007GY-1</t>
  </si>
  <si>
    <t>Labounty Yd</t>
  </si>
  <si>
    <t>Poly, Dennis</t>
  </si>
  <si>
    <t>THEODORE ST RICHMOND VT 05477 - CHITTENDEN</t>
  </si>
  <si>
    <t>000805-1</t>
  </si>
  <si>
    <t>0008J5-2</t>
  </si>
  <si>
    <t>Larry Hubner land</t>
  </si>
  <si>
    <t>Tolman, Frederick</t>
  </si>
  <si>
    <t>PO BOX 143 LYNDON VT 05849 - CALEDONIA</t>
  </si>
  <si>
    <t>0007VZ-1</t>
  </si>
  <si>
    <t>Home - S. Wheelock Road</t>
  </si>
  <si>
    <t>Dennis, Karl</t>
  </si>
  <si>
    <t>STAR RTE HUNTINGTON AC RICHMOND VT 05477 - CHITTENDEN</t>
  </si>
  <si>
    <t>000803-1</t>
  </si>
  <si>
    <t>Copp, Larry</t>
  </si>
  <si>
    <t>HILLVIEW RD RICHMOND VT 05477 - CHITTENDEN</t>
  </si>
  <si>
    <t>000802-1</t>
  </si>
  <si>
    <t>Blueberry Fm.</t>
  </si>
  <si>
    <t>Suursoo, Derick</t>
  </si>
  <si>
    <t>240 SUURSOO ROAD CHESTER VT 05143 - WINDSOR</t>
  </si>
  <si>
    <t>000801-1</t>
  </si>
  <si>
    <t>240 Suursoo Road</t>
  </si>
  <si>
    <t>Hutkins, Peter</t>
  </si>
  <si>
    <t>SUURSOO ROAD CHESTER VT 05143 - WINDSOR</t>
  </si>
  <si>
    <t>0007ZZ-1</t>
  </si>
  <si>
    <t>Way, George</t>
  </si>
  <si>
    <t>629 RT 7 MILTON VT 05468 - CHITTENDEN</t>
  </si>
  <si>
    <t>000800-1</t>
  </si>
  <si>
    <t>Home Rt 7</t>
  </si>
  <si>
    <t>Osborne, Melvin</t>
  </si>
  <si>
    <t>1690 CARPENTER HILL RD GUILFORD VT 05301 - WINDHAM</t>
  </si>
  <si>
    <t>0007ZP-1</t>
  </si>
  <si>
    <t>Plunkett, Geoffrey</t>
  </si>
  <si>
    <t>460 WESTFORD ROAD MILTON VT 05468 - CHITTENDEN</t>
  </si>
  <si>
    <t>0007ZY-1</t>
  </si>
  <si>
    <t>Littlefield, Charles</t>
  </si>
  <si>
    <t>BEAR TRAP ROAD MILTON VT 05468 - CHITTENDEN</t>
  </si>
  <si>
    <t>0007ZX-1</t>
  </si>
  <si>
    <t>Gordon, John</t>
  </si>
  <si>
    <t>170 RACINE ROAD MILTON VT 05468 - CHITTENDEN</t>
  </si>
  <si>
    <t>0007ZV-1</t>
  </si>
  <si>
    <t>check 90 with George Way</t>
  </si>
  <si>
    <t>0007ZQ-19</t>
  </si>
  <si>
    <t>Bartlett Farm</t>
  </si>
  <si>
    <t>maranse rd</t>
  </si>
  <si>
    <t>georgia</t>
  </si>
  <si>
    <t>Beaudoin, Theodore</t>
  </si>
  <si>
    <t>262 MIDDLE ROAD MILTON VT 05468 - CHITTENDEN</t>
  </si>
  <si>
    <t>0007ZN-1</t>
  </si>
  <si>
    <t>McKay Farm/Sunset Hill Road</t>
  </si>
  <si>
    <t>0007ZN-2</t>
  </si>
  <si>
    <t>Cadreact, Harold</t>
  </si>
  <si>
    <t>MAIN STREET MILTON VT 05468 - CHITTENDEN</t>
  </si>
  <si>
    <t>0007ZM-1</t>
  </si>
  <si>
    <t>Voglemann, Hub</t>
  </si>
  <si>
    <t>24 SCHILLHAMMER ROAD JERICHO VT 05465 - CHITTENDEN</t>
  </si>
  <si>
    <t>0007ZK-1</t>
  </si>
  <si>
    <t>Pierce, Hugh</t>
  </si>
  <si>
    <t>39 PINEHURST DR JERICHO VT 05465 - CHITTENDEN</t>
  </si>
  <si>
    <t>0007ZJ-1</t>
  </si>
  <si>
    <t>off Packard</t>
  </si>
  <si>
    <t>Draper, Reginal</t>
  </si>
  <si>
    <t>WEST RD TROY VT 05868 - ORLEANS</t>
  </si>
  <si>
    <t>00084P-1</t>
  </si>
  <si>
    <t>Mulligan, Dan</t>
  </si>
  <si>
    <t>204 BEAVER MEADOW ROAD MARSHFIELD VT 05658 - WASHINGTON</t>
  </si>
  <si>
    <t>0007ZG-1</t>
  </si>
  <si>
    <t>0007ZF-3</t>
  </si>
  <si>
    <t>Wright, Milo, G.</t>
  </si>
  <si>
    <t>HCR 1 BOX 39 GLOVER VT 05822 - ORLEANS</t>
  </si>
  <si>
    <t>0007ZD-1</t>
  </si>
  <si>
    <t>0007GW-2</t>
  </si>
  <si>
    <t>Dan McKean</t>
  </si>
  <si>
    <t>320 West Street</t>
  </si>
  <si>
    <t>PA</t>
  </si>
  <si>
    <t>Mckeown, John</t>
  </si>
  <si>
    <t>51 SANDHILL ROAD ESSEX VT 05451 - CHITTENDEN</t>
  </si>
  <si>
    <t>00083H-1</t>
  </si>
  <si>
    <t>Whitcomb Yd.</t>
  </si>
  <si>
    <t>Ross, Kip</t>
  </si>
  <si>
    <t>23 CENTER ROAD HYDE PARK VT 05655 - LAMOILLE</t>
  </si>
  <si>
    <t>0007Z9-1</t>
  </si>
  <si>
    <t>Kip Ross</t>
  </si>
  <si>
    <t>23 Center Road</t>
  </si>
  <si>
    <t>Moulton, Rick Milinda</t>
  </si>
  <si>
    <t>HUNTINGTON VT 05462 - CHITTENDEN</t>
  </si>
  <si>
    <t>0007Z8-1</t>
  </si>
  <si>
    <t>Home ???</t>
  </si>
  <si>
    <t>Miles, Florence</t>
  </si>
  <si>
    <t>315 SHAKER MOUNTAIN RD HUNINGTON VT 05462</t>
  </si>
  <si>
    <t>0007Z7-1</t>
  </si>
  <si>
    <t>Cobb Brook Gardens</t>
  </si>
  <si>
    <t>Read, Ellen B.</t>
  </si>
  <si>
    <t>83 READ LANE ST ALBANS VT 05478</t>
  </si>
  <si>
    <t>0008W4-1</t>
  </si>
  <si>
    <t>Bogie, Sherm</t>
  </si>
  <si>
    <t>RR1 BOX 26 E RYEGATE VT 05042</t>
  </si>
  <si>
    <t>00089Q-1</t>
  </si>
  <si>
    <t>Olmstead, Matt</t>
  </si>
  <si>
    <t>3500 MIDDLE ROAD FRANKLIN VT 05457 - FRANKLIN</t>
  </si>
  <si>
    <t>0007CX-1</t>
  </si>
  <si>
    <t>3500 Middle Road</t>
  </si>
  <si>
    <t>Mountain Valley Farm</t>
  </si>
  <si>
    <t>1719 COMMON ROAD WAITSFIELD VT 05673 - WASHINGTON</t>
  </si>
  <si>
    <t>00070H-1</t>
  </si>
  <si>
    <t>Mountain Valley Farm-Home Yard</t>
  </si>
  <si>
    <t>1719 Common Road</t>
  </si>
  <si>
    <t>Russell, Steve</t>
  </si>
  <si>
    <t>CHARLOTTE RD HINESBURG VT 05461 - CHITTENDEN</t>
  </si>
  <si>
    <t>0007Z1-1</t>
  </si>
  <si>
    <t>Robinson, Reginald</t>
  </si>
  <si>
    <t>RR3 BOX 665 BUCK HILL ROAD HINESBURG VT 05462 - CHITTENDEN</t>
  </si>
  <si>
    <t>0007Z0-1</t>
  </si>
  <si>
    <t>Home bald brood 89</t>
  </si>
  <si>
    <t>Nilan, Clement</t>
  </si>
  <si>
    <t>143 MORSE DRIVE SHELBURNE VT 05482 - CHITTENDEN</t>
  </si>
  <si>
    <t>0007VN-1</t>
  </si>
  <si>
    <t>Plante, Bob</t>
  </si>
  <si>
    <t>BIRCHWOOD DRIVE HINESBURG VT 05461 - CHITTENDEN</t>
  </si>
  <si>
    <t>0007YZ-1</t>
  </si>
  <si>
    <t>Lost Nation Farm Apiary</t>
  </si>
  <si>
    <t>46 LOST NATION ROAD ESSEX JUNCTION VT 05452</t>
  </si>
  <si>
    <t>0008N6-2</t>
  </si>
  <si>
    <t>Potasiewicz-Home Yard</t>
  </si>
  <si>
    <t>Kevin Potasiewicz</t>
  </si>
  <si>
    <t>46 Lost Nation Road</t>
  </si>
  <si>
    <t>Essex Junction</t>
  </si>
  <si>
    <t>Shane, John</t>
  </si>
  <si>
    <t>CAMELS HUMP RD DUXBURY VT 05676 - WASHINGTON</t>
  </si>
  <si>
    <t>0007YX-1</t>
  </si>
  <si>
    <t>Duxbury Town</t>
  </si>
  <si>
    <t>Duxbury</t>
  </si>
  <si>
    <t>Mainer, Raymond</t>
  </si>
  <si>
    <t>319 FLETCHER FARM ROAD HINESBURG VT 05461 - CHITTENDEN</t>
  </si>
  <si>
    <t>0007YW-1</t>
  </si>
  <si>
    <t>319 Fletcher Farm Road</t>
  </si>
  <si>
    <t>Lucia, Kelly</t>
  </si>
  <si>
    <t>BOX 241 HINESBURG VT 05461 - CHITTENDEN</t>
  </si>
  <si>
    <t>0007YV-1</t>
  </si>
  <si>
    <t>turn E. off Rt 116 by Store</t>
  </si>
  <si>
    <t>Forman, Tim</t>
  </si>
  <si>
    <t>RD 1 BOX 184 PLAINS ROAD SALISBURY VT 05769 - ADDISON</t>
  </si>
  <si>
    <t>0008BG-1</t>
  </si>
  <si>
    <t>Salisbury Town</t>
  </si>
  <si>
    <t>Salisbury</t>
  </si>
  <si>
    <t>Hunter, Rollin</t>
  </si>
  <si>
    <t>NORTH RD HINESBURG VT 05461 - CHITTENDEN</t>
  </si>
  <si>
    <t>0007YQ-1</t>
  </si>
  <si>
    <t>0007YP-2</t>
  </si>
  <si>
    <t>Emmons, Ernest</t>
  </si>
  <si>
    <t>HINES ROAD HINESBURG VT 05461 - CHITTENDEN</t>
  </si>
  <si>
    <t>0007YN-1</t>
  </si>
  <si>
    <t>Off Route 116/Hines Road</t>
  </si>
  <si>
    <t>Martin, Timothy</t>
  </si>
  <si>
    <t>864 CROSS ROAD WEST RUTLAND VT 05777 - RUTLAND</t>
  </si>
  <si>
    <t>0008VG-1</t>
  </si>
  <si>
    <t>Ira Town</t>
  </si>
  <si>
    <t>Ira</t>
  </si>
  <si>
    <t>Sullivan, Tim</t>
  </si>
  <si>
    <t>PO BOX 487 STOWE VT 05672 - LAMOILLE</t>
  </si>
  <si>
    <t>00090M-1</t>
  </si>
  <si>
    <t>At John Sullivan's</t>
  </si>
  <si>
    <t>Sperlang, Julie</t>
  </si>
  <si>
    <t>PO BOX 1041 MIDDLETOWN SPRINGS VT 05757 - RUTLAND</t>
  </si>
  <si>
    <t>00096Q-1</t>
  </si>
  <si>
    <t>Bakehouse land</t>
  </si>
  <si>
    <t>Bent, Vincent</t>
  </si>
  <si>
    <t>DAVIS ROAD MONKTON VT 05461 - ADDISON</t>
  </si>
  <si>
    <t>0007YK-1</t>
  </si>
  <si>
    <t>Home??</t>
  </si>
  <si>
    <t>0007YJ-2</t>
  </si>
  <si>
    <t>RT 15-fieldXLamell Lumber</t>
  </si>
  <si>
    <t>Surprenant, Robert</t>
  </si>
  <si>
    <t>119 SKUNK HOLLOW ROAD JERICHO VT 05465-3034 - CHITTENDEN</t>
  </si>
  <si>
    <t>0007YH-1</t>
  </si>
  <si>
    <t>Gildensleeve, Brian</t>
  </si>
  <si>
    <t>1216 DARLING HILL ROAD VERSHIRE VT 05079 - ORANGE</t>
  </si>
  <si>
    <t>000864-1</t>
  </si>
  <si>
    <t>At Bob's Repair</t>
  </si>
  <si>
    <t>Leriche, Leopold</t>
  </si>
  <si>
    <t>280 LERICH ROAD HYDE PARK VT 05655 - LAMOILLE</t>
  </si>
  <si>
    <t>0007YF-1</t>
  </si>
  <si>
    <t>0007YQ-2</t>
  </si>
  <si>
    <t>French Fm. next farm S. of Baldwin Fm.</t>
  </si>
  <si>
    <t>Lafountain, Stanley</t>
  </si>
  <si>
    <t>11 PIONEER STREET ESSEX VT 05451 - CHITTENDEN</t>
  </si>
  <si>
    <t>0007YD-1</t>
  </si>
  <si>
    <t>000743-3</t>
  </si>
  <si>
    <t>Tony Farnum land</t>
  </si>
  <si>
    <t>Holzschuh, Jim</t>
  </si>
  <si>
    <t>89 E SHORE ROAD SOUTH HERO VT 05486 - GRAND ISLE</t>
  </si>
  <si>
    <t>0007YC-1</t>
  </si>
  <si>
    <t>Lavery Fm. next to new hse in field</t>
  </si>
  <si>
    <t>0007YM-2</t>
  </si>
  <si>
    <t>Andrew Bourdeau Farm</t>
  </si>
  <si>
    <t>Connor, Chris</t>
  </si>
  <si>
    <t>262 POMFRET ROAD WEST HARTFORD VT 05084</t>
  </si>
  <si>
    <t>00078Z-1</t>
  </si>
  <si>
    <t>262 Pomfret Road</t>
  </si>
  <si>
    <t>West Hartford</t>
  </si>
  <si>
    <t>Paull, Phillip L.</t>
  </si>
  <si>
    <t>3821 CABOT ROAD CABOT VT 05647 - WASHINGTON</t>
  </si>
  <si>
    <t>0007YA-1</t>
  </si>
  <si>
    <t>3821 Calbot Road</t>
  </si>
  <si>
    <t>Overlook Orchard</t>
  </si>
  <si>
    <t>PO BOX 54 JERICHO VT 05465 - CHITTENDEN</t>
  </si>
  <si>
    <t>0007Y7-1</t>
  </si>
  <si>
    <t>H. Dietsch</t>
  </si>
  <si>
    <t>Reed, Donald</t>
  </si>
  <si>
    <t>8 MOFFIT LANE WELLS VT 05774 - RUTLAND</t>
  </si>
  <si>
    <t>0007HB-1</t>
  </si>
  <si>
    <t>Donnis, Robert</t>
  </si>
  <si>
    <t>69 BIXBY HILL RD ESSEX VT 05451 - CHITTENDEN</t>
  </si>
  <si>
    <t>0007Y5-1</t>
  </si>
  <si>
    <t>0008X1-2</t>
  </si>
  <si>
    <t>Chapin Orchard Yard</t>
  </si>
  <si>
    <t>D'avignon, Thomas, J.</t>
  </si>
  <si>
    <t>PO BOX 172 GRANITVILLE VT 05654</t>
  </si>
  <si>
    <t>0007NB-1</t>
  </si>
  <si>
    <t>Bailey, Charlie</t>
  </si>
  <si>
    <t>7 PIONEER STREET ESSEX VT 05452 - CHITTENDEN</t>
  </si>
  <si>
    <t>0007Y3-1</t>
  </si>
  <si>
    <t>Susie Wilson Rd/on Pinecrest/1st L.</t>
  </si>
  <si>
    <t>0007Y2-2</t>
  </si>
  <si>
    <t>Sunderland Gardens</t>
  </si>
  <si>
    <t>Wible, Robert</t>
  </si>
  <si>
    <t>MIDDLE RD COLCHESTER VT 05446 - CHITTENDEN</t>
  </si>
  <si>
    <t>0007Y1-1</t>
  </si>
  <si>
    <t>Mulligan, Phillip</t>
  </si>
  <si>
    <t>PO BOX 187 CHELSEA VT 05038 - ORANGE</t>
  </si>
  <si>
    <t>0008A7-1</t>
  </si>
  <si>
    <t>Thompsom, Charles</t>
  </si>
  <si>
    <t>COLCHESTER POND ROAD COLCHESTER VT 05446 - CHITTENDEN</t>
  </si>
  <si>
    <t>0007XZ-1</t>
  </si>
  <si>
    <t>0008MN-2</t>
  </si>
  <si>
    <t>00072K-12</t>
  </si>
  <si>
    <t>Buck Mountain Yd.</t>
  </si>
  <si>
    <t>Waltham Town</t>
  </si>
  <si>
    <t>Buck Mountain</t>
  </si>
  <si>
    <t>Green Rd</t>
  </si>
  <si>
    <t>Waltham</t>
  </si>
  <si>
    <t>Romond, William</t>
  </si>
  <si>
    <t>70 MIDDLE ROAD COLCHESTER VT 05446 - CHITTENDEN</t>
  </si>
  <si>
    <t>0007XV-1</t>
  </si>
  <si>
    <t>0007K0-7</t>
  </si>
  <si>
    <t>Dr. Collins</t>
  </si>
  <si>
    <t>4610 Roosevelt Highway</t>
  </si>
  <si>
    <t>Mayo, Doug</t>
  </si>
  <si>
    <t>RFD 1 27 MAYO ROAD COLCHESTER VT 05446 - CHITTENDEN</t>
  </si>
  <si>
    <t>0007XQ-1</t>
  </si>
  <si>
    <t>Home Yard package bees from MS 1992</t>
  </si>
  <si>
    <t>Magoon, Coralie</t>
  </si>
  <si>
    <t>97 MAIN STREET COLCHESTER VT 05446 - CHITTENDEN</t>
  </si>
  <si>
    <t>0007XP-1</t>
  </si>
  <si>
    <t>Home/behind house</t>
  </si>
  <si>
    <t>Leggett, John</t>
  </si>
  <si>
    <t>CROSSETT HILL RD DUXBURY VT - WASHINGTON</t>
  </si>
  <si>
    <t>0007XN-1</t>
  </si>
  <si>
    <t>moved to Duxbury son now has hives call</t>
  </si>
  <si>
    <t>Lavigne, Richard</t>
  </si>
  <si>
    <t>12 LAVIGNE ROAD COLCHESTER VT 05446 - CHITTENDEN</t>
  </si>
  <si>
    <t>0007XM-1</t>
  </si>
  <si>
    <t>Knight Point</t>
  </si>
  <si>
    <t>Center For Technology, Essex</t>
  </si>
  <si>
    <t>3 EDUCATION DRIVE ESSEX JUNCTION VT 05452</t>
  </si>
  <si>
    <t>0007XK-1</t>
  </si>
  <si>
    <t>Center for Technology</t>
  </si>
  <si>
    <t>Chittenden Central SU</t>
  </si>
  <si>
    <t>10 Meadow Terrace</t>
  </si>
  <si>
    <t>Deforge, Dave</t>
  </si>
  <si>
    <t>PO BOX 125 COLCHESTER VT 05446 - CHITTENDEN</t>
  </si>
  <si>
    <t>0007XJ-1</t>
  </si>
  <si>
    <t>Langstaff, Carol</t>
  </si>
  <si>
    <t>139 STAR MOUNTAIN ROAD SHARON VT 05065 - WINDSOR</t>
  </si>
  <si>
    <t>00092K-1</t>
  </si>
  <si>
    <t>Rainville, Scott A. Scott's Hobby Farm LLC</t>
  </si>
  <si>
    <t>1173 BALLARD ROAD ST ALBANS VT 05478</t>
  </si>
  <si>
    <t>0008GQ-3</t>
  </si>
  <si>
    <t>Rainville Home Yard</t>
  </si>
  <si>
    <t>1173 Ballard Road</t>
  </si>
  <si>
    <t>Wooster, Linda</t>
  </si>
  <si>
    <t>2335 RIDGE ROAD EAST BURKE VT 05832</t>
  </si>
  <si>
    <t>0007BQ-1</t>
  </si>
  <si>
    <t>Ted Wooster</t>
  </si>
  <si>
    <t>2335 Ridge Road</t>
  </si>
  <si>
    <t>Kelly, Lloyd</t>
  </si>
  <si>
    <t>172 GROVE ST RUTLAND CITY VT 05701 - RUTLAND</t>
  </si>
  <si>
    <t>0007NQ-1</t>
  </si>
  <si>
    <t>Slaughter, Craig</t>
  </si>
  <si>
    <t>PO BOX 633 HARDWICK VT 05843 - CALEDONIA</t>
  </si>
  <si>
    <t>0007XD-1</t>
  </si>
  <si>
    <t>0007WA-9</t>
  </si>
  <si>
    <t>TitisYd</t>
  </si>
  <si>
    <t>Bob Titus</t>
  </si>
  <si>
    <t>Guinea Road</t>
  </si>
  <si>
    <t>Yandow, Ted</t>
  </si>
  <si>
    <t>3133 LOWER NEWTON ROAD SWANTON VT 05488 - FRANKLIN</t>
  </si>
  <si>
    <t>0007XB-1</t>
  </si>
  <si>
    <t>Hasse, Bruce</t>
  </si>
  <si>
    <t>BOX 1450 E CHARLOTTE VT 05445</t>
  </si>
  <si>
    <t>0007XA-1</t>
  </si>
  <si>
    <t>By Dunn</t>
  </si>
  <si>
    <t>Sintz, George</t>
  </si>
  <si>
    <t>3165 HINESBURG ROAD CHARLOTTE VT 05445 - CHITTENDEN</t>
  </si>
  <si>
    <t>0007X9-1</t>
  </si>
  <si>
    <t>Home/on corner</t>
  </si>
  <si>
    <t>0007WA-10</t>
  </si>
  <si>
    <t>Brookside</t>
  </si>
  <si>
    <t>RT 22A</t>
  </si>
  <si>
    <t>Cook, Kim</t>
  </si>
  <si>
    <t>PO BOX 41 UNDERHILL CENTER VT 05490</t>
  </si>
  <si>
    <t>00088B-1</t>
  </si>
  <si>
    <t>Kim Cook</t>
  </si>
  <si>
    <t>16 Paul Cook Road</t>
  </si>
  <si>
    <t>Ryan, Jim</t>
  </si>
  <si>
    <t>1157 WOODCHUCK HOLLOW WASHINGTON VT 05675 - ORANGE</t>
  </si>
  <si>
    <t>0007X8-1</t>
  </si>
  <si>
    <t>0007K0-8</t>
  </si>
  <si>
    <t>Whaley Yard</t>
  </si>
  <si>
    <t>Lake Road</t>
  </si>
  <si>
    <t>0007K0-9</t>
  </si>
  <si>
    <t>Charlotte Berry Farm/Route 7</t>
  </si>
  <si>
    <t>Green Mountain Honey Farms</t>
  </si>
  <si>
    <t>29 MAIN STREET VERGENNES VT 05491 - ADDISON</t>
  </si>
  <si>
    <t>0007JZ-1</t>
  </si>
  <si>
    <t>Charlotte-Richmond Rd/Opp. school</t>
  </si>
  <si>
    <t>Mannings, Chuck</t>
  </si>
  <si>
    <t>322 SCHOOLCRAFT ROAD CAMBRIDGE VT 05444 - LAMOILLE</t>
  </si>
  <si>
    <t>0007X4-1</t>
  </si>
  <si>
    <t>322 Scholcraft Road</t>
  </si>
  <si>
    <t>McClellan, Walter</t>
  </si>
  <si>
    <t>2753 RT 22A PANTON VT 05491-9090 - ADDISON</t>
  </si>
  <si>
    <t>0007JW-2</t>
  </si>
  <si>
    <t>McClellan-Home Yard</t>
  </si>
  <si>
    <t>Panton Town</t>
  </si>
  <si>
    <t>Walter McClellan</t>
  </si>
  <si>
    <t>2753 RT 22A, at town line, on R. up blacktop driveway</t>
  </si>
  <si>
    <t>Panton</t>
  </si>
  <si>
    <t>Fisher, Ed</t>
  </si>
  <si>
    <t>140 COUNTRY CLUB AVE E SO BURLINGTON VT 05401</t>
  </si>
  <si>
    <t>0007X1-1</t>
  </si>
  <si>
    <t>Chastenay, Edmond</t>
  </si>
  <si>
    <t>97 HINESBURG ROAD SO BURLINGTON VT 05401</t>
  </si>
  <si>
    <t>0007X0-1</t>
  </si>
  <si>
    <t>Yawney, Harry</t>
  </si>
  <si>
    <t>1515 DORSET STREET S BURLINGTON VT 05403</t>
  </si>
  <si>
    <t>0007WZ-1</t>
  </si>
  <si>
    <t>Dorset St. across from Cider Mill</t>
  </si>
  <si>
    <t>Zambon, Lois</t>
  </si>
  <si>
    <t>TOWN ROAD 52 ZAMBON DRIVE SOUTH RYEGATE VT 05069</t>
  </si>
  <si>
    <t>0007VF-1</t>
  </si>
  <si>
    <t>Zambon-Home Yard</t>
  </si>
  <si>
    <t>Lois Zambon</t>
  </si>
  <si>
    <t>Town Road 52</t>
  </si>
  <si>
    <t>Zambon Drive</t>
  </si>
  <si>
    <t>00072K-13</t>
  </si>
  <si>
    <t>Dane Yard</t>
  </si>
  <si>
    <t>Smith Road</t>
  </si>
  <si>
    <t>Miller, Margaret</t>
  </si>
  <si>
    <t>PO BOX 274 JAMAICA VT 05343 - WINDHAM</t>
  </si>
  <si>
    <t>0008G2-1</t>
  </si>
  <si>
    <t>Margaret Miller</t>
  </si>
  <si>
    <t>1629 West Jamaica Road</t>
  </si>
  <si>
    <t>0007WA-11</t>
  </si>
  <si>
    <t>Hubbard Yard</t>
  </si>
  <si>
    <t>00081Y-11</t>
  </si>
  <si>
    <t>LuneauYd</t>
  </si>
  <si>
    <t>Luneau</t>
  </si>
  <si>
    <t>Kellogg Road</t>
  </si>
  <si>
    <t>0007K0-10</t>
  </si>
  <si>
    <t>Whiting Yard</t>
  </si>
  <si>
    <t>Whiting Town</t>
  </si>
  <si>
    <t>Bilodeau</t>
  </si>
  <si>
    <t>Whiting-Leicester Road</t>
  </si>
  <si>
    <t>Whiting</t>
  </si>
  <si>
    <t>Lang, Bob</t>
  </si>
  <si>
    <t>1682 ROBERT YOUNG RD S STARKSBORO VT 05487</t>
  </si>
  <si>
    <t>000736-1</t>
  </si>
  <si>
    <t>0008B5-5</t>
  </si>
  <si>
    <t>Chelsea Yd</t>
  </si>
  <si>
    <t>00084M-3</t>
  </si>
  <si>
    <t>Cushman</t>
  </si>
  <si>
    <t>Quesnel, Roger</t>
  </si>
  <si>
    <t>RT 30 WHITING VT 05778</t>
  </si>
  <si>
    <t>0007WN-1</t>
  </si>
  <si>
    <t>Home next to barn</t>
  </si>
  <si>
    <t>0008N3-2</t>
  </si>
  <si>
    <t>Victory Town</t>
  </si>
  <si>
    <t>Victory</t>
  </si>
  <si>
    <t>Lebenbaum, Peter</t>
  </si>
  <si>
    <t>701 MUNGER STREET MIDDLEBURY VT 05753 - ADDISON</t>
  </si>
  <si>
    <t>0007WM-1</t>
  </si>
  <si>
    <t>701 Munger Street</t>
  </si>
  <si>
    <t>0007K0-11</t>
  </si>
  <si>
    <t>Gov't Farm Yard</t>
  </si>
  <si>
    <t>0007K0-12</t>
  </si>
  <si>
    <t>James Yard/Bittersweet Falls Road</t>
  </si>
  <si>
    <t>Monument Farms</t>
  </si>
  <si>
    <t>Bittersweet Falls Road</t>
  </si>
  <si>
    <t>0007K0-13</t>
  </si>
  <si>
    <t>Wales Yard /Route 23/barn foundation</t>
  </si>
  <si>
    <t>Roger Wales</t>
  </si>
  <si>
    <t>RT 23</t>
  </si>
  <si>
    <t>Berryman, Bruce</t>
  </si>
  <si>
    <t>HCR 60 BOX 531 NORTH CONCORD VT 05858</t>
  </si>
  <si>
    <t>0007WK-1</t>
  </si>
  <si>
    <t>0007K0-14</t>
  </si>
  <si>
    <t>Redds Yard</t>
  </si>
  <si>
    <t>0007K0-15</t>
  </si>
  <si>
    <t>Vergennes Yard</t>
  </si>
  <si>
    <t>Vergennes City</t>
  </si>
  <si>
    <t>Vergennes</t>
  </si>
  <si>
    <t>Stoner, Richard</t>
  </si>
  <si>
    <t>204 HAYTUMBLE ROAD SHELBURNE VT 05482 - CHITTENDEN</t>
  </si>
  <si>
    <t>0008PM-1</t>
  </si>
  <si>
    <t>Stoner-Home</t>
  </si>
  <si>
    <t>Richard Stoner</t>
  </si>
  <si>
    <t>204 Haytumble Road</t>
  </si>
  <si>
    <t>Purinton, Bob</t>
  </si>
  <si>
    <t>STARKSBORO VT 05487 - ADDISON</t>
  </si>
  <si>
    <t>0007WH-1</t>
  </si>
  <si>
    <t>Sawmill So. of Starksboro/off 116</t>
  </si>
  <si>
    <t>Hinds, George</t>
  </si>
  <si>
    <t>LINCOLN VT 05443 - ADDISON</t>
  </si>
  <si>
    <t>0007WG-1</t>
  </si>
  <si>
    <t>Gilburtson Farm/Route 116</t>
  </si>
  <si>
    <t>Heinzeling, Susan</t>
  </si>
  <si>
    <t>CHICKEN LAKE RD STARKSBORO VT 05487 - ADDISON</t>
  </si>
  <si>
    <t>0007WD-1</t>
  </si>
  <si>
    <t>Jim Dwire Rd</t>
  </si>
  <si>
    <t>Gendreau, Brian</t>
  </si>
  <si>
    <t>2658 VT ROUTE 116 STARKSBORO VT 05487 - ADDISON</t>
  </si>
  <si>
    <t>0007WC-1</t>
  </si>
  <si>
    <t>0007QV-2</t>
  </si>
  <si>
    <t>Littlewood Farm</t>
  </si>
  <si>
    <t>0007WA-13</t>
  </si>
  <si>
    <t>Stockpile Yard</t>
  </si>
  <si>
    <t>8 Dading</t>
  </si>
  <si>
    <t>Hallock, Gregory</t>
  </si>
  <si>
    <t>RD 3 BOX 5278 MONTPELIER VT 05602 - WASHINGTON</t>
  </si>
  <si>
    <t>0007W9-1</t>
  </si>
  <si>
    <t>Morale, Jim</t>
  </si>
  <si>
    <t>36 MOUNTAIN VIEW PITTSFORD VT 05763 - RUTLAND</t>
  </si>
  <si>
    <t>000705-1</t>
  </si>
  <si>
    <t>Mitchell, Chuck</t>
  </si>
  <si>
    <t>1242 BROWN HILL ROAD WOLCOTT VT 05680 - LAMOILLE</t>
  </si>
  <si>
    <t>00089H-1</t>
  </si>
  <si>
    <t>Demars Storage Yard</t>
  </si>
  <si>
    <t>133 Professional Drive</t>
  </si>
  <si>
    <t>Jaros, Joshua</t>
  </si>
  <si>
    <t>196 BRIGHTON BROOK RD IRASBURG VT 05845 - ORLEANS</t>
  </si>
  <si>
    <t>000708-1</t>
  </si>
  <si>
    <t>Sanville Land</t>
  </si>
  <si>
    <t>Irasburg Town</t>
  </si>
  <si>
    <t>Irasburg</t>
  </si>
  <si>
    <t>0007K0-16</t>
  </si>
  <si>
    <t>Kent Wright</t>
  </si>
  <si>
    <t>0007K0-17</t>
  </si>
  <si>
    <t>Buttolph Yard</t>
  </si>
  <si>
    <t>Raj Bhakta</t>
  </si>
  <si>
    <t>North Orwell Road</t>
  </si>
  <si>
    <t>0007K0-18</t>
  </si>
  <si>
    <t>DeFao</t>
  </si>
  <si>
    <t>Shoreham-Whiting Road</t>
  </si>
  <si>
    <t>00089H-2</t>
  </si>
  <si>
    <t>Absolute Precision</t>
  </si>
  <si>
    <t>0007JZ-2</t>
  </si>
  <si>
    <t>Blodgett Orchard</t>
  </si>
  <si>
    <t>0007WA-14</t>
  </si>
  <si>
    <t>Honey House</t>
  </si>
  <si>
    <t>Thibault, Lucien</t>
  </si>
  <si>
    <t>FOLSOM HARBOR ROAD GRAND ISLE VT 05458 - GRAND ISLE</t>
  </si>
  <si>
    <t>0007XY-1</t>
  </si>
  <si>
    <t>Reynolds Road yard (old Fitzgarald yard)</t>
  </si>
  <si>
    <t>0007XY-2</t>
  </si>
  <si>
    <t>Spencer, Pete</t>
  </si>
  <si>
    <t>141 CARPENTER HILL RD BENNINGTON VT 05201 - BENNINGTON</t>
  </si>
  <si>
    <t>0007W7-1</t>
  </si>
  <si>
    <t>Astbury, Stuart</t>
  </si>
  <si>
    <t>PO BOX 140 BRIDGEWATER VT 05034 - WINDSOR</t>
  </si>
  <si>
    <t>0007AQ-1</t>
  </si>
  <si>
    <t>651 North Bridgewater Road</t>
  </si>
  <si>
    <t>000737-2</t>
  </si>
  <si>
    <t>0007WA-15</t>
  </si>
  <si>
    <t>Meadow Yard</t>
  </si>
  <si>
    <t>00072K-14</t>
  </si>
  <si>
    <t>Choiniere Yd</t>
  </si>
  <si>
    <t>Choiniere</t>
  </si>
  <si>
    <t>East Street</t>
  </si>
  <si>
    <t>00072K-15</t>
  </si>
  <si>
    <t>Lafrombois Yard</t>
  </si>
  <si>
    <t>Cox</t>
  </si>
  <si>
    <t>Foote Street</t>
  </si>
  <si>
    <t>Hall, Floyd</t>
  </si>
  <si>
    <t>170 QUAKER STREET LINCOLN VT 05443-9254 - ADDISON</t>
  </si>
  <si>
    <t>0007V3-1</t>
  </si>
  <si>
    <t>Higgins, Phil</t>
  </si>
  <si>
    <t>BOX 2500 BUCK HOLLOW ROAD FAIRFIELD VT 05455 - FRANKLIN</t>
  </si>
  <si>
    <t>0007J1-1</t>
  </si>
  <si>
    <t>0007K0-19</t>
  </si>
  <si>
    <t>Slang Yard</t>
  </si>
  <si>
    <t>Slang Road</t>
  </si>
  <si>
    <t>0007K0-20</t>
  </si>
  <si>
    <t>Panton Yard</t>
  </si>
  <si>
    <t>Allendale Farm</t>
  </si>
  <si>
    <t>Buttom Bay Road</t>
  </si>
  <si>
    <t>Gray, Jason</t>
  </si>
  <si>
    <t>432 FULTON ROAD EAST CORINTH VT 05040</t>
  </si>
  <si>
    <t>00079B-1</t>
  </si>
  <si>
    <t>Hans Hausmann</t>
  </si>
  <si>
    <t>432 Fulton Road</t>
  </si>
  <si>
    <t>0007JZ-3</t>
  </si>
  <si>
    <t>Kenner Yard/West Road behind barn</t>
  </si>
  <si>
    <t>Morrison, William J.</t>
  </si>
  <si>
    <t>556 POND BROOK LANE WOLCOTT VT 05680 - LAMOILLE</t>
  </si>
  <si>
    <t>00084W-1</t>
  </si>
  <si>
    <t>Morrison Home Yard</t>
  </si>
  <si>
    <t>William Morrison</t>
  </si>
  <si>
    <t>556 Pond Brook Lane</t>
  </si>
  <si>
    <t>Silva, Earnest</t>
  </si>
  <si>
    <t>PO BOX 28 E THETFORD VT 05043</t>
  </si>
  <si>
    <t>0007QQ-1</t>
  </si>
  <si>
    <t>0007WA-16</t>
  </si>
  <si>
    <t>Demers yard</t>
  </si>
  <si>
    <t>Bushey, Louis</t>
  </si>
  <si>
    <t>750 HARVEY MOUNTAIN RD BARNET VT 05821 - CALEDONIA</t>
  </si>
  <si>
    <t>000909-1</t>
  </si>
  <si>
    <t>750 Harvey Mountain Road</t>
  </si>
  <si>
    <t>Barnet</t>
  </si>
  <si>
    <t>Barclay, Donald</t>
  </si>
  <si>
    <t>RR 1 BOX 163 WOODBURY VT 05650 - WASHINGTON</t>
  </si>
  <si>
    <t>0007W2-1</t>
  </si>
  <si>
    <t>0007JY-5</t>
  </si>
  <si>
    <t>O'Daniel Yard</t>
  </si>
  <si>
    <t>Rath, Jack</t>
  </si>
  <si>
    <t>690 HEATHERINGTON RD W PAWLET VT 05775</t>
  </si>
  <si>
    <t>0008W7-1</t>
  </si>
  <si>
    <t>Rath Home Yard</t>
  </si>
  <si>
    <t>Jack Rath</t>
  </si>
  <si>
    <t>690 Heatherington Road</t>
  </si>
  <si>
    <t>West Pawlet</t>
  </si>
  <si>
    <t>Greene, Clyde, K.</t>
  </si>
  <si>
    <t>RD BOX 2380 PAWLET VT 05761 - RUTLAND</t>
  </si>
  <si>
    <t>000827-1</t>
  </si>
  <si>
    <t>00072K-16</t>
  </si>
  <si>
    <t>Rogers Yard</t>
  </si>
  <si>
    <t>Saunder</t>
  </si>
  <si>
    <t>00072K-17</t>
  </si>
  <si>
    <t>Saunders Yd.up dead end road(NewHavenMil</t>
  </si>
  <si>
    <t>Manure Pit</t>
  </si>
  <si>
    <t>Wilson, Jane</t>
  </si>
  <si>
    <t>737 WILLOW BROOK LANE ST GEORGE VT 05495</t>
  </si>
  <si>
    <t>0007VX-1</t>
  </si>
  <si>
    <t>Saint George Town</t>
  </si>
  <si>
    <t>St. George</t>
  </si>
  <si>
    <t>Sabin, Brad</t>
  </si>
  <si>
    <t>224 WOODLAND ACRES WATERBURY VT 05676 - WASHINGTON</t>
  </si>
  <si>
    <t>0007VW-1</t>
  </si>
  <si>
    <t>Duffy, Scott</t>
  </si>
  <si>
    <t>58 ASCUTNEY BASIN ROAD READING VT 05062 - WINDSOR</t>
  </si>
  <si>
    <t>0007PH-1</t>
  </si>
  <si>
    <t>Ascutney Basin Rd</t>
  </si>
  <si>
    <t>Carabello, Joseph</t>
  </si>
  <si>
    <t>170 PROSPECT AVE APT 16P HACKENSACK NJ 07601</t>
  </si>
  <si>
    <t>00076V-1</t>
  </si>
  <si>
    <t>Carabello Home Yard</t>
  </si>
  <si>
    <t>Joseph Carabello</t>
  </si>
  <si>
    <t>3173 RT 313</t>
  </si>
  <si>
    <t>Pierce, Michael R.</t>
  </si>
  <si>
    <t>76 CASINO ROAD WILLIAMSTOWN VT 05679 - ORANGE</t>
  </si>
  <si>
    <t>0008F9-1</t>
  </si>
  <si>
    <t>Pierce-Home Yard</t>
  </si>
  <si>
    <t>Michael Pierce</t>
  </si>
  <si>
    <t>76 Casino Road</t>
  </si>
  <si>
    <t>00087N-2</t>
  </si>
  <si>
    <t>Green land</t>
  </si>
  <si>
    <t>Wry, Lorraine</t>
  </si>
  <si>
    <t>325 CARLSTROM ROAD BRISTOL VT 05443 - ADDISON</t>
  </si>
  <si>
    <t>00076Q-1</t>
  </si>
  <si>
    <t>Abair, James A.</t>
  </si>
  <si>
    <t>43 SWEET ROAD WATERBURY CENTER VT 05677</t>
  </si>
  <si>
    <t>0007VM-1</t>
  </si>
  <si>
    <t>Abair Home Yard</t>
  </si>
  <si>
    <t>James Abair</t>
  </si>
  <si>
    <t>43 Sweet Road</t>
  </si>
  <si>
    <t>Waterbury Center</t>
  </si>
  <si>
    <t>Hahr, Chris</t>
  </si>
  <si>
    <t>PO BOX 147 PASSUMPSIC VT 05861 - CALEDONIA</t>
  </si>
  <si>
    <t>000895-1</t>
  </si>
  <si>
    <t>Townsend, Mark</t>
  </si>
  <si>
    <t>408 WOODSTOCK ROAD TAFTSVILLE VT 05073</t>
  </si>
  <si>
    <t>0008FG-1</t>
  </si>
  <si>
    <t>Gaylord, Hadley Jr.</t>
  </si>
  <si>
    <t>2687 MAIN STREET WAITSFIELD VT 05673 - WASHINGTON</t>
  </si>
  <si>
    <t>0007VD-1</t>
  </si>
  <si>
    <t>By Gaylord Garage</t>
  </si>
  <si>
    <t>Lathrop, Jean</t>
  </si>
  <si>
    <t>LOWER BARRE HILL RD PLAINFIELD VT 05667 - WASHINGTON</t>
  </si>
  <si>
    <t>0007VC-1</t>
  </si>
  <si>
    <t>0007WB-8</t>
  </si>
  <si>
    <t>Severy Yard</t>
  </si>
  <si>
    <t>Mattison</t>
  </si>
  <si>
    <t>Galvan Road</t>
  </si>
  <si>
    <t>Holt, Reginald</t>
  </si>
  <si>
    <t>219 HOLT ROAD PLAINFIELD VT 05667 - WASHINGTON</t>
  </si>
  <si>
    <t>0007VA-1</t>
  </si>
  <si>
    <t>Holt-Home Yard</t>
  </si>
  <si>
    <t>Reginald Holt</t>
  </si>
  <si>
    <t>219 Holt Road</t>
  </si>
  <si>
    <t>Blackburn, Clay</t>
  </si>
  <si>
    <t>RR 1 BOX 1860 PLAINFIELD VT 05667 - WASHINGTON</t>
  </si>
  <si>
    <t>0007V9-1</t>
  </si>
  <si>
    <t>Middle Rd L pass ctr. school R up</t>
  </si>
  <si>
    <t>Tallman, Frederick</t>
  </si>
  <si>
    <t>PO BOX 142 NORTHFIELD FALLS VT 05664</t>
  </si>
  <si>
    <t>0007V8-1</t>
  </si>
  <si>
    <t>313 Davis Road</t>
  </si>
  <si>
    <t>Severy, Richard</t>
  </si>
  <si>
    <t>BOX 25 RT 12 A NORTHFIELD VT 05663 - WASHINGTON</t>
  </si>
  <si>
    <t>0007V7-1</t>
  </si>
  <si>
    <t>home x Rt 12</t>
  </si>
  <si>
    <t>Carpenter, Kevin B.</t>
  </si>
  <si>
    <t>PO BOX 449 RUTLAND VT 05702</t>
  </si>
  <si>
    <t>0007V5-1</t>
  </si>
  <si>
    <t>OffOldRT4</t>
  </si>
  <si>
    <t>Thomas, William J.</t>
  </si>
  <si>
    <t>1376 RT 108 SOUTH BAKERSFIELD VT 05441 - FRANKLIN</t>
  </si>
  <si>
    <t>0007PJ-1</t>
  </si>
  <si>
    <t>0007X7-3</t>
  </si>
  <si>
    <t>Maynard, Gerald</t>
  </si>
  <si>
    <t>150 VT RT 100B MORETOWN VT 05660 - WASHINGTON</t>
  </si>
  <si>
    <t>0007V2-1</t>
  </si>
  <si>
    <t>Maynard Snack Bar Yard</t>
  </si>
  <si>
    <t>Gerry Maynard</t>
  </si>
  <si>
    <t>150 VT RT 100b</t>
  </si>
  <si>
    <t>Franciscan Farms</t>
  </si>
  <si>
    <t>20 VT RT 100 SOUTH MORETOWN VT 05660 - WASHINGTON</t>
  </si>
  <si>
    <t>0007V1-1</t>
  </si>
  <si>
    <t>Community of the Crucified One Church</t>
  </si>
  <si>
    <t>0007WB-9</t>
  </si>
  <si>
    <t>Mikkelson Drone Yard</t>
  </si>
  <si>
    <t>Pete</t>
  </si>
  <si>
    <t>QUAKER St</t>
  </si>
  <si>
    <t>Scherding, Christine</t>
  </si>
  <si>
    <t>27 LINCOLN STREET WOODSTOCK VT 05091 - WINDSOR</t>
  </si>
  <si>
    <t>0007QZ-1</t>
  </si>
  <si>
    <t>Geer, Ruth</t>
  </si>
  <si>
    <t>MIDDLEBURY COLLEGE MIDDLEBURY VT - ADDISON</t>
  </si>
  <si>
    <t>0007QY-1</t>
  </si>
  <si>
    <t>OB hive Biology Dept Ext. 5437</t>
  </si>
  <si>
    <t>Tibbitts, Arnold</t>
  </si>
  <si>
    <t>RD 1 HOLLISTER HILL PLAINFIELD VT 05667 - WASHINGTON</t>
  </si>
  <si>
    <t>0007QX-1</t>
  </si>
  <si>
    <t>Farm on corner</t>
  </si>
  <si>
    <t>Peterson, Arthur</t>
  </si>
  <si>
    <t>157 E TINMOUTH ROAD WEST RUTLAND VT 05777 - RUTLAND</t>
  </si>
  <si>
    <t>0008VF-1</t>
  </si>
  <si>
    <t>Peterson</t>
  </si>
  <si>
    <t>Clarendon Town</t>
  </si>
  <si>
    <t>George Peterson</t>
  </si>
  <si>
    <t>157 E. Tinmouth Rd</t>
  </si>
  <si>
    <t>Clarendon</t>
  </si>
  <si>
    <t>Newton, Jill</t>
  </si>
  <si>
    <t>119 PLEASANT VALLEY RD ROCKINGHAM VT 05101 - WINDHAM</t>
  </si>
  <si>
    <t>0008N0-1</t>
  </si>
  <si>
    <t>119 PleasantValleyRd</t>
  </si>
  <si>
    <t>Jill Newton</t>
  </si>
  <si>
    <t>119 Pleasant Valley Road</t>
  </si>
  <si>
    <t>0007QV-3</t>
  </si>
  <si>
    <t>Snow/Baker Farm</t>
  </si>
  <si>
    <t>0007P4-22</t>
  </si>
  <si>
    <t>Smith Yard</t>
  </si>
  <si>
    <t>Smith Family</t>
  </si>
  <si>
    <t>Dorset Steet</t>
  </si>
  <si>
    <t>0007QK-2</t>
  </si>
  <si>
    <t>Off West Hill Rd 2nd drive on L after RR</t>
  </si>
  <si>
    <t>Frost, Tim</t>
  </si>
  <si>
    <t>KELTON RD E MONTPELIER VT 05651</t>
  </si>
  <si>
    <t>0007QJ-1</t>
  </si>
  <si>
    <t>in field N. of house</t>
  </si>
  <si>
    <t>Zeno, Lawrence</t>
  </si>
  <si>
    <t>24 HOLLOW ROAD N FERRISBURGH VT 05473</t>
  </si>
  <si>
    <t>0007QH-1</t>
  </si>
  <si>
    <t>Zeno-Home Yard</t>
  </si>
  <si>
    <t>Lawrence Zeno</t>
  </si>
  <si>
    <t>24 Hollow Road</t>
  </si>
  <si>
    <t>North Ferrisburg</t>
  </si>
  <si>
    <t>Jones, Tony &amp; Rebecca</t>
  </si>
  <si>
    <t>391 MOREY HILL ROAD CRAFTSBURY VT 05826 - ORLEANS</t>
  </si>
  <si>
    <t>0008MY-1</t>
  </si>
  <si>
    <t>391 Morey Hill Road</t>
  </si>
  <si>
    <t>0007BJ-5</t>
  </si>
  <si>
    <t>CrossRdFm</t>
  </si>
  <si>
    <t>0007QD-2</t>
  </si>
  <si>
    <t>Glebelands Yard</t>
  </si>
  <si>
    <t>00070Z-2</t>
  </si>
  <si>
    <t>Tony Merando(sp?) land</t>
  </si>
  <si>
    <t>Ovimet, Real</t>
  </si>
  <si>
    <t>RD1 CENTER RD E MONTPELIER VT 05651</t>
  </si>
  <si>
    <t>0007QC-1</t>
  </si>
  <si>
    <t>Bancroft Fm son has Bees</t>
  </si>
  <si>
    <t>Fitch, George</t>
  </si>
  <si>
    <t>E MONTPELIER VT 05651</t>
  </si>
  <si>
    <t>0007QB-1</t>
  </si>
  <si>
    <t>at fm. before bird fm.</t>
  </si>
  <si>
    <t>Mcnaughton, Nathan</t>
  </si>
  <si>
    <t>1825 WEATHERSFIELD CTR SPRINGFIELD VT 05156 - WINDSOR</t>
  </si>
  <si>
    <t>0007QA-1</t>
  </si>
  <si>
    <t>Pond Yard</t>
  </si>
  <si>
    <t>Harrington, Nick and Emily</t>
  </si>
  <si>
    <t>4 PINE ROAD BENNINGTON VT 05201 - BENNINGTON</t>
  </si>
  <si>
    <t>0007Q9-1</t>
  </si>
  <si>
    <t>has bees with Boynton</t>
  </si>
  <si>
    <t>Clayton, Sue</t>
  </si>
  <si>
    <t>PO BOX 181 HORN OF THE MOON ROAD MONTPELIER VT 05601 - WASHINGTON</t>
  </si>
  <si>
    <t>0007Q8-1</t>
  </si>
  <si>
    <t>Across North St. from Clayton residence</t>
  </si>
  <si>
    <t>00070H-3</t>
  </si>
  <si>
    <t>Hartshorn Yard</t>
  </si>
  <si>
    <t>Hartshorns Organic Veg Farm</t>
  </si>
  <si>
    <t>Quarry Road</t>
  </si>
  <si>
    <t>Cate, Paul</t>
  </si>
  <si>
    <t>4078 COUNTY ROAD MONTPELIER VT 05602 - WASHINGTON</t>
  </si>
  <si>
    <t>0007Q6-1</t>
  </si>
  <si>
    <t>Fox Run Fm.</t>
  </si>
  <si>
    <t>Richards, Toby</t>
  </si>
  <si>
    <t>WAITSFIELD VT - WASHINGTON</t>
  </si>
  <si>
    <t>0007Q5-1</t>
  </si>
  <si>
    <t>Loomis, Tim</t>
  </si>
  <si>
    <t>1271 VT RT 30 N POULTNEY VT 05764 - RUTLAND</t>
  </si>
  <si>
    <t>0007Q4-1</t>
  </si>
  <si>
    <t>Rogers, David</t>
  </si>
  <si>
    <t>1267 CROSSETT HILL RD DUXBURY VT 05676 - WASHINGTON</t>
  </si>
  <si>
    <t>0007Q3-1</t>
  </si>
  <si>
    <t>Lickwar, Steve</t>
  </si>
  <si>
    <t>CAMEL HUMP RD WATERBURY VT 05676 - WASHINGTON</t>
  </si>
  <si>
    <t>0007Q2-1</t>
  </si>
  <si>
    <t>Jonesville old school N.Duxbury Rd</t>
  </si>
  <si>
    <t>Doenges, Doug</t>
  </si>
  <si>
    <t>710 RIVER ROAD MONTPELIER VT 05602 - WASHINGTON</t>
  </si>
  <si>
    <t>0007Q1-1</t>
  </si>
  <si>
    <t>Doenges Home year</t>
  </si>
  <si>
    <t>Doug Doenges</t>
  </si>
  <si>
    <t>710 River Road</t>
  </si>
  <si>
    <t>Pilcher, Stephen</t>
  </si>
  <si>
    <t>126 COVERED BRIDGE RD N FERRISBURGH VT 05473</t>
  </si>
  <si>
    <t>0008VH-1</t>
  </si>
  <si>
    <t>Stephen Pilcher</t>
  </si>
  <si>
    <t>126 Covered Bridge Road</t>
  </si>
  <si>
    <t>Bianca, James</t>
  </si>
  <si>
    <t>RR3 BOX 427AA ST ALBANS VT 05478</t>
  </si>
  <si>
    <t>00089Z-1</t>
  </si>
  <si>
    <t>On hill behind house</t>
  </si>
  <si>
    <t>000885-2</t>
  </si>
  <si>
    <t>Carrier Road Yard</t>
  </si>
  <si>
    <t>Browning, Karen</t>
  </si>
  <si>
    <t>82 LAKEVIEW ROAD SOUTH HERO VT 05486 - GRAND ISLE</t>
  </si>
  <si>
    <t>00093F-1</t>
  </si>
  <si>
    <t>0007P4-24</t>
  </si>
  <si>
    <t>Ballard Farm Yard</t>
  </si>
  <si>
    <t>Ballard Family</t>
  </si>
  <si>
    <t>Rt 116 N</t>
  </si>
  <si>
    <t>Chesaux, Oliver</t>
  </si>
  <si>
    <t>MAPLE CORNERS CALAIS VT 05648 - WASHINGTON</t>
  </si>
  <si>
    <t>0007PX-1</t>
  </si>
  <si>
    <t>down hill from Kent Mueseum at bend</t>
  </si>
  <si>
    <t>Gilbert, Richard</t>
  </si>
  <si>
    <t>BOX 55 CABOT VT 05647 - WASHINGTON</t>
  </si>
  <si>
    <t>0007PW-1</t>
  </si>
  <si>
    <t>OffRT2XFryeQuarry</t>
  </si>
  <si>
    <t>Wheelock, Roderick, R. Jr.</t>
  </si>
  <si>
    <t>53 MEADOW LANE BOLTON VT 05676 - CHITTENDEN</t>
  </si>
  <si>
    <t>0007PV-1</t>
  </si>
  <si>
    <t>Bolton Town</t>
  </si>
  <si>
    <t>same</t>
  </si>
  <si>
    <t>53 Meadow Lane</t>
  </si>
  <si>
    <t>Bolton</t>
  </si>
  <si>
    <t>Celley, Walter</t>
  </si>
  <si>
    <t>BOX 217 S WALDEN ROAD CABOT VT 05647 - WASHINGTON</t>
  </si>
  <si>
    <t>0007PQ-1</t>
  </si>
  <si>
    <t>1.35M from Lower Cabot Marshfield R</t>
  </si>
  <si>
    <t>Cassidy, Clyde, C.</t>
  </si>
  <si>
    <t>7053 COUNTY ROAD CALAIS VT 05648 - WASHINGTON</t>
  </si>
  <si>
    <t>00088V-1</t>
  </si>
  <si>
    <t>Sawyer, Richard</t>
  </si>
  <si>
    <t>RFD 3 BIBLE HILL RD BARRE VT 05641</t>
  </si>
  <si>
    <t>0007PN-1</t>
  </si>
  <si>
    <t>Partlow, Ken</t>
  </si>
  <si>
    <t>984 CHANDLER ROAD WEST BERLIN VT 05663</t>
  </si>
  <si>
    <t>0007PM-1</t>
  </si>
  <si>
    <t>Partlow-Home Yard</t>
  </si>
  <si>
    <t>Kenneth Partlow</t>
  </si>
  <si>
    <t>984 Chandler Road</t>
  </si>
  <si>
    <t>Griffin, George</t>
  </si>
  <si>
    <t>RR 1 BOX 1880 STARKSBORO VT 05487 - ADDISON</t>
  </si>
  <si>
    <t>0008MB-1</t>
  </si>
  <si>
    <t>Honey Gardens Apiaries</t>
  </si>
  <si>
    <t>PO BOX 52 N FERRISBURGH VT 05456</t>
  </si>
  <si>
    <t>0007XC-1</t>
  </si>
  <si>
    <t>Lockwood Yd.</t>
  </si>
  <si>
    <t>Cook, Craig</t>
  </si>
  <si>
    <t>590 VT RTE 2 WEST W DANVILLE VT 05873</t>
  </si>
  <si>
    <t>00081C-1</t>
  </si>
  <si>
    <t>Rt 2 x Mollies Pond 2 White Cottage</t>
  </si>
  <si>
    <t>Ramsay, Colin</t>
  </si>
  <si>
    <t>345 MONTGOMERY ROAD E BERKSHIRE VT 05447</t>
  </si>
  <si>
    <t>0008AB-1</t>
  </si>
  <si>
    <t>Washburn, Burt</t>
  </si>
  <si>
    <t>81 RANDALL HILL ROAD BELLOWS FALLS VT 05101</t>
  </si>
  <si>
    <t>000817-1</t>
  </si>
  <si>
    <t>Moble home behind D. Washburn's</t>
  </si>
  <si>
    <t>0007P4-25</t>
  </si>
  <si>
    <t>Drutchas-Home Yard</t>
  </si>
  <si>
    <t>Worcester Town</t>
  </si>
  <si>
    <t>Richard Drutchas</t>
  </si>
  <si>
    <t>18 Norton Road</t>
  </si>
  <si>
    <t>Worcester</t>
  </si>
  <si>
    <t>00088H-4</t>
  </si>
  <si>
    <t>Foote Brook</t>
  </si>
  <si>
    <t>Lehouillier</t>
  </si>
  <si>
    <t>Spencer, Stanley</t>
  </si>
  <si>
    <t>PO BOX 367 S WOODSTOCK VT 05071</t>
  </si>
  <si>
    <t>0007PA-1</t>
  </si>
  <si>
    <t>O'rourke, Megan</t>
  </si>
  <si>
    <t>145 INTERVALE ROAD BURLINGTON VT 05401 - CHITTENDEN</t>
  </si>
  <si>
    <t>0007P8-1</t>
  </si>
  <si>
    <t>Lepage, Allen</t>
  </si>
  <si>
    <t>127 LE PAGE ROAD BARRE VT 05641 - WASHINGTON</t>
  </si>
  <si>
    <t>0007P7-1</t>
  </si>
  <si>
    <t>Home/bees from Kermit Mayo</t>
  </si>
  <si>
    <t>Koch, Thomas</t>
  </si>
  <si>
    <t>LOWERY ROAD RR 2 BARRE VT 05641</t>
  </si>
  <si>
    <t>0007P6-1</t>
  </si>
  <si>
    <t>Half mile off Waterman Street</t>
  </si>
  <si>
    <t>Diamondstone, Aaron</t>
  </si>
  <si>
    <t>72 WHETSTONE ROAD MARLBORO VT 05301 - WINDHAM</t>
  </si>
  <si>
    <t>0007Z6-1</t>
  </si>
  <si>
    <t>Robert, Clement</t>
  </si>
  <si>
    <t>RD 1 BOX 3410 WINDY WOOD ROAD EXT BARRE VT 05641</t>
  </si>
  <si>
    <t>0007P3-1</t>
  </si>
  <si>
    <t>Wolfe, Jesse</t>
  </si>
  <si>
    <t>1083 BACKCENTER ROAD LYNDONVILLE VT 05851</t>
  </si>
  <si>
    <t>00086M-1</t>
  </si>
  <si>
    <t>Carpenter, Peter W.</t>
  </si>
  <si>
    <t>177 WEBSTERVILLE ROAD BARRE VT 05641</t>
  </si>
  <si>
    <t>0007P1-1</t>
  </si>
  <si>
    <t>Carpenter-Home</t>
  </si>
  <si>
    <t>Peter Carpenter</t>
  </si>
  <si>
    <t>177 Websterville Road</t>
  </si>
  <si>
    <t>Barre</t>
  </si>
  <si>
    <t>Belding, Mike</t>
  </si>
  <si>
    <t>RD 1 BX 1866 JALBERT ROAD BARRE VT 05641</t>
  </si>
  <si>
    <t>0007P0-1</t>
  </si>
  <si>
    <t>Schlossberg, Todd</t>
  </si>
  <si>
    <t>166 LOOMIS STREET BURLINGTON VT 05401 - CHITTENDEN</t>
  </si>
  <si>
    <t>0007NZ-1</t>
  </si>
  <si>
    <t>Intervale Community Farm</t>
  </si>
  <si>
    <t>Lease by Intervale Community Farm</t>
  </si>
  <si>
    <t>Young, John</t>
  </si>
  <si>
    <t>23 SECOND STREET FAIR HAVEN VT 05743 - RUTLAND</t>
  </si>
  <si>
    <t>00071B-1</t>
  </si>
  <si>
    <t>Xroad fromYoungsFarmEquip</t>
  </si>
  <si>
    <t>Fair Haven Town</t>
  </si>
  <si>
    <t>Fair Haven</t>
  </si>
  <si>
    <t>Villars, Thomas</t>
  </si>
  <si>
    <t>SCHOOL ST PO BOX 343 WALLINGFORD VT 05773 - RUTLAND</t>
  </si>
  <si>
    <t>000723-1</t>
  </si>
  <si>
    <t>Harry Kurberland Farm</t>
  </si>
  <si>
    <t>Chaisson, Chris</t>
  </si>
  <si>
    <t>PO BOX 393 BURLINGTON VT 05402 - CHITTENDEN</t>
  </si>
  <si>
    <t>0007NX-1</t>
  </si>
  <si>
    <t>At Champlain Valley Co-Housing</t>
  </si>
  <si>
    <t>Nubile, Roberta</t>
  </si>
  <si>
    <t>45 TIMBER LANE SHELBURNE VT 05482</t>
  </si>
  <si>
    <t>0008F3-1</t>
  </si>
  <si>
    <t>10 Stone Circle Yard</t>
  </si>
  <si>
    <t>Garrison, Lars</t>
  </si>
  <si>
    <t>MALTESE ROAD STAMFORD VT 05352 - BENNINGTON</t>
  </si>
  <si>
    <t>00076K-1</t>
  </si>
  <si>
    <t>Shippees</t>
  </si>
  <si>
    <t>Stamford Town</t>
  </si>
  <si>
    <t>Stamford</t>
  </si>
  <si>
    <t>Mullet, Steve</t>
  </si>
  <si>
    <t>BOX 810 EAST RD STAMFORD VT 05352 - BENNINGTON</t>
  </si>
  <si>
    <t>0007NW-1</t>
  </si>
  <si>
    <t>near state line behind trailer</t>
  </si>
  <si>
    <t>Ruben, Ted</t>
  </si>
  <si>
    <t>RD PAWLET VT 05761 - RUTLAND</t>
  </si>
  <si>
    <t>0007NV-1</t>
  </si>
  <si>
    <t>0007NQ-2</t>
  </si>
  <si>
    <t>off Corn Hill Dr.</t>
  </si>
  <si>
    <t>Foster, Don G.</t>
  </si>
  <si>
    <t>WOODFORD RD STAR RTE BENNINGTON VT 05201 - BENNINGTON</t>
  </si>
  <si>
    <t>0007NM-1</t>
  </si>
  <si>
    <t>John Kittel/Willow Road</t>
  </si>
  <si>
    <t>Fielding, Lynn</t>
  </si>
  <si>
    <t>SANDGATE ROAD SANDGATE VT 05250 - BENNINGTON</t>
  </si>
  <si>
    <t>0007NK-1</t>
  </si>
  <si>
    <t>Tudor RD.</t>
  </si>
  <si>
    <t>0008JH-2</t>
  </si>
  <si>
    <t>Huellet Yard RT 153</t>
  </si>
  <si>
    <t>Brill, Gilbert</t>
  </si>
  <si>
    <t>1161 RT 66 VERGENNES VT 05491-9579 - ADDISON</t>
  </si>
  <si>
    <t>0007MA-5</t>
  </si>
  <si>
    <t>Louis Lalumiere</t>
  </si>
  <si>
    <t>Chamay, Steve</t>
  </si>
  <si>
    <t>RD1 BOX 3835 BENNINGTON VT 05201 - BENNINGTON</t>
  </si>
  <si>
    <t>0007NG-1</t>
  </si>
  <si>
    <t>Carpenter Hill Road</t>
  </si>
  <si>
    <t>Hutchins, Clint</t>
  </si>
  <si>
    <t>BARBERS POND RD BX427 POWNAL VT 05261 - BENNINGTON</t>
  </si>
  <si>
    <t>0007ND-1</t>
  </si>
  <si>
    <t>Down Below garden hornets in 1 by h</t>
  </si>
  <si>
    <t>Patterson, Joel- Lydia</t>
  </si>
  <si>
    <t>RR1 BX 285 SKIPAREE RD N POWNAL VT 05260</t>
  </si>
  <si>
    <t>00084F-1</t>
  </si>
  <si>
    <t>below hse.</t>
  </si>
  <si>
    <t>Crandell, Chris</t>
  </si>
  <si>
    <t>350 POWDER HORN GLENRD E MONTPELIER VT 05651</t>
  </si>
  <si>
    <t>0008CV-1</t>
  </si>
  <si>
    <t>Santarcangelo, Jeffrey</t>
  </si>
  <si>
    <t>114 BENMONT AVENUE BENNINGTON VT 05201 - BENNINGTON</t>
  </si>
  <si>
    <t>0007BF-1</t>
  </si>
  <si>
    <t>00070D-8</t>
  </si>
  <si>
    <t>262 Shunpike Road</t>
  </si>
  <si>
    <t>Heavisides, Doug</t>
  </si>
  <si>
    <t>217 ATWOOD ROAD WHITE RIVER JUNCTION VT 05001</t>
  </si>
  <si>
    <t>00085Y-1</t>
  </si>
  <si>
    <t>217 Atwood Road</t>
  </si>
  <si>
    <t>Falkner, Richard</t>
  </si>
  <si>
    <t>HIDDEN VALLEY RD POWNAL VT 05261 - BENNINGTON</t>
  </si>
  <si>
    <t>0007NA-1</t>
  </si>
  <si>
    <t>Home stored</t>
  </si>
  <si>
    <t>00079N-2</t>
  </si>
  <si>
    <t>Peplau's 20Mile Stream Rd. ???</t>
  </si>
  <si>
    <t>Reading Town</t>
  </si>
  <si>
    <t>Reading</t>
  </si>
  <si>
    <t>00070Z-3</t>
  </si>
  <si>
    <t>Fitzgerald land</t>
  </si>
  <si>
    <t>Kinter, Sarah</t>
  </si>
  <si>
    <t>WEST RD BX 400A CHITTENDEN VT 05737 - RUTLAND</t>
  </si>
  <si>
    <t>0007N6-1</t>
  </si>
  <si>
    <t>Pat Baird Fm</t>
  </si>
  <si>
    <t>Kruesi, William K.</t>
  </si>
  <si>
    <t>RFD 1 BOX 549 WALLINGFORD VT 05773 - RUTLAND</t>
  </si>
  <si>
    <t>0008H7-1</t>
  </si>
  <si>
    <t>Kenny, Kathleen</t>
  </si>
  <si>
    <t>120 WEST ROAD SANDGATE VT 05250 - BENNINGTON</t>
  </si>
  <si>
    <t>0007N5-1</t>
  </si>
  <si>
    <t>Anderson, Stephen</t>
  </si>
  <si>
    <t>1410 WESTMINSTER WEST ROAD PUTNEY VT 05346 - WINDHAM</t>
  </si>
  <si>
    <t>0007N4-1</t>
  </si>
  <si>
    <t>0007N2-2</t>
  </si>
  <si>
    <t>Paul Harlow's</t>
  </si>
  <si>
    <t>0007A1-2</t>
  </si>
  <si>
    <t>Drolet Yd</t>
  </si>
  <si>
    <t>Jean Drolet</t>
  </si>
  <si>
    <t>552 Cottage Street</t>
  </si>
  <si>
    <t>0007YP-3</t>
  </si>
  <si>
    <t>BaldwinRdYd</t>
  </si>
  <si>
    <t>Gibbons, Dr. Peter</t>
  </si>
  <si>
    <t>62 JUNIPER RIDGE ROAD BRATTLEBORO VT 05301 - WINDHAM</t>
  </si>
  <si>
    <t>0007MZ-1</t>
  </si>
  <si>
    <t>62 Juniper Ridge Road</t>
  </si>
  <si>
    <t>Cronin, Hank</t>
  </si>
  <si>
    <t>320 OLD GULF ROAD MORETOWN VT 05660 - WASHINGTON</t>
  </si>
  <si>
    <t>0007M7-1</t>
  </si>
  <si>
    <t>Cronin-Home Yard</t>
  </si>
  <si>
    <t>Hank Cronin</t>
  </si>
  <si>
    <t>320 Old Gulf Road</t>
  </si>
  <si>
    <t>0007MX-2</t>
  </si>
  <si>
    <t>Ball, Jan Louise</t>
  </si>
  <si>
    <t>3664 JERSEY STREET VERGENNES VT 05491 - ADDISON</t>
  </si>
  <si>
    <t>0008WG-1</t>
  </si>
  <si>
    <t>Ouellette, Douglas</t>
  </si>
  <si>
    <t>9 GOULD ROAD TUNBRIDGE VT 05077-9618 - ORANGE</t>
  </si>
  <si>
    <t>0007MW-1</t>
  </si>
  <si>
    <t>Stearns, Warren</t>
  </si>
  <si>
    <t>7 DEWEY AVENUE WINDSOR VT 05089 - WINDSOR</t>
  </si>
  <si>
    <t>0007D9-1</t>
  </si>
  <si>
    <t>Home up on bank above hse</t>
  </si>
  <si>
    <t>Milek, Gary</t>
  </si>
  <si>
    <t>HUNT RD RR1 BX 1066 WINDSOR VT 05089 - WINDSOR</t>
  </si>
  <si>
    <t>0007D4-1</t>
  </si>
  <si>
    <t>Home/Cider Hill Orchard</t>
  </si>
  <si>
    <t>Tyrrell, Steve</t>
  </si>
  <si>
    <t>1565 20 MILE STREAM RD PROCTORSVILLE VT 05153</t>
  </si>
  <si>
    <t>000784-2</t>
  </si>
  <si>
    <t>Stephen Tyrrell</t>
  </si>
  <si>
    <t>1565 20 Mile Stream Rd.</t>
  </si>
  <si>
    <t>McCaffrey, Colin</t>
  </si>
  <si>
    <t>PO BOX 58 EAST MONTPELIER VT 05651</t>
  </si>
  <si>
    <t>00086X-1</t>
  </si>
  <si>
    <t>WiswallLd</t>
  </si>
  <si>
    <t>Durgin, Edward L.</t>
  </si>
  <si>
    <t>2246 COX DISTRICT ROAD WOODSTOCK VT 05091 - WINDSOR</t>
  </si>
  <si>
    <t>000773-1</t>
  </si>
  <si>
    <t>1718 Gabert Road</t>
  </si>
  <si>
    <t>Thomas, Roy</t>
  </si>
  <si>
    <t>3304 STIMETS ROAD WOODSTOCK VT 05091 - WINDSOR</t>
  </si>
  <si>
    <t>0007MV-1</t>
  </si>
  <si>
    <t>Roach Barger, Cynthia</t>
  </si>
  <si>
    <t>HIGH PASTURES FARM WOODSTOCK VT 05091 - WINDSOR</t>
  </si>
  <si>
    <t>0007MQ-1</t>
  </si>
  <si>
    <t>Off River Road</t>
  </si>
  <si>
    <t>000871-5</t>
  </si>
  <si>
    <t>Bulrush Fm</t>
  </si>
  <si>
    <t>Young, Aurthur J.</t>
  </si>
  <si>
    <t>PO BOX 38 BRADFORD VT 05033 - ORANGE</t>
  </si>
  <si>
    <t>00080G-1</t>
  </si>
  <si>
    <t>Home Rt 25</t>
  </si>
  <si>
    <t>Piper, Malcolm</t>
  </si>
  <si>
    <t>FRARY RD RR2 BX 79 S ROYALTON VT 05068</t>
  </si>
  <si>
    <t>0007MN-1</t>
  </si>
  <si>
    <t>off Broad Brook Rd</t>
  </si>
  <si>
    <t>Hughes, Pam</t>
  </si>
  <si>
    <t>42 WEST ROAD PITTSFORD VT 05763 - RUTLAND</t>
  </si>
  <si>
    <t>0008F6-1</t>
  </si>
  <si>
    <t>Holbrook, Tim</t>
  </si>
  <si>
    <t>1127 SKIPAREE ROAD N POWNAL VT 05260 - BENNINGTON</t>
  </si>
  <si>
    <t>00075Q-1</t>
  </si>
  <si>
    <t>Holbrook Home yard</t>
  </si>
  <si>
    <t>Tim Holbrook</t>
  </si>
  <si>
    <t>1127 Skiparee Road</t>
  </si>
  <si>
    <t>0007JK-2</t>
  </si>
  <si>
    <t>at David Brandau's moved to S.Royal</t>
  </si>
  <si>
    <t>00072K-18</t>
  </si>
  <si>
    <t>Scholten Yard</t>
  </si>
  <si>
    <t>Wood I</t>
  </si>
  <si>
    <t>Burch, Robert</t>
  </si>
  <si>
    <t>BOX 132 TENNY HILL ROAD ASCUTNEY VT 05030</t>
  </si>
  <si>
    <t>0007MM-1</t>
  </si>
  <si>
    <t>Out back towards I-91</t>
  </si>
  <si>
    <t>Jesup, John</t>
  </si>
  <si>
    <t>119 S GODDARD HILL RD PUTNEY VT 05346 - WINDHAM</t>
  </si>
  <si>
    <t>0007MJ-1</t>
  </si>
  <si>
    <t>Goddard Hill Rd</t>
  </si>
  <si>
    <t>Croizet, Gerard</t>
  </si>
  <si>
    <t>1342 VT ROUTE 100 PO BOX 76 WESTFIELD VT 05874 - ORLEANS</t>
  </si>
  <si>
    <t>0008J1-1</t>
  </si>
  <si>
    <t>Berry Creek Farm</t>
  </si>
  <si>
    <t>Gerard Croizet</t>
  </si>
  <si>
    <t>1342 VT RT 100</t>
  </si>
  <si>
    <t>Larson, David &amp; Judith</t>
  </si>
  <si>
    <t>931 MOUNTAIN ROAD EXT ADDISON VT 05734 - ADDISON</t>
  </si>
  <si>
    <t>000887-1</t>
  </si>
  <si>
    <t>00072K-19</t>
  </si>
  <si>
    <t>Rod Yard</t>
  </si>
  <si>
    <t>Peters, Tim</t>
  </si>
  <si>
    <t>2546 RIVER ROAD ARLINGTON VT 05250 - BENNINGTON</t>
  </si>
  <si>
    <t>000750-1</t>
  </si>
  <si>
    <t>00072K-20</t>
  </si>
  <si>
    <t>Bartholomew #1 Yard/East Road</t>
  </si>
  <si>
    <t>00072K-21</t>
  </si>
  <si>
    <t>McLarenYd</t>
  </si>
  <si>
    <t>Munger, Scott</t>
  </si>
  <si>
    <t>BOX 554 CUTLER CORNER ROAD BARRE VT 05641</t>
  </si>
  <si>
    <t>0007N3-1</t>
  </si>
  <si>
    <t>00072K-22</t>
  </si>
  <si>
    <t>Phelps Yard -RT 73</t>
  </si>
  <si>
    <t>Baker, Daniel</t>
  </si>
  <si>
    <t>RR 1 BOX 1086 STARKSBORO VT 05487 - ADDISON</t>
  </si>
  <si>
    <t>0008JD-1</t>
  </si>
  <si>
    <t>in field</t>
  </si>
  <si>
    <t>Turkey Hill Apiary</t>
  </si>
  <si>
    <t>758 TURKEY HILL ROAD CORINTH VT 05039 - ORANGE</t>
  </si>
  <si>
    <t>0007KN-1</t>
  </si>
  <si>
    <t>Ochs, Peter C</t>
  </si>
  <si>
    <t>32 SANFORD RD PO BOX 83 ORWELL VT 05760 - ADDISON</t>
  </si>
  <si>
    <t>0007MG-1</t>
  </si>
  <si>
    <t>Swamp yard</t>
  </si>
  <si>
    <t>Reed, Earl</t>
  </si>
  <si>
    <t>2 MAPLEWOOD LANE ESSEX JUNCTION VT 05452</t>
  </si>
  <si>
    <t>00081V-1</t>
  </si>
  <si>
    <t>0007MG-2</t>
  </si>
  <si>
    <t>Orchard yard</t>
  </si>
  <si>
    <t>00084M-4</t>
  </si>
  <si>
    <t>Brother</t>
  </si>
  <si>
    <t>Turmelle, Peter</t>
  </si>
  <si>
    <t>419 GUILD HILL ROAD WATERBURY CENTER VT 05677</t>
  </si>
  <si>
    <t>0007PK-1</t>
  </si>
  <si>
    <t>Turmelle Home yard</t>
  </si>
  <si>
    <t>Peter Turmelle</t>
  </si>
  <si>
    <t>419 Guild Hill Road</t>
  </si>
  <si>
    <t>00072K-23</t>
  </si>
  <si>
    <t>Hubbard Yd.</t>
  </si>
  <si>
    <t>Hubbard</t>
  </si>
  <si>
    <t>00072K-24</t>
  </si>
  <si>
    <t>St.GeorgeYd</t>
  </si>
  <si>
    <t>St.George</t>
  </si>
  <si>
    <t>Simmons, Melvin</t>
  </si>
  <si>
    <t>708 OTTER CREEK HIGHWAY NEW HAVEN VT 05472 - ADDISON</t>
  </si>
  <si>
    <t>0007MC-1</t>
  </si>
  <si>
    <t>708 Otter Creek Highway</t>
  </si>
  <si>
    <t>Peters, John</t>
  </si>
  <si>
    <t>1675 LIME KILN ROAD NEW HAVEN VT 05472 - ADDISON</t>
  </si>
  <si>
    <t>0007MB-1</t>
  </si>
  <si>
    <t>Home Yard west side of road</t>
  </si>
  <si>
    <t>0007K0-21</t>
  </si>
  <si>
    <t>Waltham Yard</t>
  </si>
  <si>
    <t>Stan Prat</t>
  </si>
  <si>
    <t>Pearson Rd</t>
  </si>
  <si>
    <t>Moore, Linda</t>
  </si>
  <si>
    <t>MOORE LANE BRADFORD VT 05033 - ORANGE</t>
  </si>
  <si>
    <t>000794-1</t>
  </si>
  <si>
    <t>00080G-2</t>
  </si>
  <si>
    <t>Pierson's Farm Stand</t>
  </si>
  <si>
    <t>00072K-25</t>
  </si>
  <si>
    <t>Hidden Meadow Yd</t>
  </si>
  <si>
    <t>Hidden Meadow</t>
  </si>
  <si>
    <t>Route 1160</t>
  </si>
  <si>
    <t>Allen, Samuel</t>
  </si>
  <si>
    <t>WAGON WHEEL ROAD RIPTON VT 05766 - ADDISON</t>
  </si>
  <si>
    <t>000893-1</t>
  </si>
  <si>
    <t>Strong, Ernest</t>
  </si>
  <si>
    <t>515 WESTFORD ROAD MILTON VT 05468-3622 - CHITTENDEN</t>
  </si>
  <si>
    <t>00070F-1</t>
  </si>
  <si>
    <t>Strong-Home Yard</t>
  </si>
  <si>
    <t>Ernest Strong</t>
  </si>
  <si>
    <t>515 Westford Road</t>
  </si>
  <si>
    <t>0007MA-6</t>
  </si>
  <si>
    <t>Orchard yard Daniels Road</t>
  </si>
  <si>
    <t>0007MA-7</t>
  </si>
  <si>
    <t>Brill-Home yard</t>
  </si>
  <si>
    <t>Gilbert Brill</t>
  </si>
  <si>
    <t>1161 RT 66</t>
  </si>
  <si>
    <t>Davis, Billie</t>
  </si>
  <si>
    <t>204 REYNOLDS ROAD FAIRFIELD VT 05455 - FRANKLIN</t>
  </si>
  <si>
    <t>0007M9-1</t>
  </si>
  <si>
    <t>Tammy White, Billie Davis</t>
  </si>
  <si>
    <t>204 Reynolds Road</t>
  </si>
  <si>
    <t>Dutton, Ira</t>
  </si>
  <si>
    <t>WEST WINDHAM RD WINDHAM VT - WINDHAM</t>
  </si>
  <si>
    <t>0007M8-1</t>
  </si>
  <si>
    <t>Herb Dutton Fm before G.Havell S.of hse</t>
  </si>
  <si>
    <t>Keeney, Dorigen</t>
  </si>
  <si>
    <t>1029 CODDING HOLLOW RD JOHNSON VT 05656 - LAMOILLE</t>
  </si>
  <si>
    <t>00073A-2</t>
  </si>
  <si>
    <t>Marshfield Yard</t>
  </si>
  <si>
    <t>Dorigen Keeney</t>
  </si>
  <si>
    <t>989 Maple Hill Road</t>
  </si>
  <si>
    <t>0008J5-3</t>
  </si>
  <si>
    <t>D.Allen land</t>
  </si>
  <si>
    <t>Hurlburt, Mike</t>
  </si>
  <si>
    <t>BOX 46 MARKS ROAD NEW HAVEN VT 05472 - ADDISON</t>
  </si>
  <si>
    <t>0007M5-1</t>
  </si>
  <si>
    <t>Hill, Lydia</t>
  </si>
  <si>
    <t>416 HIGBY ROAD CHARLOTTE VT 05445 - CHITTENDEN</t>
  </si>
  <si>
    <t>0007M4-1</t>
  </si>
  <si>
    <t>Boyer, Dave</t>
  </si>
  <si>
    <t>MONKTON RIDGE ORCHARD MONKTON VT 05469 - ADDISON</t>
  </si>
  <si>
    <t>0007M3-1</t>
  </si>
  <si>
    <t>Home/AFB</t>
  </si>
  <si>
    <t>Voghell, Florian, L.</t>
  </si>
  <si>
    <t>PO BOX 76 HARTLAND 4 CORNERS VT 05049-0076</t>
  </si>
  <si>
    <t>0008H2-1</t>
  </si>
  <si>
    <t>Mace Hill Rd</t>
  </si>
  <si>
    <t>Newton, Craig</t>
  </si>
  <si>
    <t>ROUTE 125 E MIDDLEBURY VT 05740</t>
  </si>
  <si>
    <t>0007M2-1</t>
  </si>
  <si>
    <t>New England Farms</t>
  </si>
  <si>
    <t>142 BEECHER ROAD GRANVILLE NY 12832</t>
  </si>
  <si>
    <t>0008G5-1</t>
  </si>
  <si>
    <t>Larson Farm</t>
  </si>
  <si>
    <t>Finerty, Andrea</t>
  </si>
  <si>
    <t>153 BROUGHTON AVE POULTNEY VT 05764 - RUTLAND</t>
  </si>
  <si>
    <t>00071F-1</t>
  </si>
  <si>
    <t>Michael Finerty</t>
  </si>
  <si>
    <t>153 Broughton Road</t>
  </si>
  <si>
    <t>Mcgrath, Robert</t>
  </si>
  <si>
    <t>HAPPY VALLEY ROAD MIDDLEBURY VT 05753 - ADDISON</t>
  </si>
  <si>
    <t>0007M1-1</t>
  </si>
  <si>
    <t>Home/first right out of town</t>
  </si>
  <si>
    <t>Martin, Edward</t>
  </si>
  <si>
    <t>33 SEMINARY STREET MIDDLEBURY VT 05753 - ADDISON</t>
  </si>
  <si>
    <t>0007M0-1</t>
  </si>
  <si>
    <t>Home/Seminary Street</t>
  </si>
  <si>
    <t>Kieran, Barbara</t>
  </si>
  <si>
    <t>16 SOUTH STREET MIDDLEBURY VT 05753 - ADDISON</t>
  </si>
  <si>
    <t>0007KZ-1</t>
  </si>
  <si>
    <t>Kieran-Home</t>
  </si>
  <si>
    <t>B. Kieran</t>
  </si>
  <si>
    <t>16 South St.</t>
  </si>
  <si>
    <t>Kendall, James</t>
  </si>
  <si>
    <t>RD 1 169A NEW HAVEN VT 05472 - ADDISON</t>
  </si>
  <si>
    <t>0007KY-1</t>
  </si>
  <si>
    <t>By sugarhouse/Route 7</t>
  </si>
  <si>
    <t>Kirby, Skip</t>
  </si>
  <si>
    <t>BROWN ROAD RD 1 SALISBURY VT 05769 - ADDISON</t>
  </si>
  <si>
    <t>0007KX-1</t>
  </si>
  <si>
    <t>0007KW-2</t>
  </si>
  <si>
    <t>Camp Holly Cross</t>
  </si>
  <si>
    <t>Roy, Ruth M</t>
  </si>
  <si>
    <t>136 TROMBLEY HILL ROAD HYDE PARK VT 05655 - LAMOILLE</t>
  </si>
  <si>
    <t>0008FV-1</t>
  </si>
  <si>
    <t>&lt;light bottom board&gt;</t>
  </si>
  <si>
    <t>Roy Home Yard</t>
  </si>
  <si>
    <t>Ruth Roy</t>
  </si>
  <si>
    <t>136 Trombley Hill Road</t>
  </si>
  <si>
    <t>0007X7-4</t>
  </si>
  <si>
    <t>000778-2</t>
  </si>
  <si>
    <t>By Diefenbach next to Rt.2</t>
  </si>
  <si>
    <t>Schlein, Matthew</t>
  </si>
  <si>
    <t>564 WILD APPLE ROAD NEW HAVEN VT 05472 - ADDISON</t>
  </si>
  <si>
    <t>00081J-1</t>
  </si>
  <si>
    <t>Willowell Foundation Land</t>
  </si>
  <si>
    <t>0007GW-4</t>
  </si>
  <si>
    <t>457 Coy Hill Road</t>
  </si>
  <si>
    <t>Hughes, Matthew</t>
  </si>
  <si>
    <t>0007KP-1</t>
  </si>
  <si>
    <t>Matthew &amp; Krista Hughes</t>
  </si>
  <si>
    <t>Olsacher, Sig</t>
  </si>
  <si>
    <t>BOX 303 B E CALAIS VT 05650</t>
  </si>
  <si>
    <t>0007W0-1</t>
  </si>
  <si>
    <t>Merton, Timothy A.,</t>
  </si>
  <si>
    <t>204 WEST ROAD PUTNEY VT 05346 - WINDHAM</t>
  </si>
  <si>
    <t>0007P5-1</t>
  </si>
  <si>
    <t>Merton-Home Yard</t>
  </si>
  <si>
    <t>Timothy &amp; Lisa Merton</t>
  </si>
  <si>
    <t>204 West Road</t>
  </si>
  <si>
    <t>O'connor, Peter</t>
  </si>
  <si>
    <t>RR3 BOX 1146 PUTNEY VT 05346 - WINDHAM</t>
  </si>
  <si>
    <t>000734-1</t>
  </si>
  <si>
    <t>Koggan, Miranda</t>
  </si>
  <si>
    <t>PO BOX 45 ELMORE VT 05657 - LAMOILLE</t>
  </si>
  <si>
    <t>00078M-1</t>
  </si>
  <si>
    <t>0007JZ-4</t>
  </si>
  <si>
    <t>Deserted house yard Clark Woods Road</t>
  </si>
  <si>
    <t>0007WA-17</t>
  </si>
  <si>
    <t>ShapiroYd</t>
  </si>
  <si>
    <t>Shapiro</t>
  </si>
  <si>
    <t>Robinson Road</t>
  </si>
  <si>
    <t>0007JZ-5</t>
  </si>
  <si>
    <t>Hawkins Farm yard</t>
  </si>
  <si>
    <t>000871-6</t>
  </si>
  <si>
    <t>Darrell Smith</t>
  </si>
  <si>
    <t>488 VT RT 14</t>
  </si>
  <si>
    <t>Harrington, Don</t>
  </si>
  <si>
    <t>DAKIN ROAD RR1 BOX 1765 N FERRISBURG VT 05473</t>
  </si>
  <si>
    <t>0007KD-1</t>
  </si>
  <si>
    <t>Carleton, Donald</t>
  </si>
  <si>
    <t>110 MACDONOUGH DRIVE VERGENNES VT 05491 - ADDISON</t>
  </si>
  <si>
    <t>0007KB-1</t>
  </si>
  <si>
    <t>By Weeks School</t>
  </si>
  <si>
    <t>0007WA-18</t>
  </si>
  <si>
    <t>Booth Yd</t>
  </si>
  <si>
    <t>Booth</t>
  </si>
  <si>
    <t>Shellhouse Mountain Road</t>
  </si>
  <si>
    <t>Zelley, Robert A.</t>
  </si>
  <si>
    <t>73 SAM WEB ROAD FAIRFAX VT 05454 - FRANKLIN</t>
  </si>
  <si>
    <t>0008J4-1</t>
  </si>
  <si>
    <t>Zelley's Home Yard</t>
  </si>
  <si>
    <t>Robert Zelley</t>
  </si>
  <si>
    <t>73 Sam Web Road</t>
  </si>
  <si>
    <t>Singer, Donald J.</t>
  </si>
  <si>
    <t>262 HILL STREET BARRE VT 05641</t>
  </si>
  <si>
    <t>00085G-1</t>
  </si>
  <si>
    <t>Singer-Home Yard</t>
  </si>
  <si>
    <t>Donald Singer</t>
  </si>
  <si>
    <t>262 Hill St</t>
  </si>
  <si>
    <t>Atchinson, Jeanne Ross (Genie's)</t>
  </si>
  <si>
    <t>116 STOWE STREET WATERBURY VT 05676-1112 - WASHINGTON</t>
  </si>
  <si>
    <t>000954-1</t>
  </si>
  <si>
    <t>&lt;Tracheal mites&gt;</t>
  </si>
  <si>
    <t>Atchinson Yard</t>
  </si>
  <si>
    <t>Jeanne Ross Atchinson</t>
  </si>
  <si>
    <t>116 Stowe Street</t>
  </si>
  <si>
    <t>05676-1112</t>
  </si>
  <si>
    <t>Marks, Andrew</t>
  </si>
  <si>
    <t>RD 2 BOX 1916 MIDDLEBURY VT 05753 - ADDISON</t>
  </si>
  <si>
    <t>0007K9-1</t>
  </si>
  <si>
    <t>By Man.</t>
  </si>
  <si>
    <t>Cox, Kenneth M.</t>
  </si>
  <si>
    <t>28 N PUCKERBRUSH ROAD S READING VT 05153</t>
  </si>
  <si>
    <t>000759-1</t>
  </si>
  <si>
    <t>28 North Puckerbrush Road</t>
  </si>
  <si>
    <t>Gray, Richard</t>
  </si>
  <si>
    <t>PO BOX 292 BETHEL VT 05032 - WINDSOR</t>
  </si>
  <si>
    <t>000907-1</t>
  </si>
  <si>
    <t>Lloyd Dike</t>
  </si>
  <si>
    <t>0007WA-19</t>
  </si>
  <si>
    <t>Muzzy Yard</t>
  </si>
  <si>
    <t>Muzzy</t>
  </si>
  <si>
    <t>00072K-26</t>
  </si>
  <si>
    <t>DunningYd</t>
  </si>
  <si>
    <t>Dunning</t>
  </si>
  <si>
    <t>Bourdeau Road</t>
  </si>
  <si>
    <t>Shepard, Tom</t>
  </si>
  <si>
    <t>70 PINE STREET BRISTOL VT 05443 - ADDISON</t>
  </si>
  <si>
    <t>0007K6-1</t>
  </si>
  <si>
    <t>Devino house/Hinesburg Road</t>
  </si>
  <si>
    <t>Grant, Peter</t>
  </si>
  <si>
    <t>1614 S RT116 BRISTOL VT 05443 - ADDISON</t>
  </si>
  <si>
    <t>0007K5-1</t>
  </si>
  <si>
    <t>Farr, Paul</t>
  </si>
  <si>
    <t>191 S RT116 BRISTOL VT 05443 - ADDISON</t>
  </si>
  <si>
    <t>0007K4-1</t>
  </si>
  <si>
    <t>Elder, John</t>
  </si>
  <si>
    <t>74 NORTH STREET BRISTOL VT 05443 - ADDISON</t>
  </si>
  <si>
    <t>0007K3-1</t>
  </si>
  <si>
    <t>Greenwood, Kim</t>
  </si>
  <si>
    <t>216 MAPLE STREET DUXBURY VT 05676 - WASHINGTON</t>
  </si>
  <si>
    <t>0008X0-1</t>
  </si>
  <si>
    <t>Parents house</t>
  </si>
  <si>
    <t>Ron &amp; Lil Greenwood</t>
  </si>
  <si>
    <t>153 Vt Route 14 North</t>
  </si>
  <si>
    <t>0007JY-7</t>
  </si>
  <si>
    <t>BronsonYd(Sumac)</t>
  </si>
  <si>
    <t>Market Road</t>
  </si>
  <si>
    <t>0007K0-22</t>
  </si>
  <si>
    <t>New North Bridport</t>
  </si>
  <si>
    <t>Art Hueustis</t>
  </si>
  <si>
    <t>0007K0-23</t>
  </si>
  <si>
    <t>Hemengway Yard</t>
  </si>
  <si>
    <t>Eric Denue</t>
  </si>
  <si>
    <t>Hemingway Hill Road</t>
  </si>
  <si>
    <t>0007K0-24</t>
  </si>
  <si>
    <t>N. Bridport Yard</t>
  </si>
  <si>
    <t>Market Road West</t>
  </si>
  <si>
    <t>0007K0-25</t>
  </si>
  <si>
    <t>Town Line Yard</t>
  </si>
  <si>
    <t>Townline Road</t>
  </si>
  <si>
    <t>0007K0-26</t>
  </si>
  <si>
    <t>Nate Smith Yard (1024)</t>
  </si>
  <si>
    <t>Art Huestis</t>
  </si>
  <si>
    <t>0007K0-27</t>
  </si>
  <si>
    <t>Store Yard</t>
  </si>
  <si>
    <t>Richard Huestis</t>
  </si>
  <si>
    <t>Heitman Road</t>
  </si>
  <si>
    <t>Wiggins, Tom</t>
  </si>
  <si>
    <t>TAPLIN HILL RD E BARRE VT 05649</t>
  </si>
  <si>
    <t>000791-1</t>
  </si>
  <si>
    <t>3rd hse on R. take path by swing set</t>
  </si>
  <si>
    <t>00070D-9</t>
  </si>
  <si>
    <t>E. Creek II</t>
  </si>
  <si>
    <t>Dragon, Paul</t>
  </si>
  <si>
    <t>17 BRIAR PATCH LANE UNDERHILL VT 05489-9205 - CHITTENDEN</t>
  </si>
  <si>
    <t>00088X-1</t>
  </si>
  <si>
    <t>Lilly, Richard</t>
  </si>
  <si>
    <t>RR1 BOX 260 LOVERS LANE BRIDPORT VT 05734 - ADDISON</t>
  </si>
  <si>
    <t>0007K2-1</t>
  </si>
  <si>
    <t>Home/bought bees in 86</t>
  </si>
  <si>
    <t>0007WA-20</t>
  </si>
  <si>
    <t>Monkton Rd Yd.</t>
  </si>
  <si>
    <t>0007K0-28</t>
  </si>
  <si>
    <t>Old Lady Yard</t>
  </si>
  <si>
    <t>Chris</t>
  </si>
  <si>
    <t>Wilmarth Road</t>
  </si>
  <si>
    <t>0007K0-29</t>
  </si>
  <si>
    <t>Fish and Game</t>
  </si>
  <si>
    <t>Dead Creek Game Preserve</t>
  </si>
  <si>
    <t>RT 17</t>
  </si>
  <si>
    <t>0007JZ-6</t>
  </si>
  <si>
    <t>Addison Mountain Road yard</t>
  </si>
  <si>
    <t>Smith, David</t>
  </si>
  <si>
    <t>58 ZION HILL ROAD W TOPSHAM VT 05086</t>
  </si>
  <si>
    <t>00079H-1</t>
  </si>
  <si>
    <t>David Smith</t>
  </si>
  <si>
    <t>58 Zion Hill Road</t>
  </si>
  <si>
    <t>West Topsham</t>
  </si>
  <si>
    <t>Merrens, Edward J.</t>
  </si>
  <si>
    <t>PO BOX 1217 NORWICH VT 05055 - WINDSOR</t>
  </si>
  <si>
    <t>0007YB-1</t>
  </si>
  <si>
    <t>96 Meetinghouse Road</t>
  </si>
  <si>
    <t>0007JZ-7</t>
  </si>
  <si>
    <t>Kennet yard</t>
  </si>
  <si>
    <t>0007JZ-8</t>
  </si>
  <si>
    <t>Goodrich Road yard</t>
  </si>
  <si>
    <t>0007WA-21</t>
  </si>
  <si>
    <t>VanderWay Yd</t>
  </si>
  <si>
    <t>VanderWay</t>
  </si>
  <si>
    <t>00070D-10</t>
  </si>
  <si>
    <t>Brickell Yard</t>
  </si>
  <si>
    <t>Nash, Steven, C.</t>
  </si>
  <si>
    <t>8 WILDWOOD DRIVE ESSEX JUNCTION VT 05452</t>
  </si>
  <si>
    <t>0007B3-1</t>
  </si>
  <si>
    <t>Nash Home yard</t>
  </si>
  <si>
    <t>Steven Nash</t>
  </si>
  <si>
    <t>8 Wildwood Drive</t>
  </si>
  <si>
    <t>00070D-12</t>
  </si>
  <si>
    <t>Wilson Yard</t>
  </si>
  <si>
    <t>Brian Wilson</t>
  </si>
  <si>
    <t>Hemenway Hill Road</t>
  </si>
  <si>
    <t>00070D-13</t>
  </si>
  <si>
    <t>Schoolhouse yard</t>
  </si>
  <si>
    <t>Liberty Lane</t>
  </si>
  <si>
    <t>00070D-14</t>
  </si>
  <si>
    <t>Plouff Yard</t>
  </si>
  <si>
    <t>Happy Valley Road</t>
  </si>
  <si>
    <t>00070D-15</t>
  </si>
  <si>
    <t>Markwell Yard</t>
  </si>
  <si>
    <t>Mountain Road</t>
  </si>
  <si>
    <t>Masterson, Jennie</t>
  </si>
  <si>
    <t>24 HIGH STREET BRANDON VT 05733 - RUTLAND</t>
  </si>
  <si>
    <t>00090K-1</t>
  </si>
  <si>
    <t>00070D-16</t>
  </si>
  <si>
    <t>Route 17/Old Townsend yard</t>
  </si>
  <si>
    <t>00070D-17</t>
  </si>
  <si>
    <t>Guy Smith yard/Townline Road</t>
  </si>
  <si>
    <t>George, Robert</t>
  </si>
  <si>
    <t>ABBOTT ROAD WINDHAM VT 05359 - WINDHAM</t>
  </si>
  <si>
    <t>0007JP-1</t>
  </si>
  <si>
    <t>Abbott Road</t>
  </si>
  <si>
    <t>Vandertuin, Peter &amp; Carol</t>
  </si>
  <si>
    <t>SHEARER HILL ROAD WILMINGTON VT 05363 - WINDHAM</t>
  </si>
  <si>
    <t>0007JN-1</t>
  </si>
  <si>
    <t>Off Parsons Road</t>
  </si>
  <si>
    <t>Sprenger, Mary &amp; Eric</t>
  </si>
  <si>
    <t>CASTLE HILL RD BX 1000 WILMINGTON VT 05363 - WINDHAM</t>
  </si>
  <si>
    <t>0007JM-1</t>
  </si>
  <si>
    <t>Route 9/Boyd Fm E.of Sugar hse in hollow</t>
  </si>
  <si>
    <t>Dumont, Helen</t>
  </si>
  <si>
    <t>CASTLE HILL BOX 21 WILMINGTON VT 05363 - WINDHAM</t>
  </si>
  <si>
    <t>0007JJ-1</t>
  </si>
  <si>
    <t>On right/past A-frame Alabama bees 89</t>
  </si>
  <si>
    <t>Amsden, Ernest</t>
  </si>
  <si>
    <t>RR1 BOX 346A S ROYALTON VT 05068</t>
  </si>
  <si>
    <t>0007JH-1</t>
  </si>
  <si>
    <t>Morrison, Mrs. Carl</t>
  </si>
  <si>
    <t>OFF SAND HILL ROAD WESTMINISTER VT 05158</t>
  </si>
  <si>
    <t>0007JG-1</t>
  </si>
  <si>
    <t>Off Sand Hill Rd./by garden</t>
  </si>
  <si>
    <t>0008N3-3</t>
  </si>
  <si>
    <t>Granby Yard</t>
  </si>
  <si>
    <t>Parliman, Bruce</t>
  </si>
  <si>
    <t>18 VT RTE 30 JAMAICA VT 05343 - WINDHAM</t>
  </si>
  <si>
    <t>00085M-1</t>
  </si>
  <si>
    <t>Sticky Fingers Apiary</t>
  </si>
  <si>
    <t>18 VT RTE 30</t>
  </si>
  <si>
    <t>Deleo, John</t>
  </si>
  <si>
    <t>81 SANDVILLE ROAD ST JOHNSBURY VT 05819</t>
  </si>
  <si>
    <t>0007JB-1</t>
  </si>
  <si>
    <t>John &amp; Cathy Deleo</t>
  </si>
  <si>
    <t>81 Sandville Road</t>
  </si>
  <si>
    <t>0007J8-2</t>
  </si>
  <si>
    <t>Morse Farm/bought from Norman Raymond</t>
  </si>
  <si>
    <t>0007VW-2</t>
  </si>
  <si>
    <t>0.8MoffRT2</t>
  </si>
  <si>
    <t>Morris, Jennifer</t>
  </si>
  <si>
    <t>1217 BROOK ROAD WAITSFIELD VT 05673 - WASHINGTON</t>
  </si>
  <si>
    <t>00094M-1</t>
  </si>
  <si>
    <t>Morris-Home Yard</t>
  </si>
  <si>
    <t>Jennifer Morris</t>
  </si>
  <si>
    <t>1217 Brook Road</t>
  </si>
  <si>
    <t>Diffily, Kevin</t>
  </si>
  <si>
    <t>RR1 BOX 1310 CRAFTSBURY VT 05826 - ORLEANS</t>
  </si>
  <si>
    <t>0007Z3-1</t>
  </si>
  <si>
    <t>Across State Park</t>
  </si>
  <si>
    <t>Keil, Jill</t>
  </si>
  <si>
    <t>GODDARD HILL ROAD WESTMINISTER VT 05158</t>
  </si>
  <si>
    <t>0007J3-1</t>
  </si>
  <si>
    <t>no bees 84 to 88</t>
  </si>
  <si>
    <t>Gintof, Steve</t>
  </si>
  <si>
    <t>212 LACROSS ROAD SPRINGFIELD VT 05156 - WINDSOR</t>
  </si>
  <si>
    <t>0007J2-1</t>
  </si>
  <si>
    <t>Hintof home yard</t>
  </si>
  <si>
    <t>Steve Gintof</t>
  </si>
  <si>
    <t>212 Lacrosse Road</t>
  </si>
  <si>
    <t>Davis, Ralph</t>
  </si>
  <si>
    <t>576 MARTIN ROAD CALAIS VT 05648</t>
  </si>
  <si>
    <t>00075C-1</t>
  </si>
  <si>
    <t>Davis Outyard</t>
  </si>
  <si>
    <t>Pearl Street Motors</t>
  </si>
  <si>
    <t>2483 Elm Street</t>
  </si>
  <si>
    <t>Payette, Raymond</t>
  </si>
  <si>
    <t>327 BEAN ROAD NORTHFIELD VT 05663 - WASHINGTON</t>
  </si>
  <si>
    <t>0007J0-1</t>
  </si>
  <si>
    <t>VT home</t>
  </si>
  <si>
    <t>Reed, Richard</t>
  </si>
  <si>
    <t>1225 FERN LAKE ROAD LEICESTER VT 05733 - ADDISON</t>
  </si>
  <si>
    <t>0007VP-1</t>
  </si>
  <si>
    <t>Reed- Home</t>
  </si>
  <si>
    <t>Richard &amp; Carol Reed</t>
  </si>
  <si>
    <t>1225 Fern Lake Road</t>
  </si>
  <si>
    <t>Desler, Jeff</t>
  </si>
  <si>
    <t>E HILL FM RR4 BX 844 W GUILDFORD VT 05301</t>
  </si>
  <si>
    <t>0007BN-1</t>
  </si>
  <si>
    <t>Rt.9 L.at Grampies Greenleaf L.Hinesburg</t>
  </si>
  <si>
    <t>Wesolowski, Christopher</t>
  </si>
  <si>
    <t>232 STEEPWAY ROAD NEWFANE VT 05345 - WINDHAM</t>
  </si>
  <si>
    <t>00086H-1</t>
  </si>
  <si>
    <t>Wesolowski-Home Yard</t>
  </si>
  <si>
    <t>Christopher Wesolowski</t>
  </si>
  <si>
    <t>232 Steepway Road</t>
  </si>
  <si>
    <t>Jenks, Vern</t>
  </si>
  <si>
    <t>RR 1 BOX 155A BONDVILLE VT 05340</t>
  </si>
  <si>
    <t>0007HW-1</t>
  </si>
  <si>
    <t>Winhall Town</t>
  </si>
  <si>
    <t>Winhall(bondv)</t>
  </si>
  <si>
    <t>Clark, Doug</t>
  </si>
  <si>
    <t>RFD BONDVILLE VT</t>
  </si>
  <si>
    <t>0007HQ-1</t>
  </si>
  <si>
    <t>off Memorial 1M up on L log hse on hill</t>
  </si>
  <si>
    <t>Spencer, John</t>
  </si>
  <si>
    <t>457 WINHALL HOLLOW RD BONDVILLE VT 05340</t>
  </si>
  <si>
    <t>0007HP-1</t>
  </si>
  <si>
    <t>2.3M up from McNair on L Red Metal roof</t>
  </si>
  <si>
    <t>John Spencer</t>
  </si>
  <si>
    <t>457 Winhall Hollow Road</t>
  </si>
  <si>
    <t>Bondville</t>
  </si>
  <si>
    <t>Miller, Dave</t>
  </si>
  <si>
    <t>ROUTE 142 VERNON VT 05354 - WINDHAM</t>
  </si>
  <si>
    <t>0007HN-1</t>
  </si>
  <si>
    <t>Alexander, Gretchen</t>
  </si>
  <si>
    <t>112 NASHVILLE ROAD JERICHO VT 05465 - CHITTENDEN</t>
  </si>
  <si>
    <t>0007HM-1</t>
  </si>
  <si>
    <t>Alexander-Home</t>
  </si>
  <si>
    <t>Gretchen Alexander</t>
  </si>
  <si>
    <t>112 Nashville Road</t>
  </si>
  <si>
    <t>Mockler, Patrick</t>
  </si>
  <si>
    <t>0007HK-1</t>
  </si>
  <si>
    <t>Home/in woods</t>
  </si>
  <si>
    <t>Mowrey, William</t>
  </si>
  <si>
    <t>BOX 287A SHILL ROAD WARDSBORO VT 05355 - WINDHAM</t>
  </si>
  <si>
    <t>0007HG-1</t>
  </si>
  <si>
    <t>RT 100S&amp;RT 30</t>
  </si>
  <si>
    <t>Gould, Keith</t>
  </si>
  <si>
    <t>3382 VT RT 12-A NORTHFIELD VT 05663 - WASHINGTON</t>
  </si>
  <si>
    <t>0007HF-1</t>
  </si>
  <si>
    <t>Keith Gould</t>
  </si>
  <si>
    <t>3382 VT Rt 12-a</t>
  </si>
  <si>
    <t>Fontaine, David</t>
  </si>
  <si>
    <t>PO BOX 76 TOWNSHEND VT 05353 - WINDHAM</t>
  </si>
  <si>
    <t>0007HD-1</t>
  </si>
  <si>
    <t>Home - Harmonyville</t>
  </si>
  <si>
    <t>Lorenzo, Jim</t>
  </si>
  <si>
    <t>ABBOTT RD WINDHAM VT 05359 - WINDHAM</t>
  </si>
  <si>
    <t>0007H6-1</t>
  </si>
  <si>
    <t>Lorenzo-Home</t>
  </si>
  <si>
    <t>Jim Lorenzo</t>
  </si>
  <si>
    <t>429 Abbott Road</t>
  </si>
  <si>
    <t>Williamson, John</t>
  </si>
  <si>
    <t>PO BOX 263 N BENNINGTON VT 05257</t>
  </si>
  <si>
    <t>00075G-1</t>
  </si>
  <si>
    <t>Dad's Farm</t>
  </si>
  <si>
    <t>Lavallee, Pete</t>
  </si>
  <si>
    <t>31 SUNNYVIEW DRIVE JERICHO VT 05465 - CHITTENDEN</t>
  </si>
  <si>
    <t>0008NH-1</t>
  </si>
  <si>
    <t>Mayer, Don</t>
  </si>
  <si>
    <t>1081 PRICKLY MNT RD WARREN VT 05674</t>
  </si>
  <si>
    <t>0007H9-1</t>
  </si>
  <si>
    <t>Home (works at MadDog Electronics)</t>
  </si>
  <si>
    <t>Vitko, John</t>
  </si>
  <si>
    <t>1178 SENOR ROAD WARREN VT 05674</t>
  </si>
  <si>
    <t>00074P-1</t>
  </si>
  <si>
    <t>Dority, John A., Jr.</t>
  </si>
  <si>
    <t>353 HILL ROAD FAIRFIELD VT 05455 - FRANKLIN</t>
  </si>
  <si>
    <t>00088G-1</t>
  </si>
  <si>
    <t>Flynn, Richard</t>
  </si>
  <si>
    <t>RR1 BX 1300 NEWFNE HIL NEWFANE VT 05345 - WINDHAM</t>
  </si>
  <si>
    <t>0007H5-1</t>
  </si>
  <si>
    <t>Rt30 to Dump Rd no bees stored</t>
  </si>
  <si>
    <t>Gates, Judy &amp; David</t>
  </si>
  <si>
    <t>PO BOX 19 BRIDGEWATER CORNERS VT 05035-0019</t>
  </si>
  <si>
    <t>0007A3-1</t>
  </si>
  <si>
    <t>Macarthur, John</t>
  </si>
  <si>
    <t>MACARTHUR ROAD MARLBORO VT 05344 - WINDHAM</t>
  </si>
  <si>
    <t>0007H3-1</t>
  </si>
  <si>
    <t>old farm hse on R.</t>
  </si>
  <si>
    <t>Hodge, Allan</t>
  </si>
  <si>
    <t>RTE 11 BOX 27 LONDONDERRY VT 05148 - WINDHAM</t>
  </si>
  <si>
    <t>0007H2-1</t>
  </si>
  <si>
    <t>Home/Route 11 call before inspectin</t>
  </si>
  <si>
    <t>Coleman, Ralph</t>
  </si>
  <si>
    <t>BOX 109 S LONDONDERRY VT 05155</t>
  </si>
  <si>
    <t>0007H0-1</t>
  </si>
  <si>
    <t>Family farm</t>
  </si>
  <si>
    <t>Hill, Mike</t>
  </si>
  <si>
    <t>RR1 BOX 2742 ARLINGTON VT 05250 - BENNINGTON</t>
  </si>
  <si>
    <t>0007GZ-1</t>
  </si>
  <si>
    <t>Kauffmann, Tom</t>
  </si>
  <si>
    <t>PO BOX 546 LONDONDERRY VT 05148 - WINDHAM</t>
  </si>
  <si>
    <t>000860-1</t>
  </si>
  <si>
    <t>Williams, Tink</t>
  </si>
  <si>
    <t>SOUTH HOLLOW RD PERU VT - BENNINGTON</t>
  </si>
  <si>
    <t>0007GX-1</t>
  </si>
  <si>
    <t>Home getting bees call first</t>
  </si>
  <si>
    <t>0007GW-5</t>
  </si>
  <si>
    <t>23 N. Street (wife's)</t>
  </si>
  <si>
    <t>WI</t>
  </si>
  <si>
    <t>Clapp, Tim</t>
  </si>
  <si>
    <t>376 DAISY HOLLOW ROAD MIDDLETOWN SPRINGS VT 05757 - RUTLAND</t>
  </si>
  <si>
    <t>0007FG-1</t>
  </si>
  <si>
    <t>0007GQ-2</t>
  </si>
  <si>
    <t>hive under tree belongs to Ed Hale</t>
  </si>
  <si>
    <t>Morse, Daniel</t>
  </si>
  <si>
    <t>3125 PEARSON ROAD NEW HAVEN VT 05472 - ADDISON</t>
  </si>
  <si>
    <t>000976-1</t>
  </si>
  <si>
    <t>Dwyer, Neil W.</t>
  </si>
  <si>
    <t>897 LAMB HILL ROAD WELLS VT 05774 - RUTLAND</t>
  </si>
  <si>
    <t>0007FP-1</t>
  </si>
  <si>
    <t>Hardy, T.</t>
  </si>
  <si>
    <t>1373 MOUNTAIN ROAD STOWE VT 05672 - LAMOILLE</t>
  </si>
  <si>
    <t>0007QW-1</t>
  </si>
  <si>
    <t>Lembke, Steve</t>
  </si>
  <si>
    <t>2688 RIVER ROAD GUILFORD VT 05301</t>
  </si>
  <si>
    <t>0007GJ-1</t>
  </si>
  <si>
    <t>2.8 from bridge on R new cedar hse on hl</t>
  </si>
  <si>
    <t>Evans, Harry</t>
  </si>
  <si>
    <t>121 WEATHERHEAD HOLLOW RD GUILFORD VT 05301 - WINDHAM</t>
  </si>
  <si>
    <t>0007GG-1</t>
  </si>
  <si>
    <t>Morse, Ronald &amp; Deborah</t>
  </si>
  <si>
    <t>321 BENTLEY AVE POULTNEY VT 05764 - RUTLAND</t>
  </si>
  <si>
    <t>0007DV-1</t>
  </si>
  <si>
    <t>At camp</t>
  </si>
  <si>
    <t>4689 Chateauguay Road</t>
  </si>
  <si>
    <t>Moseley, Henry</t>
  </si>
  <si>
    <t>OLD STAGE ROAD GRAFTON VT 05146 - WINDHAM</t>
  </si>
  <si>
    <t>0007GD-1</t>
  </si>
  <si>
    <t>Houghtonville empty since 84</t>
  </si>
  <si>
    <t>Grafton Town</t>
  </si>
  <si>
    <t>Grafton</t>
  </si>
  <si>
    <t>Warren, Richard</t>
  </si>
  <si>
    <t>PO BOX 7 GRAFTON VT 05146 - WINDHAM</t>
  </si>
  <si>
    <t>0007GA-1</t>
  </si>
  <si>
    <t>00070D-18</t>
  </si>
  <si>
    <t>Old Pit</t>
  </si>
  <si>
    <t>Mud Dock Road</t>
  </si>
  <si>
    <t>Lake, Norah</t>
  </si>
  <si>
    <t>97 KERWIN HILL ROAD NORWICH VT 05055 - WINDSOR</t>
  </si>
  <si>
    <t>0007G8-1</t>
  </si>
  <si>
    <t>97 Kerwin Hill Road</t>
  </si>
  <si>
    <t>Dickison, Chuck</t>
  </si>
  <si>
    <t>MIDDLETOWN RD GRAFTON VT 05146 - WINDHAM</t>
  </si>
  <si>
    <t>0007G7-1</t>
  </si>
  <si>
    <t>Home/by museum 1st R after 2nd ceme</t>
  </si>
  <si>
    <t>Partridge, Carolyn</t>
  </si>
  <si>
    <t>1612 OLD CHENEY RD S WINDHAM VT 05359</t>
  </si>
  <si>
    <t>0007HC-1</t>
  </si>
  <si>
    <t>&lt;?&gt;</t>
  </si>
  <si>
    <t>Partridge Home</t>
  </si>
  <si>
    <t>Carolyn and Alan Partridge</t>
  </si>
  <si>
    <t>1612 Old Cheney Road</t>
  </si>
  <si>
    <t>Gingras, Alcide R.</t>
  </si>
  <si>
    <t>312 PEET ROAD CORNWALL VT 05753 - ADDISON</t>
  </si>
  <si>
    <t>0008XD-1</t>
  </si>
  <si>
    <t>Gordon Yard</t>
  </si>
  <si>
    <t>0007G5-2</t>
  </si>
  <si>
    <t>Rt 5 2nd above River Rd. townline E</t>
  </si>
  <si>
    <t>B A N TV Repair</t>
  </si>
  <si>
    <t>654 BLUSH HILL ROAD WATERBURY VT 05676 - WASHINGTON</t>
  </si>
  <si>
    <t>0007G4-1</t>
  </si>
  <si>
    <t>Holton, Helma</t>
  </si>
  <si>
    <t>PO BOX 221 WESTMINISTER CENTER VT 05158 - WINDHAM</t>
  </si>
  <si>
    <t>0008CW-1</t>
  </si>
  <si>
    <t>3669 RT 5</t>
  </si>
  <si>
    <t>Westminster Center</t>
  </si>
  <si>
    <t>King, Robert</t>
  </si>
  <si>
    <t>125 JOY ROAD PUTNEY VT 05346 - WINDHAM</t>
  </si>
  <si>
    <t>0007G2-1</t>
  </si>
  <si>
    <t>Hill Dale Farm off Holland Hill Rd.</t>
  </si>
  <si>
    <t>Cook, Dr. Frances</t>
  </si>
  <si>
    <t>S HILL ROAD MORETOWN VT 05660 - WASHINGTON</t>
  </si>
  <si>
    <t>0007FZ-1</t>
  </si>
  <si>
    <t>Summers, John</t>
  </si>
  <si>
    <t>RR1 BOX 500 MORETOWN VT 05660 - WASHINGTON</t>
  </si>
  <si>
    <t>0007FY-1</t>
  </si>
  <si>
    <t>Antonowicz, Michael</t>
  </si>
  <si>
    <t>92 PARKMAN WOOD ROAD PUTNEY VT 05346 - WINDHAM</t>
  </si>
  <si>
    <t>0007FX-1</t>
  </si>
  <si>
    <t>Medved, Stephen</t>
  </si>
  <si>
    <t>OFF RIVER ROAD EAST PUTNEY VT 05346</t>
  </si>
  <si>
    <t>0007FW-1</t>
  </si>
  <si>
    <t>Eromenok, Brian</t>
  </si>
  <si>
    <t>80 LINCOLN AVE CLIFTON NJ 07011</t>
  </si>
  <si>
    <t>0007FV-1</t>
  </si>
  <si>
    <t>Stix and Stones Farm</t>
  </si>
  <si>
    <t>Sticks and Stones Farm</t>
  </si>
  <si>
    <t>610 Egan Road</t>
  </si>
  <si>
    <t>Larsen, Patrick</t>
  </si>
  <si>
    <t>656 DIMICK ROAD E HARDWICK VT 05836</t>
  </si>
  <si>
    <t>0008QV-1</t>
  </si>
  <si>
    <t>656 Dimick Road</t>
  </si>
  <si>
    <t>Virkstis, Richard</t>
  </si>
  <si>
    <t>0007FM-1</t>
  </si>
  <si>
    <t>Home something wrong here check in 90</t>
  </si>
  <si>
    <t>Ashe, Westley &amp; Eileen</t>
  </si>
  <si>
    <t>193 WOODLAND DRIVE HINESBURG VT 05461 - CHITTENDEN</t>
  </si>
  <si>
    <t>0008BJ-1</t>
  </si>
  <si>
    <t>Manix, Jack</t>
  </si>
  <si>
    <t>ROUTE 5 WALKER FARM DUMMERSTON VT 05357 - WINDHAM</t>
  </si>
  <si>
    <t>0007FJ-1</t>
  </si>
  <si>
    <t>Walker Farm</t>
  </si>
  <si>
    <t>Hamelman, Jeff</t>
  </si>
  <si>
    <t>24 COUNTY ROAD HARTLAND 4 CORNERS VT 05048 - WINDSOR</t>
  </si>
  <si>
    <t>0007FH-1</t>
  </si>
  <si>
    <t>&lt;acceptable&gt;</t>
  </si>
  <si>
    <t>Hamelman-Home Yard</t>
  </si>
  <si>
    <t>Jeff Hamelman</t>
  </si>
  <si>
    <t>24 County Road</t>
  </si>
  <si>
    <t>0007WA-22</t>
  </si>
  <si>
    <t>Audet Yd</t>
  </si>
  <si>
    <t>Wolff, Nancy &amp; Bill</t>
  </si>
  <si>
    <t>PO BOX 126 BRIDGEWATER CORNERS VT 05035</t>
  </si>
  <si>
    <t>0007N0-1</t>
  </si>
  <si>
    <t>Domina, Brad</t>
  </si>
  <si>
    <t>NORTH ST EAST DOVER VT 05341</t>
  </si>
  <si>
    <t>0007FD-1</t>
  </si>
  <si>
    <t>B&amp;B Forms Co. 1st on L.</t>
  </si>
  <si>
    <t>Powers, Miles</t>
  </si>
  <si>
    <t>JENNE ROAD EAST DOVER VT 05341</t>
  </si>
  <si>
    <t>0007FC-1</t>
  </si>
  <si>
    <t>NE corner of field back of hse</t>
  </si>
  <si>
    <t>James, Alison</t>
  </si>
  <si>
    <t>338 THOMPSON ROAD SHELBURNE VT 05482 - CHITTENDEN</t>
  </si>
  <si>
    <t>0007MK-1</t>
  </si>
  <si>
    <t>338 Thompson Road</t>
  </si>
  <si>
    <t>Caterer, Kristin, M.</t>
  </si>
  <si>
    <t>54 DOUGLAS ROAD WILLISTON VT 05495-9210 - CHITTENDEN</t>
  </si>
  <si>
    <t>0007FA-1</t>
  </si>
  <si>
    <t>Quesnel, Mike</t>
  </si>
  <si>
    <t>SAMSON RD MIDDLEBURY VT 05753 - ADDISON</t>
  </si>
  <si>
    <t>0007AV-1</t>
  </si>
  <si>
    <t>Mclane, Allan</t>
  </si>
  <si>
    <t>747 N POND ROAD MARLBORO VT 05344 - WINDHAM</t>
  </si>
  <si>
    <t>0007DW-1</t>
  </si>
  <si>
    <t>Stoliker III, John D.</t>
  </si>
  <si>
    <t>79 LEDGEMERE POINT BOMOSEEN VT 05732 - RUTLAND</t>
  </si>
  <si>
    <t>0007F8-1</t>
  </si>
  <si>
    <t>Hubbardton Town</t>
  </si>
  <si>
    <t>Hubbardton</t>
  </si>
  <si>
    <t>Pendleton, Miariam</t>
  </si>
  <si>
    <t>BOX 158 UNDERHILL CTR VT 05490</t>
  </si>
  <si>
    <t>0007AP-1</t>
  </si>
  <si>
    <t>home Harvey Rd. could not find call</t>
  </si>
  <si>
    <t>Tarleton, Steve and Joan</t>
  </si>
  <si>
    <t>PO BOX 169 BRIDGEWATER VT 05034 - WINDSOR</t>
  </si>
  <si>
    <t>0007F7-1</t>
  </si>
  <si>
    <t>new off Town Rd 54</t>
  </si>
  <si>
    <t>Hunt, Jim</t>
  </si>
  <si>
    <t>21 LOWER PLAINS ROAD E MIDDLEBURY VT 05740</t>
  </si>
  <si>
    <t>0007DC-1</t>
  </si>
  <si>
    <t>Wheelock, Marshall</t>
  </si>
  <si>
    <t>55 OAK GROVE WEST BRATTLEBORO VT 05301</t>
  </si>
  <si>
    <t>0007F4-1</t>
  </si>
  <si>
    <t>1.5 m. from Western Ave. Hinesburg R mom</t>
  </si>
  <si>
    <t>Greene, Stephen</t>
  </si>
  <si>
    <t>394 EAST ROAD STAMFORD VT 05352 - BENNINGTON</t>
  </si>
  <si>
    <t>0007F3-1</t>
  </si>
  <si>
    <t>Stark, Doug</t>
  </si>
  <si>
    <t>141 CIDER MILL HILL ROAD WEST BRATTLEBORO VT 05301</t>
  </si>
  <si>
    <t>0007F2-1</t>
  </si>
  <si>
    <t>Stark-Home Yard</t>
  </si>
  <si>
    <t>Doug Stark</t>
  </si>
  <si>
    <t>141 Cider Mill Hill Road</t>
  </si>
  <si>
    <t>West Brattleboro</t>
  </si>
  <si>
    <t>Shumway, William</t>
  </si>
  <si>
    <t>248 SOUTH STREET WEST BRATTLEBORO VT 05301</t>
  </si>
  <si>
    <t>0007F1-1</t>
  </si>
  <si>
    <t>Behind fire station</t>
  </si>
  <si>
    <t>Kristensen, John</t>
  </si>
  <si>
    <t>PO BOX 2075 BRATTLEBORO VT 05303 - WINDHAM</t>
  </si>
  <si>
    <t>0007F0-1</t>
  </si>
  <si>
    <t>2718 Bonneyvale Rd</t>
  </si>
  <si>
    <t>00085D-2</t>
  </si>
  <si>
    <t>Potter, Roland</t>
  </si>
  <si>
    <t>RT 14 SHARON VT - WINDSOR</t>
  </si>
  <si>
    <t>0007DZ-1</t>
  </si>
  <si>
    <t>just south of 132 opp. fire station sign</t>
  </si>
  <si>
    <t>Chadwick, Valerie</t>
  </si>
  <si>
    <t>PO BOX 822 ENOSBURG FALLS VT 05450</t>
  </si>
  <si>
    <t>0007HZ-1</t>
  </si>
  <si>
    <t>Dowd, Ernest</t>
  </si>
  <si>
    <t>BONNYVALE RD RR2 BX452 WEST BRATTLEBORO VT 05301</t>
  </si>
  <si>
    <t>0007DX-1</t>
  </si>
  <si>
    <t>Melendy, John</t>
  </si>
  <si>
    <t>VT RTE 4 BRIDGEWATER VT 05034 - WINDSOR</t>
  </si>
  <si>
    <t>000769-1</t>
  </si>
  <si>
    <t>Washburn, Donald</t>
  </si>
  <si>
    <t>89 RANDALL HILL ROAD BELLOWS FALLS VT 05101</t>
  </si>
  <si>
    <t>0007DQ-1</t>
  </si>
  <si>
    <t>Log Cabin</t>
  </si>
  <si>
    <t>Trevorrow, Carl</t>
  </si>
  <si>
    <t>DAVIDSON HILL ROAD BELLOWS FALLS VT 05101</t>
  </si>
  <si>
    <t>0007DP-1</t>
  </si>
  <si>
    <t>OutYard</t>
  </si>
  <si>
    <t>Gordon, Penny</t>
  </si>
  <si>
    <t>RD1 BOX175 EDEN VT 05642 - LAMOILLE</t>
  </si>
  <si>
    <t>0007DN-1</t>
  </si>
  <si>
    <t>Eden Town</t>
  </si>
  <si>
    <t>Eden</t>
  </si>
  <si>
    <t>Kibbe, Chris</t>
  </si>
  <si>
    <t>LEACH ROAD SAXTONS RIVER VT 05154</t>
  </si>
  <si>
    <t>0007DK-1</t>
  </si>
  <si>
    <t>Blueberry Fm. Bought Weaver Packages 90</t>
  </si>
  <si>
    <t>0007QK-3</t>
  </si>
  <si>
    <t>Barton Home Yard</t>
  </si>
  <si>
    <t>Howard R Barton</t>
  </si>
  <si>
    <t>25 West Hill Road</t>
  </si>
  <si>
    <t>0007DH-2</t>
  </si>
  <si>
    <t>Rt 5 1/4M N. of Durland's in Rockingham</t>
  </si>
  <si>
    <t>Rizzo, Russ</t>
  </si>
  <si>
    <t>120 WILMOUTH HILL ROAD SHREWSBURY VT 05738 - RUTLAND</t>
  </si>
  <si>
    <t>00080B-1</t>
  </si>
  <si>
    <t>Knowles, George</t>
  </si>
  <si>
    <t>110 DANIELS HILL ROAD SOUTH NEWFANE VT 05351</t>
  </si>
  <si>
    <t>000786-1</t>
  </si>
  <si>
    <t>Bulry Bee-Home Yard</t>
  </si>
  <si>
    <t>George Knowles</t>
  </si>
  <si>
    <t>110 Daniel's Hill Road</t>
  </si>
  <si>
    <t>South Newfane</t>
  </si>
  <si>
    <t>Dixon, James</t>
  </si>
  <si>
    <t>634 MILLER POND ROAD THETFORD CENTER VT 05075</t>
  </si>
  <si>
    <t>0007DB-1</t>
  </si>
  <si>
    <t>634 Miller Pond Road</t>
  </si>
  <si>
    <t>Theriault, Nancy</t>
  </si>
  <si>
    <t>68 MACE HILL ROAD HARTLAND VT 05048 - WINDSOR</t>
  </si>
  <si>
    <t>0007DA-1</t>
  </si>
  <si>
    <t>0007D9-2</t>
  </si>
  <si>
    <t>15 Elm Street/Mother's</t>
  </si>
  <si>
    <t>Lusk, Stephen F.</t>
  </si>
  <si>
    <t>PO BOX 13 ROXBURY VT 05669 - WASHINGTON</t>
  </si>
  <si>
    <t>0007D7-1</t>
  </si>
  <si>
    <t>Nichols, Robert</t>
  </si>
  <si>
    <t>P O BOX 427 WINDSOR VT 05089 - WINDSOR</t>
  </si>
  <si>
    <t>0007D6-1</t>
  </si>
  <si>
    <t>Home/Route 5/on hill behind house</t>
  </si>
  <si>
    <t>Bates, Richard</t>
  </si>
  <si>
    <t>25 N MAIN WINDSOR VT 05089 - WINDSOR</t>
  </si>
  <si>
    <t>0007D5-1</t>
  </si>
  <si>
    <t>Registered in 88</t>
  </si>
  <si>
    <t>0007D4-2</t>
  </si>
  <si>
    <t>Hewitt Road at Ferris</t>
  </si>
  <si>
    <t>Krause, Williams, Dr.</t>
  </si>
  <si>
    <t>AYRES ROAD BX 84 WINDSOR VT 05089 - WINDSOR</t>
  </si>
  <si>
    <t>0007D2-1</t>
  </si>
  <si>
    <t>0008Y3-2</t>
  </si>
  <si>
    <t>Peabody Mountain Apiaries-Home</t>
  </si>
  <si>
    <t>Weston Town</t>
  </si>
  <si>
    <t>Steven MacLaury</t>
  </si>
  <si>
    <t>21 Turner Road</t>
  </si>
  <si>
    <t>Weston</t>
  </si>
  <si>
    <t>Thrane, Victoria</t>
  </si>
  <si>
    <t>PO BOX 13 SOUTH WOODSTOCK VT 05071</t>
  </si>
  <si>
    <t>000948-1</t>
  </si>
  <si>
    <t>Thrane Home yard</t>
  </si>
  <si>
    <t>Victoria Thrane</t>
  </si>
  <si>
    <t>107 Peabody Road</t>
  </si>
  <si>
    <t>Johnson, Richard, M.</t>
  </si>
  <si>
    <t>834 BACK ROAD BELVIDERE VT 05442 - LAMOILLE</t>
  </si>
  <si>
    <t>0007CZ-2</t>
  </si>
  <si>
    <t>Belvidere Town</t>
  </si>
  <si>
    <t>834 Back Road</t>
  </si>
  <si>
    <t>Farm &amp; Wilderness</t>
  </si>
  <si>
    <t>263 FARM &amp; WILDERNESS ROAD PLYMOUTH VT 05056 - WINDSOR</t>
  </si>
  <si>
    <t>0007CY-1</t>
  </si>
  <si>
    <t>RT 100</t>
  </si>
  <si>
    <t>263 Farm &amp; Wilderness Road</t>
  </si>
  <si>
    <t>Pierce, Chris</t>
  </si>
  <si>
    <t>7 COLLEGE STREET MONTPELIER VT 05602 - WASHINGTON</t>
  </si>
  <si>
    <t>0007CW-1</t>
  </si>
  <si>
    <t>At parents house</t>
  </si>
  <si>
    <t>Springfield H.S. Ag Votec</t>
  </si>
  <si>
    <t>303 SOUTH ST SPRINGFIELD VT 05156 - WINDSOR</t>
  </si>
  <si>
    <t>0007CV-1</t>
  </si>
  <si>
    <t>Behind school</t>
  </si>
  <si>
    <t>Sinclair, Nancy</t>
  </si>
  <si>
    <t>WOODBURY ROAD SPRINGFIELD VT 05156 - WINDSOR</t>
  </si>
  <si>
    <t>0007CQ-1</t>
  </si>
  <si>
    <t>Home/off Woodbury Rd.</t>
  </si>
  <si>
    <t>Quazzo, Ugo</t>
  </si>
  <si>
    <t>POPPLE DUNGEON RD CHESTER VT - WINDSOR</t>
  </si>
  <si>
    <t>0007CP-1</t>
  </si>
  <si>
    <t>Waldmann, Shawn T.</t>
  </si>
  <si>
    <t>48 WILMUTH DRIVE SPRINGFIELD VT 05156 - WINDSOR</t>
  </si>
  <si>
    <t>00090C-1</t>
  </si>
  <si>
    <t>Priestly Yd</t>
  </si>
  <si>
    <t>431 Woodbury Road</t>
  </si>
  <si>
    <t>Carpender, Cary</t>
  </si>
  <si>
    <t>31 OVERHILLS ROAD PUTNEY VT 05346 - WINDHAM</t>
  </si>
  <si>
    <t>0007CK-1</t>
  </si>
  <si>
    <t>Tupper, Donald, J.</t>
  </si>
  <si>
    <t>55 HORTON ROAD BRANDON VT 05733 - RUTLAND</t>
  </si>
  <si>
    <t>0007CJ-1</t>
  </si>
  <si>
    <t>Watson, Annie</t>
  </si>
  <si>
    <t>1765 MAIN STREET NEW HAVEN VT 05472 - ADDISON</t>
  </si>
  <si>
    <t>0008Z0-1</t>
  </si>
  <si>
    <t>1765 Main Street</t>
  </si>
  <si>
    <t>Burke, Patrick</t>
  </si>
  <si>
    <t>113 PLAINS ROAD JERICHO VT 05465 - CHITTENDEN</t>
  </si>
  <si>
    <t>0008Z1-1</t>
  </si>
  <si>
    <t>Patrick and Jean Burke</t>
  </si>
  <si>
    <t>113 Plains Road</t>
  </si>
  <si>
    <t>Ewald, George</t>
  </si>
  <si>
    <t>PO BOX 607 SAXTONS RIVER VT 05154</t>
  </si>
  <si>
    <t>0007JC-1</t>
  </si>
  <si>
    <t>Lacey, Eugene</t>
  </si>
  <si>
    <t>141 BAKER ROAD SPRINGFIELD VT 05156 - WINDSOR</t>
  </si>
  <si>
    <t>0007CH-1</t>
  </si>
  <si>
    <t>Wk. Oscarson Auto/Home 29 Clinton</t>
  </si>
  <si>
    <t>Mellish, Fred &amp; Dolores</t>
  </si>
  <si>
    <t>529 MAPLE STREET PERKINSVILLE VT 05151</t>
  </si>
  <si>
    <t>0007CG-1</t>
  </si>
  <si>
    <t>In field behind 660 Maple St</t>
  </si>
  <si>
    <t>Handly, Walter</t>
  </si>
  <si>
    <t>198 ELM STREET SPRINGFIELD VT 05156 - WINDSOR</t>
  </si>
  <si>
    <t>0007CF-1</t>
  </si>
  <si>
    <t>Fuller, Debra</t>
  </si>
  <si>
    <t>PO BOX 94 RUPERT VT 05768 - BENNINGTON</t>
  </si>
  <si>
    <t>0007CD-1</t>
  </si>
  <si>
    <t>0007CC-2</t>
  </si>
  <si>
    <t>Batch, Jeanne</t>
  </si>
  <si>
    <t>2028 EVANSVILLE ROAD BROWNINGTON VT 05860-9792 - ORLEANS</t>
  </si>
  <si>
    <t>0007CB-1</t>
  </si>
  <si>
    <t>Brownington Town</t>
  </si>
  <si>
    <t>2028 Evansville Road</t>
  </si>
  <si>
    <t>Brownington</t>
  </si>
  <si>
    <t>Fenton, Merrill</t>
  </si>
  <si>
    <t>PUTNAM ROAD SPRINGFIELD VT 05156 - WINDSOR</t>
  </si>
  <si>
    <t>0007CA-1</t>
  </si>
  <si>
    <t>Home/Stored</t>
  </si>
  <si>
    <t>Spafford, Steven</t>
  </si>
  <si>
    <t>2622 RT 4A CASTLETON VT 05735 - RUTLAND</t>
  </si>
  <si>
    <t>0007C9-1</t>
  </si>
  <si>
    <t>Coughlin, Christopher</t>
  </si>
  <si>
    <t>60 LINHALE DRIVE SPRINGFIELD VT 05156 - WINDSOR</t>
  </si>
  <si>
    <t>0007C8-1</t>
  </si>
  <si>
    <t>Majercik, Don</t>
  </si>
  <si>
    <t>32 MORGAN ROAD JERICHO VT 05465 - CHITTENDEN</t>
  </si>
  <si>
    <t>00078F-1</t>
  </si>
  <si>
    <t>Majercik Home Yard</t>
  </si>
  <si>
    <t>Don Majercik</t>
  </si>
  <si>
    <t>32 Morgan Road</t>
  </si>
  <si>
    <t>Martineau, Leo</t>
  </si>
  <si>
    <t>RR2 BOX 4059 BARRE VT 05641</t>
  </si>
  <si>
    <t>0007V6-1</t>
  </si>
  <si>
    <t>Rt.110 2.5M from E. Bar L .5m R .6 on R</t>
  </si>
  <si>
    <t>Hennessy, Martha</t>
  </si>
  <si>
    <t>793 CADY HILL ROAD PERKINSVILLE VT 05151</t>
  </si>
  <si>
    <t>0007C5-1</t>
  </si>
  <si>
    <t>Off Resevoir Rd</t>
  </si>
  <si>
    <t>793 Cady Hill Road</t>
  </si>
  <si>
    <t>00085V-2</t>
  </si>
  <si>
    <t>HoweYd</t>
  </si>
  <si>
    <t>Harding, Jim</t>
  </si>
  <si>
    <t>729 COY HILL ROAD MIDDLETOWN SPRINGS VT 05757 - RUTLAND</t>
  </si>
  <si>
    <t>0007C2-1</t>
  </si>
  <si>
    <t>0007C0-4</t>
  </si>
  <si>
    <t>Home - Deer Valley Road</t>
  </si>
  <si>
    <t>Robinson, Bernard</t>
  </si>
  <si>
    <t>PO BOX 206 NEWFANE VT 05345 - WINDHAM</t>
  </si>
  <si>
    <t>0007BZ-1</t>
  </si>
  <si>
    <t>3/4 M. from Townshend Line</t>
  </si>
  <si>
    <t>Zigman, Lorraine</t>
  </si>
  <si>
    <t>RR1 BOX 363 GRAVELIN ROAD PERKINSVILLE VT 05151</t>
  </si>
  <si>
    <t>0007BW-1</t>
  </si>
  <si>
    <t>Hosking, Brent</t>
  </si>
  <si>
    <t>PO BOX 35 LAKE ELMORE VT 05657</t>
  </si>
  <si>
    <t>0008C8-1</t>
  </si>
  <si>
    <t>Home 261 Hosking Farm Rd</t>
  </si>
  <si>
    <t>Alexander, Stuart A.</t>
  </si>
  <si>
    <t>22 BARBER FARM ROAD JERICHO VT 05465 - CHITTENDEN</t>
  </si>
  <si>
    <t>0008VJ-1</t>
  </si>
  <si>
    <t>&lt;Not counted&gt;</t>
  </si>
  <si>
    <t>Stuart Alexander</t>
  </si>
  <si>
    <t>22 Barber Farm Road</t>
  </si>
  <si>
    <t>Rayfield, Lou</t>
  </si>
  <si>
    <t>WATERBURY VT - WASHINGTON</t>
  </si>
  <si>
    <t>000848-1</t>
  </si>
  <si>
    <t>Rt 2 in corn field</t>
  </si>
  <si>
    <t>Williams, Reeve</t>
  </si>
  <si>
    <t>RFD 230 KATE WALLACERD NORWICH VT 05055 - WINDSOR</t>
  </si>
  <si>
    <t>0007BM-1</t>
  </si>
  <si>
    <t>Buying bees 88</t>
  </si>
  <si>
    <t>Hadeka, Peter W.</t>
  </si>
  <si>
    <t>359 PINE STREET CASTLETON VT 05735 - RUTLAND</t>
  </si>
  <si>
    <t>00089A-1</t>
  </si>
  <si>
    <t>&lt;low, not counted&gt;</t>
  </si>
  <si>
    <t>Hadeka-Home</t>
  </si>
  <si>
    <t>Peter Hadeka</t>
  </si>
  <si>
    <t>359 Pine Street</t>
  </si>
  <si>
    <t>Englert, Sheri</t>
  </si>
  <si>
    <t>550 VT RT 64 WILLIAMSTOWN VT 05679 - ORANGE</t>
  </si>
  <si>
    <t>0008AP-1</t>
  </si>
  <si>
    <t>Englert Yard</t>
  </si>
  <si>
    <t>SheriEnglert</t>
  </si>
  <si>
    <t>550 VT RT 64</t>
  </si>
  <si>
    <t>Mosenthal, Dr. William T.</t>
  </si>
  <si>
    <t>TURNPIKE RD RR1 BX 422 NORWICH VT 05055 - WINDSOR</t>
  </si>
  <si>
    <t>0007BG-1</t>
  </si>
  <si>
    <t>In town/2nd on left</t>
  </si>
  <si>
    <t>Squire, Taz</t>
  </si>
  <si>
    <t>263 FARM&amp;WILDERNESS RD PLYMOUTH VT 05056 - WINDSOR</t>
  </si>
  <si>
    <t>0007BX-1</t>
  </si>
  <si>
    <t>263 Farm and Wilderness Road</t>
  </si>
  <si>
    <t>0007MA-8</t>
  </si>
  <si>
    <t>Richard Eitelman</t>
  </si>
  <si>
    <t>Simpson, Gary</t>
  </si>
  <si>
    <t>1582 PETH ROAD BRAINTREE VT 05060 - ORANGE</t>
  </si>
  <si>
    <t>000763-1</t>
  </si>
  <si>
    <t>Stoney Meadow</t>
  </si>
  <si>
    <t>Gary Simpson</t>
  </si>
  <si>
    <t>1582 Peth Road</t>
  </si>
  <si>
    <t>Moore, Roland &amp; Gloria</t>
  </si>
  <si>
    <t>399 STRATTON-ARLINGTON STRATTON VT 05360 - WINDHAM</t>
  </si>
  <si>
    <t>0007HV-1</t>
  </si>
  <si>
    <t>Stratton Town</t>
  </si>
  <si>
    <t>Stratton</t>
  </si>
  <si>
    <t>0007XC-2</t>
  </si>
  <si>
    <t>At Retail Store on RT 7</t>
  </si>
  <si>
    <t>Ambrose, Mike</t>
  </si>
  <si>
    <t>674 BARTLETT BROOK RD S POMFRET VT 05067</t>
  </si>
  <si>
    <t>0007BA-1</t>
  </si>
  <si>
    <t>Spooner, Willena</t>
  </si>
  <si>
    <t>HCR 68 BOX 348 WOODSTOCK VT 05091 - WINDSOR</t>
  </si>
  <si>
    <t>0007B8-1</t>
  </si>
  <si>
    <t>Summersell, Wayne</t>
  </si>
  <si>
    <t>PROSPER ROAD WOODSTOCK VT 05091 - WINDSOR</t>
  </si>
  <si>
    <t>0007B7-1</t>
  </si>
  <si>
    <t>Pouliot, Maurice E.</t>
  </si>
  <si>
    <t>305 VT RT 104 CAMBRIDGE VT 05444 - LAMOILLE</t>
  </si>
  <si>
    <t>00079K-1</t>
  </si>
  <si>
    <t>Lee, Brian</t>
  </si>
  <si>
    <t>PO BOX 704 WAITSFIELD VT 05673 - WASHINGTON</t>
  </si>
  <si>
    <t>0007B5-1</t>
  </si>
  <si>
    <t>Donahue, John</t>
  </si>
  <si>
    <t>PO BOX 504 COLCHESTER VT 05446-0504 - CHITTENDEN</t>
  </si>
  <si>
    <t>0007B4-1</t>
  </si>
  <si>
    <t>Located at VBA Bee Yard</t>
  </si>
  <si>
    <t>0007B5-2</t>
  </si>
  <si>
    <t>PineHill Subd.</t>
  </si>
  <si>
    <t>000810-3</t>
  </si>
  <si>
    <t>UVM Extention</t>
  </si>
  <si>
    <t>UVM</t>
  </si>
  <si>
    <t>665 Spear Street</t>
  </si>
  <si>
    <t>South Burlington</t>
  </si>
  <si>
    <t>Billings, Harold</t>
  </si>
  <si>
    <t>731 CREEK ROAD N CLARENDON VT 05759</t>
  </si>
  <si>
    <t>0007B1-1</t>
  </si>
  <si>
    <t>00072K-28</t>
  </si>
  <si>
    <t>Halfway House Yard</t>
  </si>
  <si>
    <t>Halfway</t>
  </si>
  <si>
    <t>Barr, Dennis</t>
  </si>
  <si>
    <t>RR 1 BOX 16 SOUTH WOODSTOCK VT 05071</t>
  </si>
  <si>
    <t>0007AX-1</t>
  </si>
  <si>
    <t>At Earl Barrs farm Fletcher Hill Rd</t>
  </si>
  <si>
    <t>Cameron, Clifford</t>
  </si>
  <si>
    <t>ROUTE 14 W HARTFORD VT</t>
  </si>
  <si>
    <t>0007AW-1</t>
  </si>
  <si>
    <t>Harold Parontos' grn. shingled hse</t>
  </si>
  <si>
    <t>Pulver, Louis</t>
  </si>
  <si>
    <t>HOUSTON HILL ROAD EAST HARDWICK VT 05836</t>
  </si>
  <si>
    <t>0008AH-1</t>
  </si>
  <si>
    <t>Houston Hill New Hse</t>
  </si>
  <si>
    <t>Ham, Patrick</t>
  </si>
  <si>
    <t>145 MOUNTAINVIEW DRIVE SHEFFIELD VT 05866 - CALEDONIA</t>
  </si>
  <si>
    <t>0007K8-1</t>
  </si>
  <si>
    <t>Ham-Home Yard</t>
  </si>
  <si>
    <t>Patrick Ham</t>
  </si>
  <si>
    <t>145 Mountainview Drive</t>
  </si>
  <si>
    <t>Lindberg, Priscilla</t>
  </si>
  <si>
    <t>92 LINDBERG DRIVE CAVENDISH VT 05142 - WINDSOR</t>
  </si>
  <si>
    <t>00070G-1</t>
  </si>
  <si>
    <t>00089H-3</t>
  </si>
  <si>
    <t>High Mowing Seeds</t>
  </si>
  <si>
    <t>Silcox, Norman</t>
  </si>
  <si>
    <t>343 BIRCH ROAD SHELBURNE VT 05482 - CHITTENDEN</t>
  </si>
  <si>
    <t>0007VQ-1</t>
  </si>
  <si>
    <t>Slack, Jeff</t>
  </si>
  <si>
    <t>RR1 BX134 SO ROYALTON VT 05068</t>
  </si>
  <si>
    <t>0007AM-1</t>
  </si>
  <si>
    <t>Home/off Route 14</t>
  </si>
  <si>
    <t>Rikert, Hugh</t>
  </si>
  <si>
    <t>RR 2 BX 70 SOUTH ROYALTON VT 05068</t>
  </si>
  <si>
    <t>0007AK-1</t>
  </si>
  <si>
    <t>S. of hse on bank Upper Broad Brook</t>
  </si>
  <si>
    <t>Moore, Wilfred</t>
  </si>
  <si>
    <t>RR 2 BOX 236 SOUTH ROYALTON VT 05068</t>
  </si>
  <si>
    <t>000818-1</t>
  </si>
  <si>
    <t>Grubb, Emily</t>
  </si>
  <si>
    <t>HEWETTS CORNER NORTH POMFRET VT 05053</t>
  </si>
  <si>
    <t>0007A0-1</t>
  </si>
  <si>
    <t>Moore's Orchard off S. Pomfret Rd.</t>
  </si>
  <si>
    <t>Mellish, Donald</t>
  </si>
  <si>
    <t>660 MAPLE STREET PERKINSVILLE VT 05151 - WINDSOR</t>
  </si>
  <si>
    <t>0007Z4-1</t>
  </si>
  <si>
    <t>Off Rt.11</t>
  </si>
  <si>
    <t>660 Maple Street</t>
  </si>
  <si>
    <t>Perkinsville</t>
  </si>
  <si>
    <t>Hein, Ralph W.</t>
  </si>
  <si>
    <t>JOHNSON HILL BOX 66A S ROYALTON VT 05068</t>
  </si>
  <si>
    <t>0007AH-1</t>
  </si>
  <si>
    <t>Home/Johnson Hill</t>
  </si>
  <si>
    <t>Farnsworth, David</t>
  </si>
  <si>
    <t>S ST RR 1 BX 212 TUNBRIDGE VT 05077 - ORANGE</t>
  </si>
  <si>
    <t>0007AG-1</t>
  </si>
  <si>
    <t>Moved to Tunbridge 87</t>
  </si>
  <si>
    <t>Floyd, Colin</t>
  </si>
  <si>
    <t>1857 PLEASENT STREET BETHEL VT 05032 - WINDSOR</t>
  </si>
  <si>
    <t>0008YV-1</t>
  </si>
  <si>
    <t>Mary Floyd</t>
  </si>
  <si>
    <t>1857 Pleasent Street</t>
  </si>
  <si>
    <t>Sleath, Bob</t>
  </si>
  <si>
    <t>96 STATE GARAGE ROAD ROCHESTER VT 05767 - WINDSOR</t>
  </si>
  <si>
    <t>0007AC-1</t>
  </si>
  <si>
    <t>96 State Garage Road</t>
  </si>
  <si>
    <t>Erickson, Kristen</t>
  </si>
  <si>
    <t>1288 WYLIE HILL ROAD CRAFTSBURY COMMON VT 05827</t>
  </si>
  <si>
    <t>00087K-1</t>
  </si>
  <si>
    <t>Hubbard, Harold</t>
  </si>
  <si>
    <t>4057 N HOLLOW ROAD ROCHESTER VT 05767 - WINDSOR</t>
  </si>
  <si>
    <t>0007AB-1</t>
  </si>
  <si>
    <t>Quarry Hill Rd.</t>
  </si>
  <si>
    <t>Bitterman, Kim &amp; Sue</t>
  </si>
  <si>
    <t>RFD 3 BX 1210 MIDDLESEX VT - WASHINGTON</t>
  </si>
  <si>
    <t>0007AA-1</t>
  </si>
  <si>
    <t>got bees again 89</t>
  </si>
  <si>
    <t>Westhaven Farm</t>
  </si>
  <si>
    <t>1724 SANDERS RD BETHEL VT 05032 - WINDSOR</t>
  </si>
  <si>
    <t>00080W-1</t>
  </si>
  <si>
    <t>ChristianHillRd</t>
  </si>
  <si>
    <t>Sanderson, Daniel</t>
  </si>
  <si>
    <t>158 COLONEL LANE EAST DORSET VT 05253</t>
  </si>
  <si>
    <t>0007A9-1</t>
  </si>
  <si>
    <t>0007WB-10</t>
  </si>
  <si>
    <t>Hall Drone Yard</t>
  </si>
  <si>
    <t>Hall</t>
  </si>
  <si>
    <t>Quaker St</t>
  </si>
  <si>
    <t>Goodwin, Wendy</t>
  </si>
  <si>
    <t>3129 CASE STREET MIDDLEBURY VT 05753 - ADDISON</t>
  </si>
  <si>
    <t>0007A7-1</t>
  </si>
  <si>
    <t>von Trapp, Bernhard</t>
  </si>
  <si>
    <t>WAITSFIELD VT 05673 - WASHINGTON</t>
  </si>
  <si>
    <t>000760-1</t>
  </si>
  <si>
    <t>Saw mill</t>
  </si>
  <si>
    <t>Edwards, David, Jr.</t>
  </si>
  <si>
    <t>238 MARYLYN LANE WEST BURKET VT 05871 - CALEDONIA</t>
  </si>
  <si>
    <t>0007A2-1</t>
  </si>
  <si>
    <t>238 Marylyn Lane</t>
  </si>
  <si>
    <t>Parise, Stephen G</t>
  </si>
  <si>
    <t>367 FISHER ROAD ORWELL VT 05760-9769 - ADDISON</t>
  </si>
  <si>
    <t>0008GB-1</t>
  </si>
  <si>
    <t>Parise-Home Yard</t>
  </si>
  <si>
    <t>Stephen Parise</t>
  </si>
  <si>
    <t>367 Fisher Road</t>
  </si>
  <si>
    <t>0007A0-2</t>
  </si>
  <si>
    <t>by barn Moore's Orchard off S. Pomfret R</t>
  </si>
  <si>
    <t>Hills, Jeffrey</t>
  </si>
  <si>
    <t>PO BOX 41 DORSET VT 05251 - BENNINGTON</t>
  </si>
  <si>
    <t>0007VY-1</t>
  </si>
  <si>
    <t>(same)</t>
  </si>
  <si>
    <t>Greenough, Bob</t>
  </si>
  <si>
    <t>1663 SOUTH END ROAD N HERO VT 05474</t>
  </si>
  <si>
    <t>0008MM-1</t>
  </si>
  <si>
    <t>Harrington, Walter</t>
  </si>
  <si>
    <t>120 SUGAR HOUSE ROAD WEST HARTFORD VT 05084</t>
  </si>
  <si>
    <t>00079X-1</t>
  </si>
  <si>
    <t>Harrington home Yard</t>
  </si>
  <si>
    <t>Walter Harrington</t>
  </si>
  <si>
    <t>120 Sugar House Road</t>
  </si>
  <si>
    <t>Carpenter, Dr. Robert</t>
  </si>
  <si>
    <t>POMFRET ROAD N POMFRET VT 05053</t>
  </si>
  <si>
    <t>00079W-1</t>
  </si>
  <si>
    <t>N. Pomfret Road/above church</t>
  </si>
  <si>
    <t>Pikkarainen, Jorma</t>
  </si>
  <si>
    <t>SUGAR HILL E WALLINGFORD VT 05742</t>
  </si>
  <si>
    <t>000716-1</t>
  </si>
  <si>
    <t>Coonclub Rd. at Perry Edson's</t>
  </si>
  <si>
    <t>West Windsor</t>
  </si>
  <si>
    <t>Twine, Wesley</t>
  </si>
  <si>
    <t>8 LAWRENCE HEIGHTS LUDLOW VT 05149 - WINDSOR</t>
  </si>
  <si>
    <t>00079P-1</t>
  </si>
  <si>
    <t>No bees 88</t>
  </si>
  <si>
    <t>00079N-3</t>
  </si>
  <si>
    <t>Ed Margolies</t>
  </si>
  <si>
    <t>Gibson, Willie</t>
  </si>
  <si>
    <t>PO BOX 215 BRADFORD VT 05033 - ORANGE</t>
  </si>
  <si>
    <t>0008MQ-1</t>
  </si>
  <si>
    <t>00080W-2</t>
  </si>
  <si>
    <t>Spring Brook Farm</t>
  </si>
  <si>
    <t>Grzegorowicz, richard</t>
  </si>
  <si>
    <t>ELLISON RD HARTLAND VT 05048 - WINDSOR</t>
  </si>
  <si>
    <t>0007X6-1</t>
  </si>
  <si>
    <t>x from Maxham on hill log cabin</t>
  </si>
  <si>
    <t>Staples, Gary</t>
  </si>
  <si>
    <t>MACE HILL HARTLAND 4 CRNS VT 05049</t>
  </si>
  <si>
    <t>00079J-1</t>
  </si>
  <si>
    <t>Across by horse barn</t>
  </si>
  <si>
    <t>0007JY-9</t>
  </si>
  <si>
    <t>E.Hutchinson Road Yd.</t>
  </si>
  <si>
    <t>East Hutchinson Road</t>
  </si>
  <si>
    <t>Etnier, Carl</t>
  </si>
  <si>
    <t>225 SPARROW FARM ROAD MONTPELIER VT 05602 - WASHINGTON</t>
  </si>
  <si>
    <t>0008NQ-1</t>
  </si>
  <si>
    <t>Frizzell, Bruce S.</t>
  </si>
  <si>
    <t>READING VT - WINDSOR</t>
  </si>
  <si>
    <t>00079F-1</t>
  </si>
  <si>
    <t>bought out Peabody in Woodstock call 90</t>
  </si>
  <si>
    <t>Motschman, Leslie</t>
  </si>
  <si>
    <t>RFD 1 BOX 308 HARTLAND VT 05048 - WINDSOR</t>
  </si>
  <si>
    <t>00079D-1</t>
  </si>
  <si>
    <t>North of Country Real Estate N. of hse</t>
  </si>
  <si>
    <t>Rathbun, Maurice</t>
  </si>
  <si>
    <t>2012 VT RT 128 WESTFORD VT 05494 - CHITTENDEN</t>
  </si>
  <si>
    <t>0008VQ-1</t>
  </si>
  <si>
    <t>Rathbun-Home Yard</t>
  </si>
  <si>
    <t>Maurice Rathbun</t>
  </si>
  <si>
    <t>2012 VT RT 128</t>
  </si>
  <si>
    <t>Coutermarsh, Mark</t>
  </si>
  <si>
    <t>PARK ST NORTH HARTLAND VT 05052</t>
  </si>
  <si>
    <t>00079C-1</t>
  </si>
  <si>
    <t>Next to cemetery Clay Hill Rd.</t>
  </si>
  <si>
    <t>00079C-2</t>
  </si>
  <si>
    <t>Rte 5 yd/by RR tracks/behind house</t>
  </si>
  <si>
    <t>Howells, David</t>
  </si>
  <si>
    <t>RR1 BOX 2330 MANCHESTER CENTER VT 05255</t>
  </si>
  <si>
    <t>0007D1-1</t>
  </si>
  <si>
    <t>McTaggart home</t>
  </si>
  <si>
    <t>Hevey, Debbie</t>
  </si>
  <si>
    <t>268 WARD HILL ROAD EAST HARDWICK VT 05836</t>
  </si>
  <si>
    <t>00072X-1</t>
  </si>
  <si>
    <t>Johnson, Lydia</t>
  </si>
  <si>
    <t>CLAY HILL RR 1 BX173 HARTLAND VT 05048 - WINDSOR</t>
  </si>
  <si>
    <t>000798-1</t>
  </si>
  <si>
    <t>East of house</t>
  </si>
  <si>
    <t>Howe, Paul</t>
  </si>
  <si>
    <t>BOX 266 MACE HILL HARTLAND 4 CRNS VT 05049</t>
  </si>
  <si>
    <t>000797-1</t>
  </si>
  <si>
    <t>Lapierre, Michael</t>
  </si>
  <si>
    <t>PO BOX 88 CRAFTSBURY VT 05826 - ORLEANS</t>
  </si>
  <si>
    <t>00072Q-1</t>
  </si>
  <si>
    <t>368 Brietmeyer Dr.</t>
  </si>
  <si>
    <t>Dayspring Farm</t>
  </si>
  <si>
    <t>217 DARBY HILL ROCKINGHAM VT 05101 - WINDHAM</t>
  </si>
  <si>
    <t>000740-1</t>
  </si>
  <si>
    <t>Olson, Barry</t>
  </si>
  <si>
    <t>202 FRENCH SETTLEMENTR LINCOLN VT 05443-9566 - ADDISON</t>
  </si>
  <si>
    <t>000793-1</t>
  </si>
  <si>
    <t>Sachs, Rusty</t>
  </si>
  <si>
    <t>HOPSON LANE BOX 1060 NORWICH VT 05055 - WINDSOR</t>
  </si>
  <si>
    <t>000792-1</t>
  </si>
  <si>
    <t>By Montessori off Hopson Rd.</t>
  </si>
  <si>
    <t>0008G9-2</t>
  </si>
  <si>
    <t>Quarry by Shelburne boat access</t>
  </si>
  <si>
    <t>Waltzing Bear Farm</t>
  </si>
  <si>
    <t>BOX 31 W GLOVER VT 05875</t>
  </si>
  <si>
    <t>0008GA-1</t>
  </si>
  <si>
    <t>BeanHill Rd-W.Glover</t>
  </si>
  <si>
    <t>Hudson, Larry</t>
  </si>
  <si>
    <t>445 WOODSTOCK ROAD HARTFORD VT 05047 - WINDSOR</t>
  </si>
  <si>
    <t>000790-1</t>
  </si>
  <si>
    <t>Father's yard/River Road/Que-Hart sold</t>
  </si>
  <si>
    <t>000790-2</t>
  </si>
  <si>
    <t>Havill, Charles</t>
  </si>
  <si>
    <t>96 HILLSIDE RD RFD 2 WOODSTOCK VT 05091 - WINDSOR</t>
  </si>
  <si>
    <t>00078Y-1</t>
  </si>
  <si>
    <t>Home/Near Pease by barn</t>
  </si>
  <si>
    <t>Institute for Social Ecology</t>
  </si>
  <si>
    <t>1118 MAPLE HILL ROAD PLAINFIELD VT 05667 - WASHINGTON</t>
  </si>
  <si>
    <t>0008X6-1</t>
  </si>
  <si>
    <t>Wiley, Jay</t>
  </si>
  <si>
    <t>670 ROOSEVELT HWY COLCHESTER VT 05446 - CHITTENDEN</t>
  </si>
  <si>
    <t>000754-1</t>
  </si>
  <si>
    <t>At Arbortech Inc</t>
  </si>
  <si>
    <t>Runnals, Ransom</t>
  </si>
  <si>
    <t>RUNNALS ROAD HARTFORD VT 05047 - WINDSOR</t>
  </si>
  <si>
    <t>00078W-1</t>
  </si>
  <si>
    <t>Off Route 14</t>
  </si>
  <si>
    <t>Nadeau, Arthur</t>
  </si>
  <si>
    <t>MEADOW LANE HARTFORD VT 05047 - WINDSOR</t>
  </si>
  <si>
    <t>00078V-1</t>
  </si>
  <si>
    <t>By Mayhew L./off Campbell Road</t>
  </si>
  <si>
    <t>Mayhew, Tony</t>
  </si>
  <si>
    <t>938 BEAVER MEADOW ROAD MARSHFIELD VT 05658 - WASHINGTON</t>
  </si>
  <si>
    <t>00078Q-1</t>
  </si>
  <si>
    <t>938 Beaver Meadow Road</t>
  </si>
  <si>
    <t>Harvie, Ruth</t>
  </si>
  <si>
    <t>FLAMSTEAD ROAD CHESTER VT 05143 - WINDSOR</t>
  </si>
  <si>
    <t>00078K-1</t>
  </si>
  <si>
    <t>Rogers, Irene, T.</t>
  </si>
  <si>
    <t>PO BOX 486 BRADFORD VT 05033-0486 - ORANGE</t>
  </si>
  <si>
    <t>00078J-1</t>
  </si>
  <si>
    <t>Cook, W.w. Milan</t>
  </si>
  <si>
    <t>HIGH ST CHESTER VT 05143 - WINDSOR</t>
  </si>
  <si>
    <t>00078H-1</t>
  </si>
  <si>
    <t>E. of cemetary by garage</t>
  </si>
  <si>
    <t>Drummond, Molly</t>
  </si>
  <si>
    <t>1414 JERICHO STREET WHITE RIVER JUNCTION VT 05001-9344</t>
  </si>
  <si>
    <t>000770-1</t>
  </si>
  <si>
    <t>Duckworth, Doehne</t>
  </si>
  <si>
    <t>2160 MOUNTAIN ROAD STOWE VT 05672 - LAMOILLE</t>
  </si>
  <si>
    <t>0008XQ-1</t>
  </si>
  <si>
    <t>Sobel, Madelyn</t>
  </si>
  <si>
    <t>PO BOX 507 EAST DORSET VT 05253</t>
  </si>
  <si>
    <t>00078C-1</t>
  </si>
  <si>
    <t>White, Denny</t>
  </si>
  <si>
    <t>PO BOX 67 WILLIAMSVILLE VT 05362</t>
  </si>
  <si>
    <t>000862-3</t>
  </si>
  <si>
    <t>Walter's Field</t>
  </si>
  <si>
    <t>Walter Phelps</t>
  </si>
  <si>
    <t>89 Dover Road</t>
  </si>
  <si>
    <t>Williamsville</t>
  </si>
  <si>
    <t>Mach, Mike</t>
  </si>
  <si>
    <t>PO BOX 151 PAWLET VT 05761 - RUTLAND</t>
  </si>
  <si>
    <t>00078A-1</t>
  </si>
  <si>
    <t>0008JV-2</t>
  </si>
  <si>
    <t>Museum ground</t>
  </si>
  <si>
    <t>Wheeler, Tom</t>
  </si>
  <si>
    <t>5372 US RT 7 SOUTH WALLINGFORD VT 05773 - RUTLAND</t>
  </si>
  <si>
    <t>0008YD-1</t>
  </si>
  <si>
    <t>Wheeler-Home Yard</t>
  </si>
  <si>
    <t>Tom Wheeler</t>
  </si>
  <si>
    <t>5372 US RT 7 South</t>
  </si>
  <si>
    <t>Wilcox, W. A.</t>
  </si>
  <si>
    <t>KINGDOM VALLEY ROAD CHESTER DEPOT VT 05144</t>
  </si>
  <si>
    <t>000787-1</t>
  </si>
  <si>
    <t>Stored in house</t>
  </si>
  <si>
    <t>Brown, Kenneth</t>
  </si>
  <si>
    <t>87 COYOTE RIDGE HINESBURG VT 05461 - CHITTENDEN</t>
  </si>
  <si>
    <t>0008X8-1</t>
  </si>
  <si>
    <t>Kenneth Brown</t>
  </si>
  <si>
    <t>87 Coyote Ridge</t>
  </si>
  <si>
    <t>Tyrrell, William</t>
  </si>
  <si>
    <t>20 MILE STREAM ROAD PROCTORSVILLE VT 05153</t>
  </si>
  <si>
    <t>000783-1</t>
  </si>
  <si>
    <t>Depot St. on roof</t>
  </si>
  <si>
    <t>Pixley, Howard</t>
  </si>
  <si>
    <t>GULF ROAD CAVENDISH VT 05142 - WINDSOR</t>
  </si>
  <si>
    <t>000782-1</t>
  </si>
  <si>
    <t>Sewer Plant Rt131</t>
  </si>
  <si>
    <t>0007YM-3</t>
  </si>
  <si>
    <t>Blaise, Andy</t>
  </si>
  <si>
    <t>379 20 MILE ROAD PROCTERSVILLE VT 05153</t>
  </si>
  <si>
    <t>000781-1</t>
  </si>
  <si>
    <t>out by school bus</t>
  </si>
  <si>
    <t>Vanschaik, Pieter</t>
  </si>
  <si>
    <t>PO BX 441 MAIN ST CAVENDISH VT 05142 - WINDSOR</t>
  </si>
  <si>
    <t>000780-1</t>
  </si>
  <si>
    <t>Beacon Pest Control opp. Mack Molding</t>
  </si>
  <si>
    <t>Johnson, Charles</t>
  </si>
  <si>
    <t>WHITESVILLE CAVENDISH VT 05142 - WINDSOR</t>
  </si>
  <si>
    <t>00077Y-1</t>
  </si>
  <si>
    <t>Cavendish Center Road</t>
  </si>
  <si>
    <t>Zak, John P.</t>
  </si>
  <si>
    <t>615 CAMPBELL ROAD SANDGATE VT 05250 - BENNINGTON</t>
  </si>
  <si>
    <t>00077X-1</t>
  </si>
  <si>
    <t>Littlefield, Abigail- Barking Cricket Farm</t>
  </si>
  <si>
    <t>129 BEECH HILL ROAD PUTNEY VT 05346 - WINDHAM</t>
  </si>
  <si>
    <t>0007BP-1</t>
  </si>
  <si>
    <t>Littlefield Home Yard</t>
  </si>
  <si>
    <t>Abigail Littlefield</t>
  </si>
  <si>
    <t>129 Beech Hill Road</t>
  </si>
  <si>
    <t>0008J5-4</t>
  </si>
  <si>
    <t>Emerson, Ted</t>
  </si>
  <si>
    <t>RR 1 BOX 44 1119 RUSH MEADOW ROAD READING VT 05062 - WINDSOR</t>
  </si>
  <si>
    <t>00077V-1</t>
  </si>
  <si>
    <t>Matteson, William</t>
  </si>
  <si>
    <t>RFD ROBINSON HILL RD BROWNSVILLE VT 05037</t>
  </si>
  <si>
    <t>00077Q-1</t>
  </si>
  <si>
    <t>Wm. Russell Seems Rd. AFB</t>
  </si>
  <si>
    <t>Lynch, John</t>
  </si>
  <si>
    <t>ROUTE 44 WINDSOR VT 05089 - WINDSOR</t>
  </si>
  <si>
    <t>00077P-1</t>
  </si>
  <si>
    <t>Leclair, Art</t>
  </si>
  <si>
    <t>WEEDEN HILL ROAD WINDSOR VT 05089 - WINDSOR</t>
  </si>
  <si>
    <t>00077N-1</t>
  </si>
  <si>
    <t>Home/Weeden Hill Road no bees since 85</t>
  </si>
  <si>
    <t>0008JH-3</t>
  </si>
  <si>
    <t>Poultney Yd</t>
  </si>
  <si>
    <t>Fenn, Mary</t>
  </si>
  <si>
    <t>PO BOX 125 JEWETT ROAD BROWNSVILLE VT 05037</t>
  </si>
  <si>
    <t>00077K-1</t>
  </si>
  <si>
    <t>00085C-3</t>
  </si>
  <si>
    <t>Kinney Yard</t>
  </si>
  <si>
    <t>Padness, Mike</t>
  </si>
  <si>
    <t>35 JASON STREET ARLINGTON MA 02174</t>
  </si>
  <si>
    <t>00077H-1</t>
  </si>
  <si>
    <t>Summer home/Curtis Hollow</t>
  </si>
  <si>
    <t>Nutting, Lester</t>
  </si>
  <si>
    <t>9 ABARE AVENUE ESSEX JUNCTION VT 05452</t>
  </si>
  <si>
    <t>00077G-1</t>
  </si>
  <si>
    <t>Nutting Home yard</t>
  </si>
  <si>
    <t>Lester Nutting</t>
  </si>
  <si>
    <t>9 Abare Avenue</t>
  </si>
  <si>
    <t>Rhoades, Carroll A.</t>
  </si>
  <si>
    <t>RFD 2 BETHEL VT 05032 - WINDSOR</t>
  </si>
  <si>
    <t>00077F-1</t>
  </si>
  <si>
    <t>Cushing, George</t>
  </si>
  <si>
    <t>158 BURGESS ROAD BENNINGTON VT 05201 - BENNINGTON</t>
  </si>
  <si>
    <t>0007DG-1</t>
  </si>
  <si>
    <t>Ernst, Kathy</t>
  </si>
  <si>
    <t>114 ABBOTT ROAD WEST BRATTLEBORO VT 05303</t>
  </si>
  <si>
    <t>0008AK-1</t>
  </si>
  <si>
    <t>Daniels, Mrs. Ernest</t>
  </si>
  <si>
    <t>RD 1 BOX 259 BETHEL VT 05032 - WINDSOR</t>
  </si>
  <si>
    <t>00077B-1</t>
  </si>
  <si>
    <t>Christian Hill</t>
  </si>
  <si>
    <t>Brigham, Maurice</t>
  </si>
  <si>
    <t>RD 1 BOX384 BETHEL VT 05032 - WINDSOR</t>
  </si>
  <si>
    <t>00077A-1</t>
  </si>
  <si>
    <t>Stewart, John</t>
  </si>
  <si>
    <t>P O BOX 5 BARNARD VT 05031 - WINDSOR</t>
  </si>
  <si>
    <t>000777-1</t>
  </si>
  <si>
    <t>Lake Crawford Mt. Hunger Rd.</t>
  </si>
  <si>
    <t>Sevel, Teresa de Jesus</t>
  </si>
  <si>
    <t>PO BOX 345 PUTNEY VT 05346 - WINDHAM</t>
  </si>
  <si>
    <t>0008DX-1</t>
  </si>
  <si>
    <t>Hadden, Craig</t>
  </si>
  <si>
    <t>TOWER RD BARNARD VT 05031 - WINDSOR</t>
  </si>
  <si>
    <t>000774-1</t>
  </si>
  <si>
    <t>Home/Tower Rd (will restock in 94)</t>
  </si>
  <si>
    <t>Bergeron, Greg</t>
  </si>
  <si>
    <t>30 METCALF VIEW UNDERHILL VT 05489 - CHITTENDEN</t>
  </si>
  <si>
    <t>0008Y8-1</t>
  </si>
  <si>
    <t>Zumbach, Jack</t>
  </si>
  <si>
    <t>BOX 248 WHEELER ROAD VERNON VT 05354 - WINDHAM</t>
  </si>
  <si>
    <t>00082X-1</t>
  </si>
  <si>
    <t>Wheeler Rd off Hucklehill Rd Nokes Place</t>
  </si>
  <si>
    <t>Dunican, Cindy</t>
  </si>
  <si>
    <t>376 DERMODY ROAD BENNINGTON VT 05201 - BENNINGTON</t>
  </si>
  <si>
    <t>00086Q-1</t>
  </si>
  <si>
    <t>Walloomsac Rd</t>
  </si>
  <si>
    <t>Conrad, Ross</t>
  </si>
  <si>
    <t>PO BOX 443 MIDDLEBURY VT 05753-0443 - ADDISON</t>
  </si>
  <si>
    <t>0007DJ-2</t>
  </si>
  <si>
    <t>Fisher Road Yard</t>
  </si>
  <si>
    <t>Dan Borden</t>
  </si>
  <si>
    <t>Fisher Road</t>
  </si>
  <si>
    <t>Edelman, David</t>
  </si>
  <si>
    <t>1150 MIDDLETOWN ROAD ANDOVER VT 05143 - WINDSOR</t>
  </si>
  <si>
    <t>000771-1</t>
  </si>
  <si>
    <t>Edelman Home Yard</t>
  </si>
  <si>
    <t>Andover Town</t>
  </si>
  <si>
    <t>David Edelman</t>
  </si>
  <si>
    <t>1150 Middletown Road</t>
  </si>
  <si>
    <t>Andover</t>
  </si>
  <si>
    <t>Scarlett, Bill</t>
  </si>
  <si>
    <t>PO BOX 20 SAXTONS RIVER VT 05154 - WINDSOR</t>
  </si>
  <si>
    <t>0007C3-1</t>
  </si>
  <si>
    <t>Zind, Steve</t>
  </si>
  <si>
    <t>115 WHEELER ROAD BRAINTREE VT 05060 - ORANGE</t>
  </si>
  <si>
    <t>00079V-1</t>
  </si>
  <si>
    <t>115 Wheeler Road</t>
  </si>
  <si>
    <t>Anderson, Julins</t>
  </si>
  <si>
    <t>773 MAIN STREET WEST HARTFORD VT 05084</t>
  </si>
  <si>
    <t>0007C1-1</t>
  </si>
  <si>
    <t>1KydsfromendClayRd</t>
  </si>
  <si>
    <t>0008ZQ-2</t>
  </si>
  <si>
    <t>Father's Yard</t>
  </si>
  <si>
    <t>Arthur Begin</t>
  </si>
  <si>
    <t>Mazzola, Mario</t>
  </si>
  <si>
    <t>1036 MURPHY HILL ROAD WEST SHAFTSBURY VT 05262</t>
  </si>
  <si>
    <t>00076W-1</t>
  </si>
  <si>
    <t>Mazzola Home Yard</t>
  </si>
  <si>
    <t>Mario Mazzola</t>
  </si>
  <si>
    <t>1036 Murphy Hill Road</t>
  </si>
  <si>
    <t>Austin, Karl</t>
  </si>
  <si>
    <t>100 STARK STREET BENNINGTON VT 05201 - BENNINGTON</t>
  </si>
  <si>
    <t>00073D-1</t>
  </si>
  <si>
    <t>Austin Farm/Austin Rd. sold? call</t>
  </si>
  <si>
    <t>Vosburgh, Lloyd E</t>
  </si>
  <si>
    <t>61 HENRY HILL STAMFORD VT 05352 - BENNINGTON</t>
  </si>
  <si>
    <t>00076P-1</t>
  </si>
  <si>
    <t>Vosburgh Home Yard</t>
  </si>
  <si>
    <t>Lloyd Vosburgh</t>
  </si>
  <si>
    <t>61 Henry Hill Road</t>
  </si>
  <si>
    <t>Jolly, Ray</t>
  </si>
  <si>
    <t>RTE 9 WOODFORD VT - BENNINGTON</t>
  </si>
  <si>
    <t>00076N-1</t>
  </si>
  <si>
    <t>Rt 9 S. side red hse in hollow ?</t>
  </si>
  <si>
    <t>Woodford Town</t>
  </si>
  <si>
    <t>Woodford</t>
  </si>
  <si>
    <t>Remillard, Philip</t>
  </si>
  <si>
    <t>BOX 750 RD1 WEST RD STAMFORD VT 05352 - BENNINGTON</t>
  </si>
  <si>
    <t>00076M-1</t>
  </si>
  <si>
    <t>no bees for years check 92</t>
  </si>
  <si>
    <t>00076K-2</t>
  </si>
  <si>
    <t>Bear got some spot checked 25 dead hives</t>
  </si>
  <si>
    <t>Marro, Anthony</t>
  </si>
  <si>
    <t>10 WEST ROAD OLD BENNINGTON VT 05201</t>
  </si>
  <si>
    <t>00076G-1</t>
  </si>
  <si>
    <t>Wensley, C. J.</t>
  </si>
  <si>
    <t>RR 1 BX 174 SHAFTSBURY VT 05262 - BENNINGTON</t>
  </si>
  <si>
    <t>00076F-1</t>
  </si>
  <si>
    <t>offHiden Valey Rd.1stonL Cedar Hill</t>
  </si>
  <si>
    <t>Young, Aaron</t>
  </si>
  <si>
    <t>86 BLUE SPRUCE LANE LYNDONVILLE VT 05851 - CALEDONIA</t>
  </si>
  <si>
    <t>0008DQ-1</t>
  </si>
  <si>
    <t>Sanderson Hill Farm Yard</t>
  </si>
  <si>
    <t>Aaron Young</t>
  </si>
  <si>
    <t>230 Sanderson Hill Road</t>
  </si>
  <si>
    <t>Lepeltier, Rosalie</t>
  </si>
  <si>
    <t>215 NEW STREET EAST FAIRFIELD VT 05448</t>
  </si>
  <si>
    <t>0008BK-1</t>
  </si>
  <si>
    <t>Mattison, Dick</t>
  </si>
  <si>
    <t>ROD&amp;GUN CLUB RD BX 304 SHAFTSBURY VT 05262 - BENNINGTON</t>
  </si>
  <si>
    <t>00076B-1</t>
  </si>
  <si>
    <t>Home East of hse</t>
  </si>
  <si>
    <t>Glennon, Ron</t>
  </si>
  <si>
    <t>RR3 BOX 4799 820 MAPLE GROVE ROAD BENNINGTON VT 05201 - BENNINGTON</t>
  </si>
  <si>
    <t>00076A-1</t>
  </si>
  <si>
    <t>Ron Glennon</t>
  </si>
  <si>
    <t>820 Maple Grove Road</t>
  </si>
  <si>
    <t>Burmania, Joan</t>
  </si>
  <si>
    <t>657 MAPLE STEXT WALTHAM VT 05491 - ADDISON</t>
  </si>
  <si>
    <t>0007PZ-1</t>
  </si>
  <si>
    <t>Burmania-Home</t>
  </si>
  <si>
    <t>Joan Burmania</t>
  </si>
  <si>
    <t>657 Maple St.</t>
  </si>
  <si>
    <t>Harrington, Martin</t>
  </si>
  <si>
    <t>BUCK HILL RD RR 2 BX18 SHAFTSBURY VT 05262 - BENNINGTON</t>
  </si>
  <si>
    <t>000767-1</t>
  </si>
  <si>
    <t>Crosier, Andrew</t>
  </si>
  <si>
    <t>CIRCLE DR RR 1A BX 26 SHAFTSBURY VT 05262 - BENNINGTON</t>
  </si>
  <si>
    <t>000766-1</t>
  </si>
  <si>
    <t>at Vanderel's foot of Glastenuiew on Dan</t>
  </si>
  <si>
    <t>Jannen, Ms Leland</t>
  </si>
  <si>
    <t>4402JACKSONVILLE STGRD BRATTLEBORO VT 05301 - WINDHAM</t>
  </si>
  <si>
    <t>0008NZ-1</t>
  </si>
  <si>
    <t>Halifax Town</t>
  </si>
  <si>
    <t>Halifax</t>
  </si>
  <si>
    <t>00072K-29</t>
  </si>
  <si>
    <t>Pyne yard</t>
  </si>
  <si>
    <t>Pyne</t>
  </si>
  <si>
    <t>Twardy, Michael, Rev,</t>
  </si>
  <si>
    <t>1707 HIDDEN VALLEY ROAD NORTH SHAFTSBURY VT 05262 - BENNINGTON</t>
  </si>
  <si>
    <t>00076H-1</t>
  </si>
  <si>
    <t>back Bible Baptist Ch. NE crn back field</t>
  </si>
  <si>
    <t>Sanborn, Ed</t>
  </si>
  <si>
    <t>BOX 182 KILLINGTON VT 05751 - RUTLAND</t>
  </si>
  <si>
    <t>0008CP-1</t>
  </si>
  <si>
    <t>Sherburne</t>
  </si>
  <si>
    <t>00090C-2</t>
  </si>
  <si>
    <t>48 Wilmuth Drive</t>
  </si>
  <si>
    <t>Potvin, Randy</t>
  </si>
  <si>
    <t>553 FONTAINE DRIVE GEORGIA VT 05468 - FRANKLIN</t>
  </si>
  <si>
    <t>0007BC-1</t>
  </si>
  <si>
    <t>581 Fontaine Drive</t>
  </si>
  <si>
    <t>Richards, Gene</t>
  </si>
  <si>
    <t>168 SUMMIT STREET BURLINGTON VT 05401 - CHITTENDEN</t>
  </si>
  <si>
    <t>0008F1-3</t>
  </si>
  <si>
    <t>Richards-Home</t>
  </si>
  <si>
    <t>Gene Richards</t>
  </si>
  <si>
    <t>168 Summit Street</t>
  </si>
  <si>
    <t>Zinn, Fred</t>
  </si>
  <si>
    <t>PAWLET MOUNTAIN ROAD RUPERT VT 05768 - BENNINGTON</t>
  </si>
  <si>
    <t>00075Z-1</t>
  </si>
  <si>
    <t>Burbank, Arnold</t>
  </si>
  <si>
    <t>616 LONG ROAD WAITSFIELD VT 05673 - WASHINGTON</t>
  </si>
  <si>
    <t>000709-1</t>
  </si>
  <si>
    <t>Townsend, Landa</t>
  </si>
  <si>
    <t>198 MONKTON ROAD CHARLOTTE VT 05445 - CHITTENDEN</t>
  </si>
  <si>
    <t>00075X-1</t>
  </si>
  <si>
    <t>Off Monkton Rd</t>
  </si>
  <si>
    <t>Pratt, Anson</t>
  </si>
  <si>
    <t>1006 N MASON HILL RD POWNAL VT 05261 - BENNINGTON</t>
  </si>
  <si>
    <t>00075W-1</t>
  </si>
  <si>
    <t>Minard, Bill</t>
  </si>
  <si>
    <t>RD1 BOX 201 RICHMOND VT 05477 - CHITTENDEN</t>
  </si>
  <si>
    <t>00075V-1</t>
  </si>
  <si>
    <t>Boeri, Jay</t>
  </si>
  <si>
    <t>257 WEED ROAD HARTLAND VT 05048 - WINDSOR</t>
  </si>
  <si>
    <t>00075P-1</t>
  </si>
  <si>
    <t>Austin, Dennis</t>
  </si>
  <si>
    <t>530 CHURCH STREET NORTH ADAMS MA 01247</t>
  </si>
  <si>
    <t>00075M-1</t>
  </si>
  <si>
    <t>C.PalmerFarm</t>
  </si>
  <si>
    <t>Lansbury, Edgar</t>
  </si>
  <si>
    <t>NORTH ROAD PERU VT 05152 - BENNINGTON</t>
  </si>
  <si>
    <t>00075K-1</t>
  </si>
  <si>
    <t>Home by pond and shed</t>
  </si>
  <si>
    <t>Ardell, Rich</t>
  </si>
  <si>
    <t>PO BOX 156 NORTH ROAD EXTENSION PERU VT 05152 - BENNINGTON</t>
  </si>
  <si>
    <t>00075J-1</t>
  </si>
  <si>
    <t>1.25 M. from Wild Winds XC turnoff</t>
  </si>
  <si>
    <t>Williams, Dave</t>
  </si>
  <si>
    <t>PUDDINGSTONE RD BX 384 POWNAL VT 05261 - BENNINGTON</t>
  </si>
  <si>
    <t>00075H-1</t>
  </si>
  <si>
    <t>Charles Palmer's Gravel Pit</t>
  </si>
  <si>
    <t>00075G-2</t>
  </si>
  <si>
    <t>Steventon, Joe</t>
  </si>
  <si>
    <t>STEVENTON RD ROCHESTER VT 05767 - WINDSOR</t>
  </si>
  <si>
    <t>00074D-1</t>
  </si>
  <si>
    <t>off N. Hollow Rd last hse</t>
  </si>
  <si>
    <t>Krueger, Arthur</t>
  </si>
  <si>
    <t>780 BUTTON HILL ROAD CUTTINGSVILLE VT 05738</t>
  </si>
  <si>
    <t>00074A-1</t>
  </si>
  <si>
    <t>Krueger home yard</t>
  </si>
  <si>
    <t>Patricia Norton</t>
  </si>
  <si>
    <t>780 Button Hill Road</t>
  </si>
  <si>
    <t>Hudkins, Peter</t>
  </si>
  <si>
    <t>267 CEMETERY ROAD CHESTER VT 05143 - WINDSOR</t>
  </si>
  <si>
    <t>000745-1</t>
  </si>
  <si>
    <t>Mcadoo, Preston</t>
  </si>
  <si>
    <t>59 MCCULLOUGH RD N BENNINGTON VT 05257</t>
  </si>
  <si>
    <t>00075B-1</t>
  </si>
  <si>
    <t>Hill behind house/.25 mile</t>
  </si>
  <si>
    <t>Watton, Janet</t>
  </si>
  <si>
    <t>RD1 BOX 401 RANDOLPH CENTER VT 05061</t>
  </si>
  <si>
    <t>00075D-1</t>
  </si>
  <si>
    <t>Bishop, Frederick</t>
  </si>
  <si>
    <t>RR2 BOX 300 LYNDONVILLE VT 05851</t>
  </si>
  <si>
    <t>00073K-1</t>
  </si>
  <si>
    <t>Eckley, Jamie</t>
  </si>
  <si>
    <t>1296 DAVIDSON HILL WESTMINSTER VT 05158 - WINDHAM</t>
  </si>
  <si>
    <t>0007NC-1</t>
  </si>
  <si>
    <t>Harris, Stephen Judith</t>
  </si>
  <si>
    <t>514 WEST RIVER ROAD LINCOLN VT 05443-9635 - ADDISON</t>
  </si>
  <si>
    <t>000757-1</t>
  </si>
  <si>
    <t>514 W River Road</t>
  </si>
  <si>
    <t>Pelletier, Andy</t>
  </si>
  <si>
    <t>PO BOX 156 ST ALBANS VT 05481</t>
  </si>
  <si>
    <t>0008ZC-1</t>
  </si>
  <si>
    <t>Pelletier-Home Yard</t>
  </si>
  <si>
    <t>Andy Pelletier</t>
  </si>
  <si>
    <t>6662 Georgia Shore Road</t>
  </si>
  <si>
    <t>St. Albans</t>
  </si>
  <si>
    <t>Thurston, Steve</t>
  </si>
  <si>
    <t>HIGH HILL RDX 1041 MANCHESTER CTR VT 05254</t>
  </si>
  <si>
    <t>000756-1</t>
  </si>
  <si>
    <t>Moving all bees home? off Ways Lane</t>
  </si>
  <si>
    <t>Jahnsen, Carl</t>
  </si>
  <si>
    <t>BOX 563 MANCHESTER VT 05254 - BENNINGTON</t>
  </si>
  <si>
    <t>000755-1</t>
  </si>
  <si>
    <t>McCooey Dr.turn X Weathervane Motel</t>
  </si>
  <si>
    <t>0007HY-7</t>
  </si>
  <si>
    <t>N. Rd. Forest Fm. upper field N. side</t>
  </si>
  <si>
    <t>Kinney, Bill</t>
  </si>
  <si>
    <t>312 LUGE RUN EAST DORSET VT 05253</t>
  </si>
  <si>
    <t>000753-1</t>
  </si>
  <si>
    <t>Kinney-home yard</t>
  </si>
  <si>
    <t>Bill Kinney</t>
  </si>
  <si>
    <t>312 Luge Run</t>
  </si>
  <si>
    <t>Stroffoleno, Robert</t>
  </si>
  <si>
    <t>3263 RIVER ROAD ARLINGTON VT 05250 - BENNINGTON</t>
  </si>
  <si>
    <t>000752-1</t>
  </si>
  <si>
    <t>Home/off Benedict Crossing Rd S. side</t>
  </si>
  <si>
    <t>Chalmers, Richard</t>
  </si>
  <si>
    <t>777 GRANDVIEW ROAD WILLIAMSTOWN VT 05679 - ORANGE</t>
  </si>
  <si>
    <t>000751-1</t>
  </si>
  <si>
    <t>Richard Chalmers</t>
  </si>
  <si>
    <t>777 Grandview Road</t>
  </si>
  <si>
    <t>Evarts, Wendy</t>
  </si>
  <si>
    <t>OLD COUNTY RD LANDGROVE VT - BENNINGTON</t>
  </si>
  <si>
    <t>00079A-1</t>
  </si>
  <si>
    <t>Kalinen, Arvid</t>
  </si>
  <si>
    <t>EAST HILL RD ANDOVER VT - WINDSOR</t>
  </si>
  <si>
    <t>00074Z-1</t>
  </si>
  <si>
    <t>new after school on left</t>
  </si>
  <si>
    <t>Brocho, Aaron</t>
  </si>
  <si>
    <t>1746 NORTH DANVILLE RD DANVILLE VT O5828 - CALEDONIA</t>
  </si>
  <si>
    <t>00074Y-1</t>
  </si>
  <si>
    <t>Bucholt, Carl</t>
  </si>
  <si>
    <t>WIDEAWAKE RD MANCHESTER CTR VT 05255</t>
  </si>
  <si>
    <t>00074X-1</t>
  </si>
  <si>
    <t>.3 M from West Rd on R.</t>
  </si>
  <si>
    <t>Northern Wildflower Apiaries</t>
  </si>
  <si>
    <t>930 SHACKSBORO ROAD SHOREHAM VT 05770 - ADDISON</t>
  </si>
  <si>
    <t>0008C7-1</t>
  </si>
  <si>
    <t>W.sideShacksboroRd</t>
  </si>
  <si>
    <t>Sheldon, Harry</t>
  </si>
  <si>
    <t>3584 MORSE HILL ROAD DORSET VT 05251 - BENNINGTON</t>
  </si>
  <si>
    <t>00074V-1</t>
  </si>
  <si>
    <t>3584 Morse Hill Road</t>
  </si>
  <si>
    <t>0007HY-8</t>
  </si>
  <si>
    <t>Ross Fm on Herrick Brook Rd</t>
  </si>
  <si>
    <t>Black, Lawrence</t>
  </si>
  <si>
    <t>31 UPPER DEPOT ROAD MARSHFIELD VT 05658 - WASHINGTON</t>
  </si>
  <si>
    <t>00076Z-1</t>
  </si>
  <si>
    <t>Hill Farm</t>
  </si>
  <si>
    <t>Casey, Scott</t>
  </si>
  <si>
    <t>RFD DORSET HOLLOW ROAD DORSET VT 05251 - BENNINGTON</t>
  </si>
  <si>
    <t>00074Q-1</t>
  </si>
  <si>
    <t>Home/Dorset Hollow Road over bank</t>
  </si>
  <si>
    <t>Henning, Diane</t>
  </si>
  <si>
    <t>11 HUNT STREET FAIRFAX VT 05454 - FRANKLIN</t>
  </si>
  <si>
    <t>0007BY-1</t>
  </si>
  <si>
    <t>11 Hunt Street</t>
  </si>
  <si>
    <t>Greene, Robert M.</t>
  </si>
  <si>
    <t>PO BOX 633 BENNINGTON VT 05201 - BENNINGTON</t>
  </si>
  <si>
    <t>00074M-1</t>
  </si>
  <si>
    <t>Warner, Harold Jr.</t>
  </si>
  <si>
    <t>BURGESS RD BX 362 BENNINGTON VT 05201 - BENNINGTON</t>
  </si>
  <si>
    <t>00074K-1</t>
  </si>
  <si>
    <t>107 Bowen Road called no bees 87</t>
  </si>
  <si>
    <t>Van Orden, Ron</t>
  </si>
  <si>
    <t>FAY FARM/S STREAM RD BENNINGTON VT 05201 - BENNINGTON</t>
  </si>
  <si>
    <t>00074J-1</t>
  </si>
  <si>
    <t>Home/Fay Farm stored</t>
  </si>
  <si>
    <t>0008JH-4</t>
  </si>
  <si>
    <t>Dad's Place</t>
  </si>
  <si>
    <t>0007NC-2</t>
  </si>
  <si>
    <t>Burns Yd</t>
  </si>
  <si>
    <t>Shulman, Mrs. Albert</t>
  </si>
  <si>
    <t>1510 PLEASANT VALLEY ROAD W BENNINGTON VT 05201</t>
  </si>
  <si>
    <t>00074F-1</t>
  </si>
  <si>
    <t>Home S. of Barn comb eaten by moth</t>
  </si>
  <si>
    <t>Horster, Nikolaus</t>
  </si>
  <si>
    <t>1900 GOVE HILL ROAD THETFORD CENTER VT 05075</t>
  </si>
  <si>
    <t>0007Q7-1</t>
  </si>
  <si>
    <t>O'Brien, David M.</t>
  </si>
  <si>
    <t>1408 MURPHY HILL ROAD N BENNINGTON VT 05257</t>
  </si>
  <si>
    <t>0007ZB-1</t>
  </si>
  <si>
    <t>1408 Murphy Hill Road</t>
  </si>
  <si>
    <t>Verdon, Michele</t>
  </si>
  <si>
    <t>LAKE RD NEWPORT CTR VT 05857</t>
  </si>
  <si>
    <t>0007QF-1</t>
  </si>
  <si>
    <t>cross from cemetary check spring 88</t>
  </si>
  <si>
    <t>Williamson, Tom</t>
  </si>
  <si>
    <t>BEST RD HARTLAND VT 05089 - WINDSOR</t>
  </si>
  <si>
    <t>00085K-1</t>
  </si>
  <si>
    <t>Log cabin</t>
  </si>
  <si>
    <t>0007WQ-2</t>
  </si>
  <si>
    <t>A. Feris Yard</t>
  </si>
  <si>
    <t>Osterhoudt, Chad</t>
  </si>
  <si>
    <t>601 MARSHALL ROAD WATERBURY VT 05676 - WASHINGTON</t>
  </si>
  <si>
    <t>0008HW-1</t>
  </si>
  <si>
    <t>601 Marshall Road</t>
  </si>
  <si>
    <t>Harris-vincent, Catherine</t>
  </si>
  <si>
    <t>93 MARSHFIELD ROAD PLAINFIELD VT 05667 - WASHINGTON</t>
  </si>
  <si>
    <t>00074H-1</t>
  </si>
  <si>
    <t>000749-2</t>
  </si>
  <si>
    <t>Michaels, Gary</t>
  </si>
  <si>
    <t>318 SOUTH STREET BENNINGTON VT 05201 - BENNINGTON</t>
  </si>
  <si>
    <t>000748-1</t>
  </si>
  <si>
    <t>Home/off Hicks Avenue sold some bee</t>
  </si>
  <si>
    <t>Mcdonald, Bernard</t>
  </si>
  <si>
    <t>MIDDLE POWNAL ROAD BENNINGTON VT 05201 - BENNINGTON</t>
  </si>
  <si>
    <t>000747-1</t>
  </si>
  <si>
    <t>Myron Greene N. Park St</t>
  </si>
  <si>
    <t>Cunningham, Jeffrey T.</t>
  </si>
  <si>
    <t>26 PATCH FARM ROAD PUTNEY VT 05346 - WINDHAM</t>
  </si>
  <si>
    <t>0007BD-3</t>
  </si>
  <si>
    <t>&lt;1%</t>
  </si>
  <si>
    <t>26 Patch Farm Road</t>
  </si>
  <si>
    <t>Meader, Bruce R.</t>
  </si>
  <si>
    <t>PO BOX 263 VERGENNES VT 05491 - ADDISON</t>
  </si>
  <si>
    <t>0008B1-1</t>
  </si>
  <si>
    <t>Meader-Home Yard</t>
  </si>
  <si>
    <t>Bruce Meader</t>
  </si>
  <si>
    <t>33 Boothwood</t>
  </si>
  <si>
    <t>Henry, Leo</t>
  </si>
  <si>
    <t>68 HENRY ROAD ALBURG VT 05440-9772 - GRAND ISLE</t>
  </si>
  <si>
    <t>000712-1</t>
  </si>
  <si>
    <t>Nichols, Benjamin</t>
  </si>
  <si>
    <t>HC PO BOX 110 EAST BERKSHIRE VT 05447</t>
  </si>
  <si>
    <t>000744-1</t>
  </si>
  <si>
    <t>Echo Ridge Farm</t>
  </si>
  <si>
    <t>581 SUGAR MAPLE ROAD LYNDONVILLE VT 05851</t>
  </si>
  <si>
    <t>0008WN-1</t>
  </si>
  <si>
    <t>581 Sugar Maple Road</t>
  </si>
  <si>
    <t>Floyd, Ed</t>
  </si>
  <si>
    <t>PO BOX 437 LUDLOW VT 05149 - WINDSOR</t>
  </si>
  <si>
    <t>0008CY-1</t>
  </si>
  <si>
    <t>Adrian, Michael</t>
  </si>
  <si>
    <t>430 S WARDSBORO ROAD NEWFANE VT 05345 - WINDHAM</t>
  </si>
  <si>
    <t>000942-1</t>
  </si>
  <si>
    <t>Adrian-Home</t>
  </si>
  <si>
    <t>Michael Adrian</t>
  </si>
  <si>
    <t>430 S Wardsboro Road</t>
  </si>
  <si>
    <t>Howard, Gary</t>
  </si>
  <si>
    <t>697 BUTTERNUT ROAD WILLISTON VT 05495 - CHITTENDEN</t>
  </si>
  <si>
    <t>0007MP-1</t>
  </si>
  <si>
    <t>Harrington, Arnold</t>
  </si>
  <si>
    <t>RD2 N EAST STREET BENNINGTON VT 05201 - BENNINGTON</t>
  </si>
  <si>
    <t>00073Y-1</t>
  </si>
  <si>
    <t>Neas, Martha</t>
  </si>
  <si>
    <t>693 WOODS ROAD BROOKFIELD VT 05036 - ORANGE</t>
  </si>
  <si>
    <t>000863-1</t>
  </si>
  <si>
    <t>Peckham, William</t>
  </si>
  <si>
    <t>1307 STELLAR ROAD WILLIAMSTOWN VT 05679 - ORANGE</t>
  </si>
  <si>
    <t>00075N-3</t>
  </si>
  <si>
    <t>Peckham home yard</t>
  </si>
  <si>
    <t>William Peckham</t>
  </si>
  <si>
    <t>1307 Stellar Road</t>
  </si>
  <si>
    <t>Gile, Ken</t>
  </si>
  <si>
    <t>ROUTE 7 POWNAL VT 05261 - BENNINGTON</t>
  </si>
  <si>
    <t>00073V-1</t>
  </si>
  <si>
    <t>00073V-2</t>
  </si>
  <si>
    <t>Pippin Knoll/Meyer's yard</t>
  </si>
  <si>
    <t>0008NY-3</t>
  </si>
  <si>
    <t>Robinson Yard</t>
  </si>
  <si>
    <t>Lyman, William</t>
  </si>
  <si>
    <t>SOUTH HILL STOCKBRIDGE VT 05772 - WINDSOR</t>
  </si>
  <si>
    <t>00073X-1</t>
  </si>
  <si>
    <t>Barrows, Wendell</t>
  </si>
  <si>
    <t>11 MAPLE STREET N SPRINGFIELD VT 05150</t>
  </si>
  <si>
    <t>0007C6-1</t>
  </si>
  <si>
    <t>0007ZQ-20</t>
  </si>
  <si>
    <t>Intervale Farm</t>
  </si>
  <si>
    <t>Thaon, Paul</t>
  </si>
  <si>
    <t>547 CORLISS ROAD RICHFORD VT 05476 - FRANKLIN</t>
  </si>
  <si>
    <t>00088C-1</t>
  </si>
  <si>
    <t>Growald, Paul</t>
  </si>
  <si>
    <t>SHELBURNE FARMS 614 FARM BARN LANE SHELBURNE VT 05482 - CHITTENDEN</t>
  </si>
  <si>
    <t>0008A5-1</t>
  </si>
  <si>
    <t>Shelburne Farms-Home Yard</t>
  </si>
  <si>
    <t>1611 Harbor Road</t>
  </si>
  <si>
    <t>Wilder, Mrs.</t>
  </si>
  <si>
    <t>BOX 596 WESTMINSTER HIGHTS RD PUTNEY VT 05346 - WINDHAM</t>
  </si>
  <si>
    <t>0008MW-1</t>
  </si>
  <si>
    <t>0007QK-4</t>
  </si>
  <si>
    <t>Off Rt 100</t>
  </si>
  <si>
    <t>Moore, Greg</t>
  </si>
  <si>
    <t>671 FERSON ROAD LEICHESER VT 05733</t>
  </si>
  <si>
    <t>0007BH-1</t>
  </si>
  <si>
    <t>Warners, Harold Jr.</t>
  </si>
  <si>
    <t>BURGESS ROAD WOODFORD VT 05201 - BENNINGTON</t>
  </si>
  <si>
    <t>00073G-1</t>
  </si>
  <si>
    <t>Eunice Bagley yard call</t>
  </si>
  <si>
    <t>Cruickshanks, Paul</t>
  </si>
  <si>
    <t>107 NORTON ROAD WORCHESTER VT 05682</t>
  </si>
  <si>
    <t>0007Z2-1</t>
  </si>
  <si>
    <t>107 Norton Road</t>
  </si>
  <si>
    <t>Mattison, Jerry</t>
  </si>
  <si>
    <t>DUNHAM AVE N BENNINGTON VT 05257</t>
  </si>
  <si>
    <t>0007WF-1</t>
  </si>
  <si>
    <t>bought Pierces hives call bees in N.Y.</t>
  </si>
  <si>
    <t>Robitaille, Roger</t>
  </si>
  <si>
    <t>599 PERLEY ROAD RICHFORD VT 05476 - FRANKLIN</t>
  </si>
  <si>
    <t>0008W1-1</t>
  </si>
  <si>
    <t>0008V7-2</t>
  </si>
  <si>
    <t>Whipple Yard</t>
  </si>
  <si>
    <t>Sheldon, Richard</t>
  </si>
  <si>
    <t>WEST PAWLET VT 05775</t>
  </si>
  <si>
    <t>000739-1</t>
  </si>
  <si>
    <t>00072K-30</t>
  </si>
  <si>
    <t>Stanionis Yd./Ghost Hollow Road</t>
  </si>
  <si>
    <t>00072K-31</t>
  </si>
  <si>
    <t>HarperYd</t>
  </si>
  <si>
    <t>Harper</t>
  </si>
  <si>
    <t>00079C-3</t>
  </si>
  <si>
    <t>Harlow Brook Farm</t>
  </si>
  <si>
    <t>Tittemore, Merril</t>
  </si>
  <si>
    <t>1 PARSONS LANE ST ALBANS VT 05478 - UNKNOWN</t>
  </si>
  <si>
    <t>00087P-3</t>
  </si>
  <si>
    <t>Babcock Yard</t>
  </si>
  <si>
    <t>Mr. Babcock</t>
  </si>
  <si>
    <t>Lake Brook Drive</t>
  </si>
  <si>
    <t>00072K-32</t>
  </si>
  <si>
    <t>Walker II</t>
  </si>
  <si>
    <t>Michal Doraw</t>
  </si>
  <si>
    <t>RT 144</t>
  </si>
  <si>
    <t>00075G-3</t>
  </si>
  <si>
    <t>Appleberry Farm</t>
  </si>
  <si>
    <t>00072K-33</t>
  </si>
  <si>
    <t>VanHelsenga Yd</t>
  </si>
  <si>
    <t>VanHelsenga</t>
  </si>
  <si>
    <t>Krempa, Father Adam</t>
  </si>
  <si>
    <t>PO BOX 293 WEST RUTLAND VT 05777 - RUTLAND</t>
  </si>
  <si>
    <t>000732-1</t>
  </si>
  <si>
    <t>West Rutland Town</t>
  </si>
  <si>
    <t>West Rutland</t>
  </si>
  <si>
    <t>Brown, Mort</t>
  </si>
  <si>
    <t>OLD BOARDMAN HILL ROAD WEST RUTLAND VT 05777 - RUTLAND</t>
  </si>
  <si>
    <t>000731-1</t>
  </si>
  <si>
    <t>Off 4A</t>
  </si>
  <si>
    <t>000730-2</t>
  </si>
  <si>
    <t>off 144</t>
  </si>
  <si>
    <t>00072Z-2</t>
  </si>
  <si>
    <t>00075G-4</t>
  </si>
  <si>
    <t>Clearview FarmbyChocolateFactory</t>
  </si>
  <si>
    <t>Warner, Derick</t>
  </si>
  <si>
    <t>47 PROSPECT ST ESSEX JUNCTION VT 05452-3612</t>
  </si>
  <si>
    <t>00073B-1</t>
  </si>
  <si>
    <t>Warner Home Yard</t>
  </si>
  <si>
    <t>Derick Warner</t>
  </si>
  <si>
    <t>47 Prospect Street</t>
  </si>
  <si>
    <t>05452-3612</t>
  </si>
  <si>
    <t>00090H-2</t>
  </si>
  <si>
    <t>Corrow's Land</t>
  </si>
  <si>
    <t>Usher, Art</t>
  </si>
  <si>
    <t>EAST ROAD TINMOUTH VT 05773 - RUTLAND</t>
  </si>
  <si>
    <t>00072W-1</t>
  </si>
  <si>
    <t>Krantz, George</t>
  </si>
  <si>
    <t>63 CURRIER ROAD KILLINGTON VT 05751 - RUTLAND</t>
  </si>
  <si>
    <t>00072V-1</t>
  </si>
  <si>
    <t>Davidson, David &amp; Sue Anne</t>
  </si>
  <si>
    <t>PO BOX 534 HARDWICK VT 05843-0534 - CALEDONIA</t>
  </si>
  <si>
    <t>00072Y-1</t>
  </si>
  <si>
    <t>Home1.6M EoffRT16</t>
  </si>
  <si>
    <t>0007K0-30</t>
  </si>
  <si>
    <t>Winery</t>
  </si>
  <si>
    <t>William Pelky</t>
  </si>
  <si>
    <t>3968 Greenbush Road</t>
  </si>
  <si>
    <t>Katz, Stan</t>
  </si>
  <si>
    <t>110 EAST STREET NEW HAVEN VT 05472 - ADDISON</t>
  </si>
  <si>
    <t>00072P-1</t>
  </si>
  <si>
    <t>Austin, Donald</t>
  </si>
  <si>
    <t>169 VT RT 243 NORTH TROY VT 05859</t>
  </si>
  <si>
    <t>0007XH-1</t>
  </si>
  <si>
    <t>Collier, Michael</t>
  </si>
  <si>
    <t>776 WEST STREET CORNWALL VT 05753 - ADDISON</t>
  </si>
  <si>
    <t>000779-1</t>
  </si>
  <si>
    <t>Collier-Home</t>
  </si>
  <si>
    <t>Michael Collier</t>
  </si>
  <si>
    <t>776 West Street</t>
  </si>
  <si>
    <t>00072K-34</t>
  </si>
  <si>
    <t>Rocky Knoll Yard</t>
  </si>
  <si>
    <t>Sudbury Town</t>
  </si>
  <si>
    <t>Rocky Knoll</t>
  </si>
  <si>
    <t>Vail Road</t>
  </si>
  <si>
    <t>Sudbury</t>
  </si>
  <si>
    <t>Montague, Alan W.</t>
  </si>
  <si>
    <t>1868 TRESTLE ROAD DANVILLE VT 05828 - CALEDONIA</t>
  </si>
  <si>
    <t>00072J-1</t>
  </si>
  <si>
    <t>1868 Trestle Toad</t>
  </si>
  <si>
    <t>Banak, Martin</t>
  </si>
  <si>
    <t>00072H-1</t>
  </si>
  <si>
    <t>Martin Banak</t>
  </si>
  <si>
    <t>Ketcham, Roger</t>
  </si>
  <si>
    <t>149 ROUTE 73 WEST SUDBURY VT 05733 - RUTLAND</t>
  </si>
  <si>
    <t>00072G-1</t>
  </si>
  <si>
    <t>Burnham, Marilynn</t>
  </si>
  <si>
    <t>STONE ROAD S WALLINGFORD VT 05771</t>
  </si>
  <si>
    <t>00072F-1</t>
  </si>
  <si>
    <t>Laurel Hill Honey</t>
  </si>
  <si>
    <t>694 UPPER COLD RIVER ROAD SHREWSBURY VT 05738 - RUTLAND</t>
  </si>
  <si>
    <t>000704-2</t>
  </si>
  <si>
    <t>Home/Upper Cold River Road</t>
  </si>
  <si>
    <t>000704-3</t>
  </si>
  <si>
    <t>Williams Farm Stand</t>
  </si>
  <si>
    <t>00070D-21</t>
  </si>
  <si>
    <t>Slate Yard</t>
  </si>
  <si>
    <t>Cream Hill Road</t>
  </si>
  <si>
    <t>Fallick, Charles</t>
  </si>
  <si>
    <t>PO BOX 95 WAITSFIELD VT 05673 - WASHINGTON</t>
  </si>
  <si>
    <t>00070N-1</t>
  </si>
  <si>
    <t>Stone, Ralph</t>
  </si>
  <si>
    <t>195 STONE LANE DANBY VT 05739 - RUTLAND</t>
  </si>
  <si>
    <t>00072C-1</t>
  </si>
  <si>
    <t>Home/Scottsville</t>
  </si>
  <si>
    <t>Zack, Andrew</t>
  </si>
  <si>
    <t>TOWNLINE ROAD RUTLAND VT 05701</t>
  </si>
  <si>
    <t>00072B-1</t>
  </si>
  <si>
    <t>Home/across from pond</t>
  </si>
  <si>
    <t>King, Gay B.</t>
  </si>
  <si>
    <t>BOX 41 US ROUTE 2 GRAND ISLE VT 05458 - GRAND ISLE</t>
  </si>
  <si>
    <t>00072A-1</t>
  </si>
  <si>
    <t>Songdahl, Richard</t>
  </si>
  <si>
    <t>72 MOUNTAIN ROAD MIDDLETOWN SPRINGS VT 05757 - RUTLAND</t>
  </si>
  <si>
    <t>000729-1</t>
  </si>
  <si>
    <t>Pulling, Stephen F.</t>
  </si>
  <si>
    <t>2107 E PITTSFORD ROAD RUTLAND VT 05701</t>
  </si>
  <si>
    <t>000728-1</t>
  </si>
  <si>
    <t>Home/E. Pittsford Rd</t>
  </si>
  <si>
    <t>Hawley, Ira H.</t>
  </si>
  <si>
    <t>RD 2 WOODSTOCK AVENUE RUTLAND VT 05701</t>
  </si>
  <si>
    <t>000727-1</t>
  </si>
  <si>
    <t>Home/Route 4</t>
  </si>
  <si>
    <t>Haas, Frank</t>
  </si>
  <si>
    <t>127 PARK ST RUTLAND VT 05701</t>
  </si>
  <si>
    <t>00070B-1</t>
  </si>
  <si>
    <t>Hawley, Arlyn</t>
  </si>
  <si>
    <t>POST ROAD BOX 4940 RUTLAND VT 05701</t>
  </si>
  <si>
    <t>000726-1</t>
  </si>
  <si>
    <t>0008JH-5</t>
  </si>
  <si>
    <t>McFadden Hill</t>
  </si>
  <si>
    <t>Morse, Reg</t>
  </si>
  <si>
    <t>681 OSGOOD HILL ROAD WESTFORD VT 05494 - CHITTENDEN</t>
  </si>
  <si>
    <t>000772-1</t>
  </si>
  <si>
    <t>Morse Home yard</t>
  </si>
  <si>
    <t>Reg Morse</t>
  </si>
  <si>
    <t>681 Osgood Hill Road</t>
  </si>
  <si>
    <t>000723-2</t>
  </si>
  <si>
    <t>As of 6/93 not currently keeping bees</t>
  </si>
  <si>
    <t>Kunkel, Dr. Ray</t>
  </si>
  <si>
    <t>1747 W HILL ROAD NORTHFIELD VT 05663 - WASHINGTON</t>
  </si>
  <si>
    <t>0007N1-1</t>
  </si>
  <si>
    <t>Kunkel-Home Yard</t>
  </si>
  <si>
    <t>Dr. Ray Kunkel</t>
  </si>
  <si>
    <t>1747 W, Hill Road</t>
  </si>
  <si>
    <t>Edmunds, Ed</t>
  </si>
  <si>
    <t>47 FURNACE STREET POULTNEY VT 05764 - RUTLAND</t>
  </si>
  <si>
    <t>000721-1</t>
  </si>
  <si>
    <t>Hessian, Robert</t>
  </si>
  <si>
    <t>OXBOW ROAD PITTSFORD VT 05763 - RUTLAND</t>
  </si>
  <si>
    <t>000720-1</t>
  </si>
  <si>
    <t>Home/across from Oxbow Road</t>
  </si>
  <si>
    <t>Totten, Kelley W.</t>
  </si>
  <si>
    <t>662 OLD DEUSO ROAD EDEN VT 05652 - LAMOILLE</t>
  </si>
  <si>
    <t>000761-1</t>
  </si>
  <si>
    <t>Begin, Authur</t>
  </si>
  <si>
    <t>ROUTE 100 PITTSFIELD VT 05762 - RUTLAND</t>
  </si>
  <si>
    <t>00071Y-1</t>
  </si>
  <si>
    <t>Home/Swiss Farm Lodge/Route 100</t>
  </si>
  <si>
    <t>Dr. Foster, Ray</t>
  </si>
  <si>
    <t>PO BOX 49 SCHOOL ST PAWLET VT 05255 - RUTLAND</t>
  </si>
  <si>
    <t>00071V-1</t>
  </si>
  <si>
    <t>x from John Mach</t>
  </si>
  <si>
    <t>Mach, Edith</t>
  </si>
  <si>
    <t>PO BOX 13 PAWLET VT 05761 - RUTLAND</t>
  </si>
  <si>
    <t>00071Q-1</t>
  </si>
  <si>
    <t>Home/North of Route 133</t>
  </si>
  <si>
    <t>Dugrenier, Robert</t>
  </si>
  <si>
    <t>1096 BACK WINDHAM ROAD W TOWNSHEND VT 05359</t>
  </si>
  <si>
    <t>0007PF-1</t>
  </si>
  <si>
    <t>Cooper, Elizebeth</t>
  </si>
  <si>
    <t>49 ROCKS &amp; TREES LANE MIDDLETOWN SPRINGS VT 05757 - RUTLAND</t>
  </si>
  <si>
    <t>00071P-1</t>
  </si>
  <si>
    <t>Merck Forest</t>
  </si>
  <si>
    <t>3270 ROUTE 315 RUPERT VT 05768 - BENNINGTON</t>
  </si>
  <si>
    <t>00071N-1</t>
  </si>
  <si>
    <t>On farm</t>
  </si>
  <si>
    <t>Marmorale, Lesie</t>
  </si>
  <si>
    <t>PO BOX 56 GROTON VT 05046 - CALEDONIA</t>
  </si>
  <si>
    <t>0008N2-1</t>
  </si>
  <si>
    <t>00070D-22</t>
  </si>
  <si>
    <t>Stevens Yard</t>
  </si>
  <si>
    <t>Basin Harbor Road</t>
  </si>
  <si>
    <t>Bigelow, Scott</t>
  </si>
  <si>
    <t>RR1 BX 3192 KILLINGTON VT 05751 - RUTLAND</t>
  </si>
  <si>
    <t>00071D-1</t>
  </si>
  <si>
    <t>McClellan Drive call first</t>
  </si>
  <si>
    <t>Winthrop, David I.</t>
  </si>
  <si>
    <t>HCR 60 BOX 35 CANAAN VT 05903 - ESSEX</t>
  </si>
  <si>
    <t>0008JF-1</t>
  </si>
  <si>
    <t>N. side Rt114</t>
  </si>
  <si>
    <t>Canaan Town</t>
  </si>
  <si>
    <t>Canaan</t>
  </si>
  <si>
    <t>0007WB-11</t>
  </si>
  <si>
    <t>Torrey W.NucYd.</t>
  </si>
  <si>
    <t>Pratt, Jolene</t>
  </si>
  <si>
    <t>1959 RT 5 WEST BURKE VT 05871</t>
  </si>
  <si>
    <t>0008Y4-1</t>
  </si>
  <si>
    <t>1959 Route 5</t>
  </si>
  <si>
    <t>00071B-2</t>
  </si>
  <si>
    <t>Home/Farm equipment shop AFB in Bs sold</t>
  </si>
  <si>
    <t>Parker, Stanley W.</t>
  </si>
  <si>
    <t>PO BOX 59 HARTFORD VT 05047 - WINDSOR</t>
  </si>
  <si>
    <t>00082H-1</t>
  </si>
  <si>
    <t>965 Hathaway Road</t>
  </si>
  <si>
    <t>0008Y0-2</t>
  </si>
  <si>
    <t>Jubilee Farm</t>
  </si>
  <si>
    <t>000775-3</t>
  </si>
  <si>
    <t>Holden Acres Farm</t>
  </si>
  <si>
    <t>Seward, John</t>
  </si>
  <si>
    <t>5618 VT RT 140E E WALLINGFORD VT 05742</t>
  </si>
  <si>
    <t>000717-1</t>
  </si>
  <si>
    <t>Roland Seward's</t>
  </si>
  <si>
    <t>000717-2</t>
  </si>
  <si>
    <t>Dennis McCann's sugarhill</t>
  </si>
  <si>
    <t>000717-3</t>
  </si>
  <si>
    <t>0008X1-3</t>
  </si>
  <si>
    <t>00075G-5</t>
  </si>
  <si>
    <t>BenningtonCollege</t>
  </si>
  <si>
    <t>Kelman, Sam</t>
  </si>
  <si>
    <t>15 WILLIAMSTOWN ROAD WASHINGTON VT 05679 - ORANGE</t>
  </si>
  <si>
    <t>0008A9-1</t>
  </si>
  <si>
    <t>Stevens, Shirley</t>
  </si>
  <si>
    <t>MEADOW BROOK E POULTNEY VT 05741</t>
  </si>
  <si>
    <t>000711-1</t>
  </si>
  <si>
    <t>Dematties, Ernest</t>
  </si>
  <si>
    <t>485 LEWIS ROAD POULTNEY VT 05764 - RUTLAND</t>
  </si>
  <si>
    <t>000710-1</t>
  </si>
  <si>
    <t>00082P-3</t>
  </si>
  <si>
    <t>Winslow Farm Yard</t>
  </si>
  <si>
    <t>Mark Winslow</t>
  </si>
  <si>
    <t>00070Y-2</t>
  </si>
  <si>
    <t>Peters, Timothy F.</t>
  </si>
  <si>
    <t>PO BOX 36 LYNDON VT 05849 - CALEDONIA</t>
  </si>
  <si>
    <t>0007KA-1</t>
  </si>
  <si>
    <t>Home-TH10</t>
  </si>
  <si>
    <t>00072K-35</t>
  </si>
  <si>
    <t>Pettis Yard</t>
  </si>
  <si>
    <t>Pettis</t>
  </si>
  <si>
    <t>Pettis Road</t>
  </si>
  <si>
    <t>Dartt, Tim</t>
  </si>
  <si>
    <t>309 SAND ROAD FERRISBURGH VT 05456 - ADDISON</t>
  </si>
  <si>
    <t>0008MV-1</t>
  </si>
  <si>
    <t>Kenney, Dorigen</t>
  </si>
  <si>
    <t>989 MAPLE HILL ROAD PLAINFIELD VT 05667 - WASHINGTON</t>
  </si>
  <si>
    <t>0007QM-1</t>
  </si>
  <si>
    <t>D Keeney</t>
  </si>
  <si>
    <t>Shattuck, Gary</t>
  </si>
  <si>
    <t>RUSSELVILLE ROAD CUTTINGSVILLE VT 05738</t>
  </si>
  <si>
    <t>00070Q-1</t>
  </si>
  <si>
    <t>Home/Behind barn</t>
  </si>
  <si>
    <t>Freeman, Larry</t>
  </si>
  <si>
    <t>RFD CUTTINGSVILLE VT 05738</t>
  </si>
  <si>
    <t>00070M-1</t>
  </si>
  <si>
    <t>Rabtoy, Calvin</t>
  </si>
  <si>
    <t>AIRPORT TRAILER PARK N CLARENDON VT 05759</t>
  </si>
  <si>
    <t>00070J-1</t>
  </si>
  <si>
    <t>00070D-24</t>
  </si>
  <si>
    <t>Congdon Yard</t>
  </si>
  <si>
    <t>W Creek Road</t>
  </si>
  <si>
    <t>La Rose, Dana</t>
  </si>
  <si>
    <t>4378 RT 30 DORSET VT 05251 - BENNINGTON</t>
  </si>
  <si>
    <t>000746-1</t>
  </si>
  <si>
    <t>Phantom School</t>
  </si>
  <si>
    <t>Aceto, Russel T.</t>
  </si>
  <si>
    <t>77 RICHARDS ROAD FAIRFAX VT 05454 - FRANKLIN</t>
  </si>
  <si>
    <t>000733-1</t>
  </si>
  <si>
    <t>77 Richards Road</t>
  </si>
  <si>
    <t>Selin, Judy</t>
  </si>
  <si>
    <t>888 FALLS ROAD SHELBURNE VT 05482 - CHITTENDEN</t>
  </si>
  <si>
    <t>0008WZ-1</t>
  </si>
  <si>
    <t>0007BC-2</t>
  </si>
  <si>
    <t>Milton Yard</t>
  </si>
  <si>
    <t>356 Hardscrabble Road</t>
  </si>
  <si>
    <t>Old Orchard Farm</t>
  </si>
  <si>
    <t>344 GULLY HILL ROAD STARKSBORO VT 05487 - ADDISON</t>
  </si>
  <si>
    <t>00076C-1</t>
  </si>
  <si>
    <t>000702-2</t>
  </si>
  <si>
    <t>Blissville 4-Corners</t>
  </si>
  <si>
    <t>000702-3</t>
  </si>
  <si>
    <t>By tracks Dumad</t>
  </si>
  <si>
    <t>000702-4</t>
  </si>
  <si>
    <t>Loop Road/Don Pirkin's land</t>
  </si>
  <si>
    <t>0007D8-2</t>
  </si>
  <si>
    <t>Home off Rt 35</t>
  </si>
  <si>
    <t>0007D8-3</t>
  </si>
  <si>
    <t>Fearnbach yard - E. Hill Road</t>
  </si>
  <si>
    <t>Tucker, Jonathan</t>
  </si>
  <si>
    <t>HCR 70 BOX 29 PLYMOUTH VT 05056 - WINDSOR</t>
  </si>
  <si>
    <t>000707-1</t>
  </si>
  <si>
    <t>000866-4</t>
  </si>
  <si>
    <t>Appleton Yard Butch</t>
  </si>
  <si>
    <t>Appleton</t>
  </si>
  <si>
    <t>Rock Quarry Lane</t>
  </si>
  <si>
    <t>Mccrumb, Jeannine</t>
  </si>
  <si>
    <t>1 OLDE ORCHARD PK115 S BURLINGTON VT 05403-6974</t>
  </si>
  <si>
    <t>0008ZM-1</t>
  </si>
  <si>
    <t>Madison Yard</t>
  </si>
  <si>
    <t>Manice, Tita</t>
  </si>
  <si>
    <t>1249 GOLDCOAST RD BRIDGEWATER VT 05034 - WINDSOR</t>
  </si>
  <si>
    <t>00094K-1</t>
  </si>
  <si>
    <t>Manice Yard</t>
  </si>
  <si>
    <t>Tita Manice</t>
  </si>
  <si>
    <t>1249 Goldcoast Road</t>
  </si>
  <si>
    <t>Graham, Alan</t>
  </si>
  <si>
    <t>PO BOX 141 S POMFRET VT 05067</t>
  </si>
  <si>
    <t>000795-1</t>
  </si>
  <si>
    <t>838 Bartlett Brook Road</t>
  </si>
  <si>
    <t>0007WA-25</t>
  </si>
  <si>
    <t>Mill Pond Road</t>
  </si>
  <si>
    <t>Mcclain, Ernest</t>
  </si>
  <si>
    <t>RD BELMONT VT 05730</t>
  </si>
  <si>
    <t>000700-1</t>
  </si>
  <si>
    <t>0007WB-12</t>
  </si>
  <si>
    <t>Norris Yard</t>
  </si>
  <si>
    <t>Whistle Pig</t>
  </si>
  <si>
    <t>Quiet Valley Rd</t>
  </si>
  <si>
    <t>Davidson, Laura</t>
  </si>
  <si>
    <t>3520 THRESHER ROAD BRAINTREE VT 05060 - ORANGE</t>
  </si>
  <si>
    <t>000785-1</t>
  </si>
  <si>
    <t>0007WB-13</t>
  </si>
  <si>
    <t>Mitchell Yd</t>
  </si>
  <si>
    <t>Mitchell</t>
  </si>
  <si>
    <t>Hallock Rd</t>
  </si>
  <si>
    <t>0007WB-14</t>
  </si>
  <si>
    <t>Miller Nuc Yard</t>
  </si>
  <si>
    <t>Miller</t>
  </si>
  <si>
    <t>Drake Road</t>
  </si>
  <si>
    <t>0007WB-15</t>
  </si>
  <si>
    <t>Arrowsmith Mating Yd</t>
  </si>
  <si>
    <t>Arrowsmith</t>
  </si>
  <si>
    <t>Forge Hill Rd</t>
  </si>
  <si>
    <t>Churchill, Bob</t>
  </si>
  <si>
    <t>3011 WEST ST BROOKFIELD VT 05036 - ORANGE</t>
  </si>
  <si>
    <t>000834-1</t>
  </si>
  <si>
    <t>Taft, William R.</t>
  </si>
  <si>
    <t>19 DORRANCE STREET WINDSOR VT 05089 - WINDSOR</t>
  </si>
  <si>
    <t>0007Z5-3</t>
  </si>
  <si>
    <t>T. Anderson Yd</t>
  </si>
  <si>
    <t>T Anderson</t>
  </si>
  <si>
    <t>Sirjane, Penny, M.</t>
  </si>
  <si>
    <t>1854 SAWNEE BEAN ROAD THETFORD CENTER VT 05075</t>
  </si>
  <si>
    <t>00073M-1</t>
  </si>
  <si>
    <t>1854 Sawnee Bean Road</t>
  </si>
  <si>
    <t>Lombard, Alton</t>
  </si>
  <si>
    <t>1081 CHURCH ROAD FAIRFIELD VT 05455 - FRANKLIN</t>
  </si>
  <si>
    <t>000758-1</t>
  </si>
  <si>
    <t>Robistow, David</t>
  </si>
  <si>
    <t>277 ROBISTOW DRIVE FAIRFAX VT 05454 - FRANKLIN</t>
  </si>
  <si>
    <t>0007PG-1</t>
  </si>
  <si>
    <t>277 Robistow Drive</t>
  </si>
  <si>
    <t>Yandow, Norman</t>
  </si>
  <si>
    <t>ESSEX JUNCTION VT 05452</t>
  </si>
  <si>
    <t>0008MK-1</t>
  </si>
  <si>
    <t>Welch, Toby &amp; Renita</t>
  </si>
  <si>
    <t>PO BOX 412 E MIDDLEBURY VT 05740</t>
  </si>
  <si>
    <t>0008P8-1</t>
  </si>
  <si>
    <t>Palmer, Richard, A.</t>
  </si>
  <si>
    <t>259 EASTMAN LANE CORINTH VT 05039-9625 - ORANGE</t>
  </si>
  <si>
    <t>0008PJ-1</t>
  </si>
  <si>
    <t>Stoltzfus, Philip, S.</t>
  </si>
  <si>
    <t>37 HUN ROAD PRINCETON NJ 08540-6721</t>
  </si>
  <si>
    <t>0008PN-1</t>
  </si>
  <si>
    <t>0.2M up from Zind</t>
  </si>
  <si>
    <t>Gleason, John</t>
  </si>
  <si>
    <t>306 S MAIN NORTHFIELD VT 05663 - WASHINGTON</t>
  </si>
  <si>
    <t>0008PA-1</t>
  </si>
  <si>
    <t>106 South Mainstreet</t>
  </si>
  <si>
    <t>Whiting, Bruce</t>
  </si>
  <si>
    <t>1321 SMITH ST SHOREHAM VT 05770</t>
  </si>
  <si>
    <t>0007DY-2</t>
  </si>
  <si>
    <t>&lt;Not counted, low&gt;</t>
  </si>
  <si>
    <t>Gibbons Yd</t>
  </si>
  <si>
    <t>Ronald Gibbons</t>
  </si>
  <si>
    <t>1321 Smith St.</t>
  </si>
  <si>
    <t>Brenda Travers</t>
  </si>
  <si>
    <t>2977 MAD TOM ROAD E DORSET VT 05253 - BENNINGTON</t>
  </si>
  <si>
    <t>0008PV-1</t>
  </si>
  <si>
    <t>2977 Mad Tom Road</t>
  </si>
  <si>
    <t>East Dorset</t>
  </si>
  <si>
    <t>Mason, Mayland, I.</t>
  </si>
  <si>
    <t>24 CLOUGH STREET NEWPORT VT 05855-5877</t>
  </si>
  <si>
    <t>0008PW-1</t>
  </si>
  <si>
    <t>Lemieux, Armand, E.</t>
  </si>
  <si>
    <t>895 UPPER QUARRY ROAD NEWPORT VT 05855</t>
  </si>
  <si>
    <t>0008PX-1</t>
  </si>
  <si>
    <t>Lemieux-Home</t>
  </si>
  <si>
    <t>Armand Lemieux</t>
  </si>
  <si>
    <t>895 Upper Quarry Road</t>
  </si>
  <si>
    <t>Breezy Hill Apiaries</t>
  </si>
  <si>
    <t>101 SEMINARY ST EXT MIDDLEBURY VT 05753-1257 - ADDISON</t>
  </si>
  <si>
    <t>0008NC-1</t>
  </si>
  <si>
    <t>0008NC-2</t>
  </si>
  <si>
    <t>GriceYd.</t>
  </si>
  <si>
    <t>0008NC-3</t>
  </si>
  <si>
    <t>StoneYd.</t>
  </si>
  <si>
    <t>0008NC-4</t>
  </si>
  <si>
    <t>SimsYd.</t>
  </si>
  <si>
    <t>Reynolds, George W.,</t>
  </si>
  <si>
    <t>4717 SPEAR STREET EXT CHARLOTTE VT 05445 - CHITTENDEN</t>
  </si>
  <si>
    <t>0007ZH-1</t>
  </si>
  <si>
    <t>Luquer, Peter</t>
  </si>
  <si>
    <t>PO BOX 172 HARTLAND 4-CORNERS VT 05049</t>
  </si>
  <si>
    <t>0008Q0-1</t>
  </si>
  <si>
    <t>Luquer home yard</t>
  </si>
  <si>
    <t>Peter Luquer</t>
  </si>
  <si>
    <t>Town Farm Hill Road</t>
  </si>
  <si>
    <t>Hartland Four Corners</t>
  </si>
  <si>
    <t>Bartlett, Robert</t>
  </si>
  <si>
    <t>2653 SCOTCH HOLLOW RD NEWBURY VT 05081 - ORANGE</t>
  </si>
  <si>
    <t>0008GY-1</t>
  </si>
  <si>
    <t>Lombardi, Joseph</t>
  </si>
  <si>
    <t>PERU VT 05152 - BENNINGTON</t>
  </si>
  <si>
    <t>000796-1</t>
  </si>
  <si>
    <t>Edna's Garden</t>
  </si>
  <si>
    <t>PO BOX 205 PURU VT 05152 - BENNINGTON</t>
  </si>
  <si>
    <t>0008PC-1</t>
  </si>
  <si>
    <t>0008NN-2</t>
  </si>
  <si>
    <t>Terry's Orchard</t>
  </si>
  <si>
    <t>Terry</t>
  </si>
  <si>
    <t>Amaden, Liza</t>
  </si>
  <si>
    <t>424 VT RT 25 WEST TOMSHAM VT 05086</t>
  </si>
  <si>
    <t>0008Q2-1</t>
  </si>
  <si>
    <t>424 Vt Route 25</t>
  </si>
  <si>
    <t>Klinger, Len</t>
  </si>
  <si>
    <t>12 EZRA STONE ROAD DANBY VT 05739 - RUTLAND</t>
  </si>
  <si>
    <t>0008P6-1</t>
  </si>
  <si>
    <t>00072Z-3</t>
  </si>
  <si>
    <t>OldFarmRd</t>
  </si>
  <si>
    <t>Schultz, Paul</t>
  </si>
  <si>
    <t>PO BOX 242 E WALLINGFORD VT 05742</t>
  </si>
  <si>
    <t>0008Q3-1</t>
  </si>
  <si>
    <t>00070D-25</t>
  </si>
  <si>
    <t>Wellwood Orchards Yard</t>
  </si>
  <si>
    <t>Wellwood Orchards Road</t>
  </si>
  <si>
    <t>Sutton, Gary W.</t>
  </si>
  <si>
    <t>1375 PLOT ROAD JOHNSON VT 05656 - LAMOILLE</t>
  </si>
  <si>
    <t>000719-1</t>
  </si>
  <si>
    <t>Fusca, Vincent J.</t>
  </si>
  <si>
    <t>292 ORCHARD LANE WINDSOR VT 05089 - WINDSOR</t>
  </si>
  <si>
    <t>0007C4-1</t>
  </si>
  <si>
    <t>292 Orchard Lane</t>
  </si>
  <si>
    <t>00082Q-2</t>
  </si>
  <si>
    <t>In field behind Farm Stand</t>
  </si>
  <si>
    <t>Gallo, Annemarie</t>
  </si>
  <si>
    <t>676 JOHNNY BROOK ROAD RICHMOND VT 05477 - CHITTENDEN</t>
  </si>
  <si>
    <t>0008N7-1</t>
  </si>
  <si>
    <t>Haire, Todd</t>
  </si>
  <si>
    <t>717 TEXAS HILL ROAD HINESBURG VT 05461-9566 - CHITTENDEN</t>
  </si>
  <si>
    <t>0008Q4-2</t>
  </si>
  <si>
    <t>Haire home yard</t>
  </si>
  <si>
    <t>Larry Ketcum</t>
  </si>
  <si>
    <t>717 Texas Hill Road</t>
  </si>
  <si>
    <t>Leskovar, Ludwig</t>
  </si>
  <si>
    <t>674 BEAVER MEADOW ROAD NORWICH VT 05055 - WINDSOR</t>
  </si>
  <si>
    <t>00090P-1</t>
  </si>
  <si>
    <t>Gecha, Mike</t>
  </si>
  <si>
    <t>6448 WHIPPLEHOLLOW RD FLORENCE VT 05744</t>
  </si>
  <si>
    <t>0008Q5-1</t>
  </si>
  <si>
    <t>Robinson, Rebecca</t>
  </si>
  <si>
    <t>146 SHERWOOD CIRCLE WEST BRATTLEBORO VT 05301</t>
  </si>
  <si>
    <t>0008Q7-1</t>
  </si>
  <si>
    <t>Lemieux, Edward</t>
  </si>
  <si>
    <t>306 WOODCHUCK HOLLOWRD WASHINGTON VT 05675 - ORANGE</t>
  </si>
  <si>
    <t>0008P5-1</t>
  </si>
  <si>
    <t>306 Woodchuck Hollow Road</t>
  </si>
  <si>
    <t>Teenyanoff, Joel</t>
  </si>
  <si>
    <t>299 RABBIT ROAD EAST THETFORD VT 05043</t>
  </si>
  <si>
    <t>0008Q8-1</t>
  </si>
  <si>
    <t>Squires, Donald</t>
  </si>
  <si>
    <t>RTE 30 TOWNSHEND VT 05353 - WINDHAM</t>
  </si>
  <si>
    <t>0008Q9-1</t>
  </si>
  <si>
    <t>Huber, Peter</t>
  </si>
  <si>
    <t>PO BOX 21 MONKTON VT 05469 - ADDISON</t>
  </si>
  <si>
    <t>0007A8-1</t>
  </si>
  <si>
    <t>HollowRd</t>
  </si>
  <si>
    <t>Crowell, Tif</t>
  </si>
  <si>
    <t>609A IRISH SETTLEMENT UNDERHILL VT 05489 - CHITTENDEN</t>
  </si>
  <si>
    <t>0008QA-1</t>
  </si>
  <si>
    <t>Walton, Steve</t>
  </si>
  <si>
    <t>315 DEER RIDGE ROAD TOWNSHEND VT 05353 - WINDHAM</t>
  </si>
  <si>
    <t>0007CN-1</t>
  </si>
  <si>
    <t>Robohm, John</t>
  </si>
  <si>
    <t>467 BUTLER BROOK ROAD JACKSONVILLE VT 05342</t>
  </si>
  <si>
    <t>0008QB-1</t>
  </si>
  <si>
    <t>Robohm-Home</t>
  </si>
  <si>
    <t>John Robohm</t>
  </si>
  <si>
    <t>467 Butler Brook Road</t>
  </si>
  <si>
    <t>Jacksonville</t>
  </si>
  <si>
    <t>Tilton, David A.</t>
  </si>
  <si>
    <t>1542 OLD STAGE ROAD WESTFORD VT 05494 - CHITTENDEN</t>
  </si>
  <si>
    <t>0008PB-1</t>
  </si>
  <si>
    <t>&lt;Significant&gt;</t>
  </si>
  <si>
    <t>1542 Old Stage Road</t>
  </si>
  <si>
    <t>Robinson, Kenneth</t>
  </si>
  <si>
    <t>PO BOX 412 NEWFANE VT 05345 - WINDHAM</t>
  </si>
  <si>
    <t>0008QD-1</t>
  </si>
  <si>
    <t>O'shaughnessy, Dan</t>
  </si>
  <si>
    <t>PO BOX 471 JEFFERSONVILLE VT 05464</t>
  </si>
  <si>
    <t>0008QF-1</t>
  </si>
  <si>
    <t>Cold Spring Farm</t>
  </si>
  <si>
    <t>8197 COUNTY ROAD CALAIS VT 05648-7517 - WASHINGTON</t>
  </si>
  <si>
    <t>0008Q6-1</t>
  </si>
  <si>
    <t>Shepard, Mike</t>
  </si>
  <si>
    <t>1001 ROBERT YOUNG ROAD STARKSBORO VT 05487 - ADDISON</t>
  </si>
  <si>
    <t>0008QG-1</t>
  </si>
  <si>
    <t>At Shepard Land</t>
  </si>
  <si>
    <t>Mulqueen, Mark</t>
  </si>
  <si>
    <t>1765 S LINCOLN ROAD LINCOLN VT 05443 - ADDISON</t>
  </si>
  <si>
    <t>0008YW-1</t>
  </si>
  <si>
    <t>Childs, Carl</t>
  </si>
  <si>
    <t>240 LEFEBVRE LANE WILLISTON VT 05495 - CHITTENDEN</t>
  </si>
  <si>
    <t>0008QH-1</t>
  </si>
  <si>
    <t>Safford, Edward</t>
  </si>
  <si>
    <t>164 CHURCH STREET RUTLAND VT 05701 - RUTLAND</t>
  </si>
  <si>
    <t>00073W-1</t>
  </si>
  <si>
    <t>Safford-Home Yard</t>
  </si>
  <si>
    <t>Edward Safford</t>
  </si>
  <si>
    <t>164 Church Street</t>
  </si>
  <si>
    <t>Bannon, John</t>
  </si>
  <si>
    <t>1910 SOUTH HILL ROAD LUDLOW VT 05149 - WINDSOR</t>
  </si>
  <si>
    <t>0008QP-1</t>
  </si>
  <si>
    <t>Sayah, Charles</t>
  </si>
  <si>
    <t>15 METAYER COURT WATERBURY CENTER VT 05677</t>
  </si>
  <si>
    <t>0008QW-1</t>
  </si>
  <si>
    <t>RT100</t>
  </si>
  <si>
    <t>Greene, Scott</t>
  </si>
  <si>
    <t>PO BOX 264 NORWICH VT 05055 - WINDSOR</t>
  </si>
  <si>
    <t>0008QX-1</t>
  </si>
  <si>
    <t>0008MC-3</t>
  </si>
  <si>
    <t>Wheelock Yd</t>
  </si>
  <si>
    <t>0008MC-4</t>
  </si>
  <si>
    <t>Grotten Yd.</t>
  </si>
  <si>
    <t>0008MC-5</t>
  </si>
  <si>
    <t>Mulac Yd</t>
  </si>
  <si>
    <t>0008MC-6</t>
  </si>
  <si>
    <t>ScribnerYd</t>
  </si>
  <si>
    <t>0008MC-7</t>
  </si>
  <si>
    <t>Richardson Yd</t>
  </si>
  <si>
    <t>Gillis, Stanley</t>
  </si>
  <si>
    <t>4 HUTCHINS BRIDGE RD MONTGOMERY CENTER VT 05471</t>
  </si>
  <si>
    <t>0008VK-1</t>
  </si>
  <si>
    <t>Gates, Randall</t>
  </si>
  <si>
    <t>2700 FULLER MNT ROAD N FERRISBURGH VT 05473</t>
  </si>
  <si>
    <t>0008VM-1</t>
  </si>
  <si>
    <t>Gates-Home Yard</t>
  </si>
  <si>
    <t>Randall Gates</t>
  </si>
  <si>
    <t>2700 Fuller Mountain Road</t>
  </si>
  <si>
    <t>N. Ferrisburg</t>
  </si>
  <si>
    <t>Westerly View Farm, Inc.</t>
  </si>
  <si>
    <t>969 VT RT 31 POULTNEY VT 05764 - RUTLAND</t>
  </si>
  <si>
    <t>0008VN-1</t>
  </si>
  <si>
    <t>1.5M S.of town</t>
  </si>
  <si>
    <t>Geo Davenport</t>
  </si>
  <si>
    <t>0008GA-2</t>
  </si>
  <si>
    <t>Leroux Brothers Garage</t>
  </si>
  <si>
    <t>Honey Hill Farm</t>
  </si>
  <si>
    <t>208 CHATOT ROAD CABOT VT 05647 - WASHINGTON</t>
  </si>
  <si>
    <t>0008P2-1</t>
  </si>
  <si>
    <t>Berry, Irene</t>
  </si>
  <si>
    <t>128 PREEDON HILL ROAD LUDLOW VT 05149 - WINDSOR</t>
  </si>
  <si>
    <t>000706-1</t>
  </si>
  <si>
    <t>Berry-Home</t>
  </si>
  <si>
    <t>Irene Berry</t>
  </si>
  <si>
    <t>128 Preedon Hill Road</t>
  </si>
  <si>
    <t>Archdale Apiaries</t>
  </si>
  <si>
    <t>63 ROUNDSHILL ROAD PUTNEY VT 05346 - WINDHAM</t>
  </si>
  <si>
    <t>0008VX-1</t>
  </si>
  <si>
    <t>Miller, Evan B.</t>
  </si>
  <si>
    <t>2378 VT RT 109 WATERVILLE VT 05492 - LAMOILLE</t>
  </si>
  <si>
    <t>0008QY-1</t>
  </si>
  <si>
    <t>MillerFamilyFarm</t>
  </si>
  <si>
    <t>Lewkowski, Maxim</t>
  </si>
  <si>
    <t>PO BOX 411 ENOSBURG FALLS VT 05450</t>
  </si>
  <si>
    <t>00080J-1</t>
  </si>
  <si>
    <t>494 BordovilleRd</t>
  </si>
  <si>
    <t>0008V7-4</t>
  </si>
  <si>
    <t>Chelsea Yard</t>
  </si>
  <si>
    <t>Hillhouse, Libby</t>
  </si>
  <si>
    <t>154 SUGAR RIDGE ROAD DANVILLE VT 05828 - CALEDONIA</t>
  </si>
  <si>
    <t>00076X-1</t>
  </si>
  <si>
    <t>Hillhouse-Home Yard</t>
  </si>
  <si>
    <t>Libby Hillhouse</t>
  </si>
  <si>
    <t>154 Sugar Ridge Road</t>
  </si>
  <si>
    <t>Ganley, Brian</t>
  </si>
  <si>
    <t>238 UPPER BAILY ROAD THETFORD CENTER VT 05075</t>
  </si>
  <si>
    <t>0007F6-1</t>
  </si>
  <si>
    <t>Ganley-Home</t>
  </si>
  <si>
    <t>Brian Ganley</t>
  </si>
  <si>
    <t>238 Upper Bailey Road</t>
  </si>
  <si>
    <t>Fugate, Tom</t>
  </si>
  <si>
    <t>295 MAPLEWOOD COMMON MORETOWN VT 05660 - WASHINGTON</t>
  </si>
  <si>
    <t>0008W9-1</t>
  </si>
  <si>
    <t>295 Maplewood Common</t>
  </si>
  <si>
    <t>Wood, Russell</t>
  </si>
  <si>
    <t>2167 LAKE DUNEMORE RD LEICESTER VT 05733 - ADDISON</t>
  </si>
  <si>
    <t>0008WA-1</t>
  </si>
  <si>
    <t>At Dr.Stickney's0.2M offRT3</t>
  </si>
  <si>
    <t>Harrington, John R.</t>
  </si>
  <si>
    <t>PO BOX 116 SHARON VT 05065 - WINDSOR</t>
  </si>
  <si>
    <t>0008WB-1</t>
  </si>
  <si>
    <t>0007ZQ-21</t>
  </si>
  <si>
    <t>Tilley Yd</t>
  </si>
  <si>
    <t>Old Farm rd</t>
  </si>
  <si>
    <t>0008WV-2</t>
  </si>
  <si>
    <t>PappalardoYd</t>
  </si>
  <si>
    <t>494 Morse Road</t>
  </si>
  <si>
    <t>Crete, Fernand</t>
  </si>
  <si>
    <t>69 SARATOGA AVE BURLINGTON VT 05401 - CHITTENDEN</t>
  </si>
  <si>
    <t>0008WY-1</t>
  </si>
  <si>
    <t>Fernand Crete</t>
  </si>
  <si>
    <t>69 Sarasota Ave</t>
  </si>
  <si>
    <t>Foster, David</t>
  </si>
  <si>
    <t>284 CHIMNEY HILL DRIVE COLCHESTER VT 05446 - CHITTENDEN</t>
  </si>
  <si>
    <t>000880-1</t>
  </si>
  <si>
    <t>Cross, Jim</t>
  </si>
  <si>
    <t>727 HOUGHTON LANE BENNINGTON VT 05201 - BENNINGTON</t>
  </si>
  <si>
    <t>0008XB-1</t>
  </si>
  <si>
    <t>Cross Bees</t>
  </si>
  <si>
    <t>Jim Cross</t>
  </si>
  <si>
    <t>727 Houghton Lane</t>
  </si>
  <si>
    <t>Duke, Heidi</t>
  </si>
  <si>
    <t>PO BOX 145 UNDERHILL VT 05489 - CHITTENDEN</t>
  </si>
  <si>
    <t>0008XC-1</t>
  </si>
  <si>
    <t>0008JY-2</t>
  </si>
  <si>
    <t>Northfield Yd</t>
  </si>
  <si>
    <t>Furlani, Betsy</t>
  </si>
  <si>
    <t>302 HIGHBRIDGEHILL EXT WAITSFIELD VT 05673 - WASHINGTON</t>
  </si>
  <si>
    <t>0008XG-1</t>
  </si>
  <si>
    <t>302 Highbridgehill Road</t>
  </si>
  <si>
    <t>Drumheller, Thomas C.</t>
  </si>
  <si>
    <t>259 DORSET STREET CHARLOTTE VT 05445 - CHITTENDEN</t>
  </si>
  <si>
    <t>0008XH-1</t>
  </si>
  <si>
    <t>Orgert, Marshall</t>
  </si>
  <si>
    <t>BENNINGTON COLLEGE RT 67A BENNINGTION VT 05201</t>
  </si>
  <si>
    <t>0008XJ-1</t>
  </si>
  <si>
    <t>At College</t>
  </si>
  <si>
    <t>Morin, Michel</t>
  </si>
  <si>
    <t>196 POKER HILL ROAD UNDERHILL VT 05489 - CHITTENDEN</t>
  </si>
  <si>
    <t>0008XK-1</t>
  </si>
  <si>
    <t>Dianantis, David</t>
  </si>
  <si>
    <t>PO BOX 25 LOWELL VT 05847 - ORLEANS</t>
  </si>
  <si>
    <t>0008JA-1</t>
  </si>
  <si>
    <t>RT58</t>
  </si>
  <si>
    <t>Taaffe, Brendan</t>
  </si>
  <si>
    <t>223 MITCHELL ROAD SHREWSBURY VT 05738-9489 - RUTLAND</t>
  </si>
  <si>
    <t>0008XM-1</t>
  </si>
  <si>
    <t>At Cox house</t>
  </si>
  <si>
    <t>Pierson, Mackenzie</t>
  </si>
  <si>
    <t>107 EAGLES REST ROAD SHELBURNE VT 05482 - CHITTENDEN</t>
  </si>
  <si>
    <t>0008XN-1</t>
  </si>
  <si>
    <t>Messer, James</t>
  </si>
  <si>
    <t>PO BOX 210 LUENBURG VT 05906</t>
  </si>
  <si>
    <t>0008XP-1</t>
  </si>
  <si>
    <t>0007WA-26</t>
  </si>
  <si>
    <t>Barrows Yd.</t>
  </si>
  <si>
    <t>Barrows</t>
  </si>
  <si>
    <t>0008ZQ-3</t>
  </si>
  <si>
    <t>VTC Yd - 644 Ridge Road</t>
  </si>
  <si>
    <t>00082P-4</t>
  </si>
  <si>
    <t>Old Dean Farm</t>
  </si>
  <si>
    <t>Jim Des Marais</t>
  </si>
  <si>
    <t>Dean Road</t>
  </si>
  <si>
    <t>Stearns, Sarah</t>
  </si>
  <si>
    <t>106 S MAPLE VERGENNES VT 05491 - ADDISON</t>
  </si>
  <si>
    <t>0007HA-1</t>
  </si>
  <si>
    <t>Balaun Land</t>
  </si>
  <si>
    <t>Stearns, Margaret</t>
  </si>
  <si>
    <t>110 NEWFANE HILL ROAD NEWFANE VT 05345 - WINDHAM</t>
  </si>
  <si>
    <t>0008XX-1</t>
  </si>
  <si>
    <t>0007WA-27</t>
  </si>
  <si>
    <t>Brisson Yard</t>
  </si>
  <si>
    <t>Brisson</t>
  </si>
  <si>
    <t>Middlebrook Road</t>
  </si>
  <si>
    <t>Ferrisburgh</t>
  </si>
  <si>
    <t>00080G-3</t>
  </si>
  <si>
    <t>Gaywalden Drive</t>
  </si>
  <si>
    <t>Glenn, Josie &amp; Willie</t>
  </si>
  <si>
    <t>44 EDWARD STREET ST ALBANS VT 05478</t>
  </si>
  <si>
    <t>0008Y1-1</t>
  </si>
  <si>
    <t>Courtney, Elizabeth</t>
  </si>
  <si>
    <t>39 CLARENDON AVE MONTPELIER VT 05602 - WASHINGTON</t>
  </si>
  <si>
    <t>00094N-1</t>
  </si>
  <si>
    <t>0007WB-16</t>
  </si>
  <si>
    <t>Warren Yd</t>
  </si>
  <si>
    <t>Mansfield, Richard</t>
  </si>
  <si>
    <t>32 WOOD ROAD NORTH MIDDLESEX VT 05682</t>
  </si>
  <si>
    <t>00090B-1</t>
  </si>
  <si>
    <t>Mansfield Home Yard</t>
  </si>
  <si>
    <t>Richard Mansfield</t>
  </si>
  <si>
    <t>32 Wood Road</t>
  </si>
  <si>
    <t>North Middlesex</t>
  </si>
  <si>
    <t>Van Dyk, Robert A.</t>
  </si>
  <si>
    <t>79 RT 35 ATHENS VT 05143 - WINDHAM</t>
  </si>
  <si>
    <t>0008Y2-1</t>
  </si>
  <si>
    <t>47 Williams Street</t>
  </si>
  <si>
    <t>0007DJ-3</t>
  </si>
  <si>
    <t>RT 125</t>
  </si>
  <si>
    <t>Old Vittum Ross C</t>
  </si>
  <si>
    <t>Brainerd, Tony</t>
  </si>
  <si>
    <t>215 ROWELL BROOK ROAD BRADFORD VT 05033 - ORANGE</t>
  </si>
  <si>
    <t>0008WQ-1</t>
  </si>
  <si>
    <t>215 Rowell Brook Road</t>
  </si>
  <si>
    <t>0008WQ-2</t>
  </si>
  <si>
    <t>Munson Yard</t>
  </si>
  <si>
    <t>Karner, Brent</t>
  </si>
  <si>
    <t>321 SOUTH HILL ROAD LUDLOW VT 05149 - WINDSOR</t>
  </si>
  <si>
    <t>0008VW-1</t>
  </si>
  <si>
    <t>321 South Hill Road</t>
  </si>
  <si>
    <t>0007HH-2</t>
  </si>
  <si>
    <t>GnageyYd</t>
  </si>
  <si>
    <t>0007GY-2</t>
  </si>
  <si>
    <t>Birt Yd</t>
  </si>
  <si>
    <t>0007GY-3</t>
  </si>
  <si>
    <t>0007GY-4</t>
  </si>
  <si>
    <t>Cornfield Yard</t>
  </si>
  <si>
    <t>Mckeown, Michael</t>
  </si>
  <si>
    <t>191 BLACK FLY HILL WEST BOLTON VT 05465</t>
  </si>
  <si>
    <t>0008Y5-1</t>
  </si>
  <si>
    <t>Hunneman, Tom</t>
  </si>
  <si>
    <t>600 POKER HILL ROAD UNDERHILL VT 05489 - CHITTENDEN</t>
  </si>
  <si>
    <t>0008XA-1</t>
  </si>
  <si>
    <t>Strahan, Holly</t>
  </si>
  <si>
    <t>PO BOX 301 N POMFRET VT 05053</t>
  </si>
  <si>
    <t>0008XZ-1</t>
  </si>
  <si>
    <t>Eirmann, Judy</t>
  </si>
  <si>
    <t>1114 KELLEY HILL ROAD PAWLET VT 05761 - RUTLAND</t>
  </si>
  <si>
    <t>0008Y6-1</t>
  </si>
  <si>
    <t>Cote, Debbie</t>
  </si>
  <si>
    <t>268 STEWART ROAD EAST HARDWICK VT 05836</t>
  </si>
  <si>
    <t>0008Y9-1</t>
  </si>
  <si>
    <t>Dempsey, Dave</t>
  </si>
  <si>
    <t>PO BOX 26 THETFORD VT 05074 - ORANGE</t>
  </si>
  <si>
    <t>0008YA-1</t>
  </si>
  <si>
    <t>00072K-36</t>
  </si>
  <si>
    <t>Bissonette Yard</t>
  </si>
  <si>
    <t>Bissonette</t>
  </si>
  <si>
    <t>Tischler, Sarah</t>
  </si>
  <si>
    <t>5635 RT 116 ST GEORGE VT 05495</t>
  </si>
  <si>
    <t>0008YM-1</t>
  </si>
  <si>
    <t>Tischler-Home</t>
  </si>
  <si>
    <t>Sarah Tischler</t>
  </si>
  <si>
    <t>5635 RT 116</t>
  </si>
  <si>
    <t>Hall, Ken</t>
  </si>
  <si>
    <t>6 LAKEVIEW DRIVE WEST LEBANON NH 03784</t>
  </si>
  <si>
    <t>00092B-1</t>
  </si>
  <si>
    <t>Ed Wallace Land 0.3M west of W. Hartlandbridge</t>
  </si>
  <si>
    <t>0007WB-17</t>
  </si>
  <si>
    <t>Gibb Nuc Yard</t>
  </si>
  <si>
    <t>Snake Mtn Rd</t>
  </si>
  <si>
    <t>Nichols, Lew</t>
  </si>
  <si>
    <t>799 SNAKE ROAD NEWBURY VT 05051 - ORANGE</t>
  </si>
  <si>
    <t>0008YX-1</t>
  </si>
  <si>
    <t>799 Snake Road</t>
  </si>
  <si>
    <t>Vigneau, Francis</t>
  </si>
  <si>
    <t>20 REPA ROAD UNDERHILL VT 05489 - CHITTENDEN</t>
  </si>
  <si>
    <t>0008Z2-1</t>
  </si>
  <si>
    <t>Vigneau's Home yard</t>
  </si>
  <si>
    <t>Francis Vigneau</t>
  </si>
  <si>
    <t>20 Repa Road</t>
  </si>
  <si>
    <t>Lafountain, Marcia</t>
  </si>
  <si>
    <t>1499 CROSSETT HILL WATERBURY VT 05676 - WASHINGTON</t>
  </si>
  <si>
    <t>0008Z3-1</t>
  </si>
  <si>
    <t>Tebbetts, Rollin S.</t>
  </si>
  <si>
    <t>6215 BIGELOW COMMONS ENFIELD CT 06082</t>
  </si>
  <si>
    <t>0008Z4-1</t>
  </si>
  <si>
    <t>Family Farm</t>
  </si>
  <si>
    <t>Mary Tebbetts</t>
  </si>
  <si>
    <t>397 Tebbetts Road</t>
  </si>
  <si>
    <t>Murat, Didier</t>
  </si>
  <si>
    <t>1251 GREENBUSH ROAD CHARLOTTE VT 05445 - CHITTENDEN</t>
  </si>
  <si>
    <t>0008Z5-1</t>
  </si>
  <si>
    <t>00072K-37</t>
  </si>
  <si>
    <t>Phillips Yard</t>
  </si>
  <si>
    <t>Jacobs, S. Christopher</t>
  </si>
  <si>
    <t>CRAFTSBURY COMMOM VT 05827</t>
  </si>
  <si>
    <t>00078B-1</t>
  </si>
  <si>
    <t>244 Pitkin Road</t>
  </si>
  <si>
    <t>Rich, Julia</t>
  </si>
  <si>
    <t>2779 HARTFORD AVE WHITE RIVER JUNCTION VT 05001</t>
  </si>
  <si>
    <t>00078N-1</t>
  </si>
  <si>
    <t>2779 Hartford Ave</t>
  </si>
  <si>
    <t>English, Maxfield</t>
  </si>
  <si>
    <t>5783 EAST HILL ROAD WOLCOTT VT 05680 - LAMOILLE</t>
  </si>
  <si>
    <t>0007JD-1</t>
  </si>
  <si>
    <t>Menzel, Jonathan</t>
  </si>
  <si>
    <t>300 RAVEN CLIFF ROAD BRISTOL VT 05443 - ADDISON</t>
  </si>
  <si>
    <t>0008Z7-1</t>
  </si>
  <si>
    <t>Carter, Ken</t>
  </si>
  <si>
    <t>637 JONES ROAD ENOSBURG FALLS VT 05450</t>
  </si>
  <si>
    <t>0008K6-1</t>
  </si>
  <si>
    <t>637 Jones Road</t>
  </si>
  <si>
    <t>Emerson, Karen &amp; Jim</t>
  </si>
  <si>
    <t>267 FOREST ROAD ST GEORGE VT 05495</t>
  </si>
  <si>
    <t>0008Z8-1</t>
  </si>
  <si>
    <t>0007WA-28</t>
  </si>
  <si>
    <t>Pearce Yd</t>
  </si>
  <si>
    <t>North Lewis Creed Road</t>
  </si>
  <si>
    <t>Perham, Russell</t>
  </si>
  <si>
    <t>POBOX 76 CALIS VT 05648</t>
  </si>
  <si>
    <t>0008Z9-1</t>
  </si>
  <si>
    <t>Farnham land</t>
  </si>
  <si>
    <t>0008Z9-2</t>
  </si>
  <si>
    <t>Euclid Farnham land</t>
  </si>
  <si>
    <t>Wyatt, Thomas</t>
  </si>
  <si>
    <t>PO BOX 95 W NEWBURY VT 05085</t>
  </si>
  <si>
    <t>0008ZA-1</t>
  </si>
  <si>
    <t>Wyatt-Home</t>
  </si>
  <si>
    <t>Leonor Wyatt</t>
  </si>
  <si>
    <t>265 French Road</t>
  </si>
  <si>
    <t>West Newbury</t>
  </si>
  <si>
    <t>0007WA-29</t>
  </si>
  <si>
    <t>Turkey Lane Yd</t>
  </si>
  <si>
    <t>0007WA-30</t>
  </si>
  <si>
    <t>Verberg Yard</t>
  </si>
  <si>
    <t>Verberg</t>
  </si>
  <si>
    <t>Powers, Rick</t>
  </si>
  <si>
    <t>4583 OLD COUNTY ROAD WATERFORD VT 05819 - CALEDONIA</t>
  </si>
  <si>
    <t>0008Z6-1</t>
  </si>
  <si>
    <t>Waterford Town</t>
  </si>
  <si>
    <t>4583 Old County Road</t>
  </si>
  <si>
    <t>Waterford</t>
  </si>
  <si>
    <t>0008X1-4</t>
  </si>
  <si>
    <t>Thurber Yard</t>
  </si>
  <si>
    <t>Butler, Steven</t>
  </si>
  <si>
    <t>106 WALLACE ROAD NORTHFIELD VT 05663 - WASHINGTON</t>
  </si>
  <si>
    <t>0008XW-1</t>
  </si>
  <si>
    <t>Stein, John</t>
  </si>
  <si>
    <t>259 CENTER ROAD MORRISVILLE VT 05661</t>
  </si>
  <si>
    <t>0008ZB-1</t>
  </si>
  <si>
    <t>Hogan, Julie</t>
  </si>
  <si>
    <t>2015 RT 30 CORNWALL VT 05753 - ADDISON</t>
  </si>
  <si>
    <t>0008ZD-1</t>
  </si>
  <si>
    <t>Dimond, Dwight</t>
  </si>
  <si>
    <t>1308 LOWER NOTCH ROAD BRISTOL VT 05443-5195 - ADDISON</t>
  </si>
  <si>
    <t>0008ZF-1</t>
  </si>
  <si>
    <t>Dimond Home Yard</t>
  </si>
  <si>
    <t>Dwight Dimond</t>
  </si>
  <si>
    <t>1308 Lower Notch Road</t>
  </si>
  <si>
    <t>Rogers, Valree L.,</t>
  </si>
  <si>
    <t>PO BOX 121 W FAIRLEE VT 05083</t>
  </si>
  <si>
    <t>0008ZG-1</t>
  </si>
  <si>
    <t>97 Mill Street</t>
  </si>
  <si>
    <t>Eastman, Edwin D.,</t>
  </si>
  <si>
    <t>36 PENNOCK ROAD STRAFFORD VT 05072 - ORANGE</t>
  </si>
  <si>
    <t>0008ZH-1</t>
  </si>
  <si>
    <t>Eastman-Home</t>
  </si>
  <si>
    <t>Edwin Eastman</t>
  </si>
  <si>
    <t>36 Pennock Road</t>
  </si>
  <si>
    <t>0007GY-5</t>
  </si>
  <si>
    <t>Merlin Ball land</t>
  </si>
  <si>
    <t>Sanstoriello, Santo</t>
  </si>
  <si>
    <t>1477 BURPEE ROAD BRISTOL VT 05443 - ADDISON</t>
  </si>
  <si>
    <t>0008ZK-1</t>
  </si>
  <si>
    <t>Harvey, Robert P.</t>
  </si>
  <si>
    <t>1014 PLEASANT STREET WEST RUTLAND VT 05777 - RUTLAND</t>
  </si>
  <si>
    <t>0007PC-1</t>
  </si>
  <si>
    <t>0008ZQ-4</t>
  </si>
  <si>
    <t>Loomis, Mathew</t>
  </si>
  <si>
    <t>1445 VT RT 30N POULTNEY VT 05764 - RUTLAND</t>
  </si>
  <si>
    <t>0008ZV-1</t>
  </si>
  <si>
    <t>Valyou, Michael</t>
  </si>
  <si>
    <t>4848 EATHAN ALLEN HWY ST ALBANS VT 05478-6069</t>
  </si>
  <si>
    <t>0008ZW-1</t>
  </si>
  <si>
    <t>Mike Valyou</t>
  </si>
  <si>
    <t>4848 Eathan Allen Hwy</t>
  </si>
  <si>
    <t>05478-6069</t>
  </si>
  <si>
    <t>Shepherds Hill Farm</t>
  </si>
  <si>
    <t>25 HARTWOOD WAY TAFTSVILLE VT 05073 - WINDSOR</t>
  </si>
  <si>
    <t>0008ZX-1</t>
  </si>
  <si>
    <t>At Shepherds Hill Farm</t>
  </si>
  <si>
    <t>Mooney, David</t>
  </si>
  <si>
    <t>140 DEPOT ROAD COLCHESTER VT 05446 - CHITTENDEN</t>
  </si>
  <si>
    <t>0008ZY-1</t>
  </si>
  <si>
    <t>Rock, Helen</t>
  </si>
  <si>
    <t>PO BOX 52 N POWNAL VT 05260</t>
  </si>
  <si>
    <t>0008ZZ-1</t>
  </si>
  <si>
    <t>Campbell, Timothy J.</t>
  </si>
  <si>
    <t>PO BOX 676 MILTON VT 05468 - CHITTENDEN</t>
  </si>
  <si>
    <t>000900-1</t>
  </si>
  <si>
    <t>58 Goodrich Hill Road</t>
  </si>
  <si>
    <t>Meyerhoff, Diane</t>
  </si>
  <si>
    <t>60 BLODGETT STREET BURLINGTON VT 05401 - CHITTENDEN</t>
  </si>
  <si>
    <t>000901-1</t>
  </si>
  <si>
    <t>At the VBA workshop yard location at theIntervale</t>
  </si>
  <si>
    <t>Weggner, Eric</t>
  </si>
  <si>
    <t>BISCUIT HILL ROAD S WOODSTOCK VT 05071</t>
  </si>
  <si>
    <t>000902-1</t>
  </si>
  <si>
    <t>Hellus, Carlene</t>
  </si>
  <si>
    <t>42 HEMLOCK HILL DUMMERSTON VT 05301 - WINDHAM</t>
  </si>
  <si>
    <t>000903-1</t>
  </si>
  <si>
    <t>Chip Hellus</t>
  </si>
  <si>
    <t>42 Hemlock Hill</t>
  </si>
  <si>
    <t>Anderson, Bruce</t>
  </si>
  <si>
    <t>1891 BRAINSTORM ROAD BRAINTREE VT 05060 - ORANGE</t>
  </si>
  <si>
    <t>000904-1</t>
  </si>
  <si>
    <t>Bovat, Daniel</t>
  </si>
  <si>
    <t>PO BOX 490 SWANTON VT 05488 - FRANKLIN</t>
  </si>
  <si>
    <t>0008XF-1</t>
  </si>
  <si>
    <t>Messer, Richard</t>
  </si>
  <si>
    <t>487 MILL RIVER ROAD ST ALBANS VT 05478</t>
  </si>
  <si>
    <t>0008VC-1</t>
  </si>
  <si>
    <t>0007WA-32</t>
  </si>
  <si>
    <t>Hesscock Yd.</t>
  </si>
  <si>
    <t>Rt 73</t>
  </si>
  <si>
    <t>Neil, Kevin</t>
  </si>
  <si>
    <t>436 DAN SARGENT ROAD BRISTOL VT 05443 - ADDISON</t>
  </si>
  <si>
    <t>00090F-3</t>
  </si>
  <si>
    <t>Neil Home Yard</t>
  </si>
  <si>
    <t>Kevin Neil</t>
  </si>
  <si>
    <t>436 Dan Sargent Road</t>
  </si>
  <si>
    <t>Mallary, Nancy</t>
  </si>
  <si>
    <t>262 LAKEVIEW ROAD BARTON VT 05822 - ORLEANS</t>
  </si>
  <si>
    <t>00090G-1</t>
  </si>
  <si>
    <t>Westmore Town</t>
  </si>
  <si>
    <t>Westmore</t>
  </si>
  <si>
    <t>0007Z5-4</t>
  </si>
  <si>
    <t>Rathburn Land</t>
  </si>
  <si>
    <t>J Rathburn</t>
  </si>
  <si>
    <t>Marcinkowski, Bill</t>
  </si>
  <si>
    <t>360 VINE STREET NORTHFIELD VT 05663 - WASHINGTON</t>
  </si>
  <si>
    <t>0008W6-2</t>
  </si>
  <si>
    <t>Dog River Farm Yard</t>
  </si>
  <si>
    <t>George Gross</t>
  </si>
  <si>
    <t>Rt 12 Lorde Road</t>
  </si>
  <si>
    <t>Torre, Becky</t>
  </si>
  <si>
    <t>356 HARDSCRABBLE ROAD MILTON VT 05468 - CHITTENDEN</t>
  </si>
  <si>
    <t>00092X-1</t>
  </si>
  <si>
    <t>00090H-3</t>
  </si>
  <si>
    <t>896 Hopkins Hill Road</t>
  </si>
  <si>
    <t>Bender, Bill</t>
  </si>
  <si>
    <t>1190 TURNPIKE ROAD NORWICH VT 05055 - WINDSOR</t>
  </si>
  <si>
    <t>00090J-1</t>
  </si>
  <si>
    <t>0007XC-3</t>
  </si>
  <si>
    <t>DeVos Yard</t>
  </si>
  <si>
    <t>Boenning, Peter</t>
  </si>
  <si>
    <t>459 IRISH HILL ROAD LOWELL VT 05847 - ORLEANS</t>
  </si>
  <si>
    <t>0008P7-1</t>
  </si>
  <si>
    <t>Hart, Zackery</t>
  </si>
  <si>
    <t>72 HI-ACRES ROAD NEWPORT VT 05855</t>
  </si>
  <si>
    <t>0008YQ-1</t>
  </si>
  <si>
    <t>0008ZC-2</t>
  </si>
  <si>
    <t>Breezy Acres Yd</t>
  </si>
  <si>
    <t>0007WB-18</t>
  </si>
  <si>
    <t>Ashcraft Honey Yd</t>
  </si>
  <si>
    <t>Sharon Ashcraft</t>
  </si>
  <si>
    <t>Spaulding Road</t>
  </si>
  <si>
    <t>0007WB-19</t>
  </si>
  <si>
    <t>McBride Honey Yd</t>
  </si>
  <si>
    <t>Jersey St</t>
  </si>
  <si>
    <t>Maurer, Herbert L.</t>
  </si>
  <si>
    <t>286 MAPLE HILL ROAD NORWICH VT 05055 - WINDSOR</t>
  </si>
  <si>
    <t>00090N-1</t>
  </si>
  <si>
    <t>Dube, Richard</t>
  </si>
  <si>
    <t>PO BOX 48 WEST NEWBURY VT 05085</t>
  </si>
  <si>
    <t>00090Q-1</t>
  </si>
  <si>
    <t>BradfordYd</t>
  </si>
  <si>
    <t>Depot Street</t>
  </si>
  <si>
    <t>00090Q-2</t>
  </si>
  <si>
    <t>Self</t>
  </si>
  <si>
    <t>727 Cole Road</t>
  </si>
  <si>
    <t>00090Z-2</t>
  </si>
  <si>
    <t>New England Forestry Foundation 1865 Lilly Hill Road</t>
  </si>
  <si>
    <t>Gould, Patricia A.</t>
  </si>
  <si>
    <t>7309 HARTLAND HILL RD WOODSTOCK VT 05091 - WINDSOR</t>
  </si>
  <si>
    <t>00090W-1</t>
  </si>
  <si>
    <t>0008X0-2</t>
  </si>
  <si>
    <t>GreenwoodHome Yard</t>
  </si>
  <si>
    <t>Kim Greenwood/Ian Ormon</t>
  </si>
  <si>
    <t>216 Maple Steet</t>
  </si>
  <si>
    <t>Boutin, Joseph</t>
  </si>
  <si>
    <t>67 MILL BROOK ROAD SUNDERLAND VT 05250 - BENNINGTON</t>
  </si>
  <si>
    <t>0007W5-1</t>
  </si>
  <si>
    <t>Joe Boutin</t>
  </si>
  <si>
    <t>67 Mill Brook Road</t>
  </si>
  <si>
    <t>van den Belt, Marjan</t>
  </si>
  <si>
    <t>177 TEN STONES CIRCLE CHARLOTTE VT 05445 - CHITTENDEN</t>
  </si>
  <si>
    <t>0008KP-1</t>
  </si>
  <si>
    <t>Garden area</t>
  </si>
  <si>
    <t>Cross, Monica</t>
  </si>
  <si>
    <t>4243 TOWN HILL ROAD WOLCOTT VT 05680 - LAMOILLE</t>
  </si>
  <si>
    <t>00074B-1</t>
  </si>
  <si>
    <t>Home OffRte15</t>
  </si>
  <si>
    <t>Sourdiff, Carl</t>
  </si>
  <si>
    <t>16 BAKER LANE MILTON VT 05468 - GRAND ISLE</t>
  </si>
  <si>
    <t>000910-1</t>
  </si>
  <si>
    <t>Robert Davis</t>
  </si>
  <si>
    <t>16 Pearl Street</t>
  </si>
  <si>
    <t>Pollock, Robert</t>
  </si>
  <si>
    <t>1629 S MAIN STREET MONTGOMERY CENTER VT 05471</t>
  </si>
  <si>
    <t>000911-1</t>
  </si>
  <si>
    <t>Olsen, Oliver K.</t>
  </si>
  <si>
    <t>PO BOX 186 JAMAICA VT 05343 - WINDHAM</t>
  </si>
  <si>
    <t>000912-1</t>
  </si>
  <si>
    <t>Crosby, Paul A.</t>
  </si>
  <si>
    <t>163 SHANNON STREET MIDDLEBURY VT 05753 - ADDISON</t>
  </si>
  <si>
    <t>000913-1</t>
  </si>
  <si>
    <t>Cain, David</t>
  </si>
  <si>
    <t>715 EAST ROAD WAITSFIELD VT 05673 - WASHINGTON</t>
  </si>
  <si>
    <t>000914-1</t>
  </si>
  <si>
    <t>715 East Road</t>
  </si>
  <si>
    <t>Deming, Gary</t>
  </si>
  <si>
    <t>556 DEMING ROAD ENOSBURG FALLS VT 05450</t>
  </si>
  <si>
    <t>00091V-1</t>
  </si>
  <si>
    <t>Out yard at 2319 Longley Bridge Road</t>
  </si>
  <si>
    <t>Carmichael, Marsha</t>
  </si>
  <si>
    <t>PO BOX 462 ASCUTNEY VT 05030</t>
  </si>
  <si>
    <t>000917-1</t>
  </si>
  <si>
    <t>Bryan, Mike</t>
  </si>
  <si>
    <t>301 MIDDLE ROAD COLCHESTER VT 05446 - CHITTENDEN</t>
  </si>
  <si>
    <t>000918-1</t>
  </si>
  <si>
    <t>&lt;heavy in 2 out of 3&gt;</t>
  </si>
  <si>
    <t>Bryan Home yard</t>
  </si>
  <si>
    <t>Mike Bryan</t>
  </si>
  <si>
    <t>301 Middle Road</t>
  </si>
  <si>
    <t>Weber, Werner</t>
  </si>
  <si>
    <t>PO BOX 572 BROWNSVILLE VT 05037</t>
  </si>
  <si>
    <t>000919-1</t>
  </si>
  <si>
    <t>00077W-2</t>
  </si>
  <si>
    <t>Behr Yd.</t>
  </si>
  <si>
    <t>00077W-3</t>
  </si>
  <si>
    <t>Birchway Rd Yd</t>
  </si>
  <si>
    <t>Bouchard, Jody</t>
  </si>
  <si>
    <t>2848 PERRY HILL ROAD WATERBURY VT 05676 - WASHINGTON</t>
  </si>
  <si>
    <t>00091A-1</t>
  </si>
  <si>
    <t>0008Z7-2</t>
  </si>
  <si>
    <t>Lewis CreekRd</t>
  </si>
  <si>
    <t>0008DK-3</t>
  </si>
  <si>
    <t>Trulove Farm</t>
  </si>
  <si>
    <t>Pickering, Fred</t>
  </si>
  <si>
    <t>22 BENEDICT CROSSING R ARLINGTON VT 05250 - BENNINGTON</t>
  </si>
  <si>
    <t>00090D-1</t>
  </si>
  <si>
    <t>Fred Pickering</t>
  </si>
  <si>
    <t>22 Benedict Crossing Road</t>
  </si>
  <si>
    <t>Frederick, Paul-Mt View Honey Farms</t>
  </si>
  <si>
    <t>PO BOX 335 HARDWICK VT 05843 - CALEDONIA</t>
  </si>
  <si>
    <t>0008G7-3</t>
  </si>
  <si>
    <t>Notterman Yard.</t>
  </si>
  <si>
    <t>Helmut Notterman</t>
  </si>
  <si>
    <t>841 Pumpkin Lane</t>
  </si>
  <si>
    <t>Skiff Ii, William B.</t>
  </si>
  <si>
    <t>1625 BUTTERNUT ROAD WILLISTON VT 05495 - CHITTENDEN</t>
  </si>
  <si>
    <t>000703-1</t>
  </si>
  <si>
    <t>Skill</t>
  </si>
  <si>
    <t>Valachovic, Heather</t>
  </si>
  <si>
    <t>3316 BROOK ROAD PLAINFIELD VT 05667 - WASHINGTON</t>
  </si>
  <si>
    <t>00091B-1</t>
  </si>
  <si>
    <t>Valachovic Home</t>
  </si>
  <si>
    <t>Heather Valachovic &amp; Frederick Pope</t>
  </si>
  <si>
    <t>3316 Brook Road</t>
  </si>
  <si>
    <t>Babcock, Richard N.</t>
  </si>
  <si>
    <t>165 LAKE BROOK DRIVE ST ALBANS VT 05478</t>
  </si>
  <si>
    <t>00091C-1</t>
  </si>
  <si>
    <t>Richard Babcock</t>
  </si>
  <si>
    <t>165 Lake Brook Road</t>
  </si>
  <si>
    <t>Thomas, Heather</t>
  </si>
  <si>
    <t>128 TWISS HILL ROAD WATERVILLE VT 05492 - LAMOILLE</t>
  </si>
  <si>
    <t>00091D-1</t>
  </si>
  <si>
    <t>00091D-2</t>
  </si>
  <si>
    <t>Brannagan Yd.</t>
  </si>
  <si>
    <t>Prior, Hollis</t>
  </si>
  <si>
    <t>105 SUGAR RIDGE ROAD DANVILLE VT 05828 - CALEDONIA</t>
  </si>
  <si>
    <t>00091F-1</t>
  </si>
  <si>
    <t>Brierley, William</t>
  </si>
  <si>
    <t>PO BOX 92 WILLIAMSTOWN VT 05679 - ORANGE</t>
  </si>
  <si>
    <t>00091G-1</t>
  </si>
  <si>
    <t>Davis, Philip</t>
  </si>
  <si>
    <t>3658 VT RTE 12A BRAINTREE VT 05060 - ORANGE</t>
  </si>
  <si>
    <t>00091H-1</t>
  </si>
  <si>
    <t>3658 Vt Rte 12A</t>
  </si>
  <si>
    <t>Delaney, Michael</t>
  </si>
  <si>
    <t>271 HIGH MEADOW ROAD N FERRISBURG VT 05473</t>
  </si>
  <si>
    <t>00091J-1</t>
  </si>
  <si>
    <t>0008V7-5</t>
  </si>
  <si>
    <t>Bogie Yard off RT5</t>
  </si>
  <si>
    <t>Wolcott-maccausl, Seth</t>
  </si>
  <si>
    <t>123 LOOMIS ST2 BURLINGTON VT 05401 - CHITTENDEN</t>
  </si>
  <si>
    <t>0008B4-1</t>
  </si>
  <si>
    <t>At Parents place</t>
  </si>
  <si>
    <t>0008V7-6</t>
  </si>
  <si>
    <t>White Yard</t>
  </si>
  <si>
    <t>0008V7-7</t>
  </si>
  <si>
    <t>Bacon Yard</t>
  </si>
  <si>
    <t>Martell, Lou</t>
  </si>
  <si>
    <t>118 MARTEL ROAD ALBURG VT 05440 - GRAND ISLE</t>
  </si>
  <si>
    <t>00091K-1</t>
  </si>
  <si>
    <t>Girouard, Leigh</t>
  </si>
  <si>
    <t>PO BOX 227 UNDERHILL CTR VT 05490</t>
  </si>
  <si>
    <t>0007J9-1</t>
  </si>
  <si>
    <t>Duval, Danny</t>
  </si>
  <si>
    <t>497 IRISHSETTLEMENT RD UNDERHILL FLATS VT 05489</t>
  </si>
  <si>
    <t>0008M5-1</t>
  </si>
  <si>
    <t>Furam, Chad</t>
  </si>
  <si>
    <t>35 JOHNSONS CURVE RD E DUMMERSTON VT 05346</t>
  </si>
  <si>
    <t>0008HH-1</t>
  </si>
  <si>
    <t>Kehoe, Robert</t>
  </si>
  <si>
    <t>527 ABBOTT ROAD WINDHAM VT 05359</t>
  </si>
  <si>
    <t>000722-1</t>
  </si>
  <si>
    <t>Sparky Bee</t>
  </si>
  <si>
    <t>Robert Kehoe</t>
  </si>
  <si>
    <t>527 Abbott Road</t>
  </si>
  <si>
    <t>Bowen, Peggy</t>
  </si>
  <si>
    <t>93 WATSON HILL ROAD W TOPSHAM VT 05086</t>
  </si>
  <si>
    <t>000804-1</t>
  </si>
  <si>
    <t>Ross, David</t>
  </si>
  <si>
    <t>228 STAGE ROAD GILFORD VT 05301</t>
  </si>
  <si>
    <t>000839-1</t>
  </si>
  <si>
    <t>Cole, Dennis</t>
  </si>
  <si>
    <t>85 BAILEY MILLS ROAD CHESTER VT 05143 - WINDSOR</t>
  </si>
  <si>
    <t>0008NF-1</t>
  </si>
  <si>
    <t>same as mailing address</t>
  </si>
  <si>
    <t>05143-8854</t>
  </si>
  <si>
    <t>Muss, H.b.</t>
  </si>
  <si>
    <t>280 S PASTURE ROAD SHELBURNE VT 05482 - CHITTENDEN</t>
  </si>
  <si>
    <t>00091N-1</t>
  </si>
  <si>
    <t>Darby, Heather M.</t>
  </si>
  <si>
    <t>518 N MAIN STREET ALBURG VT 05440 - GRAND ISLE</t>
  </si>
  <si>
    <t>0007D0-1</t>
  </si>
  <si>
    <t>Darby Farm</t>
  </si>
  <si>
    <t>Heather Darby</t>
  </si>
  <si>
    <t>54 N. Main Street</t>
  </si>
  <si>
    <t>Hebb, Mike</t>
  </si>
  <si>
    <t>PO BOX 204 S STRAFFORD VT 05070</t>
  </si>
  <si>
    <t>00091P-1</t>
  </si>
  <si>
    <t>Hebb-Home</t>
  </si>
  <si>
    <t>Mike Hebb</t>
  </si>
  <si>
    <t>192 Mine Road</t>
  </si>
  <si>
    <t>Lambert, Gary</t>
  </si>
  <si>
    <t>13 WEST STREET N BENNINGTON VT 05257</t>
  </si>
  <si>
    <t>00091Q-1</t>
  </si>
  <si>
    <t>Exit1</t>
  </si>
  <si>
    <t>White, Steve</t>
  </si>
  <si>
    <t>2711 RICHVILLE ROAD SHOREHAM VT 05770 - ADDISON</t>
  </si>
  <si>
    <t>000735-1</t>
  </si>
  <si>
    <t>00091V-2</t>
  </si>
  <si>
    <t>Curtis, Mike</t>
  </si>
  <si>
    <t>PO BOX 142 S STRAFFORD VT 05070</t>
  </si>
  <si>
    <t>00091W-1</t>
  </si>
  <si>
    <t>Martain, Scott</t>
  </si>
  <si>
    <t>30 MAIN STAPT "B" WINOOSKI VT 05404 - CHITTENDEN</t>
  </si>
  <si>
    <t>00091X-1</t>
  </si>
  <si>
    <t>At Magic Hat Brewery</t>
  </si>
  <si>
    <t>Hagen, Ian</t>
  </si>
  <si>
    <t>48 N PLEASANT STREET APT C MIDDLEBURY VT 05753 - ADDISON</t>
  </si>
  <si>
    <t>00081P-1</t>
  </si>
  <si>
    <t>At mothers house</t>
  </si>
  <si>
    <t>Teitsch, Terry</t>
  </si>
  <si>
    <t>897 CEMETARY ROAD E BROOKFIELD VT 05036</t>
  </si>
  <si>
    <t>00084G-1</t>
  </si>
  <si>
    <t>897 Cemetary Road</t>
  </si>
  <si>
    <t>Robbins, David A.</t>
  </si>
  <si>
    <t>835 VT RT 244 FAIRLEE VT 05045 - ORANGE</t>
  </si>
  <si>
    <t>00091Z-1</t>
  </si>
  <si>
    <t>Grillo, Conrad</t>
  </si>
  <si>
    <t>289 E WELLS ROAD WELLS VT 05774 - RUTLAND</t>
  </si>
  <si>
    <t>000920-1</t>
  </si>
  <si>
    <t>Smith, Ivor</t>
  </si>
  <si>
    <t>7 LYONS FALLS ROAD WELLS VT 05774 - RUTLAND</t>
  </si>
  <si>
    <t>000921-1</t>
  </si>
  <si>
    <t>Vass, Val</t>
  </si>
  <si>
    <t>489 RIVER ROAD MANCHESTER VT 05255 - BENNINGTON</t>
  </si>
  <si>
    <t>000922-1</t>
  </si>
  <si>
    <t>Wennar, Martin H.</t>
  </si>
  <si>
    <t>773 GEORGIA SHORE ROAD MILTON VT 05468 - CHITTENDEN</t>
  </si>
  <si>
    <t>000923-1</t>
  </si>
  <si>
    <t>Ketchum, Todd</t>
  </si>
  <si>
    <t>218 MONARCH HILL ROAD TUNBRIDGE VT 05077 - ORANGE</t>
  </si>
  <si>
    <t>000924-1</t>
  </si>
  <si>
    <t>218 Monarch Hill Road</t>
  </si>
  <si>
    <t>Austin, Patricia</t>
  </si>
  <si>
    <t>179 ELLIOT STREET BRATTLEBORO VT 05301 - WINDHAM</t>
  </si>
  <si>
    <t>00077C-1</t>
  </si>
  <si>
    <t>000925-2</t>
  </si>
  <si>
    <t>30 Buxton Avenue</t>
  </si>
  <si>
    <t>Middletown Springs</t>
  </si>
  <si>
    <t>Abbott, Abby</t>
  </si>
  <si>
    <t>492 RIVER ROAD JAMAICA VT 05343 - WINDHAM</t>
  </si>
  <si>
    <t>000927-1</t>
  </si>
  <si>
    <t>492 River Road</t>
  </si>
  <si>
    <t>Merrill, Bunny</t>
  </si>
  <si>
    <t>1108 ELMORE MOUNTAIN ROAD MORRISVILLE VT 05661</t>
  </si>
  <si>
    <t>000928-1</t>
  </si>
  <si>
    <t>1108 Elmore Mountain Road</t>
  </si>
  <si>
    <t>Seeley, Nathaniel</t>
  </si>
  <si>
    <t>369 MELENDY HILL ROAD S LONDONDERRY VT 05155</t>
  </si>
  <si>
    <t>000929-1</t>
  </si>
  <si>
    <t>Fox, Gregory P.</t>
  </si>
  <si>
    <t>1608 BRAINTREE HILL RD BRAINTREE VT 05060 - ORANGE</t>
  </si>
  <si>
    <t>0008QZ-1</t>
  </si>
  <si>
    <t>Rice, Thomas E.</t>
  </si>
  <si>
    <t>162 GIFFORD ROAD WINDSOR VT 05001 - WINDSOR</t>
  </si>
  <si>
    <t>00092A-1</t>
  </si>
  <si>
    <t>Rice Home yard</t>
  </si>
  <si>
    <t>Thomas Rice</t>
  </si>
  <si>
    <t>162 Gifford Road</t>
  </si>
  <si>
    <t>000911-2</t>
  </si>
  <si>
    <t>Davidson Yard</t>
  </si>
  <si>
    <t>000911-3</t>
  </si>
  <si>
    <t>Rawsin/Niles Yd.</t>
  </si>
  <si>
    <t>Bailey, Fred</t>
  </si>
  <si>
    <t>1981 LAPORTE ROAD MORRISVILLE VT 05661</t>
  </si>
  <si>
    <t>00092D-1</t>
  </si>
  <si>
    <t>0007DJ-4</t>
  </si>
  <si>
    <t>Metta Earth</t>
  </si>
  <si>
    <t>Russell Comstock</t>
  </si>
  <si>
    <t>Geary Road</t>
  </si>
  <si>
    <t>0008XD-2</t>
  </si>
  <si>
    <t>Plank Road Yard</t>
  </si>
  <si>
    <t>0008XD-3</t>
  </si>
  <si>
    <t>Buck Mountain Yard</t>
  </si>
  <si>
    <t>0008XD-4</t>
  </si>
  <si>
    <t>Stephenson Yd</t>
  </si>
  <si>
    <t>0008XD-5</t>
  </si>
  <si>
    <t>Franklin Yd</t>
  </si>
  <si>
    <t>0008XD-6</t>
  </si>
  <si>
    <t>Perry Yd</t>
  </si>
  <si>
    <t>True, Mitchell E.</t>
  </si>
  <si>
    <t>11 KINGSBURY CROSSING MILTON VT 05468 - CHITTENDEN</t>
  </si>
  <si>
    <t>00092F-1</t>
  </si>
  <si>
    <t>LafountainYd</t>
  </si>
  <si>
    <t>00092F-2</t>
  </si>
  <si>
    <t>StokesYd</t>
  </si>
  <si>
    <t>Dunham, Charles R.</t>
  </si>
  <si>
    <t>165 RIVERVALE ROAD SHELBURNE VT 05482 - CHITTENDEN</t>
  </si>
  <si>
    <t>00092G-1</t>
  </si>
  <si>
    <t>Dunham-Home</t>
  </si>
  <si>
    <t>Charles Dunham</t>
  </si>
  <si>
    <t>165 Rivervale Road</t>
  </si>
  <si>
    <t>Beattie, John</t>
  </si>
  <si>
    <t>2420 W SALISBURY ROAD SALISBURY VT 05769 - ADDISON</t>
  </si>
  <si>
    <t>00092H-1</t>
  </si>
  <si>
    <t>Knippler, Arthur</t>
  </si>
  <si>
    <t>3 DEER RUN RANDOLPH VT 05060 - ORANGE</t>
  </si>
  <si>
    <t>00092J-1</t>
  </si>
  <si>
    <t>3 Deer Run</t>
  </si>
  <si>
    <t>Mason, Dan &amp; Kathleen</t>
  </si>
  <si>
    <t>1283 TAYLOR HILL ROAD BROOKFIELD VT 05036 - ORANGE</t>
  </si>
  <si>
    <t>00097V-1</t>
  </si>
  <si>
    <t>1283 Taylor Hill Road</t>
  </si>
  <si>
    <t>Braun, John</t>
  </si>
  <si>
    <t>140 SOARING HAWK LANE CHARLOTTE VT 05445 - CHITTENDEN</t>
  </si>
  <si>
    <t>00092N-1</t>
  </si>
  <si>
    <t>Home offLime Kiln</t>
  </si>
  <si>
    <t>Burke, Matthew</t>
  </si>
  <si>
    <t>20 COMMON WAY CHARLOTTE VT 05445 - CHITTENDEN</t>
  </si>
  <si>
    <t>00092P-1</t>
  </si>
  <si>
    <t>Frey, Michael</t>
  </si>
  <si>
    <t>PO BOX 189 CEDAR GROVE NJ 07009</t>
  </si>
  <si>
    <t>00092Q-1</t>
  </si>
  <si>
    <t>Frey Land</t>
  </si>
  <si>
    <t>Frey</t>
  </si>
  <si>
    <t>3043 Rt 22 A</t>
  </si>
  <si>
    <t>00092Q-2</t>
  </si>
  <si>
    <t>LivingstonYard</t>
  </si>
  <si>
    <t>Livingston</t>
  </si>
  <si>
    <t>1531 Hardscrabble Road</t>
  </si>
  <si>
    <t>00092Q-3</t>
  </si>
  <si>
    <t>New Haven Yard</t>
  </si>
  <si>
    <t>Across Fire Department Rt 116/Rt 117</t>
  </si>
  <si>
    <t>00092Q-4</t>
  </si>
  <si>
    <t>Berry Farm</t>
  </si>
  <si>
    <t>Across from Abbey Pond Trail, Coirner Mead Lane Rt 116</t>
  </si>
  <si>
    <t>Hull, Bob</t>
  </si>
  <si>
    <t>288 OTTO MERRILL ROAD S ROYALTON VT 05068</t>
  </si>
  <si>
    <t>00092W-1</t>
  </si>
  <si>
    <t>288 Otto Merrill Road</t>
  </si>
  <si>
    <t>Bestenbostel, Peter</t>
  </si>
  <si>
    <t>661 WORTHEIM LANE RICHMOND VT 05477 - CHITTENDEN</t>
  </si>
  <si>
    <t>0007GN-1</t>
  </si>
  <si>
    <t>Lomansney, Marty</t>
  </si>
  <si>
    <t>4703 VT RT 102 BLOOMFIELD VT 05905 - ESSEX</t>
  </si>
  <si>
    <t>00092Z-1</t>
  </si>
  <si>
    <t>Bloomfield Town</t>
  </si>
  <si>
    <t>Bloomfield</t>
  </si>
  <si>
    <t>Rathburn, Jennifer</t>
  </si>
  <si>
    <t>305 BLOOD HILL ROAD WEST WINDSOR VT 05089 - WINDSOR</t>
  </si>
  <si>
    <t>000930-1</t>
  </si>
  <si>
    <t>Rathburn-Home</t>
  </si>
  <si>
    <t>Jennifer Rathburn</t>
  </si>
  <si>
    <t>305 Blood Hill Road</t>
  </si>
  <si>
    <t>Dumont, Tom</t>
  </si>
  <si>
    <t>646 LAKE DUNMORE ROAD SALISBURY VT 05769 - ADDISON</t>
  </si>
  <si>
    <t>000931-1</t>
  </si>
  <si>
    <t>Ballard, Rebecca</t>
  </si>
  <si>
    <t>PO BOX 96 WATERBURY CENTER VT 05677</t>
  </si>
  <si>
    <t>000932-1</t>
  </si>
  <si>
    <t>154 Apple Hill Road</t>
  </si>
  <si>
    <t>Whitworth, Mark H.</t>
  </si>
  <si>
    <t>1224 EAST HILL ROAD NEWARK VT 05871 - CALEDONIA</t>
  </si>
  <si>
    <t>000933-1</t>
  </si>
  <si>
    <t>1224 East Hill Road</t>
  </si>
  <si>
    <t>000912-2</t>
  </si>
  <si>
    <t>Chapin Yard</t>
  </si>
  <si>
    <t>Smith, William F.</t>
  </si>
  <si>
    <t>1376 WES WHITE HILL RICHMOND VT 05477 - CHITTENDEN</t>
  </si>
  <si>
    <t>000934-1</t>
  </si>
  <si>
    <t>Smith home yard</t>
  </si>
  <si>
    <t>William Smith</t>
  </si>
  <si>
    <t>430 Durand Rd</t>
  </si>
  <si>
    <t>Boumans, Roelof M.</t>
  </si>
  <si>
    <t>4685 GREENBUSH ROAD CHARLOTTE VT 05445 - CHITTENDEN</t>
  </si>
  <si>
    <t>000935-1</t>
  </si>
  <si>
    <t>Boumans Home Yard</t>
  </si>
  <si>
    <t>Roel Boumans</t>
  </si>
  <si>
    <t>4685 Greenbush Road</t>
  </si>
  <si>
    <t>Letourneau, Laurent</t>
  </si>
  <si>
    <t>4263 NELSON HILL ROAD DERBY VT 05829 - ORLEANS</t>
  </si>
  <si>
    <t>000936-1</t>
  </si>
  <si>
    <t>Letourneau-Home Yard</t>
  </si>
  <si>
    <t>Laurent Letourneau</t>
  </si>
  <si>
    <t>4263 Nelson Hill Road</t>
  </si>
  <si>
    <t>Ferguson, William</t>
  </si>
  <si>
    <t>919 LINCOLN HILL ROAD SHREWSBURY VT 05738 - RUTLAND</t>
  </si>
  <si>
    <t>000937-1</t>
  </si>
  <si>
    <t>Berlejung, H. Paul</t>
  </si>
  <si>
    <t>2003 NORTH COUNTY ROAD GROTON VT 05046 - CALEDONIA</t>
  </si>
  <si>
    <t>000938-1</t>
  </si>
  <si>
    <t>2003 North County Road</t>
  </si>
  <si>
    <t>Langworthy, Charlie</t>
  </si>
  <si>
    <t>1217 SAND ROAD FERRISBURG VT 05456 - ADDISON</t>
  </si>
  <si>
    <t>000939-1</t>
  </si>
  <si>
    <t>Olson, Mike</t>
  </si>
  <si>
    <t>1469 BAY ROAD SHELBURNE VT 04582 - CHITTENDEN</t>
  </si>
  <si>
    <t>00093A-1</t>
  </si>
  <si>
    <t>Miller, Peter</t>
  </si>
  <si>
    <t>1732 FORT BRIDGMAN RD VERNON VT 05354 - WINDHAM</t>
  </si>
  <si>
    <t>00093B-1</t>
  </si>
  <si>
    <t>00093B-2</t>
  </si>
  <si>
    <t>Miller Farm</t>
  </si>
  <si>
    <t>00093B-3</t>
  </si>
  <si>
    <t>00093B-4</t>
  </si>
  <si>
    <t>Harris Yd</t>
  </si>
  <si>
    <t>Decker, Walter</t>
  </si>
  <si>
    <t>88 PEARL STREET GRAND ISLE VT 05458 - GRAND ISLE</t>
  </si>
  <si>
    <t>00093C-1</t>
  </si>
  <si>
    <t>Decker-Home</t>
  </si>
  <si>
    <t>Walter Decker</t>
  </si>
  <si>
    <t>88 Pearl Street</t>
  </si>
  <si>
    <t>Forbes, Tony</t>
  </si>
  <si>
    <t>4357 CASE STREET MIDDLEBURY VT 05753 - ADDISON</t>
  </si>
  <si>
    <t>00093D-1</t>
  </si>
  <si>
    <t>4357 Case Street</t>
  </si>
  <si>
    <t>Midlebury</t>
  </si>
  <si>
    <t>000927-2</t>
  </si>
  <si>
    <t>At office</t>
  </si>
  <si>
    <t>Curlin, Annemie</t>
  </si>
  <si>
    <t>99A TOAD ROAD CHARLOTTE VT 05445 - CHITTENDEN</t>
  </si>
  <si>
    <t>00093H-1</t>
  </si>
  <si>
    <t>Ferguson, Keith</t>
  </si>
  <si>
    <t>220 SPENCER HOLLOW RD SPRINGFIELD VT 05156 - WINDSOR</t>
  </si>
  <si>
    <t>00093K-1</t>
  </si>
  <si>
    <t>Gross, Bob</t>
  </si>
  <si>
    <t>28 POPLAR STREET SPRINGFIELD VT 05156</t>
  </si>
  <si>
    <t>00093M-1</t>
  </si>
  <si>
    <t>Rose Yd.</t>
  </si>
  <si>
    <t>00093M-2</t>
  </si>
  <si>
    <t>Lexington Farm Yd</t>
  </si>
  <si>
    <t>00093M-3</t>
  </si>
  <si>
    <t>Happy Acres Farm</t>
  </si>
  <si>
    <t>00093M-4</t>
  </si>
  <si>
    <t>New Hall Farm</t>
  </si>
  <si>
    <t>Letourneau, Daniel</t>
  </si>
  <si>
    <t>5281 VT RT 105 EAST CHARLESTON VT 05833</t>
  </si>
  <si>
    <t>00093N-1</t>
  </si>
  <si>
    <t>27 Bly Farm Road</t>
  </si>
  <si>
    <t>East Charleston</t>
  </si>
  <si>
    <t>Moon, William</t>
  </si>
  <si>
    <t>15-B BLACK WALNUT LANE JERICHO VT 05465</t>
  </si>
  <si>
    <t>00093P-1</t>
  </si>
  <si>
    <t>Daughters Land</t>
  </si>
  <si>
    <t>28 Tar Box Road</t>
  </si>
  <si>
    <t>Van Schoick, Gretchen</t>
  </si>
  <si>
    <t>1337 CHUNKS BROOK ROAD SANDGATE VT 05250 - BENNINGTON</t>
  </si>
  <si>
    <t>00093Q-1</t>
  </si>
  <si>
    <t>Jesso, Janet</t>
  </si>
  <si>
    <t>1037 JERUSALEM HILL ROCHESTER VT 05767 - WINDSOR</t>
  </si>
  <si>
    <t>00093V-1</t>
  </si>
  <si>
    <t>1037 Jerusalem Hill</t>
  </si>
  <si>
    <t>Schwartz, Jeff</t>
  </si>
  <si>
    <t>95 LOGWOOD STREET SOUTH BURLINGTO VT 05403</t>
  </si>
  <si>
    <t>00092Y-1</t>
  </si>
  <si>
    <t>Schwartz home yard</t>
  </si>
  <si>
    <t>Jim Madison</t>
  </si>
  <si>
    <t>6002 Dorset St</t>
  </si>
  <si>
    <t>Blumenfeld, Marisa</t>
  </si>
  <si>
    <t>425 GREELY ROAD SPRINGFIELD VT 05156 - WINDSOR</t>
  </si>
  <si>
    <t>00093W-1</t>
  </si>
  <si>
    <t>0008BZ-2</t>
  </si>
  <si>
    <t>Dummerston Yd</t>
  </si>
  <si>
    <t>Otranto, Jim</t>
  </si>
  <si>
    <t>1027 CABOT ROAD WOODSTOCK VT 05091 - WINDSOR</t>
  </si>
  <si>
    <t>00093X-1</t>
  </si>
  <si>
    <t>1712 Gabert Road</t>
  </si>
  <si>
    <t>Rogers, Dick</t>
  </si>
  <si>
    <t>32 E RANDOLPH ROAD CHELSEA VT 05038 - ORANGE</t>
  </si>
  <si>
    <t>00093Y-1</t>
  </si>
  <si>
    <t>Rick, Caleb</t>
  </si>
  <si>
    <t>PO BOX 189 CHELSEA VT 05038 - ORANGE</t>
  </si>
  <si>
    <t>00093Z-1</t>
  </si>
  <si>
    <t>Home/bus.</t>
  </si>
  <si>
    <t>11 North Common</t>
  </si>
  <si>
    <t>Knowlton, Roger H.</t>
  </si>
  <si>
    <t>654 THISTLE HILL ROAD MARSHFIELD VT 05658 - WASHINGTON</t>
  </si>
  <si>
    <t>000943-1</t>
  </si>
  <si>
    <t>0007HH-3</t>
  </si>
  <si>
    <t>Larue Yard</t>
  </si>
  <si>
    <t>0007DC-2</t>
  </si>
  <si>
    <t>Field Farm</t>
  </si>
  <si>
    <t>Perry, James</t>
  </si>
  <si>
    <t>201 BUDDYS LANE NORTHFIELD VT 05663 - WASHINGTON</t>
  </si>
  <si>
    <t>000944-1</t>
  </si>
  <si>
    <t>201 Buddy's Lane</t>
  </si>
  <si>
    <t>Lussier, Robert C.</t>
  </si>
  <si>
    <t>10 PARSONS LANE ST ALBANS VT 05478</t>
  </si>
  <si>
    <t>000945-1</t>
  </si>
  <si>
    <t>Adams, Nathan</t>
  </si>
  <si>
    <t>3473 HINESBURG ROAD CHARLOTTE VT 05445 - CHITTENDEN</t>
  </si>
  <si>
    <t>000946-1</t>
  </si>
  <si>
    <t>Verrico, Jackie</t>
  </si>
  <si>
    <t>1144 CHURCHILL ROAD MORRISTOWN VT 05661 - LAMOILLE</t>
  </si>
  <si>
    <t>000947-1</t>
  </si>
  <si>
    <t>St. Pierre, Gary</t>
  </si>
  <si>
    <t>455 GILLIN ROAD FAIRFAX VT 05454 - FRANKLIN</t>
  </si>
  <si>
    <t>0008HV-1</t>
  </si>
  <si>
    <t>St. Pierre-Home</t>
  </si>
  <si>
    <t>Gary St. Pierre</t>
  </si>
  <si>
    <t>455 Gillin Road</t>
  </si>
  <si>
    <t>Key, Mckendree</t>
  </si>
  <si>
    <t>PO BOX 481 S LONDONDERRY VT 05155</t>
  </si>
  <si>
    <t>0007G9-1</t>
  </si>
  <si>
    <t>Tibbits, Jaime</t>
  </si>
  <si>
    <t>237 HILL ROAD FAIRFIELD VT 05455 - FRANKLIN</t>
  </si>
  <si>
    <t>000949-1</t>
  </si>
  <si>
    <t>Jaime Tibbits</t>
  </si>
  <si>
    <t>237 Hill Road</t>
  </si>
  <si>
    <t>Davis, Ronald</t>
  </si>
  <si>
    <t>5614 WHIPPLE HOLLOW RD FLORENCE VT 05744-9866</t>
  </si>
  <si>
    <t>00094A-1</t>
  </si>
  <si>
    <t>Ronald Davis</t>
  </si>
  <si>
    <t>Barnett, Mary</t>
  </si>
  <si>
    <t>391 FRANK ORVIS ROAD BRISTOL VT 05443 - ADDISON</t>
  </si>
  <si>
    <t>00094B-1</t>
  </si>
  <si>
    <t>Mary Barnett</t>
  </si>
  <si>
    <t>391 Frank Orvis ROad</t>
  </si>
  <si>
    <t>00093D-2</t>
  </si>
  <si>
    <t>Carrarra Yd.</t>
  </si>
  <si>
    <t>00093D-3</t>
  </si>
  <si>
    <t>Fenn Yd</t>
  </si>
  <si>
    <t>00093D-4</t>
  </si>
  <si>
    <t>Nopp Farm</t>
  </si>
  <si>
    <t>Saint Pierre Enterprises</t>
  </si>
  <si>
    <t>246 WOODLANDS ROAD FAIRFIELD VT 05455 - FRANKLIN</t>
  </si>
  <si>
    <t>00094C-1</t>
  </si>
  <si>
    <t>Landers, Karen R.</t>
  </si>
  <si>
    <t>PO BOX 537 WHITINGHAM VT 05361 - WINDHAM</t>
  </si>
  <si>
    <t>0008C6-1</t>
  </si>
  <si>
    <t>Landers-Home</t>
  </si>
  <si>
    <t>Karen Landers</t>
  </si>
  <si>
    <t>1264 Faulkner Road</t>
  </si>
  <si>
    <t>Giroux, Roger</t>
  </si>
  <si>
    <t>5527 RT 7 FERRISBURG VT 05456 - ADDISON</t>
  </si>
  <si>
    <t>0007VG-1</t>
  </si>
  <si>
    <t>Peduto, Donna</t>
  </si>
  <si>
    <t>3080 WHEELER ROAD BRANDON VT 05733 - RUTLAND</t>
  </si>
  <si>
    <t>00094D-1</t>
  </si>
  <si>
    <t>Donahue, Jill</t>
  </si>
  <si>
    <t>131 HORSE LANE NORTHFIELD VT 05667 - WASHINGTON</t>
  </si>
  <si>
    <t>00094F-1</t>
  </si>
  <si>
    <t>Neun, Melody</t>
  </si>
  <si>
    <t>1301-A MORRILL ROAD DANVILLE VT 05828 - CALEDONIA</t>
  </si>
  <si>
    <t>00094G-1</t>
  </si>
  <si>
    <t>Schroeder, Patty</t>
  </si>
  <si>
    <t>501 WOODS ROAD BROOKFIELD VT 05036 - ORANGE</t>
  </si>
  <si>
    <t>00094H-1</t>
  </si>
  <si>
    <t>HomeE.Brookfield</t>
  </si>
  <si>
    <t>501 Woods Road</t>
  </si>
  <si>
    <t>Roderick, James</t>
  </si>
  <si>
    <t>8351 SANDS POINT BLVD A207 TAMARAC FL 33321</t>
  </si>
  <si>
    <t>00094J-1</t>
  </si>
  <si>
    <t>2943 Hinesburg Road</t>
  </si>
  <si>
    <t>Davine, Robert C.</t>
  </si>
  <si>
    <t>PO BOX 484 CASTLETON VT 05735 - RUTLAND</t>
  </si>
  <si>
    <t>0008GW-1</t>
  </si>
  <si>
    <t>Davine Home Yard</t>
  </si>
  <si>
    <t>Bob Davine</t>
  </si>
  <si>
    <t>3435 Monument Hill Road</t>
  </si>
  <si>
    <t>Rowley, Sam</t>
  </si>
  <si>
    <t>681 WESTERN AVE BRATTLEBORO VT 05301 - WINDHAM</t>
  </si>
  <si>
    <t>00094P-1</t>
  </si>
  <si>
    <t>Rowley-Home</t>
  </si>
  <si>
    <t>Sam Rowley</t>
  </si>
  <si>
    <t>681 Western Ave</t>
  </si>
  <si>
    <t>Koicuba, Jason</t>
  </si>
  <si>
    <t>840 GORE ROAD STARKSBORO VT 05487 - ADDISON</t>
  </si>
  <si>
    <t>00094Q-1</t>
  </si>
  <si>
    <t>Koicuba home yard</t>
  </si>
  <si>
    <t>Jason Koicuba</t>
  </si>
  <si>
    <t>840 Gore Road</t>
  </si>
  <si>
    <t>00085C-4</t>
  </si>
  <si>
    <t>Marvin's Yard</t>
  </si>
  <si>
    <t>00085C-5</t>
  </si>
  <si>
    <t>Herb Clark Yd.</t>
  </si>
  <si>
    <t>00085C-6</t>
  </si>
  <si>
    <t>Ruby's Yd</t>
  </si>
  <si>
    <t>Manning, Michael</t>
  </si>
  <si>
    <t>2338 DARTT HILL ROAD BETHEL VT 05032 - WINDSOR</t>
  </si>
  <si>
    <t>00094V-1</t>
  </si>
  <si>
    <t>2338 Dartt Hill Road</t>
  </si>
  <si>
    <t>Meacham, Donna</t>
  </si>
  <si>
    <t>1008 TOWN HILL ROAD NEW HAVEN VT 05472 - ADDISON</t>
  </si>
  <si>
    <t>00094W-1</t>
  </si>
  <si>
    <t>Cramer Iii, Reg</t>
  </si>
  <si>
    <t>2002 TERRY HILL ROAD FAIRLEE VT 05045 - ORANGE</t>
  </si>
  <si>
    <t>00094Y-1</t>
  </si>
  <si>
    <t>Kenyon, Matthew</t>
  </si>
  <si>
    <t>361 EAST STREET MIDDLETOWN SPRINGS VT 05757 - RUTLAND</t>
  </si>
  <si>
    <t>00094Z-1</t>
  </si>
  <si>
    <t>Mary Ashcroft</t>
  </si>
  <si>
    <t>Mathewson, Jon</t>
  </si>
  <si>
    <t>12 MONTVERT RD MIDDLETOWN SPRINGS VT 05757 - RUTLAND</t>
  </si>
  <si>
    <t>000950-1</t>
  </si>
  <si>
    <t>Mathewson Home</t>
  </si>
  <si>
    <t>Jon &amp; Kimberly Mattewson</t>
  </si>
  <si>
    <t>12 Montvert Road</t>
  </si>
  <si>
    <t>Rattazzi, Robin C.</t>
  </si>
  <si>
    <t>416 SHADY RILL ROAD MONTPELIER VT 05602-9374 - WASHINGTON</t>
  </si>
  <si>
    <t>000951-1</t>
  </si>
  <si>
    <t>&lt;I treated in Sept.&gt;</t>
  </si>
  <si>
    <t>Rattazzi-Home</t>
  </si>
  <si>
    <t>Robin Rattazzi</t>
  </si>
  <si>
    <t>416 Shady Rill Road</t>
  </si>
  <si>
    <t>Holovach, John</t>
  </si>
  <si>
    <t>PO BOX 15 379 B HILL ROAD POWNAL VT 05261 - BENNINGTON</t>
  </si>
  <si>
    <t>000953-1</t>
  </si>
  <si>
    <t>379 B Hill Road</t>
  </si>
  <si>
    <t>0007QA-2</t>
  </si>
  <si>
    <t>Garden Yd.</t>
  </si>
  <si>
    <t>O'meara, Brian</t>
  </si>
  <si>
    <t>400 RIDDLE POND ROAD E ORANGE VT 05086</t>
  </si>
  <si>
    <t>000955-1</t>
  </si>
  <si>
    <t>O'Meara-Home</t>
  </si>
  <si>
    <t>Brain O'meara</t>
  </si>
  <si>
    <t>400 Riddle Pond Road</t>
  </si>
  <si>
    <t>000955-2</t>
  </si>
  <si>
    <t>Miller Yard</t>
  </si>
  <si>
    <t>Cayer, Paul</t>
  </si>
  <si>
    <t>5521 STAGE ROAD BARNARD VT 05031 - WINDSOR</t>
  </si>
  <si>
    <t>000956-1</t>
  </si>
  <si>
    <t>5521 Stage Road</t>
  </si>
  <si>
    <t>Gallo, Bob</t>
  </si>
  <si>
    <t>1775 DORSET STREET S BURLINGTON VT 05403</t>
  </si>
  <si>
    <t>000957-1</t>
  </si>
  <si>
    <t>Gelinas, Edwin</t>
  </si>
  <si>
    <t>69 HYDE ROAD GRAND ISLE VT 05458 - GRAND ISLE</t>
  </si>
  <si>
    <t>000958-1</t>
  </si>
  <si>
    <t>Dwyer, Tricia</t>
  </si>
  <si>
    <t>350 SPARROW FARM ROAD MONTPELIER VT 05602 - WASHINGTON</t>
  </si>
  <si>
    <t>000959-1</t>
  </si>
  <si>
    <t>Fritsche, Robert</t>
  </si>
  <si>
    <t>929 MIDDLETOWN ROAD S LONDONDERRY VT 05155</t>
  </si>
  <si>
    <t>00095A-1</t>
  </si>
  <si>
    <t>Sherman, Roland</t>
  </si>
  <si>
    <t>9 SOUTH STREET SOUTH HERO VT 05486 - GRAND ISLE</t>
  </si>
  <si>
    <t>00095B-1</t>
  </si>
  <si>
    <t>Bishop, Scott</t>
  </si>
  <si>
    <t>PO BOX 1336 BARRE VT 05641</t>
  </si>
  <si>
    <t>00095D-1</t>
  </si>
  <si>
    <t>Whalley, Hilde</t>
  </si>
  <si>
    <t>390 TOWN LINE ROAD ROCHESTER VT 05767 - WINDSOR</t>
  </si>
  <si>
    <t>00095F-1</t>
  </si>
  <si>
    <t>Hilde Whallley</t>
  </si>
  <si>
    <t>Hilde Whalley</t>
  </si>
  <si>
    <t>390 Town Hill Rd</t>
  </si>
  <si>
    <t>Creighton, Jon (Eden Hills Apiary)</t>
  </si>
  <si>
    <t>129 DELLA-CORTE DRIVE EDEN VT 05652-8904 - LAMOILLE</t>
  </si>
  <si>
    <t>00095G-1</t>
  </si>
  <si>
    <t>Creighton Home Yard</t>
  </si>
  <si>
    <t>Jon Creighton</t>
  </si>
  <si>
    <t>129 Della-Corte Drive</t>
  </si>
  <si>
    <t>Yarwood, Barry</t>
  </si>
  <si>
    <t>5147 RT 103 CUTTINGSVILLE VT 05738</t>
  </si>
  <si>
    <t>00095H-1</t>
  </si>
  <si>
    <t>5147 RT 103</t>
  </si>
  <si>
    <t>Ross, William D.</t>
  </si>
  <si>
    <t>APT 319 300 WAKE ROBIN DRIVE SHELBURNE VT 05482 - CHITTENDEN</t>
  </si>
  <si>
    <t>00095J-1</t>
  </si>
  <si>
    <t>Home @Wake Robin Retirement Complex</t>
  </si>
  <si>
    <t>Wake Robin Corporation</t>
  </si>
  <si>
    <t>Palmer, Bruce</t>
  </si>
  <si>
    <t>436 CLAFLIN FARM ROAD CHARLOTTE VT 05445 - CHITTENDEN</t>
  </si>
  <si>
    <t>00095K-1</t>
  </si>
  <si>
    <t>Nolan, Christopher</t>
  </si>
  <si>
    <t>PO BOX 683 MANCHESTER VT 05254 - BENNINGTON</t>
  </si>
  <si>
    <t>00095M-1</t>
  </si>
  <si>
    <t>Nolan-Home Yard</t>
  </si>
  <si>
    <t>Christopher Nolan</t>
  </si>
  <si>
    <t>150 Sweet Hollow Road</t>
  </si>
  <si>
    <t>Shiff, Mark</t>
  </si>
  <si>
    <t>170 LUCE ROAD STOCKBRIDGE VT 05772 - WINDSOR</t>
  </si>
  <si>
    <t>00095N-1</t>
  </si>
  <si>
    <t>Prince, Jennifer</t>
  </si>
  <si>
    <t>PO BOX 217 GRAND ISLE VT 05458 - GRAND ISLE</t>
  </si>
  <si>
    <t>00095P-1</t>
  </si>
  <si>
    <t>00095P-2</t>
  </si>
  <si>
    <t>Blue Heron Yd</t>
  </si>
  <si>
    <t>Socks, Susan</t>
  </si>
  <si>
    <t>156 URBAN ROAD CABOT VT 05647 - WASHINGTON</t>
  </si>
  <si>
    <t>00095Q-1</t>
  </si>
  <si>
    <t>156 Urban Road</t>
  </si>
  <si>
    <t>Vanschoick, Gretchen</t>
  </si>
  <si>
    <t>00095V-1</t>
  </si>
  <si>
    <t>Jackson, Thomas</t>
  </si>
  <si>
    <t>5483 GREENBUSH ROAD CHARLOTTE VT 05445 - CHITTENDEN</t>
  </si>
  <si>
    <t>00095W-1</t>
  </si>
  <si>
    <t>Jackson Home yard</t>
  </si>
  <si>
    <t>Tom &amp; MP Jackson</t>
  </si>
  <si>
    <t>5483 Greenbush Road</t>
  </si>
  <si>
    <t>Bariteau, Richard</t>
  </si>
  <si>
    <t>PO BOX 219 BARRE VT 05641</t>
  </si>
  <si>
    <t>00095X-1</t>
  </si>
  <si>
    <t>Griffin, Beth</t>
  </si>
  <si>
    <t>35 MARBLE AVE BURLINGTON VT 05401 - CHITTENDEN</t>
  </si>
  <si>
    <t>00095Y-1</t>
  </si>
  <si>
    <t>Park@lot behind 431 Pine</t>
  </si>
  <si>
    <t>431 Pine Street</t>
  </si>
  <si>
    <t>Smith, Steve</t>
  </si>
  <si>
    <t>1237 POND ROAD FLETCHER VT 05464</t>
  </si>
  <si>
    <t>00095Z-1</t>
  </si>
  <si>
    <t>&lt;treated , ?&gt;</t>
  </si>
  <si>
    <t>Smith Home yard</t>
  </si>
  <si>
    <t>Steve Smith</t>
  </si>
  <si>
    <t>1237 Pond Road</t>
  </si>
  <si>
    <t>Flanders, Lois E.</t>
  </si>
  <si>
    <t>595 BRAZIER ROAD EAST MONTPELIER VT 05651 - WASHINGTON</t>
  </si>
  <si>
    <t>000960-1</t>
  </si>
  <si>
    <t>Finberg, Luisa</t>
  </si>
  <si>
    <t>266 E SHORE N GRAND ISLE VT 05458 - GRAND ISLE</t>
  </si>
  <si>
    <t>000961-1</t>
  </si>
  <si>
    <t>Machnik, Whitney</t>
  </si>
  <si>
    <t>37 DOLAN ROAD MIDDLESEX VT 05602 - WASHINGTON</t>
  </si>
  <si>
    <t>000962-1</t>
  </si>
  <si>
    <t>37 Dolan Road</t>
  </si>
  <si>
    <t>Hughes, Catherine</t>
  </si>
  <si>
    <t>685 FERRY ROAD CHARLOTTE VT 05445 - CHITTENDEN</t>
  </si>
  <si>
    <t>000963-1</t>
  </si>
  <si>
    <t>Catherine Hughes</t>
  </si>
  <si>
    <t>685 Ferry Road</t>
  </si>
  <si>
    <t>Dundas, Richard G.</t>
  </si>
  <si>
    <t>77 CHANDLERS WAY BENNINGTON VT 05201 - BENNINGTON</t>
  </si>
  <si>
    <t>000964-1</t>
  </si>
  <si>
    <t>Abbott, Jim</t>
  </si>
  <si>
    <t>PO BOX 44 MONTGOMERY CENTER VT 05471</t>
  </si>
  <si>
    <t>000965-1</t>
  </si>
  <si>
    <t>Rodgers, Christopher M.</t>
  </si>
  <si>
    <t>140 HUNTLEY ROAD WESTFORD VT 05494 - CHITTENDEN</t>
  </si>
  <si>
    <t>000966-1</t>
  </si>
  <si>
    <t>At Jan Bark home</t>
  </si>
  <si>
    <t>Layne, Craig</t>
  </si>
  <si>
    <t>782 TIGERTOWN ROAD WHITE RIVER JUNCTION VT 05001</t>
  </si>
  <si>
    <t>000967-1</t>
  </si>
  <si>
    <t>Layne</t>
  </si>
  <si>
    <t>782 Tigertown Road</t>
  </si>
  <si>
    <t>Liloia, Tara</t>
  </si>
  <si>
    <t>3270 MAIN STREET ISLE LA MOTTE VT 05463 - GRAND ISLE</t>
  </si>
  <si>
    <t>000968-1</t>
  </si>
  <si>
    <t>Gardner, Zechariah</t>
  </si>
  <si>
    <t>190 HOME AVE BURLINGTON VT 05401 - CHITTENDEN</t>
  </si>
  <si>
    <t>000969-1</t>
  </si>
  <si>
    <t>Luneau, Marc J</t>
  </si>
  <si>
    <t>1790 MOUNTAIN VIEW RD EAST HARDWICK VT 05836 - CALEDONIA</t>
  </si>
  <si>
    <t>00096A-1</t>
  </si>
  <si>
    <t>1790 Mountain View Road</t>
  </si>
  <si>
    <t>Tina, Victor</t>
  </si>
  <si>
    <t>PO BOX 1267 MANCHESTER CENTER VT 05255</t>
  </si>
  <si>
    <t>00096B-1</t>
  </si>
  <si>
    <t>Fortier, Craig</t>
  </si>
  <si>
    <t>344 FORTIER DRIVE WILLISTON VT 05495-2068 - CHITTENDEN</t>
  </si>
  <si>
    <t>00096C-1</t>
  </si>
  <si>
    <t>344 Fortier Drive</t>
  </si>
  <si>
    <t>05495-2068</t>
  </si>
  <si>
    <t>Waite, Jim</t>
  </si>
  <si>
    <t>14 GRANDVIEW AVE ESSEX JUNCTION VT 05452</t>
  </si>
  <si>
    <t>00096D-1</t>
  </si>
  <si>
    <t>Legget land</t>
  </si>
  <si>
    <t>Bradshaw, Terence</t>
  </si>
  <si>
    <t>105 CARRIGAN DRIVE BURLINGTON VT 05405 - CHITTENDEN</t>
  </si>
  <si>
    <t>00096F-1</t>
  </si>
  <si>
    <t>UVM Hort Farm</t>
  </si>
  <si>
    <t>65 Green Mountrain Drive</t>
  </si>
  <si>
    <t>Herendeen, Robert</t>
  </si>
  <si>
    <t>83 NOTTINGHAM LANE BURLINGTON VT 05408 - CHITTENDEN</t>
  </si>
  <si>
    <t>00096G-1</t>
  </si>
  <si>
    <t>83 Nottingham Lane</t>
  </si>
  <si>
    <t>Simakaski, Mark</t>
  </si>
  <si>
    <t>6320 SCOTT HWY (RT302) GROTON VT 05046 - CALEDONIA</t>
  </si>
  <si>
    <t>00096H-1</t>
  </si>
  <si>
    <t>6320 VT RT 302</t>
  </si>
  <si>
    <t>Berube, Pamela J.</t>
  </si>
  <si>
    <t>403 CARLEY ROAD SPRINGFIELD VT 05156 - WINDSOR</t>
  </si>
  <si>
    <t>00096J-1</t>
  </si>
  <si>
    <t>403 Carley Raod</t>
  </si>
  <si>
    <t>Shelton, Laura</t>
  </si>
  <si>
    <t>6326 BROAD BROOK ROAD S ROYALTON VT 05068</t>
  </si>
  <si>
    <t>00096K-1</t>
  </si>
  <si>
    <t>At CSA farm</t>
  </si>
  <si>
    <t>Gadzinski, Mila</t>
  </si>
  <si>
    <t>115 DELTA DRIVE WHITE RIVER JUNCTION VT 05001</t>
  </si>
  <si>
    <t>00096M-1</t>
  </si>
  <si>
    <t>Mitchell, Kori</t>
  </si>
  <si>
    <t>152 FISHER ROAD ORWELL VT 05760 - ADDISON</t>
  </si>
  <si>
    <t>00096N-1</t>
  </si>
  <si>
    <t>152 Fisher Road</t>
  </si>
  <si>
    <t>Dumas, Herbert</t>
  </si>
  <si>
    <t>880 RT 17/116 BRISTOL VT - ADDISON</t>
  </si>
  <si>
    <t>0007H8-1</t>
  </si>
  <si>
    <t>Scovel, Mark</t>
  </si>
  <si>
    <t>27 TURKEY HILL ROAD BRADFORD VT 05033 - ORANGE</t>
  </si>
  <si>
    <t>0007JA-1</t>
  </si>
  <si>
    <t>Oakes, Gordon</t>
  </si>
  <si>
    <t>594 OLD CENTER ROAD ST JOHNSBURY VT 05819</t>
  </si>
  <si>
    <t>00096P-1</t>
  </si>
  <si>
    <t>Cohen, Brian</t>
  </si>
  <si>
    <t>50 LURVEY ROAD WOLCOTT VT 05680 - LAMOILLE</t>
  </si>
  <si>
    <t>00096V-1</t>
  </si>
  <si>
    <t>O'hara, Cindy</t>
  </si>
  <si>
    <t>280 RIDGE DRIVE HUNTINGTON VT 05462 - CHITTENDEN</t>
  </si>
  <si>
    <t>00096W-1</t>
  </si>
  <si>
    <t>O'Hara Home Yard</t>
  </si>
  <si>
    <t>Cindy O'Hara &amp; Sally Hillary</t>
  </si>
  <si>
    <t>280 Ridge Drive</t>
  </si>
  <si>
    <t>Riell, Stuart</t>
  </si>
  <si>
    <t>1041 EAST MAIN STREET POULTNEY VT 05764 - RUTLAND</t>
  </si>
  <si>
    <t>0007PP-1</t>
  </si>
  <si>
    <t>Dafni, Suzanne</t>
  </si>
  <si>
    <t>514 EAST STREET WALLINGFORD VT 05773 - RUTLAND</t>
  </si>
  <si>
    <t>00087C-1</t>
  </si>
  <si>
    <t>514 East Street</t>
  </si>
  <si>
    <t>Mulroy, Troy</t>
  </si>
  <si>
    <t>1615 SUNDERLAND HILLRD SUNDERLAND VT 05250 - BENNINGTON</t>
  </si>
  <si>
    <t>00096X-1</t>
  </si>
  <si>
    <t>Edholm, Roger</t>
  </si>
  <si>
    <t>PO BOX 100 EAST DORSET VT 05253</t>
  </si>
  <si>
    <t>00096Y-1</t>
  </si>
  <si>
    <t>Spencer, Stephanie</t>
  </si>
  <si>
    <t>166 FOX MEADOWS HINESBURG VT 05461 - CHITTENDEN</t>
  </si>
  <si>
    <t>00096Z-1</t>
  </si>
  <si>
    <t>00086W-2</t>
  </si>
  <si>
    <t>N. Montpelier Yard</t>
  </si>
  <si>
    <t>Andy Christenson</t>
  </si>
  <si>
    <t>470 Hammett Hill Road</t>
  </si>
  <si>
    <t>N. Montpelier</t>
  </si>
  <si>
    <t>Bilodeau, Carroll</t>
  </si>
  <si>
    <t>4788 SOUTH ROAD BRADFORD VT 05033-9201 - ORANGE</t>
  </si>
  <si>
    <t>000971-1</t>
  </si>
  <si>
    <t>Trudeau, Edgar</t>
  </si>
  <si>
    <t>506 BELDEN FALLS ROAD NEW HAVEN VT 05472 - ADDISON</t>
  </si>
  <si>
    <t>000972-1</t>
  </si>
  <si>
    <t>Ramos, Fernando</t>
  </si>
  <si>
    <t>739 WESTERDALE ROAD WOODSTOCK VT 05091-3907</t>
  </si>
  <si>
    <t>000973-1</t>
  </si>
  <si>
    <t>501 Galaxy Hill Road</t>
  </si>
  <si>
    <t>0007DJ-5</t>
  </si>
  <si>
    <t>Middlebury College Yard</t>
  </si>
  <si>
    <t>Middlebury College</t>
  </si>
  <si>
    <t>Niles, W. Price</t>
  </si>
  <si>
    <t>1299 ROBERT YOUNG ROAD STARKSBORO VT 05487 - ADDISON</t>
  </si>
  <si>
    <t>000974-1</t>
  </si>
  <si>
    <t>Marijke Niles</t>
  </si>
  <si>
    <t>0007HH-4</t>
  </si>
  <si>
    <t>Senn Yd</t>
  </si>
  <si>
    <t>Downing, Jody</t>
  </si>
  <si>
    <t>44 JAMES DOWNING ROAD TOPSHAM VT 05076 - ORANGE</t>
  </si>
  <si>
    <t>000978-1</t>
  </si>
  <si>
    <t>44 James Downing Road</t>
  </si>
  <si>
    <t>Cody, Ruth</t>
  </si>
  <si>
    <t>248 PARK VIEW SPRINGFIELD VT 05156 - WINDSOR</t>
  </si>
  <si>
    <t>000979-1</t>
  </si>
  <si>
    <t>248 Park View</t>
  </si>
  <si>
    <t>Churchill, Nigel</t>
  </si>
  <si>
    <t>PO BOX 37 EAST FAIRFIELD VT 05448</t>
  </si>
  <si>
    <t>00097A-1</t>
  </si>
  <si>
    <t>Nigel &amp; Barbara Churchill</t>
  </si>
  <si>
    <t>505 Fairfield Road</t>
  </si>
  <si>
    <t>Sam, Kenneth</t>
  </si>
  <si>
    <t>PO BOX 302 CHARLTON MA 01507</t>
  </si>
  <si>
    <t>00097B-1</t>
  </si>
  <si>
    <t>Brothers Land</t>
  </si>
  <si>
    <t>Shupe, Brian</t>
  </si>
  <si>
    <t>118 BUTCHER HOUSE ROAD WAITSFIELD VT 05673 - WASHINGTON</t>
  </si>
  <si>
    <t>00097C-1</t>
  </si>
  <si>
    <t>Shupe Home Yard</t>
  </si>
  <si>
    <t>Brian Shupe</t>
  </si>
  <si>
    <t>118 Butcher House Road</t>
  </si>
  <si>
    <t>Brown, Justin</t>
  </si>
  <si>
    <t>PO BOX 12 FAIRFAX VT 05454 - FRANKLIN</t>
  </si>
  <si>
    <t>00097G-1</t>
  </si>
  <si>
    <t>22 Maple Street</t>
  </si>
  <si>
    <t>Shafer, Bob &amp; Sylvie</t>
  </si>
  <si>
    <t>PO BOX 267 ALBURGH VT 05440 - GRAND ISLE</t>
  </si>
  <si>
    <t>00097H-1</t>
  </si>
  <si>
    <t>Kellogg, Todd</t>
  </si>
  <si>
    <t>283 CEDAR AVE RUTLAND VT 05701</t>
  </si>
  <si>
    <t>00097J-1</t>
  </si>
  <si>
    <t>Patry, Matt</t>
  </si>
  <si>
    <t>510 N EAST ROAD TINMOUTH VT 05773-1174 - RUTLAND</t>
  </si>
  <si>
    <t>00097K-1</t>
  </si>
  <si>
    <t>0.5M south of Clarenden line</t>
  </si>
  <si>
    <t>Matt Patry</t>
  </si>
  <si>
    <t>510 North East Road</t>
  </si>
  <si>
    <t>05773-1174</t>
  </si>
  <si>
    <t>Jones, James,r., Jr.</t>
  </si>
  <si>
    <t>519 SYMES POND ROAD RYEGATE VT 05042 - CALEDONIA</t>
  </si>
  <si>
    <t>00097M-1</t>
  </si>
  <si>
    <t>Slade, Isaiah</t>
  </si>
  <si>
    <t>PO BOX 83 BONDVILLE VT 05340</t>
  </si>
  <si>
    <t>00097N-1</t>
  </si>
  <si>
    <t>147 RT 30</t>
  </si>
  <si>
    <t>Amsden, Joyce</t>
  </si>
  <si>
    <t>PO BOX 462 S ROYALTON VT 05068</t>
  </si>
  <si>
    <t>00097P-1</t>
  </si>
  <si>
    <t>Poitras, Larry</t>
  </si>
  <si>
    <t>520 DAKIN ROAD N FERRISBURG VT 05456</t>
  </si>
  <si>
    <t>00097W-1</t>
  </si>
  <si>
    <t>Dakin Road</t>
  </si>
  <si>
    <t>O'brien, Alaria</t>
  </si>
  <si>
    <t>337 HINMAN SETTLER RD NEWPORT VT 05855</t>
  </si>
  <si>
    <t>00097X-1</t>
  </si>
  <si>
    <t>C&amp;O Farms</t>
  </si>
  <si>
    <t>384 Sunset Cr</t>
  </si>
  <si>
    <t>00097X-2</t>
  </si>
  <si>
    <t>337 Hinman Settler Road</t>
  </si>
  <si>
    <t>Byers, Devon K.</t>
  </si>
  <si>
    <t>PO BOX 95 EAST MONTPELIER VT 05651 - WASHINGTON</t>
  </si>
  <si>
    <t>00097Y-1</t>
  </si>
  <si>
    <t>Nailor, Gloria</t>
  </si>
  <si>
    <t>PO BOX 327 WORCESTER VT 05682 - WASHINGTON</t>
  </si>
  <si>
    <t>00097Z-1</t>
  </si>
  <si>
    <t>59 Hampshire Hill Road</t>
  </si>
  <si>
    <t>Valenta, Kurt J.</t>
  </si>
  <si>
    <t>1635 WATERTOWER ROAD ENOSBURG FALLS VT 05450 - FRANKLIN</t>
  </si>
  <si>
    <t>000980-1</t>
  </si>
  <si>
    <t>Bourdeau</t>
  </si>
  <si>
    <t>754 Rice Hill Road</t>
  </si>
  <si>
    <t>Winsor, John</t>
  </si>
  <si>
    <t>306 JUNIPER LANE N FERRISBURGH VT 05473</t>
  </si>
  <si>
    <t>000981-1</t>
  </si>
  <si>
    <t>Willard, Michael</t>
  </si>
  <si>
    <t>19 BIRCH ROAD FAIRFAX VT 05454 - FRANKLIN</t>
  </si>
  <si>
    <t>000982-1</t>
  </si>
  <si>
    <t>Michael Willard</t>
  </si>
  <si>
    <t>19 Birch Road</t>
  </si>
  <si>
    <t>Szafranski, Leah</t>
  </si>
  <si>
    <t>PO BOX 425 JEFFERSONVILLE VT 05464</t>
  </si>
  <si>
    <t>000983-1</t>
  </si>
  <si>
    <t>Hammond, Forrest</t>
  </si>
  <si>
    <t>13 BOHAKA ROAD HARTLAND VT 05048 - WINDSOR</t>
  </si>
  <si>
    <t>0008ZJ-1</t>
  </si>
  <si>
    <t>Off RT 5</t>
  </si>
  <si>
    <t>Grannis, Rebecca</t>
  </si>
  <si>
    <t>58 CONGOR AVE BURLINGTON VT 05401 - CHITTENDEN</t>
  </si>
  <si>
    <t>000984-1</t>
  </si>
  <si>
    <t>Meyer-Bothling, Heidi</t>
  </si>
  <si>
    <t>2923 DIAMOND HILL RD ST JOHNSBURY VT 05819</t>
  </si>
  <si>
    <t>000985-1</t>
  </si>
  <si>
    <t>Meyer-Bothling Home Yard</t>
  </si>
  <si>
    <t>Heidi Meyer-Bothling</t>
  </si>
  <si>
    <t>2923 Diamond Hill Road</t>
  </si>
  <si>
    <t>Martelle, Bob</t>
  </si>
  <si>
    <t>PO BOX 311 UNDERHILL VT 05489 - CHITTENDEN</t>
  </si>
  <si>
    <t>000986-1</t>
  </si>
  <si>
    <t>22 Park Street</t>
  </si>
  <si>
    <t>Jennings, Holly</t>
  </si>
  <si>
    <t>3388 FISH HILL ROAD RANDOLPH VT 05060 - ORANGE</t>
  </si>
  <si>
    <t>000987-1</t>
  </si>
  <si>
    <t>Floegel, Mark</t>
  </si>
  <si>
    <t>87 HOWARD STREET BURLINGTON VT 05401 - CHITTENDEN</t>
  </si>
  <si>
    <t>000988-1</t>
  </si>
  <si>
    <t>Floegel Home Yard</t>
  </si>
  <si>
    <t>Mark Floegel</t>
  </si>
  <si>
    <t>87 Howard Street</t>
  </si>
  <si>
    <t>LaWhite, Leif</t>
  </si>
  <si>
    <t>54 BRIDGE ROAD N THETFORD VT 05054</t>
  </si>
  <si>
    <t>000989-1</t>
  </si>
  <si>
    <t>LaWhite Home Yard</t>
  </si>
  <si>
    <t>Leif LaWhite</t>
  </si>
  <si>
    <t>54 Bridge Road</t>
  </si>
  <si>
    <t>North Thetford</t>
  </si>
  <si>
    <t>Seward, Ernest</t>
  </si>
  <si>
    <t>128 GLORIA AVE RUTLAND VT 05701</t>
  </si>
  <si>
    <t>00098A-1</t>
  </si>
  <si>
    <t>Back Meadow</t>
  </si>
  <si>
    <t>Thomas Dairy</t>
  </si>
  <si>
    <t>Daigle, Michael D.</t>
  </si>
  <si>
    <t>370 BEAN TRAP ROAD MILTON VT 05468 - CHITTENDEN</t>
  </si>
  <si>
    <t>00098B-1</t>
  </si>
  <si>
    <t>Daigle-Home Yard</t>
  </si>
  <si>
    <t>Michael Daigle</t>
  </si>
  <si>
    <t>Bean Trap Road</t>
  </si>
  <si>
    <t>Hayes, Judy</t>
  </si>
  <si>
    <t>984 EAST STREET NEW HAVEN VT 05472 - ADDISON</t>
  </si>
  <si>
    <t>00098C-1</t>
  </si>
  <si>
    <t>Hanson, Kim</t>
  </si>
  <si>
    <t>PO BOX 162 SOUTH BARRE VT 05670</t>
  </si>
  <si>
    <t>00098D-1</t>
  </si>
  <si>
    <t>Smela, Greg</t>
  </si>
  <si>
    <t>4740 RT 30 CORNWALL VT 05753 - ADDISON</t>
  </si>
  <si>
    <t>00098F-1</t>
  </si>
  <si>
    <t>4740 RT 30</t>
  </si>
  <si>
    <t>Gleiner, Susan &amp; Art</t>
  </si>
  <si>
    <t>PO BOX 903 STOWE VT 05672 - LAMOILLE</t>
  </si>
  <si>
    <t>00098H-1</t>
  </si>
  <si>
    <t>Borkowski, Ryan Z.</t>
  </si>
  <si>
    <t>84 PERINI ROAD NEWBURY VT 05051 - ORANGE</t>
  </si>
  <si>
    <t>00098P-1</t>
  </si>
  <si>
    <t>Borkowski</t>
  </si>
  <si>
    <t>84 Perini Road</t>
  </si>
  <si>
    <t>Rosenmiller, Diane</t>
  </si>
  <si>
    <t>50 WEST STREET MIDDLETOWN SPRINGS VT 05757 - RUTLAND</t>
  </si>
  <si>
    <t>00098Q-1</t>
  </si>
  <si>
    <t>Rosenmiller Home Yard</t>
  </si>
  <si>
    <t>Diane Rosenmiller &amp; Nick Seidner</t>
  </si>
  <si>
    <t>50 West Street</t>
  </si>
  <si>
    <t>Atwood-stone, Susan</t>
  </si>
  <si>
    <t>PO BOX 779 MONTPELIER VT 05601 - WASHINGTON</t>
  </si>
  <si>
    <t>00098V-1</t>
  </si>
  <si>
    <t>Ferris, Joseph</t>
  </si>
  <si>
    <t>117 NORTHFIELD STREET MONTPELIER VT 05602 - WASHINGTON</t>
  </si>
  <si>
    <t>00098W-1</t>
  </si>
  <si>
    <t>VT Compost Co.</t>
  </si>
  <si>
    <t>Mullin, Kevin</t>
  </si>
  <si>
    <t>3299 HARTSBORO ROAD WALLINGFORD VT 05773 - RUTLAND</t>
  </si>
  <si>
    <t>00098X-1</t>
  </si>
  <si>
    <t>Mullin Home Yard</t>
  </si>
  <si>
    <t>Millie &amp; Kevin Mullin</t>
  </si>
  <si>
    <t>3299 Hartsboro Road</t>
  </si>
  <si>
    <t>Dyer, Leslie</t>
  </si>
  <si>
    <t>168 TARBOX HILL ROAD ORLEANS VT 05860</t>
  </si>
  <si>
    <t>00098Z-1</t>
  </si>
  <si>
    <t>Tarbox Hill Farm</t>
  </si>
  <si>
    <t>Blakeman, Wendy</t>
  </si>
  <si>
    <t>81 E STATE STREET MONTPELIER VT 05602 - WASHINGTON</t>
  </si>
  <si>
    <t>000990-1</t>
  </si>
  <si>
    <t>Wendy Blakeman</t>
  </si>
  <si>
    <t>131 Frank's Way</t>
  </si>
  <si>
    <t>Harvard, Edward P.</t>
  </si>
  <si>
    <t>190 HOWARD STRETAPT1 BURLINGTON VT 05401 - CHITTENDEN</t>
  </si>
  <si>
    <t>000991-1</t>
  </si>
  <si>
    <t>Houle, Melody</t>
  </si>
  <si>
    <t>PO BOX 171 BEECHER FALLS VT 05902</t>
  </si>
  <si>
    <t>000992-1</t>
  </si>
  <si>
    <t>Lively, David</t>
  </si>
  <si>
    <t>193 CROSSOVER ROAD BENNINGTON VT 05201 - BENNINGTON</t>
  </si>
  <si>
    <t>000993-1</t>
  </si>
  <si>
    <t>Rohlen, Tracy</t>
  </si>
  <si>
    <t>6 KEDS LANE UNDERHILL VT 05489 - CHITTENDEN</t>
  </si>
  <si>
    <t>000994-1</t>
  </si>
  <si>
    <t>Webber, Milton R.</t>
  </si>
  <si>
    <t>2936 SHUNPIKE ROAD MT HOLLY VT 05758</t>
  </si>
  <si>
    <t>000995-1</t>
  </si>
  <si>
    <t>Davis, Laura</t>
  </si>
  <si>
    <t>67 CROWLEY LANE MT HOLLY VT 05758</t>
  </si>
  <si>
    <t>000996-1</t>
  </si>
  <si>
    <t>Wicks, Patricia</t>
  </si>
  <si>
    <t>110 ADAMS SCHOOL ROAD GRAND ISLE VT 05458 - GRAND ISLE</t>
  </si>
  <si>
    <t>000997-1</t>
  </si>
  <si>
    <t>Patti Wicks</t>
  </si>
  <si>
    <t>110 Adams School Road</t>
  </si>
  <si>
    <t>Mackenzie, Bree</t>
  </si>
  <si>
    <t>23 HIDEAWAY DRIVE ORANGE VT 05641 - ORANGE</t>
  </si>
  <si>
    <t>000998-1</t>
  </si>
  <si>
    <t>Adams, Brent</t>
  </si>
  <si>
    <t>155 TAMARACK STREET WARREN VT 05674</t>
  </si>
  <si>
    <t>000999-1</t>
  </si>
  <si>
    <t>155 Tamarack Street</t>
  </si>
  <si>
    <t>Ferreira, Patricia</t>
  </si>
  <si>
    <t>3 BERRY STREET BURLINGTON VT 05401 - CHITTENDEN</t>
  </si>
  <si>
    <t>00099A-1</t>
  </si>
  <si>
    <t>Patricia Ferreira</t>
  </si>
  <si>
    <t>Hunt, Mitchell</t>
  </si>
  <si>
    <t>FARM MANAGER STERLING COLLEGE CRAFTSBURY COMMON VT</t>
  </si>
  <si>
    <t>00099B-1</t>
  </si>
  <si>
    <t>Driscoll, Louisa</t>
  </si>
  <si>
    <t>711 WEST HILL ROAD ST JOHNSBURY VT 05819</t>
  </si>
  <si>
    <t>00099C-1</t>
  </si>
  <si>
    <t>Driscoll-Home Yard</t>
  </si>
  <si>
    <t>Louisa Driscoll</t>
  </si>
  <si>
    <t>711 West Hill Road</t>
  </si>
  <si>
    <t>Fielder, Shaun</t>
  </si>
  <si>
    <t>305 SHADY RILL ROAD MIDDLESEX VT 05602 - WASHINGTON</t>
  </si>
  <si>
    <t>00099D-1</t>
  </si>
  <si>
    <t>305 Shady Rill Road</t>
  </si>
  <si>
    <t>Wise, Lora</t>
  </si>
  <si>
    <t>3117 ROSE HILL WOODSTOCK VT 05091 - WINDSOR</t>
  </si>
  <si>
    <t>00099F-1</t>
  </si>
  <si>
    <t>Off RT4 onto Thomas Hill</t>
  </si>
  <si>
    <t>3117 Rose Hill</t>
  </si>
  <si>
    <t>Tucker, Barry</t>
  </si>
  <si>
    <t>731 MISSING LINK ROAD ROCKINGHAM VT 05101 - WINDHAM</t>
  </si>
  <si>
    <t>00099G-1</t>
  </si>
  <si>
    <t>Stancliffe, Michael A.</t>
  </si>
  <si>
    <t>88 ST ALBANS STREET ENOSBURG FALLS VT 05450</t>
  </si>
  <si>
    <t>00099H-1</t>
  </si>
  <si>
    <t>Skakel, Mark</t>
  </si>
  <si>
    <t>74 BELOCK DRIVE CENTER RUTLAND VT 05736</t>
  </si>
  <si>
    <t>00099J-1</t>
  </si>
  <si>
    <t>Andreyev, Dmitri</t>
  </si>
  <si>
    <t>460 CROSSOVER ROAD BROOKFIELD VT 05036 - ORANGE</t>
  </si>
  <si>
    <t>00099K-1</t>
  </si>
  <si>
    <t>460 Crossover Road</t>
  </si>
  <si>
    <t>Luce, Daniel</t>
  </si>
  <si>
    <t>2408 DORSET STREET CHARLOTTE VT 05445 - CHITTENDEN</t>
  </si>
  <si>
    <t>00099M-1</t>
  </si>
  <si>
    <t>Luce-Home</t>
  </si>
  <si>
    <t>Daniel Luce</t>
  </si>
  <si>
    <t>2408 Dorset Street</t>
  </si>
  <si>
    <t>Friedland, Keith</t>
  </si>
  <si>
    <t>1784 BACKWAY ROAD CORINTH VT 05039-9432 - ORANGE</t>
  </si>
  <si>
    <t>00099N-1</t>
  </si>
  <si>
    <t>1784 Backway Road</t>
  </si>
  <si>
    <t>00099N-2</t>
  </si>
  <si>
    <t>Cedar Circle Fm</t>
  </si>
  <si>
    <t>Cadieux, Lucille</t>
  </si>
  <si>
    <t>159 DOMINION AVE NORTH TROY VT 05859-9741</t>
  </si>
  <si>
    <t>00099P-1</t>
  </si>
  <si>
    <t>159 Dominion Ave</t>
  </si>
  <si>
    <t>North Troy</t>
  </si>
  <si>
    <t>Pennell, Hugh</t>
  </si>
  <si>
    <t>465 PENNELL ROAD CHESTER VT 05143 - WINDSOR</t>
  </si>
  <si>
    <t>00099Q-1</t>
  </si>
  <si>
    <t>465 Pennell Road</t>
  </si>
  <si>
    <t>Pennell, Courtlandt</t>
  </si>
  <si>
    <t>PO BOX 711 CHESTER VT 05143 - WINDSOR</t>
  </si>
  <si>
    <t>00099V-1</t>
  </si>
  <si>
    <t>1930 Reservoir Road</t>
  </si>
  <si>
    <t>Buhler, Paul</t>
  </si>
  <si>
    <t>12 BARTS HILL ROAD KILLINGTON VT 05751 - RUTLAND</t>
  </si>
  <si>
    <t>00099X-1</t>
  </si>
  <si>
    <t>Wolfe, Aaron</t>
  </si>
  <si>
    <t>644 FAIRFAX ROAD CAMBRIDGE VT 05444 - LAMOILLE</t>
  </si>
  <si>
    <t>00099Y-1</t>
  </si>
  <si>
    <t>644 Fairfax Road</t>
  </si>
  <si>
    <t>Bernier, Bob</t>
  </si>
  <si>
    <t>20 SANDALWOOD DRIVE S BURLINGTON VT 05403</t>
  </si>
  <si>
    <t>00099Z-1</t>
  </si>
  <si>
    <t>1444 Joyal Road</t>
  </si>
  <si>
    <t>Nolan, Michael</t>
  </si>
  <si>
    <t>2719 PEARSON ROAD NEW HAVEN VT 05472 - ADDISON</t>
  </si>
  <si>
    <t>0009A0-1</t>
  </si>
  <si>
    <t>Nolan-Home</t>
  </si>
  <si>
    <t>Michael Nolan</t>
  </si>
  <si>
    <t>2719 Pearson Road</t>
  </si>
  <si>
    <t>Burnor, Elaine</t>
  </si>
  <si>
    <t>1200 VT RT 108 SOUTH E FAIRFIELD VT 05448-4414</t>
  </si>
  <si>
    <t>0008J8-1</t>
  </si>
  <si>
    <t>1200 Vt Route 108 South</t>
  </si>
  <si>
    <t>Mailloux, John (Weeping Pine Farm)</t>
  </si>
  <si>
    <t>677 VT RTE 14 WILLIAMSTOWN VT 05679 - ORANGE</t>
  </si>
  <si>
    <t>0009A2-1</t>
  </si>
  <si>
    <t>Mailloux Yard</t>
  </si>
  <si>
    <t>John Mailloux</t>
  </si>
  <si>
    <t>677 VT RT 14</t>
  </si>
  <si>
    <t>Laber, Kurt</t>
  </si>
  <si>
    <t>905 CREEK ROAD IRASBURG VT 05845</t>
  </si>
  <si>
    <t>0009A4-1</t>
  </si>
  <si>
    <t>LaberHome</t>
  </si>
  <si>
    <t>Kurt Laber</t>
  </si>
  <si>
    <t>905 Creek Road</t>
  </si>
  <si>
    <t>Kidder, Brent S.</t>
  </si>
  <si>
    <t>313 GEORGE STREET ORANGE VT 05641 - ORANGE</t>
  </si>
  <si>
    <t>0009A5-1</t>
  </si>
  <si>
    <t>Follow RT302 towards E.Barre</t>
  </si>
  <si>
    <t>313 George Street</t>
  </si>
  <si>
    <t>00094N-2</t>
  </si>
  <si>
    <t>VNRC - Roof</t>
  </si>
  <si>
    <t>9 Bailey Ave.</t>
  </si>
  <si>
    <t>Tinker, Brandie Marie</t>
  </si>
  <si>
    <t>PO BOX 483 JOHNSON VT 05656</t>
  </si>
  <si>
    <t>000ADJ-1</t>
  </si>
  <si>
    <t>Tilton Yard</t>
  </si>
  <si>
    <t>Amos Tilton</t>
  </si>
  <si>
    <t>Beckwith, Chad</t>
  </si>
  <si>
    <t>3255 LAKE ST ADDISON VT 05491</t>
  </si>
  <si>
    <t>000ADP-1</t>
  </si>
  <si>
    <t>&lt;3% or less&gt;</t>
  </si>
  <si>
    <t>Shaky Ground Farm</t>
  </si>
  <si>
    <t>Sean Costello</t>
  </si>
  <si>
    <t>3255 Lake Street</t>
  </si>
  <si>
    <t>Martin, Robert L</t>
  </si>
  <si>
    <t>PO BOX 135 WORCESTER VT 05682</t>
  </si>
  <si>
    <t>000ADW-1</t>
  </si>
  <si>
    <t>Morse Yard</t>
  </si>
  <si>
    <t>Reginald Morse</t>
  </si>
  <si>
    <t>Off RT 12</t>
  </si>
  <si>
    <t>0008GB-3</t>
  </si>
  <si>
    <t>Fox/Claghorn</t>
  </si>
  <si>
    <t>1395 Leicester-Whiting Road</t>
  </si>
  <si>
    <t>Wilson, Scott</t>
  </si>
  <si>
    <t>118 ROTAX ROAD NORTH FERRISBURG VT 05473</t>
  </si>
  <si>
    <t>0008G3-2</t>
  </si>
  <si>
    <t>&lt;7%&gt;</t>
  </si>
  <si>
    <t>HHA4</t>
  </si>
  <si>
    <t>Mary Bargiel</t>
  </si>
  <si>
    <t>481 King Farm Road</t>
  </si>
  <si>
    <t>0008G3-3</t>
  </si>
  <si>
    <t>&lt;5%&gt;</t>
  </si>
  <si>
    <t>HHA2</t>
  </si>
  <si>
    <t>Linda Smith</t>
  </si>
  <si>
    <t>2350 Gilman Road</t>
  </si>
  <si>
    <t>0008G3-4</t>
  </si>
  <si>
    <t>HHA3</t>
  </si>
  <si>
    <t>Tod Whittaker</t>
  </si>
  <si>
    <t>2475 Baldwin Road</t>
  </si>
  <si>
    <t>Stone, Samantha</t>
  </si>
  <si>
    <t>2543 WHEELER ROAD BRANDON VT 05733 - RUTLAND</t>
  </si>
  <si>
    <t>000AGQ-1</t>
  </si>
  <si>
    <t>2543 Wheeler Road</t>
  </si>
  <si>
    <t>Baker, Reese</t>
  </si>
  <si>
    <t>181 KELADY DRIVE SHELBURNE VT 05482 - CHITTENDEN</t>
  </si>
  <si>
    <t>000AHF-1</t>
  </si>
  <si>
    <t>Burti</t>
  </si>
  <si>
    <t>South Village Communities</t>
  </si>
  <si>
    <t>S. Burlington</t>
  </si>
  <si>
    <t>Munkres, Andrew</t>
  </si>
  <si>
    <t>2703 WEST STREET CORNWALL VT 05753 - ADDISON</t>
  </si>
  <si>
    <t>0007V0-2</t>
  </si>
  <si>
    <t>Dewey Yard</t>
  </si>
  <si>
    <t>Roger Desabrais</t>
  </si>
  <si>
    <t>Dewey Road</t>
  </si>
  <si>
    <t>Nummelin, Jeff</t>
  </si>
  <si>
    <t>PO BOX 4174 ST JOHNSBURY VT 05819 - CALEDONIA</t>
  </si>
  <si>
    <t>000AJN-1</t>
  </si>
  <si>
    <t>1200 Rocky Ridge Road</t>
  </si>
  <si>
    <t>0007DJ-7</t>
  </si>
  <si>
    <t>Elmer Farm Yard</t>
  </si>
  <si>
    <t>Jennifer Blackwell</t>
  </si>
  <si>
    <t>855 Case Street</t>
  </si>
  <si>
    <t>Covey, Bob</t>
  </si>
  <si>
    <t>PO BOX 5 UNDERHILL VT 05489 - CHITTENDEN</t>
  </si>
  <si>
    <t>000APJ-1</t>
  </si>
  <si>
    <t>Covey-Home Yard</t>
  </si>
  <si>
    <t>Bob Covey</t>
  </si>
  <si>
    <t>14 Harvest Run</t>
  </si>
  <si>
    <t>Horning, Ned</t>
  </si>
  <si>
    <t>354 SOUTH RIDGE ROAD MIDDLEBURY VT 05753 - ADDISON</t>
  </si>
  <si>
    <t>000APP-1</t>
  </si>
  <si>
    <t>Horning Home Yard</t>
  </si>
  <si>
    <t>Ned Horning</t>
  </si>
  <si>
    <t>354 South Ridge Road</t>
  </si>
  <si>
    <t>Pagliari, Ivy</t>
  </si>
  <si>
    <t>PO BOX 54 WEST DANVILLE VT 05843 - CALEDONIA</t>
  </si>
  <si>
    <t>000APV-1</t>
  </si>
  <si>
    <t>Clifford</t>
  </si>
  <si>
    <t>1436 Noyestar Road</t>
  </si>
  <si>
    <t>West Danville</t>
  </si>
  <si>
    <t>Kruse, Christian</t>
  </si>
  <si>
    <t>PO BOX 283 UNDERHILL VT 05489</t>
  </si>
  <si>
    <t>000APW-1</t>
  </si>
  <si>
    <t>53 Cowie Road</t>
  </si>
  <si>
    <t>Dixon, Warren</t>
  </si>
  <si>
    <t>2825 HOLLOW ROAD NORTH FERRISBURGH VT 05473</t>
  </si>
  <si>
    <t>000APX-1</t>
  </si>
  <si>
    <t>Melanie Cote</t>
  </si>
  <si>
    <t>2825 Hollow Road</t>
  </si>
  <si>
    <t>Albers, Ted</t>
  </si>
  <si>
    <t>10 HERITAGE LANE SHELBURNE VT 05482-7598 - CHITTENDEN</t>
  </si>
  <si>
    <t>000APZ-1</t>
  </si>
  <si>
    <t>Ted Albers</t>
  </si>
  <si>
    <t>10 Heritage Lane</t>
  </si>
  <si>
    <t>Williams, Patrick</t>
  </si>
  <si>
    <t>153 HEMLOCK ROAD ST GEORGE VT 05495</t>
  </si>
  <si>
    <t>000AQJ-1</t>
  </si>
  <si>
    <t>Hexite Apiary</t>
  </si>
  <si>
    <t>Luke Curtis</t>
  </si>
  <si>
    <t>2177 Ripton Road</t>
  </si>
  <si>
    <t>Silva, Jenney</t>
  </si>
  <si>
    <t>PO BOX 62 BARNARD VT 05031 - WINDSOR</t>
  </si>
  <si>
    <t>000AQK-1</t>
  </si>
  <si>
    <t>5685 VT RT 12</t>
  </si>
  <si>
    <t>Burde, James</t>
  </si>
  <si>
    <t>PO BOX 272 JERICHO VT 05465 - CHITTENDEN</t>
  </si>
  <si>
    <t>000AQP-1</t>
  </si>
  <si>
    <t>Burde Home Yard</t>
  </si>
  <si>
    <t>James Burde</t>
  </si>
  <si>
    <t>97 Old Pump Road</t>
  </si>
  <si>
    <t>McKenna, John</t>
  </si>
  <si>
    <t>581 STONEBRIDGE ROAD GEORGIA VT 05468 - FRANKLIN</t>
  </si>
  <si>
    <t>000AQQ-1</t>
  </si>
  <si>
    <t>Fairfax Yard</t>
  </si>
  <si>
    <t>Paul Baril</t>
  </si>
  <si>
    <t>2534 Main Street</t>
  </si>
  <si>
    <t>N. Fairfax</t>
  </si>
  <si>
    <t>Boyd, Holly</t>
  </si>
  <si>
    <t>5 CROSS ROAD WEST TOPSHAM VT 05086</t>
  </si>
  <si>
    <t>000762-1</t>
  </si>
  <si>
    <t>#5 Cross Road</t>
  </si>
  <si>
    <t>Cunningham, Maria C.</t>
  </si>
  <si>
    <t>5039 RT 22A NORTH FAIR HAVEN VT 05743-9478 - RUTLAND</t>
  </si>
  <si>
    <t>000AQW-1</t>
  </si>
  <si>
    <t>Snail Apiary</t>
  </si>
  <si>
    <t>Ken Lussier</t>
  </si>
  <si>
    <t>5039 RT 22A</t>
  </si>
  <si>
    <t>Messier, John R.</t>
  </si>
  <si>
    <t>137 CHAPMAN LANE WILLISTON VT 05495</t>
  </si>
  <si>
    <t>000AVH-1</t>
  </si>
  <si>
    <t>Fournier Yard</t>
  </si>
  <si>
    <t>Gary Fournier</t>
  </si>
  <si>
    <t>308 Pond Road</t>
  </si>
  <si>
    <t>000AVH-2</t>
  </si>
  <si>
    <t>Fontaine Yard</t>
  </si>
  <si>
    <t>Dan Fontaine</t>
  </si>
  <si>
    <t>o</t>
  </si>
  <si>
    <t>Farrow, Nicola</t>
  </si>
  <si>
    <t>483 BRANCH BROOK ROAD MT HOLLY VT 05758</t>
  </si>
  <si>
    <t>000AVJ-1</t>
  </si>
  <si>
    <t>Farrow Yard</t>
  </si>
  <si>
    <t>Kevin Kuntz</t>
  </si>
  <si>
    <t>93 Godfrey Lane</t>
  </si>
  <si>
    <t>Braun, Trevor</t>
  </si>
  <si>
    <t>PO BOX 996 STOWE VT 05672</t>
  </si>
  <si>
    <t>000AVK-1</t>
  </si>
  <si>
    <t>John Peinert</t>
  </si>
  <si>
    <t>1079 RT 100C</t>
  </si>
  <si>
    <t>Stanley, Frank</t>
  </si>
  <si>
    <t>PO BOX 622 HINESBURG VT 05461</t>
  </si>
  <si>
    <t>000AVZ-1</t>
  </si>
  <si>
    <t>Stanley's Home Yard</t>
  </si>
  <si>
    <t>Frank Stanley</t>
  </si>
  <si>
    <t>517 Cemetary Road</t>
  </si>
  <si>
    <t>Meservey, Matthew</t>
  </si>
  <si>
    <t>PO BOX 961 KILLINGTON VT 05751</t>
  </si>
  <si>
    <t>000AW0-1</t>
  </si>
  <si>
    <t>Meservey Home Yard</t>
  </si>
  <si>
    <t>Killington Town</t>
  </si>
  <si>
    <t>Matthew Meservey</t>
  </si>
  <si>
    <t>175 Water Mill Road</t>
  </si>
  <si>
    <t>Killington</t>
  </si>
  <si>
    <t>Cowles, Moriah</t>
  </si>
  <si>
    <t>248 ORCHARD ROAD SHELBURNE VT 05482</t>
  </si>
  <si>
    <t>000AW1-1</t>
  </si>
  <si>
    <t>Powers Yard</t>
  </si>
  <si>
    <t>Kate Powers</t>
  </si>
  <si>
    <t>429 Ethan Allen Parkway</t>
  </si>
  <si>
    <t>Smith, Tom</t>
  </si>
  <si>
    <t>1315 BURROUGHS ROAD CONCORD VT 05824</t>
  </si>
  <si>
    <t>000AW3-1</t>
  </si>
  <si>
    <t>Ridgeview Apiary</t>
  </si>
  <si>
    <t>1315 Burroughs Road</t>
  </si>
  <si>
    <t>Merchant, Todd</t>
  </si>
  <si>
    <t>1632 BRADLEY ROAD FAIRFIELD VT 05455 - FRANKLIN</t>
  </si>
  <si>
    <t>000AW5-1</t>
  </si>
  <si>
    <t>1632 Bradley Road</t>
  </si>
  <si>
    <t>000AW5-2</t>
  </si>
  <si>
    <t>Across Road Yard</t>
  </si>
  <si>
    <t>Tom Minor</t>
  </si>
  <si>
    <t>Bradley Road</t>
  </si>
  <si>
    <t>000AW5-3</t>
  </si>
  <si>
    <t>Ridge Road Yard</t>
  </si>
  <si>
    <t>Bill Fairchild</t>
  </si>
  <si>
    <t>Ridge Road</t>
  </si>
  <si>
    <t>Martin, Brennan</t>
  </si>
  <si>
    <t>344 NORTH STREET 1 BURLINGTON VT 05401</t>
  </si>
  <si>
    <t>000AW8-1</t>
  </si>
  <si>
    <t>Settlement Farm Yard</t>
  </si>
  <si>
    <t>David Martin</t>
  </si>
  <si>
    <t>416 Irish Settlement Road</t>
  </si>
  <si>
    <t>Loose, J. Arthur</t>
  </si>
  <si>
    <t>PO BOX 674 MORETOWN VT 05660 - WASHINGTON</t>
  </si>
  <si>
    <t>000AWB-1</t>
  </si>
  <si>
    <t>Euell Yard</t>
  </si>
  <si>
    <t>Euell Loose</t>
  </si>
  <si>
    <t>343 Freeman Hill Road</t>
  </si>
  <si>
    <t>Girard, Janice G.</t>
  </si>
  <si>
    <t>PO BOX 33 JEFFERSONVILLE VT 05464</t>
  </si>
  <si>
    <t>000AWD-1</t>
  </si>
  <si>
    <t>(Home)Fletcher Meadows Yd</t>
  </si>
  <si>
    <t>2226 Metcalf Pond Road</t>
  </si>
  <si>
    <t>000AWD-2</t>
  </si>
  <si>
    <t>St. Albans Yard</t>
  </si>
  <si>
    <t>18 Twin Court</t>
  </si>
  <si>
    <t>Cloud, Marion</t>
  </si>
  <si>
    <t>326 RANDOLPH CENTER ROAD RANDOLPH CENTER VT 05061</t>
  </si>
  <si>
    <t>000AX3-1</t>
  </si>
  <si>
    <t>326 Randolph Road</t>
  </si>
  <si>
    <t>McKeen, Amanda</t>
  </si>
  <si>
    <t>505 SOUTH HILL ROAD STOCKBRIDGE VT 05772 - WINDSOR</t>
  </si>
  <si>
    <t>000AX4-1</t>
  </si>
  <si>
    <t>Anderson Yard</t>
  </si>
  <si>
    <t>Mary Anderson</t>
  </si>
  <si>
    <t>Music Mountain Road</t>
  </si>
  <si>
    <t>Sutherland, Lindy (Butch)</t>
  </si>
  <si>
    <t>15 SLAYTON TERRACE WOODSTOCK VT 05091</t>
  </si>
  <si>
    <t>000AXN-1</t>
  </si>
  <si>
    <t>Hartland Yard</t>
  </si>
  <si>
    <t>100 Dodge Lane</t>
  </si>
  <si>
    <t>Fitch, Jon M.</t>
  </si>
  <si>
    <t>94 LINCOLN STREET ST JOHNSBURY VT 05819</t>
  </si>
  <si>
    <t>000AXQ-1</t>
  </si>
  <si>
    <t>Streeter Road Yard</t>
  </si>
  <si>
    <t>George Morehouse</t>
  </si>
  <si>
    <t>000AXQ-2</t>
  </si>
  <si>
    <t>N. Danville Rd Yard</t>
  </si>
  <si>
    <t>Alexander Strokanov</t>
  </si>
  <si>
    <t>1127 N. Danville Road</t>
  </si>
  <si>
    <t>00081Y-12</t>
  </si>
  <si>
    <t>441 Forest Drive</t>
  </si>
  <si>
    <t>00087P-7</t>
  </si>
  <si>
    <t>Pelletier Shop Yard</t>
  </si>
  <si>
    <t>Palmer, Kenneth</t>
  </si>
  <si>
    <t>331 BENEDICT ROAD EAST DORSET VT 05253 - BENNINGTON</t>
  </si>
  <si>
    <t>000AZ7-2</t>
  </si>
  <si>
    <t>Mad Tom Yard</t>
  </si>
  <si>
    <t>Annette Bolt</t>
  </si>
  <si>
    <t>Gilman, Kristine</t>
  </si>
  <si>
    <t>PO BOX 432 HIGHGATE CENTER VT 05459</t>
  </si>
  <si>
    <t>000AZ8-1</t>
  </si>
  <si>
    <t>"Happy Bluebird"</t>
  </si>
  <si>
    <t>Richard Gadovas</t>
  </si>
  <si>
    <t>3588 St. Armand Road</t>
  </si>
  <si>
    <t>Hill, Roger R.</t>
  </si>
  <si>
    <t>186 MACKENZIE DRIVE WORCESTER VT 05682 - WASHINGTON</t>
  </si>
  <si>
    <t>000G98-1</t>
  </si>
  <si>
    <t>R. Hill</t>
  </si>
  <si>
    <t>186 MacKenzie Drive</t>
  </si>
  <si>
    <t>Worchester</t>
  </si>
  <si>
    <t>Smith, Jesse</t>
  </si>
  <si>
    <t>432 US RT 7 NORTH RUTLAND VT 05701 - RUTLAND</t>
  </si>
  <si>
    <t>000G99-1</t>
  </si>
  <si>
    <t>Margaret Smith</t>
  </si>
  <si>
    <t>432 US RT 7 North</t>
  </si>
  <si>
    <t>Barney, Christine A.</t>
  </si>
  <si>
    <t>163 CLAY HILL ROAD HARTLAND VT 05048 - WINDSOR</t>
  </si>
  <si>
    <t>000G9A-1</t>
  </si>
  <si>
    <t>&lt;None on grid under screened bottom&gt;</t>
  </si>
  <si>
    <t>Myrrh Meadow Farm</t>
  </si>
  <si>
    <t>C. Barney</t>
  </si>
  <si>
    <t>163 Clay Hill Road</t>
  </si>
  <si>
    <t>Krulikowski, Karen</t>
  </si>
  <si>
    <t>86 HERITAGE HILL ARLINGTON VT 05250 - BENNINGTON</t>
  </si>
  <si>
    <t>000G9B-1</t>
  </si>
  <si>
    <t>86 Heritage Hill</t>
  </si>
  <si>
    <t>McCormack, William</t>
  </si>
  <si>
    <t>64 COTTON ROAD LYNDONVILLE VT 05851 - CALEDONIA</t>
  </si>
  <si>
    <t>000G9C-1</t>
  </si>
  <si>
    <t>Bill's Bees</t>
  </si>
  <si>
    <t>64 Cotton Road</t>
  </si>
  <si>
    <t>Lyndonville</t>
  </si>
  <si>
    <t>D'Eredita, Cosmo</t>
  </si>
  <si>
    <t>PO BOX 33 EAST DORSET VT 05253 - BENNINGTON</t>
  </si>
  <si>
    <t>000G9D-1</t>
  </si>
  <si>
    <t>342 Village Street</t>
  </si>
  <si>
    <t>Mirro, Judy</t>
  </si>
  <si>
    <t>1588 ROGERS ROAD RANDOLPH CENTER VT 05061 - ORANGE</t>
  </si>
  <si>
    <t>000G9F-1</t>
  </si>
  <si>
    <t>1588 Rogers Road</t>
  </si>
  <si>
    <t>Lindsey, Alan</t>
  </si>
  <si>
    <t>PO BOX 64 DORSET VT 05251 - BENNINGTON</t>
  </si>
  <si>
    <t>000G9G-1</t>
  </si>
  <si>
    <t>4525 Dorset West Road</t>
  </si>
  <si>
    <t>Keyes, William R.</t>
  </si>
  <si>
    <t>470 CREEK ROAD WALLINGFORD VT 05773 - RUTLAND</t>
  </si>
  <si>
    <t>000G9H-1</t>
  </si>
  <si>
    <t>470 Creek Road</t>
  </si>
  <si>
    <t>000G9H-2</t>
  </si>
  <si>
    <t>Bannerman Yard</t>
  </si>
  <si>
    <t>William Bannerman</t>
  </si>
  <si>
    <t>South Wallingford</t>
  </si>
  <si>
    <t>Senecal, Darrin</t>
  </si>
  <si>
    <t>PO BOX 526 MANCHESTER CENTER VT 05255 - BENNINGTON</t>
  </si>
  <si>
    <t>000G9J-1</t>
  </si>
  <si>
    <t>3518 Colvin Hill Road</t>
  </si>
  <si>
    <t>Danby 4 Corners</t>
  </si>
  <si>
    <t>00079B-2</t>
  </si>
  <si>
    <t>Hanchette Yard</t>
  </si>
  <si>
    <t>Roland Hanchette</t>
  </si>
  <si>
    <t>Ward Road</t>
  </si>
  <si>
    <t>Stafford</t>
  </si>
  <si>
    <t>Corven, Jim - Fenn Farmstead &amp; Gardens</t>
  </si>
  <si>
    <t>PO BOX 175 BELMONT VT 05730 - RUTLAND</t>
  </si>
  <si>
    <t>000G9K-1</t>
  </si>
  <si>
    <t>Corven Home Yard</t>
  </si>
  <si>
    <t>Jim Corven</t>
  </si>
  <si>
    <t>175 Fenn Road</t>
  </si>
  <si>
    <t>Barnes, Bettie</t>
  </si>
  <si>
    <t>20 WINTER STREET MONTPELIER VT 05602 - WASHINGTON</t>
  </si>
  <si>
    <t>000G9P-1</t>
  </si>
  <si>
    <t>20 Winter Street</t>
  </si>
  <si>
    <t>Reese, William</t>
  </si>
  <si>
    <t>554 CUTLER CORNER ROAD BARRE VT 05641 - WASHINGTON</t>
  </si>
  <si>
    <t>000G9Q-1</t>
  </si>
  <si>
    <t>554 Cutler Corner Road</t>
  </si>
  <si>
    <t>Krauss, Jessica</t>
  </si>
  <si>
    <t>78 SIGHS DRIVE WOLCOTT VT 05680 - LAMOILLE</t>
  </si>
  <si>
    <t>000G9V-1</t>
  </si>
  <si>
    <t>78 Sighs Drive</t>
  </si>
  <si>
    <t>Valentine, Patricia</t>
  </si>
  <si>
    <t>37 DYER AVENUE MONTPELIER VT 05602 - WASHINGTON</t>
  </si>
  <si>
    <t>000G9X-1</t>
  </si>
  <si>
    <t>37 Dyer Avenue</t>
  </si>
  <si>
    <t>Stuart, Robert R.</t>
  </si>
  <si>
    <t>134 COVINGTON LANE SHELBURNE VT 05482</t>
  </si>
  <si>
    <t>000G9Y-1</t>
  </si>
  <si>
    <t>649 Everst Road</t>
  </si>
  <si>
    <t>Clark, Gary L.</t>
  </si>
  <si>
    <t>1197 UPPER NOTCH ROAD BRISTOL VT 05443 - ADDISON</t>
  </si>
  <si>
    <t>000G9Z-1</t>
  </si>
  <si>
    <t>1197 Upper Notch Road</t>
  </si>
  <si>
    <t>Bunten, Craig</t>
  </si>
  <si>
    <t>2848 GREENBUSH ROAD APT 2 CHARLOTTE VT 05445</t>
  </si>
  <si>
    <t>000GA9-1</t>
  </si>
  <si>
    <t>Andrew Thurber</t>
  </si>
  <si>
    <t>0007JZ-9</t>
  </si>
  <si>
    <t>RT 7 Yard</t>
  </si>
  <si>
    <t>Covino, Gerard</t>
  </si>
  <si>
    <t>PO BOX 3132 FALLS CHURCH VA 22043</t>
  </si>
  <si>
    <t>000GB9-1</t>
  </si>
  <si>
    <t>Paquet Farm</t>
  </si>
  <si>
    <t>179 Morrison Road</t>
  </si>
  <si>
    <t>Hancy, Dawn</t>
  </si>
  <si>
    <t>PO BOX 88 VERSHIRE VT 05079 - ORANGE</t>
  </si>
  <si>
    <t>000ADA-1</t>
  </si>
  <si>
    <t>1113 Vereshire Center Road</t>
  </si>
  <si>
    <t>00088H-9</t>
  </si>
  <si>
    <t>White</t>
  </si>
  <si>
    <t>2770 Loop Road</t>
  </si>
  <si>
    <t>Blanchard, Greg</t>
  </si>
  <si>
    <t>777 HUNT ROAD WINDSOR VT 05089 - UNKNOWN</t>
  </si>
  <si>
    <t>000GBC-1</t>
  </si>
  <si>
    <t>Path of Life Garden</t>
  </si>
  <si>
    <t>RT 5</t>
  </si>
  <si>
    <t>000GBC-2</t>
  </si>
  <si>
    <t>Michele Ratte, Eric Shenhold</t>
  </si>
  <si>
    <t>PO BOX 643 SAXTONS RIVER VT 05154 - WINDHAM</t>
  </si>
  <si>
    <t>000GBD-1</t>
  </si>
  <si>
    <t>Shenholm Home</t>
  </si>
  <si>
    <t>Eric Shenholm</t>
  </si>
  <si>
    <t>29 Pleasant Street</t>
  </si>
  <si>
    <t>Saxtons River</t>
  </si>
  <si>
    <t>0008J0-2</t>
  </si>
  <si>
    <t>Wilusz Yard</t>
  </si>
  <si>
    <t>Joe Wilusz</t>
  </si>
  <si>
    <t>614 W. Shore Road</t>
  </si>
  <si>
    <t>N. Hero</t>
  </si>
  <si>
    <t>Swanson, George</t>
  </si>
  <si>
    <t>2981 MINES ROAD LOWELL VT 05847 - ORLEANS</t>
  </si>
  <si>
    <t>000GBY-1</t>
  </si>
  <si>
    <t>2981 Mines Road</t>
  </si>
  <si>
    <t>0008DQ-2</t>
  </si>
  <si>
    <t>Eden Ice Cider Orchards</t>
  </si>
  <si>
    <t>Albert Leger</t>
  </si>
  <si>
    <t>1023 Sanderson Hill Road</t>
  </si>
  <si>
    <t>W. Charleston</t>
  </si>
  <si>
    <t>McLaughlin, Kevin</t>
  </si>
  <si>
    <t>PO BOX 51 ROCHESTER VT 05767 - WINDSOR</t>
  </si>
  <si>
    <t>000GBZ-1</t>
  </si>
  <si>
    <t>3854 Brandon MT. Road (RT73)</t>
  </si>
  <si>
    <t>Chadwick, Brian</t>
  </si>
  <si>
    <t>208 GEORGE STREET ORANGE VT 05641</t>
  </si>
  <si>
    <t>000GC0-1</t>
  </si>
  <si>
    <t>Camp Yard</t>
  </si>
  <si>
    <t>Halts Road</t>
  </si>
  <si>
    <t>0008G7-5</t>
  </si>
  <si>
    <t>Dave Stevens</t>
  </si>
  <si>
    <t>1490 Randolph Road</t>
  </si>
  <si>
    <t>Morrisville</t>
  </si>
  <si>
    <t>Merriam, Fred</t>
  </si>
  <si>
    <t>4683 VT RT 12 BRAINTREE VT 05060 - UNKNOWN</t>
  </si>
  <si>
    <t>000GC8-1</t>
  </si>
  <si>
    <t>4683 VT RT 12</t>
  </si>
  <si>
    <t>000GC8-2</t>
  </si>
  <si>
    <t>Whalen Yard</t>
  </si>
  <si>
    <t>Tunbridge Road</t>
  </si>
  <si>
    <t>Mason, Kyle R</t>
  </si>
  <si>
    <t>1390 MONUMENT HILL ROAD CASTLETON VT 05735-0914 - RUTLAND</t>
  </si>
  <si>
    <t>000GDK-1</t>
  </si>
  <si>
    <t>Roblee Farm</t>
  </si>
  <si>
    <t>Roblee Farm LLC</t>
  </si>
  <si>
    <t>608 Kelly Hill Road</t>
  </si>
  <si>
    <t>Player, Chris</t>
  </si>
  <si>
    <t>28 PLEASANT WAY JOHNSON VT 05656</t>
  </si>
  <si>
    <t>000GDM-1</t>
  </si>
  <si>
    <t>28 Pleasant Way</t>
  </si>
  <si>
    <t>Phillips, Daniel T.</t>
  </si>
  <si>
    <t>2069 STATES PRISON HOLLOW ROAD BRISTOL VT 05443 - ADDISON</t>
  </si>
  <si>
    <t>00097D-2</t>
  </si>
  <si>
    <t>Phillips' Out Yard</t>
  </si>
  <si>
    <t>2647 States Prison Hollow Road</t>
  </si>
  <si>
    <t>Deasy, Karen</t>
  </si>
  <si>
    <t>PO BOX 37 CABOT VT 05647-0037</t>
  </si>
  <si>
    <t>000GMW-1</t>
  </si>
  <si>
    <t>Deasy Yard</t>
  </si>
  <si>
    <t>Karen Deasy</t>
  </si>
  <si>
    <t>347 Urban Road</t>
  </si>
  <si>
    <t>0008P1-2</t>
  </si>
  <si>
    <t>(Brigham) Guy Smith</t>
  </si>
  <si>
    <t>Town Line Road</t>
  </si>
  <si>
    <t>0008P1-3</t>
  </si>
  <si>
    <t>Reed Yard (Brigham RT17)</t>
  </si>
  <si>
    <t>Mr. Reed</t>
  </si>
  <si>
    <t>0008GB-5</t>
  </si>
  <si>
    <t>Jim Ozanne</t>
  </si>
  <si>
    <t>Sawyer-Needham Road</t>
  </si>
  <si>
    <t>000982-2</t>
  </si>
  <si>
    <t>Yard #2</t>
  </si>
  <si>
    <t>Stan Willard</t>
  </si>
  <si>
    <t>135 Foley Road</t>
  </si>
  <si>
    <t>Zucker, Daniel A.</t>
  </si>
  <si>
    <t>PO BOX 314 DANVILLE VT 05828 - CALEDONIA</t>
  </si>
  <si>
    <t>000GX4-1</t>
  </si>
  <si>
    <t>132 Peacham Road</t>
  </si>
  <si>
    <t>00097Z-2</t>
  </si>
  <si>
    <t>Brandon Yard</t>
  </si>
  <si>
    <t>Fran Bull</t>
  </si>
  <si>
    <t>Arnold District Road</t>
  </si>
  <si>
    <t>Gay, James</t>
  </si>
  <si>
    <t>PO BOX 662 SAXTONS RIVER VT 05154 - WINDHAM</t>
  </si>
  <si>
    <t>000GX5-1</t>
  </si>
  <si>
    <t>1 Hatfield Lane</t>
  </si>
  <si>
    <t>Schattman, Rachel</t>
  </si>
  <si>
    <t>24 1/2 SAINT LOUIS STREET BURLINGTON VT 05401</t>
  </si>
  <si>
    <t>000GY5-1</t>
  </si>
  <si>
    <t>Ruth Dennis</t>
  </si>
  <si>
    <t>90 Cemetary Road</t>
  </si>
  <si>
    <t>Limon, Peter J</t>
  </si>
  <si>
    <t>4752 RTE 14 ORLEANS VT 05845 - ORLEANS</t>
  </si>
  <si>
    <t>000GY8-1</t>
  </si>
  <si>
    <t>4752 VT RT 14</t>
  </si>
  <si>
    <t>0007C9-2</t>
  </si>
  <si>
    <t>Mikes Country Store</t>
  </si>
  <si>
    <t>00087P-8</t>
  </si>
  <si>
    <t>Hudak Yard</t>
  </si>
  <si>
    <t>Hudak Farm</t>
  </si>
  <si>
    <t>Herbert, Valerie</t>
  </si>
  <si>
    <t>PO BOX 300 PUTNEY VT 05346 - WINDHAM</t>
  </si>
  <si>
    <t>000GYK-1</t>
  </si>
  <si>
    <t>210 South Pine Banks Road</t>
  </si>
  <si>
    <t>0007V0-3</t>
  </si>
  <si>
    <t>Wolf Hill Yard</t>
  </si>
  <si>
    <t>Toby Welch</t>
  </si>
  <si>
    <t>W. Salisbury</t>
  </si>
  <si>
    <t>0007V0-4</t>
  </si>
  <si>
    <t>Leland Yard</t>
  </si>
  <si>
    <t>Barb Karle</t>
  </si>
  <si>
    <t>2392 Leland Road</t>
  </si>
  <si>
    <t>0007V0-5</t>
  </si>
  <si>
    <t>Gildrien Farm Yard</t>
  </si>
  <si>
    <t>Jeremy Gildrien</t>
  </si>
  <si>
    <t>490 DeLorm Road</t>
  </si>
  <si>
    <t>0007V0-6</t>
  </si>
  <si>
    <t>Hardt Yard</t>
  </si>
  <si>
    <t>Ron Hardt</t>
  </si>
  <si>
    <t>766 Smead Road</t>
  </si>
  <si>
    <t>Jensen, Isaac</t>
  </si>
  <si>
    <t>PO BOX 39 WEST CHARLESTON VT 05872 - ORLEANS</t>
  </si>
  <si>
    <t>000GYY-1</t>
  </si>
  <si>
    <t>1030 Crawford Hill Road</t>
  </si>
  <si>
    <t>West Charleston</t>
  </si>
  <si>
    <t>00092V-5</t>
  </si>
  <si>
    <t>All Together Yard</t>
  </si>
  <si>
    <t>Johnson/LeVan</t>
  </si>
  <si>
    <t>2435 Ridge Road</t>
  </si>
  <si>
    <t>00092V-8</t>
  </si>
  <si>
    <t>Evans Yard</t>
  </si>
  <si>
    <t>Evans/Montte</t>
  </si>
  <si>
    <t>426 Kibbee Road</t>
  </si>
  <si>
    <t>Tremper, Theodore</t>
  </si>
  <si>
    <t>PO BOX 1411 WAITSFIELD VT 05673 - WASHINGTON</t>
  </si>
  <si>
    <t>000H05-1</t>
  </si>
  <si>
    <t>3660 E. Warren Road</t>
  </si>
  <si>
    <t>Leistner, Caryn</t>
  </si>
  <si>
    <t>PO BOX 182 WOODBURY VT 05681 - WASHINGTON</t>
  </si>
  <si>
    <t>000H06-1</t>
  </si>
  <si>
    <t>Rainbow Mountain</t>
  </si>
  <si>
    <t>2825 Dog Pond Road</t>
  </si>
  <si>
    <t>Russell, Mary Jane</t>
  </si>
  <si>
    <t>PO BOX 365 CHARLOTTE VT 05445 - ADDISON</t>
  </si>
  <si>
    <t>000H13-1</t>
  </si>
  <si>
    <t>Gary Russell</t>
  </si>
  <si>
    <t>Lewis Creek Drive</t>
  </si>
  <si>
    <t>Guenard, Michelle</t>
  </si>
  <si>
    <t>832 MILL VILLAGE ROAD CRAFTSBURY COMMON VT 05827-0028</t>
  </si>
  <si>
    <t>000H3F-1</t>
  </si>
  <si>
    <t>Blueberry Fields Apiary</t>
  </si>
  <si>
    <t>Brian Machesney</t>
  </si>
  <si>
    <t>832 Mill Village Road</t>
  </si>
  <si>
    <t>Tribble, Andrew</t>
  </si>
  <si>
    <t>10 SHERRY ROAD SOUTH BURLINGTON VT 05403</t>
  </si>
  <si>
    <t>000H3K-1</t>
  </si>
  <si>
    <t>Hurdland Honey</t>
  </si>
  <si>
    <t>Jim Uleyer (sp?)</t>
  </si>
  <si>
    <t>0008Y2-2</t>
  </si>
  <si>
    <t>MacArthur Yard</t>
  </si>
  <si>
    <t>Dan MacArthur</t>
  </si>
  <si>
    <t>MacAurthur Road</t>
  </si>
  <si>
    <t>Brohinsky, Candee</t>
  </si>
  <si>
    <t>PO BOX 74 900 BIBLE HILL ROAD BROWNSVILLE VT 05037</t>
  </si>
  <si>
    <t>000H40-1</t>
  </si>
  <si>
    <t>233 RT 113</t>
  </si>
  <si>
    <t>W. Fairlee</t>
  </si>
  <si>
    <t>Boulmetis, Charles</t>
  </si>
  <si>
    <t>4101 VT RTE 58E LOWELL VT 05847 - ORLEANS</t>
  </si>
  <si>
    <t>000H41-1</t>
  </si>
  <si>
    <t>Boulmetis Home Yard</t>
  </si>
  <si>
    <t>Charles Boulmetis</t>
  </si>
  <si>
    <t>4101 VT RT 58 East</t>
  </si>
  <si>
    <t>Smith, Jane Beth</t>
  </si>
  <si>
    <t>PO BOX 183 NEWBURY VT 05051 - ORANGE</t>
  </si>
  <si>
    <t>000H45-1</t>
  </si>
  <si>
    <t>1646 Perini Road</t>
  </si>
  <si>
    <t>0007FV-2</t>
  </si>
  <si>
    <t>Alicia Jenks</t>
  </si>
  <si>
    <t>Pollination</t>
  </si>
  <si>
    <t>Rte 131 &amp;South Mountain Road</t>
  </si>
  <si>
    <t>Kilborn, Ryan J</t>
  </si>
  <si>
    <t>102 CALAIS RD WORCESTER VT 05682 - WASHINGTON</t>
  </si>
  <si>
    <t>000H4Z-1</t>
  </si>
  <si>
    <t>Templeton Farm</t>
  </si>
  <si>
    <t>Bruce Chapell</t>
  </si>
  <si>
    <t>Center Road</t>
  </si>
  <si>
    <t>McNeil, John</t>
  </si>
  <si>
    <t>PO BOX 94 W TOPSHAM VT 05086 - ORANGE</t>
  </si>
  <si>
    <t>00094X-3</t>
  </si>
  <si>
    <t>Manning Yard</t>
  </si>
  <si>
    <t>Gene Manning</t>
  </si>
  <si>
    <t>Buttercup Mountain Farm</t>
  </si>
  <si>
    <t>Middleton, Curtis T.</t>
  </si>
  <si>
    <t>PO BOX 2415 BRATTLEBORO VT 05303-2415 - UNKNOWN</t>
  </si>
  <si>
    <t>000H5H-1</t>
  </si>
  <si>
    <t>21A Abbott Road</t>
  </si>
  <si>
    <t>W. Brattleboro</t>
  </si>
  <si>
    <t>Kehler, Matthew</t>
  </si>
  <si>
    <t>884 GARVIN HILL ROAD GREENSBORO BEND VT 05842</t>
  </si>
  <si>
    <t>000H5J-1</t>
  </si>
  <si>
    <t>Jasper Hill Farm</t>
  </si>
  <si>
    <t>Andrew Kehler</t>
  </si>
  <si>
    <t>884 Garvin Hill Road</t>
  </si>
  <si>
    <t>Lyman, Steve R.</t>
  </si>
  <si>
    <t>PO BOX 72 89 LYMAN ROAD SHARON VT 05065</t>
  </si>
  <si>
    <t>000H6Q-1</t>
  </si>
  <si>
    <t>89 Lyman Road</t>
  </si>
  <si>
    <t>Hunkele, Harry</t>
  </si>
  <si>
    <t>185 EAST 3RD STREET APT 5H NEW YORK NY 10009</t>
  </si>
  <si>
    <t>000H6V-1</t>
  </si>
  <si>
    <t>Summer Home Yard</t>
  </si>
  <si>
    <t>113 White Birch Lane</t>
  </si>
  <si>
    <t>West Wardsboro</t>
  </si>
  <si>
    <t>Gibson, Hugh</t>
  </si>
  <si>
    <t>6 SCHOOL STREET ESSEX JUNCTION VT 05452</t>
  </si>
  <si>
    <t>000H6X-1</t>
  </si>
  <si>
    <t>Gibson Home Yard</t>
  </si>
  <si>
    <t>Hugh Gibson</t>
  </si>
  <si>
    <t>6 School Street</t>
  </si>
  <si>
    <t>0008N6-4</t>
  </si>
  <si>
    <t>Nuc Yard</t>
  </si>
  <si>
    <t>293 Lost Nation Road</t>
  </si>
  <si>
    <t>0008P1-4</t>
  </si>
  <si>
    <t>Sunshine Berry Farm</t>
  </si>
  <si>
    <t>Sunshine Valley Organic Berry</t>
  </si>
  <si>
    <t>Peyerl, Amanda</t>
  </si>
  <si>
    <t>2031 BAPTIST STREET WILLIAMSTOWN VT 05679 - ORANGE</t>
  </si>
  <si>
    <t>000HAA-2</t>
  </si>
  <si>
    <t>Single Gate Farm</t>
  </si>
  <si>
    <t>Scott Ackereman</t>
  </si>
  <si>
    <t>109 W. Cobble Hill Road</t>
  </si>
  <si>
    <t>Heinchon, mark A.</t>
  </si>
  <si>
    <t>1611 HARBOR ROAD SHELBURNE VT 05482</t>
  </si>
  <si>
    <t>000HAK-1</t>
  </si>
  <si>
    <t>Shelburn Farms</t>
  </si>
  <si>
    <t>0008DK-5</t>
  </si>
  <si>
    <t>Clearbrook North</t>
  </si>
  <si>
    <t>Old Depot Rd</t>
  </si>
  <si>
    <t>Potvin, William J.</t>
  </si>
  <si>
    <t>85 GLENDALE MEADOW LANE HARRISVILLE RI 02830</t>
  </si>
  <si>
    <t>000HC3-1</t>
  </si>
  <si>
    <t>Summer Camp</t>
  </si>
  <si>
    <t>William Potvin</t>
  </si>
  <si>
    <t>2418 Victory Road</t>
  </si>
  <si>
    <t>Caplan, Laurie</t>
  </si>
  <si>
    <t>PO BOX 910 WEST DOVER VT 05356 - WINDHAM</t>
  </si>
  <si>
    <t>000HC4-1</t>
  </si>
  <si>
    <t>150 Brown Road</t>
  </si>
  <si>
    <t>West Dover</t>
  </si>
  <si>
    <t>Comollo, Keth R</t>
  </si>
  <si>
    <t>117 BENEDICT ROAD EAST DORSET VT 05253</t>
  </si>
  <si>
    <t>000HF1-1</t>
  </si>
  <si>
    <t>Bolt Yard</t>
  </si>
  <si>
    <t>A. Bolt</t>
  </si>
  <si>
    <t>647 Mad Tom Road</t>
  </si>
  <si>
    <t>000HF1-2</t>
  </si>
  <si>
    <t>Edholm Yard</t>
  </si>
  <si>
    <t>R. Edholm</t>
  </si>
  <si>
    <t>147 Mad Tom Road</t>
  </si>
  <si>
    <t>000HF1-3</t>
  </si>
  <si>
    <t>Farley Yard</t>
  </si>
  <si>
    <t>R. Farley</t>
  </si>
  <si>
    <t>Read Farm Road</t>
  </si>
  <si>
    <t>000945-2</t>
  </si>
  <si>
    <t>Vallee Yard</t>
  </si>
  <si>
    <t>Rod Vallee</t>
  </si>
  <si>
    <t>Polly Hubbard Road</t>
  </si>
  <si>
    <t>000989-2</t>
  </si>
  <si>
    <t>Cedar Circle Farm</t>
  </si>
  <si>
    <t>225 Pavillion Road</t>
  </si>
  <si>
    <t>000989-3</t>
  </si>
  <si>
    <t>Farthers Yard</t>
  </si>
  <si>
    <t>Eric LaWhite</t>
  </si>
  <si>
    <t>2907 Dairy Hill Road</t>
  </si>
  <si>
    <t>00081P-2</t>
  </si>
  <si>
    <t>Jacob Haigh</t>
  </si>
  <si>
    <t>48 N. Pleasant Street Apt. C</t>
  </si>
  <si>
    <t>0008B2-2</t>
  </si>
  <si>
    <t>&lt;Heavy mite load&gt;</t>
  </si>
  <si>
    <t>Kratt Yard</t>
  </si>
  <si>
    <t>Martin Kratt</t>
  </si>
  <si>
    <t>Nobles Hill Road</t>
  </si>
  <si>
    <t>Isle LaMotte</t>
  </si>
  <si>
    <t>0008B2-3</t>
  </si>
  <si>
    <t>Turner Yard</t>
  </si>
  <si>
    <t>Larry Turner</t>
  </si>
  <si>
    <t>Main Street</t>
  </si>
  <si>
    <t>Harrington, Gary F.</t>
  </si>
  <si>
    <t>173 JASPER LANE ARLILNGTON VT 05250 - BENNINGTON</t>
  </si>
  <si>
    <t>000HVV-1</t>
  </si>
  <si>
    <t>173 Jasper Lane</t>
  </si>
  <si>
    <t>Catlin, Mark</t>
  </si>
  <si>
    <t>101 MINISTER ROAD MONTPELIER VT 05602 - WASHINGTON</t>
  </si>
  <si>
    <t>000HVZ-1</t>
  </si>
  <si>
    <t>Catlin-Home Yard</t>
  </si>
  <si>
    <t>Mark Catlin</t>
  </si>
  <si>
    <t>101 Minister Road</t>
  </si>
  <si>
    <t>00088H-10</t>
  </si>
  <si>
    <t>Randall's Yard</t>
  </si>
  <si>
    <t>Randall</t>
  </si>
  <si>
    <t>Bonneau Road</t>
  </si>
  <si>
    <t>00088H-11</t>
  </si>
  <si>
    <t>Tinker - Palmer</t>
  </si>
  <si>
    <t>Tinker Palmer</t>
  </si>
  <si>
    <t>Off RT 2</t>
  </si>
  <si>
    <t>Alburgh</t>
  </si>
  <si>
    <t>00088H-13</t>
  </si>
  <si>
    <t>Bridge Yard (Bohanan - RD)</t>
  </si>
  <si>
    <t>Christopher</t>
  </si>
  <si>
    <t>Alburgh Springs Road</t>
  </si>
  <si>
    <t>Alburgh Springs</t>
  </si>
  <si>
    <t>00088H-14</t>
  </si>
  <si>
    <t>RR Bed Yard (RD)</t>
  </si>
  <si>
    <t>Duhammel</t>
  </si>
  <si>
    <t>RT 78</t>
  </si>
  <si>
    <t>00088H-15</t>
  </si>
  <si>
    <t>Corn</t>
  </si>
  <si>
    <t>Pallarty</t>
  </si>
  <si>
    <t>00088H-16</t>
  </si>
  <si>
    <t>Yandow Yard (RD)</t>
  </si>
  <si>
    <t>Lord Road</t>
  </si>
  <si>
    <t>00088H-18</t>
  </si>
  <si>
    <t>Asparagus Yard (RD)</t>
  </si>
  <si>
    <t>Pomykala</t>
  </si>
  <si>
    <t>Faywood Road</t>
  </si>
  <si>
    <t>00088H-19</t>
  </si>
  <si>
    <t>Trembley Yard (RD)</t>
  </si>
  <si>
    <t>Trembley</t>
  </si>
  <si>
    <t>197 Alburg Springs Road</t>
  </si>
  <si>
    <t>00088H-21</t>
  </si>
  <si>
    <t>Munson Yard (RD)</t>
  </si>
  <si>
    <t>Munson</t>
  </si>
  <si>
    <t>Lombard Road</t>
  </si>
  <si>
    <t>00088H-24</t>
  </si>
  <si>
    <t>Jill Hazen Yard (RD)</t>
  </si>
  <si>
    <t>Jill Hazen</t>
  </si>
  <si>
    <t>Lake View Road</t>
  </si>
  <si>
    <t>00088H-25</t>
  </si>
  <si>
    <t>Allenholm Yard (RD)</t>
  </si>
  <si>
    <t>Ray Allen</t>
  </si>
  <si>
    <t>South Street</t>
  </si>
  <si>
    <t>00088H-26</t>
  </si>
  <si>
    <t>Hero House Yard (RD)</t>
  </si>
  <si>
    <t>Heiss</t>
  </si>
  <si>
    <t>Station Road</t>
  </si>
  <si>
    <t>Valchuis, Laurel</t>
  </si>
  <si>
    <t>120 N WILLARD STREET BURLINGTON VT 05401 - CHITTENDEN</t>
  </si>
  <si>
    <t>000J68-1</t>
  </si>
  <si>
    <t>Tamarack Hollow Farm</t>
  </si>
  <si>
    <t>519 Eathan Allen Parkway</t>
  </si>
  <si>
    <t>Cheney, Jason</t>
  </si>
  <si>
    <t>254 BARBER FARM ROAD JERICHO VT 05465</t>
  </si>
  <si>
    <t>000J7N-1</t>
  </si>
  <si>
    <t>Thompson Yard</t>
  </si>
  <si>
    <t>Tom Thompson</t>
  </si>
  <si>
    <t>134 Weed Road</t>
  </si>
  <si>
    <t>Darr, Brian</t>
  </si>
  <si>
    <t>PO BOX 750 ARLINGTON VT 05250 - BENNINGTON</t>
  </si>
  <si>
    <t>000J8Q-1</t>
  </si>
  <si>
    <t>400 Spring Brook Road</t>
  </si>
  <si>
    <t>Brust, Mary</t>
  </si>
  <si>
    <t>445 ST PAUL STREET BURLINGTON VT 05701</t>
  </si>
  <si>
    <t>000J92-1</t>
  </si>
  <si>
    <t>Triple Combination Farm</t>
  </si>
  <si>
    <t>579 Dakin Road</t>
  </si>
  <si>
    <t>Pattin, Andrew</t>
  </si>
  <si>
    <t>PO BOX 5271 BURLINGTON VT 05402</t>
  </si>
  <si>
    <t>000JCC-1</t>
  </si>
  <si>
    <t>522 Decker Road</t>
  </si>
  <si>
    <t>0007V0-7</t>
  </si>
  <si>
    <t>Cole Yard</t>
  </si>
  <si>
    <t>Rob Cole</t>
  </si>
  <si>
    <t>2182 RT 7</t>
  </si>
  <si>
    <t>Gaudreau, Paul M.</t>
  </si>
  <si>
    <t>1104 KENT HOLLOW ROAD WEST RUPERT VT 05776 - BENNINGTON</t>
  </si>
  <si>
    <t>000JCV-1</t>
  </si>
  <si>
    <t>Gaudreau-Home Yard</t>
  </si>
  <si>
    <t>Paul Gaudreau</t>
  </si>
  <si>
    <t>1104 Kent Hollow Road</t>
  </si>
  <si>
    <t>West Rupert</t>
  </si>
  <si>
    <t>0008W7-2</t>
  </si>
  <si>
    <t>Liebigs</t>
  </si>
  <si>
    <t>Liebigs Berry Farm</t>
  </si>
  <si>
    <t>Button Falls Road</t>
  </si>
  <si>
    <t>Dittmeier, Stewart B.</t>
  </si>
  <si>
    <t>2017 WEST LAKE ROAD WELLS VT 05774 - RUTLAND</t>
  </si>
  <si>
    <t>000JQW-1</t>
  </si>
  <si>
    <t>Dittmeier-Home Yard (Lake Yard)</t>
  </si>
  <si>
    <t>Dittmeier</t>
  </si>
  <si>
    <t>2017 West Lake Road</t>
  </si>
  <si>
    <t>000JQW-2</t>
  </si>
  <si>
    <t>Main Street Yard</t>
  </si>
  <si>
    <t>Heather Thomas</t>
  </si>
  <si>
    <t>000JQW-3</t>
  </si>
  <si>
    <t>Saw Mill Hill Yard</t>
  </si>
  <si>
    <t>William West</t>
  </si>
  <si>
    <t>Sawmill Hill Road</t>
  </si>
  <si>
    <t>Fletcher, Dan</t>
  </si>
  <si>
    <t>3929 VT RT 15 JEFFERSONVILLE VT 05464 - LAMOILLE</t>
  </si>
  <si>
    <t>000JQX-1</t>
  </si>
  <si>
    <t>VT Maple Outlet Yard</t>
  </si>
  <si>
    <t>Rick Marsh</t>
  </si>
  <si>
    <t>3929 VT RT 15</t>
  </si>
  <si>
    <t>Jeffersonville</t>
  </si>
  <si>
    <t>Thayer, Greg</t>
  </si>
  <si>
    <t>132 WOODBURY ROAD BURLINGTON VT 05408</t>
  </si>
  <si>
    <t>000JQZ-1</t>
  </si>
  <si>
    <t>Paul Mazza Farm</t>
  </si>
  <si>
    <t>Paul Mazza</t>
  </si>
  <si>
    <t>Westcott, Steven</t>
  </si>
  <si>
    <t>69 JOHNSON ROAD PROCTORSVILLE VT 05153 - WINDSOR</t>
  </si>
  <si>
    <t>000JV1-1</t>
  </si>
  <si>
    <t>Westcott-Home Yard</t>
  </si>
  <si>
    <t>Steven Westcott</t>
  </si>
  <si>
    <t>69 Johnson Road</t>
  </si>
  <si>
    <t>McLelland, Gregory</t>
  </si>
  <si>
    <t>1092 SYMONDS MILL ROAD LAKE ELMORE VT 05657 - LAMOILLE</t>
  </si>
  <si>
    <t>000JV6-1</t>
  </si>
  <si>
    <t>1092 Symonds Mill Road</t>
  </si>
  <si>
    <t>Merriam, Kathryn</t>
  </si>
  <si>
    <t>PO BOX 201 EAST DOVER VT 05341 - WINDHAM</t>
  </si>
  <si>
    <t>000JV9-1</t>
  </si>
  <si>
    <t>58 Wakelee Road</t>
  </si>
  <si>
    <t>East Dover</t>
  </si>
  <si>
    <t>Cary, Jennifer</t>
  </si>
  <si>
    <t>467 SUNSET LANE WINDSOR VT 05089</t>
  </si>
  <si>
    <t>000JVA-1</t>
  </si>
  <si>
    <t>Pierce Lot Yard</t>
  </si>
  <si>
    <t>David Pierce</t>
  </si>
  <si>
    <t>298 US RT 5 N</t>
  </si>
  <si>
    <t>Cutler, Judith</t>
  </si>
  <si>
    <t>25 HAWTHORNE STREET BROOKLYN NY 11225</t>
  </si>
  <si>
    <t>000JVB-1</t>
  </si>
  <si>
    <t>711 Scribner Road</t>
  </si>
  <si>
    <t>East Calais</t>
  </si>
  <si>
    <t>Jackson, John</t>
  </si>
  <si>
    <t>2279 RTE 113 THETFORD VT 05074 - ORANGE</t>
  </si>
  <si>
    <t>000JVC-1</t>
  </si>
  <si>
    <t>2279 RT 113</t>
  </si>
  <si>
    <t>Kleptz, R. Mark</t>
  </si>
  <si>
    <t>62 TIMBER LANE SHELBURNE VT 05482 - CHITTENDEN</t>
  </si>
  <si>
    <t>000JVD-1</t>
  </si>
  <si>
    <t>James Kleptz</t>
  </si>
  <si>
    <t>8074 Spear Street</t>
  </si>
  <si>
    <t>Fahey, Antoine</t>
  </si>
  <si>
    <t>46 GRAPEVINE LANE POWNAL VT 05261</t>
  </si>
  <si>
    <t>000JVN-1</t>
  </si>
  <si>
    <t>Fahey Home Yard</t>
  </si>
  <si>
    <t>Fahey</t>
  </si>
  <si>
    <t>46 Grapevine Lane</t>
  </si>
  <si>
    <t>000JVN-2</t>
  </si>
  <si>
    <t>Gardner Yard</t>
  </si>
  <si>
    <t>Mike Gardner</t>
  </si>
  <si>
    <t>Mann Hill Road</t>
  </si>
  <si>
    <t>000JVN-3</t>
  </si>
  <si>
    <t>Peckham Yard</t>
  </si>
  <si>
    <t>Steve Peckham</t>
  </si>
  <si>
    <t>Buck Hill Road</t>
  </si>
  <si>
    <t>Shafsbury</t>
  </si>
  <si>
    <t>000945-3</t>
  </si>
  <si>
    <t>Palmer Yard</t>
  </si>
  <si>
    <t>Dayle Palmer</t>
  </si>
  <si>
    <t>5746 Ethan Allen Highway</t>
  </si>
  <si>
    <t>000945-4</t>
  </si>
  <si>
    <t>Dickerson Yard</t>
  </si>
  <si>
    <t>Richard Dickerson</t>
  </si>
  <si>
    <t>69 Button Road</t>
  </si>
  <si>
    <t>000945-5</t>
  </si>
  <si>
    <t>Mayo Yard</t>
  </si>
  <si>
    <t>William Mayo</t>
  </si>
  <si>
    <t>000945-6</t>
  </si>
  <si>
    <t>Lussier Yard</t>
  </si>
  <si>
    <t>Robert Lussier</t>
  </si>
  <si>
    <t>Beebe Road</t>
  </si>
  <si>
    <t>Palmer, Gisela</t>
  </si>
  <si>
    <t>PO BOX 7 MIDDLEBURY VT 05753</t>
  </si>
  <si>
    <t>000JVQ-1</t>
  </si>
  <si>
    <t>Palmer-Home Yard</t>
  </si>
  <si>
    <t>Gisela Palmer</t>
  </si>
  <si>
    <t>627 Bardon Drive</t>
  </si>
  <si>
    <t>Allen, Danielle</t>
  </si>
  <si>
    <t>2340 ROUTE 5 NORTH FAIRLEE VT 05045</t>
  </si>
  <si>
    <t>000JW8-1</t>
  </si>
  <si>
    <t>&lt;Low- not counted&gt;</t>
  </si>
  <si>
    <t>Allen- Home Yard</t>
  </si>
  <si>
    <t>Danielle Allen</t>
  </si>
  <si>
    <t>2340 Route 5 North</t>
  </si>
  <si>
    <t>Bell, Chad</t>
  </si>
  <si>
    <t>1 SCHOOL STREET B ORLEANS VT 05860</t>
  </si>
  <si>
    <t>000JW9-1</t>
  </si>
  <si>
    <t>"3B"</t>
  </si>
  <si>
    <t>Bernard White</t>
  </si>
  <si>
    <t>1288 Barton-Orleans Road</t>
  </si>
  <si>
    <t>Wasyliko, Richard</t>
  </si>
  <si>
    <t>PO BOX 384 LONDONDERRY VT 05148 - WINDHAM</t>
  </si>
  <si>
    <t>000JWC-1</t>
  </si>
  <si>
    <t>Wasyliko-Home Yard</t>
  </si>
  <si>
    <t>Richard Wasyliko</t>
  </si>
  <si>
    <t>196 Old Sawmill Road</t>
  </si>
  <si>
    <t>Stahl, Bob</t>
  </si>
  <si>
    <t>163 BISHOP ROAD HINESBURG VT 05461</t>
  </si>
  <si>
    <t>00092M-2</t>
  </si>
  <si>
    <t>Marshall Yard</t>
  </si>
  <si>
    <t>Marshall Delaire</t>
  </si>
  <si>
    <t>1912 Silver Street</t>
  </si>
  <si>
    <t>00092M-4</t>
  </si>
  <si>
    <t>George Yard</t>
  </si>
  <si>
    <t>Nancy Faulkner</t>
  </si>
  <si>
    <t>283 Higbee Road</t>
  </si>
  <si>
    <t>Brook, Judy</t>
  </si>
  <si>
    <t>603 SOUTH BEACH ROAD SOUTH BURLINGTON VT 05403</t>
  </si>
  <si>
    <t>000JWD-1</t>
  </si>
  <si>
    <t>&lt;bottom board 9/hive/day&gt;</t>
  </si>
  <si>
    <t>Whitman, Donald</t>
  </si>
  <si>
    <t>211 MOUNTAIN VIEW DRIVE BOLTON VT 05676</t>
  </si>
  <si>
    <t>000JWF-1</t>
  </si>
  <si>
    <t>&lt;low&gt;</t>
  </si>
  <si>
    <t>Whitman Home Yard</t>
  </si>
  <si>
    <t>211 Mountain View Drive</t>
  </si>
  <si>
    <t>Comar, Shawn</t>
  </si>
  <si>
    <t>389 WAITE HILL ROAD PAWLET VT 05761</t>
  </si>
  <si>
    <t>000JWJ-1</t>
  </si>
  <si>
    <t>Fred Aakjar</t>
  </si>
  <si>
    <t>1436 Lily Hill Road</t>
  </si>
  <si>
    <t>Mills, Andrea</t>
  </si>
  <si>
    <t>PO BOX 15 WEBSTERVILLE VT 05678</t>
  </si>
  <si>
    <t>000JWK-1</t>
  </si>
  <si>
    <t>58 Brook Street</t>
  </si>
  <si>
    <t>Websterville</t>
  </si>
  <si>
    <t>Guilmartin, Sheila</t>
  </si>
  <si>
    <t>4815 MAIN ROAD HUNTINGTON VT 05462</t>
  </si>
  <si>
    <t>000JWV-1</t>
  </si>
  <si>
    <t>Guilmartin Home Yard</t>
  </si>
  <si>
    <t>Sheila Guilmartin</t>
  </si>
  <si>
    <t>4815 Main Road</t>
  </si>
  <si>
    <t>Huntington Center</t>
  </si>
  <si>
    <t>Copley, Dianne D.</t>
  </si>
  <si>
    <t>PO BOX 516 HARTFORD VT 05047 - WINDSOR</t>
  </si>
  <si>
    <t>000JX4-1</t>
  </si>
  <si>
    <t>1629 VT RT 14</t>
  </si>
  <si>
    <t>White River Junction</t>
  </si>
  <si>
    <t>Senn, Eric</t>
  </si>
  <si>
    <t>158 WEED ROAD ESSEX JUNCTION VT 05452 - UNKNOWN</t>
  </si>
  <si>
    <t>000JX5-1</t>
  </si>
  <si>
    <t>Senn-Home Yard</t>
  </si>
  <si>
    <t>Walter Senn</t>
  </si>
  <si>
    <t>258 Jericho Road</t>
  </si>
  <si>
    <t>00087P-9</t>
  </si>
  <si>
    <t>Tittemore-Home Yard</t>
  </si>
  <si>
    <t>Merril Tittemore</t>
  </si>
  <si>
    <t>1 Parsons Lane</t>
  </si>
  <si>
    <t>Mithoefer, Benjamin</t>
  </si>
  <si>
    <t>PO BOX 332 DORSET VT 05251 - BENNINGTON</t>
  </si>
  <si>
    <t>000G9W-1</t>
  </si>
  <si>
    <t>Winpenny Yard</t>
  </si>
  <si>
    <t>940 Rupert Hill Road</t>
  </si>
  <si>
    <t>000G9W-2</t>
  </si>
  <si>
    <t>Farmer Yard</t>
  </si>
  <si>
    <t>Andy Farmer</t>
  </si>
  <si>
    <t>RT 153</t>
  </si>
  <si>
    <t>000G9W-4</t>
  </si>
  <si>
    <t>Ross Pit Yard</t>
  </si>
  <si>
    <t>Jim Ross</t>
  </si>
  <si>
    <t>Ross Pit Road</t>
  </si>
  <si>
    <t>Long, Avery</t>
  </si>
  <si>
    <t>420 CARROLL ROAD WAITSFIELD VT 05673 - WASHINGTON</t>
  </si>
  <si>
    <t>00078P-2</t>
  </si>
  <si>
    <t>Parents House</t>
  </si>
  <si>
    <t>1188 Tucker Hill Road</t>
  </si>
  <si>
    <t>Guilfoy, Ryan</t>
  </si>
  <si>
    <t>1823 MT PHILO ROAD CHARLOTTE VT 05445</t>
  </si>
  <si>
    <t>000H09-1</t>
  </si>
  <si>
    <t>Huntington Yard</t>
  </si>
  <si>
    <t>Ed Guilfoy</t>
  </si>
  <si>
    <t>Moody Road</t>
  </si>
  <si>
    <t>000H09-2</t>
  </si>
  <si>
    <t>Charlotte Yard</t>
  </si>
  <si>
    <t>Peter Swift</t>
  </si>
  <si>
    <t>1905 Mt. Philo Road</t>
  </si>
  <si>
    <t>Mode, Jesse</t>
  </si>
  <si>
    <t>PO BOX 222 FAIRFIELD VT 05455-0222</t>
  </si>
  <si>
    <t>000JZ9-1</t>
  </si>
  <si>
    <t>1425 Wanzer Road</t>
  </si>
  <si>
    <t>West, Kim</t>
  </si>
  <si>
    <t>2490 SOUTH STREAM ROAD BENNINGTON VT 05201-8895 - BENNINGTON</t>
  </si>
  <si>
    <t>000JZH-1</t>
  </si>
  <si>
    <t>2490 South Stream Road</t>
  </si>
  <si>
    <t>Wolf, Kristin</t>
  </si>
  <si>
    <t>185 ALPINE MEADOW WATERBURY VT 05676</t>
  </si>
  <si>
    <t>000K03-2</t>
  </si>
  <si>
    <t>Champlain College Apiary</t>
  </si>
  <si>
    <t>Champlain College</t>
  </si>
  <si>
    <t>163 South Willard Street</t>
  </si>
  <si>
    <t>000ADW-2</t>
  </si>
  <si>
    <t>Martin-Home Yard</t>
  </si>
  <si>
    <t>Robert Martin</t>
  </si>
  <si>
    <t>36 Calais Road</t>
  </si>
  <si>
    <t>Walsh, James</t>
  </si>
  <si>
    <t>PO BOX 48 NEW HAVEN VT 05472 - ADDISON</t>
  </si>
  <si>
    <t>000K57-1</t>
  </si>
  <si>
    <t>93 Forest Drive</t>
  </si>
  <si>
    <t>000J7N-2</t>
  </si>
  <si>
    <t>Newport Yard</t>
  </si>
  <si>
    <t>Charles Thompson</t>
  </si>
  <si>
    <t>700 High Acres Road</t>
  </si>
  <si>
    <t>000AW0-2</t>
  </si>
  <si>
    <t>Goodro Lumber Yard</t>
  </si>
  <si>
    <t>Bill Shaw</t>
  </si>
  <si>
    <t>4489 US RT 4</t>
  </si>
  <si>
    <t>0007WB-22</t>
  </si>
  <si>
    <t>Patterson Nuc Yard</t>
  </si>
  <si>
    <t>847 Mountain Road</t>
  </si>
  <si>
    <t>0007WB-23</t>
  </si>
  <si>
    <t>Webster</t>
  </si>
  <si>
    <t>1437 South Street</t>
  </si>
  <si>
    <t>0007P4-26</t>
  </si>
  <si>
    <t>Oneil Yard</t>
  </si>
  <si>
    <t>ONeil Family</t>
  </si>
  <si>
    <t>Leavensworth Road</t>
  </si>
  <si>
    <t>0007P4-27</t>
  </si>
  <si>
    <t>Plouff Family</t>
  </si>
  <si>
    <t>Plouff Farm Lane</t>
  </si>
  <si>
    <t>0007P4-28</t>
  </si>
  <si>
    <t>Lapairre Yard</t>
  </si>
  <si>
    <t>La Pierre Familiy</t>
  </si>
  <si>
    <t>RT 116</t>
  </si>
  <si>
    <t>Lane, Andrew</t>
  </si>
  <si>
    <t>PO BOX 252 SOUTH STRAFFORD VT 05070</t>
  </si>
  <si>
    <t>000KGM-1</t>
  </si>
  <si>
    <t>Lane-Home Yard</t>
  </si>
  <si>
    <t>Andrew Lane</t>
  </si>
  <si>
    <t>61 Turnpike Road</t>
  </si>
  <si>
    <t>South Strafford</t>
  </si>
  <si>
    <t>Seelgen, Grant</t>
  </si>
  <si>
    <t>PO BOX 1413 WILMINGTON VT 05361 - WINDHAM</t>
  </si>
  <si>
    <t>000KGN-1</t>
  </si>
  <si>
    <t>47 Stonebrook Road</t>
  </si>
  <si>
    <t>Sand, Neal F.</t>
  </si>
  <si>
    <t>484 BEAR TRAP ROAD MILTON VT 05468 - CHITTENDEN</t>
  </si>
  <si>
    <t>00098Y-1</t>
  </si>
  <si>
    <t>&lt;Moderate, Tx'd with thyme&gt;</t>
  </si>
  <si>
    <t>Sand-Home Yard</t>
  </si>
  <si>
    <t>Neal Sand</t>
  </si>
  <si>
    <t>484 Bear Trap Road</t>
  </si>
  <si>
    <t>00098Y-3</t>
  </si>
  <si>
    <t>Charlebois Yard</t>
  </si>
  <si>
    <t>950 RT7</t>
  </si>
  <si>
    <t>South Milton</t>
  </si>
  <si>
    <t>Benoit, Darci (Bees On Broadway)</t>
  </si>
  <si>
    <t>20 BROADWAY STREET SWANTON VT 05488</t>
  </si>
  <si>
    <t>000KGY-1</t>
  </si>
  <si>
    <t>Parent's House Yard</t>
  </si>
  <si>
    <t>20 Broadway St</t>
  </si>
  <si>
    <t>000AW8-2</t>
  </si>
  <si>
    <t>Valley Dream Farm Yard</t>
  </si>
  <si>
    <t>Ann Tisbert</t>
  </si>
  <si>
    <t>Pleasant Valley Road</t>
  </si>
  <si>
    <t>Coffey, Gary</t>
  </si>
  <si>
    <t>750 PINE STREET BURLINGTON VT 05401 - CHITTENDEN</t>
  </si>
  <si>
    <t>000KH4-1</t>
  </si>
  <si>
    <t>LCC</t>
  </si>
  <si>
    <t>Rowe, Patrick</t>
  </si>
  <si>
    <t>PO BOX 107 MONKTON VT 05469 - ADDISON</t>
  </si>
  <si>
    <t>000KHC-1</t>
  </si>
  <si>
    <t>90Cemetery Road</t>
  </si>
  <si>
    <t>Hiller, Louis</t>
  </si>
  <si>
    <t>93 SEASIDE AVENUE BRIDGEPORT CT 06605</t>
  </si>
  <si>
    <t>000KHD-1</t>
  </si>
  <si>
    <t>Louis Hiller</t>
  </si>
  <si>
    <t>171 Halls Lake Road</t>
  </si>
  <si>
    <t>Wasser, Brent</t>
  </si>
  <si>
    <t>302 COLE AVENUE WILLIAMSTOWN MA 01267</t>
  </si>
  <si>
    <t>000KHH-1</t>
  </si>
  <si>
    <t>Mighty Food Farm</t>
  </si>
  <si>
    <t>Sally Dodge Mole</t>
  </si>
  <si>
    <t>549 Cedar Hill Road</t>
  </si>
  <si>
    <t>Littlefield, Shawn</t>
  </si>
  <si>
    <t>PO BOX 163 THETFORD CENTER VT 05075</t>
  </si>
  <si>
    <t>000KHJ-1</t>
  </si>
  <si>
    <t>Howard Littlefield</t>
  </si>
  <si>
    <t>92 Colby Road South</t>
  </si>
  <si>
    <t>Thetford Center</t>
  </si>
  <si>
    <t>000KHJ-2</t>
  </si>
  <si>
    <t>#4</t>
  </si>
  <si>
    <t>Mary Harris</t>
  </si>
  <si>
    <t>140 Brackett Road</t>
  </si>
  <si>
    <t>000KHJ-3</t>
  </si>
  <si>
    <t>#2</t>
  </si>
  <si>
    <t>Kevin Ricker</t>
  </si>
  <si>
    <t>1110 Parker Road</t>
  </si>
  <si>
    <t>000KHJ-4</t>
  </si>
  <si>
    <t>#3</t>
  </si>
  <si>
    <t>Tim Taylor</t>
  </si>
  <si>
    <t>Cross Road Vegetable Stand</t>
  </si>
  <si>
    <t>Post Mills</t>
  </si>
  <si>
    <t>Simanskas, Lindsey</t>
  </si>
  <si>
    <t>430 SADIE FOSS ROAD MARSHFIELD VT 05602 - WASHINGTON</t>
  </si>
  <si>
    <t>000KHN-1</t>
  </si>
  <si>
    <t>Simanskas Home Yard</t>
  </si>
  <si>
    <t>Lindsey Samanskas</t>
  </si>
  <si>
    <t>430 Sadie Foss Road</t>
  </si>
  <si>
    <t>Whittemore, Timothy</t>
  </si>
  <si>
    <t>2185 WILLOUGHBY LAKE ROAD BROWNINGTON VT 05860 - ORLEANS</t>
  </si>
  <si>
    <t>000KHQ-1</t>
  </si>
  <si>
    <t>Tim Whittemore</t>
  </si>
  <si>
    <t>2185 Willoughby Lake Road</t>
  </si>
  <si>
    <t>Schramm, John</t>
  </si>
  <si>
    <t>PO BOX 6311 RUTLAND VT 05702</t>
  </si>
  <si>
    <t>000HA5-3</t>
  </si>
  <si>
    <t>Grabowski Yard</t>
  </si>
  <si>
    <t>Frank Grabowski</t>
  </si>
  <si>
    <t>670 RT 4A</t>
  </si>
  <si>
    <t>000HA5-4</t>
  </si>
  <si>
    <t>John Thomas</t>
  </si>
  <si>
    <t>2096 RT 7</t>
  </si>
  <si>
    <t>000HA5-5</t>
  </si>
  <si>
    <t>Giddings Yard</t>
  </si>
  <si>
    <t>Robert Giddings</t>
  </si>
  <si>
    <t>1426 RT 7</t>
  </si>
  <si>
    <t>000HA5-6</t>
  </si>
  <si>
    <t>McMahon Yard</t>
  </si>
  <si>
    <t>Robert McMahon</t>
  </si>
  <si>
    <t>1245 West Hill Road</t>
  </si>
  <si>
    <t>000HA5-7</t>
  </si>
  <si>
    <t>Benson 1</t>
  </si>
  <si>
    <t>000HA5-8</t>
  </si>
  <si>
    <t>Benson 2</t>
  </si>
  <si>
    <t>Benson Landing Road</t>
  </si>
  <si>
    <t>000HA5-9</t>
  </si>
  <si>
    <t>Bruno's</t>
  </si>
  <si>
    <t>Bruno</t>
  </si>
  <si>
    <t>Elementary School Road</t>
  </si>
  <si>
    <t>000HA5-10</t>
  </si>
  <si>
    <t>Schramm-Home Yard #2</t>
  </si>
  <si>
    <t>John Schramm</t>
  </si>
  <si>
    <t>18 Ward Road</t>
  </si>
  <si>
    <t>Yelton, Allison</t>
  </si>
  <si>
    <t>PO BOX 595 WALLINGFORD VT 05773 - RUTLAND</t>
  </si>
  <si>
    <t>000KKN-1</t>
  </si>
  <si>
    <t>Yelton-Home Yard</t>
  </si>
  <si>
    <t>Allison Yelton</t>
  </si>
  <si>
    <t>125 Willow Heights</t>
  </si>
  <si>
    <t>Langham, Matthew</t>
  </si>
  <si>
    <t>PO BOX 143 PEACHAM VT 05862 - CALEDONIA</t>
  </si>
  <si>
    <t>000KKV-1</t>
  </si>
  <si>
    <t>Langham Yard</t>
  </si>
  <si>
    <t>Matthew Langham</t>
  </si>
  <si>
    <t>931 Greenbay Loop Road</t>
  </si>
  <si>
    <t>Laird, Victor</t>
  </si>
  <si>
    <t>189 TROBRIDGE ROAD BAKERSFIELD VT 05441 - FRANKLIN</t>
  </si>
  <si>
    <t>000KM2-1</t>
  </si>
  <si>
    <t>Cal Ried</t>
  </si>
  <si>
    <t>189 Trobridge Road</t>
  </si>
  <si>
    <t>Andresen, Christian</t>
  </si>
  <si>
    <t>1104 HAGGETT RD MONTPELIER VT 05602</t>
  </si>
  <si>
    <t>000KM3-1</t>
  </si>
  <si>
    <t>&lt;3%&gt;</t>
  </si>
  <si>
    <t>Andresen Home Yard</t>
  </si>
  <si>
    <t>Christian Andresen</t>
  </si>
  <si>
    <t>4 Greenfield Terrace</t>
  </si>
  <si>
    <t>Sullivan, David</t>
  </si>
  <si>
    <t>1548 PETERKIN HILLL ROAD SOUTH WOODSTOCK VT 05071 - WINDSOR</t>
  </si>
  <si>
    <t>000KM6-1</t>
  </si>
  <si>
    <t>Sullivan Home Yard</t>
  </si>
  <si>
    <t>David Sullivan</t>
  </si>
  <si>
    <t>1548 Peterkin Hill Road</t>
  </si>
  <si>
    <t>Carr, Nicholas</t>
  </si>
  <si>
    <t>105 INTERVALE AVE BURLINGTON VT 05401</t>
  </si>
  <si>
    <t>000KM7-1</t>
  </si>
  <si>
    <t>Rugged Bee 1</t>
  </si>
  <si>
    <t>20 Crombie Street</t>
  </si>
  <si>
    <t>000KM7-2</t>
  </si>
  <si>
    <t>Rugged Bee 2</t>
  </si>
  <si>
    <t>Stu Mcgowan</t>
  </si>
  <si>
    <t>105-107 Intervale Ave</t>
  </si>
  <si>
    <t>000KM7-3</t>
  </si>
  <si>
    <t>Rugged Bee 3</t>
  </si>
  <si>
    <t>Meg Wallace</t>
  </si>
  <si>
    <t>27 Washington Street</t>
  </si>
  <si>
    <t>Dean, Jill</t>
  </si>
  <si>
    <t>PO BOX 336 WARDSBORO VT 05355 - WINDHAM</t>
  </si>
  <si>
    <t>000KM9-1</t>
  </si>
  <si>
    <t>Dean-Home Yard</t>
  </si>
  <si>
    <t>Jill Dean</t>
  </si>
  <si>
    <t>237 Potter Road</t>
  </si>
  <si>
    <t>Carrier, Steven</t>
  </si>
  <si>
    <t>20 WINDSWEPT DRIVE DANVILLE VT 05828</t>
  </si>
  <si>
    <t>000KMK-1</t>
  </si>
  <si>
    <t>Carrier Out Yard</t>
  </si>
  <si>
    <t>Scott Marshia</t>
  </si>
  <si>
    <t>84 Library Road</t>
  </si>
  <si>
    <t>Sudhoff, Daniel</t>
  </si>
  <si>
    <t>PO BOX 316 ROXBURY VT 05669 - WASHINGTON</t>
  </si>
  <si>
    <t>000KMN-1</t>
  </si>
  <si>
    <t>223 Webster Road</t>
  </si>
  <si>
    <t>Traficanti, Lynn</t>
  </si>
  <si>
    <t>1465 BARKERHILL ROAD CASTLETON VT 05735</t>
  </si>
  <si>
    <t>000KMQ-1</t>
  </si>
  <si>
    <t>Traficanti</t>
  </si>
  <si>
    <t>1645 Barker Hill Road</t>
  </si>
  <si>
    <t>00081Y-13</t>
  </si>
  <si>
    <t>Brigham Yard</t>
  </si>
  <si>
    <t>Holy Oak Farm</t>
  </si>
  <si>
    <t>RT 104</t>
  </si>
  <si>
    <t>00081Y-14</t>
  </si>
  <si>
    <t>Abair Nuc Yard</t>
  </si>
  <si>
    <t>Abair</t>
  </si>
  <si>
    <t>175 French Hill Road</t>
  </si>
  <si>
    <t>000AWD-3</t>
  </si>
  <si>
    <t>Tinker Farm Yard</t>
  </si>
  <si>
    <t>North Road</t>
  </si>
  <si>
    <t>000982-3</t>
  </si>
  <si>
    <t>Yard #3</t>
  </si>
  <si>
    <t>Ted Bissette</t>
  </si>
  <si>
    <t>2371 Main Street</t>
  </si>
  <si>
    <t>000982-4</t>
  </si>
  <si>
    <t>Yard #4</t>
  </si>
  <si>
    <t>Mike McAdoo</t>
  </si>
  <si>
    <t>124 Wilcox Road</t>
  </si>
  <si>
    <t>000982-5</t>
  </si>
  <si>
    <t>Yard #5</t>
  </si>
  <si>
    <t>Mrs Wolfe</t>
  </si>
  <si>
    <t>2105 VT RT 28</t>
  </si>
  <si>
    <t>Shambaugh, Angela</t>
  </si>
  <si>
    <t>2994 CHASE ROAD BERLIN VT 05602 - WASHINGTON</t>
  </si>
  <si>
    <t>000AH7-1</t>
  </si>
  <si>
    <t>Shambaugh Home Yard</t>
  </si>
  <si>
    <t>Angela Shambaugh</t>
  </si>
  <si>
    <t>2994 Chase Road</t>
  </si>
  <si>
    <t>Van Vranken, Robert</t>
  </si>
  <si>
    <t>PO BOX 278 PEACHAM VT 05862 - CALEDONIA</t>
  </si>
  <si>
    <t>000KP9-1</t>
  </si>
  <si>
    <t>1183 Slack Street</t>
  </si>
  <si>
    <t>Urie, Kelly</t>
  </si>
  <si>
    <t>1000 MAIN STREET ST JOHNSBURY VT 05819</t>
  </si>
  <si>
    <t>000KPB-1</t>
  </si>
  <si>
    <t>Collins Yard</t>
  </si>
  <si>
    <t>Francis Collins</t>
  </si>
  <si>
    <t>Collins Lane</t>
  </si>
  <si>
    <t>E. Ryegate</t>
  </si>
  <si>
    <t>Klein, Rebecca M.</t>
  </si>
  <si>
    <t>PO BOX 4004 ST JOHNSBURY VT 05819 - CALEDONIA</t>
  </si>
  <si>
    <t>000KPD-1</t>
  </si>
  <si>
    <t>Klein Home Yard</t>
  </si>
  <si>
    <t>Rebecca Klein</t>
  </si>
  <si>
    <t>1104 Crepeault Hill Road</t>
  </si>
  <si>
    <t>van Loon, Deborah</t>
  </si>
  <si>
    <t>100 COSTA AVE ST JOHNSBURY VT 05819</t>
  </si>
  <si>
    <t>000KPF-1</t>
  </si>
  <si>
    <t>Klein Yard</t>
  </si>
  <si>
    <t>Deborah van Loon</t>
  </si>
  <si>
    <t>00093M-5</t>
  </si>
  <si>
    <t>Eric Johnson Yard</t>
  </si>
  <si>
    <t>Eric Johnson</t>
  </si>
  <si>
    <t>106 Fox Run</t>
  </si>
  <si>
    <t>00093M-6</t>
  </si>
  <si>
    <t>Gristmire Yard</t>
  </si>
  <si>
    <t>Mr. Gristmire</t>
  </si>
  <si>
    <t>Cemetary Road</t>
  </si>
  <si>
    <t>Tilly, David</t>
  </si>
  <si>
    <t>182 BIBLE STREET COS COB CT 06807</t>
  </si>
  <si>
    <t>000KQJ-1</t>
  </si>
  <si>
    <t>End of Fenn Road</t>
  </si>
  <si>
    <t>Mt Holly</t>
  </si>
  <si>
    <t>000G9W-5</t>
  </si>
  <si>
    <t>Newton Yard</t>
  </si>
  <si>
    <t>RT 30</t>
  </si>
  <si>
    <t>0007WB-24</t>
  </si>
  <si>
    <t>Madison Honey Yard</t>
  </si>
  <si>
    <t>Barnes Rd</t>
  </si>
  <si>
    <t>00070D-19</t>
  </si>
  <si>
    <t>Rattlin Bridge Yard</t>
  </si>
  <si>
    <t>Rattlin Bridge Road</t>
  </si>
  <si>
    <t>00073A-1</t>
  </si>
  <si>
    <t>Kenney-Home Yard</t>
  </si>
  <si>
    <t>1029 Codding Hollow Rd</t>
  </si>
  <si>
    <t>00078P-1</t>
  </si>
  <si>
    <t>420 Carroll Road</t>
  </si>
  <si>
    <t>Chap, Peter</t>
  </si>
  <si>
    <t>2181 BACK RIVER ROAD S ROYALTON VT 05068 - WINDSOR</t>
  </si>
  <si>
    <t>0007AF-1</t>
  </si>
  <si>
    <t>Peter Chap</t>
  </si>
  <si>
    <t>2181 Back River Road</t>
  </si>
  <si>
    <t>S. Royalton</t>
  </si>
  <si>
    <t>0007V0-1</t>
  </si>
  <si>
    <t>Lemon Fair-Home Yard</t>
  </si>
  <si>
    <t>ANdrew Munkres</t>
  </si>
  <si>
    <t>2703 West Street</t>
  </si>
  <si>
    <t>Pickens, Kathleen</t>
  </si>
  <si>
    <t>2984 ELMORE POND ROAD WOLCOTT VT 05680 - LAMOILLE</t>
  </si>
  <si>
    <t>0007ZC-1</t>
  </si>
  <si>
    <t>Pickens-Home</t>
  </si>
  <si>
    <t>Kathleen Pickens</t>
  </si>
  <si>
    <t>2984 Elmore Pond Road</t>
  </si>
  <si>
    <t>O'bryk, Chester</t>
  </si>
  <si>
    <t>191 N ORWELL ROAD ORWELL VT 05760 - ADDISON</t>
  </si>
  <si>
    <t>000811-1</t>
  </si>
  <si>
    <t>191 N. Orwell Road</t>
  </si>
  <si>
    <t>King, Mike</t>
  </si>
  <si>
    <t>546 KINSLEY ROAD JEFFERSONVILLE VT 05464 - UNKNOWN</t>
  </si>
  <si>
    <t>000826-1</t>
  </si>
  <si>
    <t>546 Kinsley Road</t>
  </si>
  <si>
    <t>00094X-1</t>
  </si>
  <si>
    <t>61 Bagley Road</t>
  </si>
  <si>
    <t>Benson, Heather</t>
  </si>
  <si>
    <t>PO BOX 123 NORWICH VT 05055 - WINDSOR</t>
  </si>
  <si>
    <t>000952-1</t>
  </si>
  <si>
    <t>Benson-Home Yard</t>
  </si>
  <si>
    <t>Heather Benson</t>
  </si>
  <si>
    <t>8 Spur Lane</t>
  </si>
  <si>
    <t>Cohen, Hal</t>
  </si>
  <si>
    <t>361 MACEY ROAD N MIDDLESEX VT 05682 - UNKNOWN</t>
  </si>
  <si>
    <t>00099W-1</t>
  </si>
  <si>
    <t>361 Macey Road</t>
  </si>
  <si>
    <t>N. Middlesex</t>
  </si>
  <si>
    <t>Malin, Daniella</t>
  </si>
  <si>
    <t>17 MOONRISE HILL ROAD WINDSOR VT 05089 - WINDSOR</t>
  </si>
  <si>
    <t>0009A1-1</t>
  </si>
  <si>
    <t>17 Moonrise Hill Road</t>
  </si>
  <si>
    <t>Kerns, Brian</t>
  </si>
  <si>
    <t>46 MEADOW LAKE DRIVE MENDON VT 05701 - RUTLAND</t>
  </si>
  <si>
    <t>000ADB-1</t>
  </si>
  <si>
    <t>46 Meadow Lake Drive</t>
  </si>
  <si>
    <t>Bean, Michael</t>
  </si>
  <si>
    <t>2563 HERBERT ROAD WILLIAMSTOWN VT 05679 - ORANGE</t>
  </si>
  <si>
    <t>000ADC-1</t>
  </si>
  <si>
    <t>2563 Herbert Road</t>
  </si>
  <si>
    <t>Campbell, Marvie</t>
  </si>
  <si>
    <t>62 LOWER BARTONSVILLE ROAD CHESTER VT 05143 - WINDHAM</t>
  </si>
  <si>
    <t>000ADD-1</t>
  </si>
  <si>
    <t>62 Lower Bartonsville Road</t>
  </si>
  <si>
    <t>Richardson, Mona</t>
  </si>
  <si>
    <t>53 HIGH STREET MIDDLEBURY VT 05753 - ADDISON</t>
  </si>
  <si>
    <t>000ADF-1</t>
  </si>
  <si>
    <t>53 High Street</t>
  </si>
  <si>
    <t>Davis, Nancy</t>
  </si>
  <si>
    <t>20 GULLY ROAD WOODSTOCK VT 05091 - WINDSOR</t>
  </si>
  <si>
    <t>000ADG-1</t>
  </si>
  <si>
    <t>Nancy Davis</t>
  </si>
  <si>
    <t>20 Gully Road</t>
  </si>
  <si>
    <t>Prior, David R</t>
  </si>
  <si>
    <t>46 BROOK LANE SHELBURNE VT 05482 - CHITTENDEN</t>
  </si>
  <si>
    <t>000ADN-1</t>
  </si>
  <si>
    <t>Prior-Home Yard</t>
  </si>
  <si>
    <t>David Prior</t>
  </si>
  <si>
    <t>46 Brook Lane</t>
  </si>
  <si>
    <t>Beckwith, David</t>
  </si>
  <si>
    <t>319 CONVERSE BAY ROAD CHARLOTTE VT 05445 - CHITTENDEN</t>
  </si>
  <si>
    <t>000ADQ-1</t>
  </si>
  <si>
    <t>David Beckwith</t>
  </si>
  <si>
    <t>319 Converse Bay Road</t>
  </si>
  <si>
    <t>Fitzgerald, Suzanne</t>
  </si>
  <si>
    <t>130 SMEAD ROAD SALISBURY VT 05769 - ADDISON</t>
  </si>
  <si>
    <t>000ADX-1</t>
  </si>
  <si>
    <t>130 Smead Road</t>
  </si>
  <si>
    <t>Wunderlich, Eric</t>
  </si>
  <si>
    <t>2905 RIDGE ROAD RANDOLPH CENTER VT 05061 - ORANGE</t>
  </si>
  <si>
    <t>000AF2-1</t>
  </si>
  <si>
    <t>2905 Ridge Road</t>
  </si>
  <si>
    <t>Chadburn, Michael W</t>
  </si>
  <si>
    <t>376 HAPPY HILL ROAD LYNDONVILLE VT 05851 - CALEDONIA</t>
  </si>
  <si>
    <t>000AF4-1</t>
  </si>
  <si>
    <t>376 Happy Hill Road</t>
  </si>
  <si>
    <t>Hammer, Kristopher</t>
  </si>
  <si>
    <t>20 CORSE STREET MONTPELIER VT 05602 - WASHINGTON</t>
  </si>
  <si>
    <t>000AF5-1</t>
  </si>
  <si>
    <t>Kristopher Hammer</t>
  </si>
  <si>
    <t>20 Corse Street</t>
  </si>
  <si>
    <t>Robinson, Peter</t>
  </si>
  <si>
    <t>239 RIVER STREET POULTNEY VT 05764 - RUTLAND</t>
  </si>
  <si>
    <t>000AGP-1</t>
  </si>
  <si>
    <t>Robinson Home Yard</t>
  </si>
  <si>
    <t>Peter Robinson</t>
  </si>
  <si>
    <t>239 River Street</t>
  </si>
  <si>
    <t>Sunflower, Burleigh E</t>
  </si>
  <si>
    <t>169 LOWER BARTONSVILLE ROAD CHESTER VT 05143 - WINDHAM</t>
  </si>
  <si>
    <t>000AGX-1</t>
  </si>
  <si>
    <t>169 Lower Bartonsville Road</t>
  </si>
  <si>
    <t>Kravitz, Jennifer</t>
  </si>
  <si>
    <t>426 CUTTING HILL ROAD WHITING VT 05778-9537 - ADDISON</t>
  </si>
  <si>
    <t>000AGZ-1</t>
  </si>
  <si>
    <t>Kravitz-Home Yard</t>
  </si>
  <si>
    <t>Jennifer Kravitz</t>
  </si>
  <si>
    <t>426 Cutting Hill Road</t>
  </si>
  <si>
    <t>05778-9537</t>
  </si>
  <si>
    <t>Blais, David</t>
  </si>
  <si>
    <t>600 OLD CONNECTICUT RIVER ROAD SPRINGFIELD VT 05156 - WINDSOR</t>
  </si>
  <si>
    <t>000AH4-1</t>
  </si>
  <si>
    <t>Blais Home Yard</t>
  </si>
  <si>
    <t>David Blais</t>
  </si>
  <si>
    <t>600 Old Connecticut River Road</t>
  </si>
  <si>
    <t>Lake, Maggie</t>
  </si>
  <si>
    <t>1126 SOUTH VALLEY ROAD PUTNEY VT 05346-9290 - WINDHAM</t>
  </si>
  <si>
    <t>000AHC-1</t>
  </si>
  <si>
    <t>O. Brody</t>
  </si>
  <si>
    <t>1126 South Valley Road</t>
  </si>
  <si>
    <t>05346-9290</t>
  </si>
  <si>
    <t>Combs, Raymond</t>
  </si>
  <si>
    <t>74 GREGORY LANE HALIFAX VT 05358-4402 - WINDHAM</t>
  </si>
  <si>
    <t>000AHD-1</t>
  </si>
  <si>
    <t>Combs-Home Yard</t>
  </si>
  <si>
    <t>Raymond Combs</t>
  </si>
  <si>
    <t>74 Gregory Lane</t>
  </si>
  <si>
    <t>05358-4402</t>
  </si>
  <si>
    <t>Brownlow, Dan</t>
  </si>
  <si>
    <t>110 GRIGGS HILL ROAD DANVILLE VT 05828 - CALEDONIA</t>
  </si>
  <si>
    <t>000AHG-1</t>
  </si>
  <si>
    <t>110 Griggs Hill Road</t>
  </si>
  <si>
    <t>Walker, Lauren</t>
  </si>
  <si>
    <t>155 OGUNQUIT ROAD CAPE NEDDICK ME 03902-7938</t>
  </si>
  <si>
    <t>000AHW-1</t>
  </si>
  <si>
    <t>P.O. Box 432</t>
  </si>
  <si>
    <t>Boyd, Jason</t>
  </si>
  <si>
    <t>PO BOX 175 NORTHFIELD FALLS VT 05664 - WASHINGTON</t>
  </si>
  <si>
    <t>000AHX-1</t>
  </si>
  <si>
    <t>Boyd Home Yard</t>
  </si>
  <si>
    <t>Jason Boyd</t>
  </si>
  <si>
    <t>35 Cardinal Lane</t>
  </si>
  <si>
    <t>Waite, Stephen</t>
  </si>
  <si>
    <t>19 BEAVER LANE HARTLAND VT 05048 - WINDSOR</t>
  </si>
  <si>
    <t>000AJ0-1</t>
  </si>
  <si>
    <t>Waite-Home Yard</t>
  </si>
  <si>
    <t>Stephen Waite</t>
  </si>
  <si>
    <t>19 Beaver Lane</t>
  </si>
  <si>
    <t>Douglass, Wilfred</t>
  </si>
  <si>
    <t>2100 VT RT 109 BELVIDERE VT 05442 - LAMOILLE</t>
  </si>
  <si>
    <t>000AJ1-1</t>
  </si>
  <si>
    <t>2100 VT RT 109</t>
  </si>
  <si>
    <t>Pecor, Richard E, Jr.</t>
  </si>
  <si>
    <t>1753 NORTHFIELD ROAD BROOKFIELD VT 05036 - ORANGE</t>
  </si>
  <si>
    <t>000AJ2-1</t>
  </si>
  <si>
    <t>Pecor-Home Yard</t>
  </si>
  <si>
    <t>Richard Pecor</t>
  </si>
  <si>
    <t>1753 Northfield Road</t>
  </si>
  <si>
    <t>Harwood, Alice</t>
  </si>
  <si>
    <t>2868 VT RT 11 - W CHESTER VT 05143-9299 - WINDSOR</t>
  </si>
  <si>
    <t>000AJ3-1</t>
  </si>
  <si>
    <t>Harwood-Home Yard</t>
  </si>
  <si>
    <t>Alice Harwood</t>
  </si>
  <si>
    <t>2868 VT RT 11 - W</t>
  </si>
  <si>
    <t>Frederick, Jody</t>
  </si>
  <si>
    <t>1056 HOMER STONE ROAD WALLINGFORD VT 05773 - RUTLAND</t>
  </si>
  <si>
    <t>000AJ4-1</t>
  </si>
  <si>
    <t>Herbert Frederick</t>
  </si>
  <si>
    <t>1056 Homer Stone Road</t>
  </si>
  <si>
    <t>Dagesse, Irene</t>
  </si>
  <si>
    <t>1456 HINMAN SETTLER ROAD NEWPORT VT 05855 - ORLEANS</t>
  </si>
  <si>
    <t>000AJJ-1</t>
  </si>
  <si>
    <t>DagesseHome Yard</t>
  </si>
  <si>
    <t>Irene Dagesse</t>
  </si>
  <si>
    <t>1456 Hinman Settler Road</t>
  </si>
  <si>
    <t>Bouchard, Ron</t>
  </si>
  <si>
    <t>3223 VT RT 108 N JEFFERSONVILLE VT 05464 - LAMOILLE</t>
  </si>
  <si>
    <t>000AJM-1</t>
  </si>
  <si>
    <t>Bouchard Home Yard</t>
  </si>
  <si>
    <t>Ron Bouchard</t>
  </si>
  <si>
    <t>3223 VT RT 108 N</t>
  </si>
  <si>
    <t>Martin, Vergil G.</t>
  </si>
  <si>
    <t>1102 ROCKY LANE BENNINGTON VT 05201 - BENNINGTON</t>
  </si>
  <si>
    <t>000AJQ-1</t>
  </si>
  <si>
    <t>1102 Rocky Lane</t>
  </si>
  <si>
    <t>Sterling College</t>
  </si>
  <si>
    <t>16 STERLING DRIVE CRAFTSBURY COMMON VT 05827 - ORLEANS</t>
  </si>
  <si>
    <t>000AK2-1</t>
  </si>
  <si>
    <t>16 Sterling Drive</t>
  </si>
  <si>
    <t>Harding, Drew C.</t>
  </si>
  <si>
    <t>518 CUTLER CORNER ROAD BARRE VT 05641 - WASHINGTON</t>
  </si>
  <si>
    <t>000AK3-1</t>
  </si>
  <si>
    <t>Harding-Home Yard</t>
  </si>
  <si>
    <t>Charles Harding</t>
  </si>
  <si>
    <t>518 Cutler Corner Road</t>
  </si>
  <si>
    <t>Freeguard, Gary</t>
  </si>
  <si>
    <t>175 STICKNEY ROAD WHITING VT 05778 - ADDISON</t>
  </si>
  <si>
    <t>000APA-1</t>
  </si>
  <si>
    <t>175 Stickney Road</t>
  </si>
  <si>
    <t>Grage, Dennis</t>
  </si>
  <si>
    <t>301 IRISH SETTLEMENT ROAD UNDERHILL VT 05489 - CHITTENDEN</t>
  </si>
  <si>
    <t>000APB-1</t>
  </si>
  <si>
    <t>301 Irish Settlement Road</t>
  </si>
  <si>
    <t>Twinfield Union School</t>
  </si>
  <si>
    <t>106 NASMITH BROOK ROAD PLAINFIELD VT 05667 - WASHINGTON</t>
  </si>
  <si>
    <t>000APC-1</t>
  </si>
  <si>
    <t>Town of Marshfield</t>
  </si>
  <si>
    <t>106 Nasmith Brook Road</t>
  </si>
  <si>
    <t>Momaney, Brian D.</t>
  </si>
  <si>
    <t>1099 WESTERN AVENUE BRATTLEBORO VT 05301 - WINDHAM</t>
  </si>
  <si>
    <t>000APD-1</t>
  </si>
  <si>
    <t>Whetstone Apiary</t>
  </si>
  <si>
    <t>1099 Western Avenue</t>
  </si>
  <si>
    <t>McCaffrey, Hannah</t>
  </si>
  <si>
    <t>168 LAUREL HILL DRIVE SOUTH BURLINGTON VT 05403 - CHITTENDEN</t>
  </si>
  <si>
    <t>000APF-1</t>
  </si>
  <si>
    <t>168 Laurel Hill Drive</t>
  </si>
  <si>
    <t>Alstrup, Keld</t>
  </si>
  <si>
    <t>657 RIVERBEND DRIVE MANCHESTER VT 05255 - BENNINGTON</t>
  </si>
  <si>
    <t>000APG-1</t>
  </si>
  <si>
    <t>Mary Alstrup</t>
  </si>
  <si>
    <t>657 Riverbend Drive</t>
  </si>
  <si>
    <t>Bunten, Will</t>
  </si>
  <si>
    <t>50 BRADLEY ROAD WATERVILLE VT 05492 - LAMOILLE</t>
  </si>
  <si>
    <t>000APH-1</t>
  </si>
  <si>
    <t>Robert Ackert</t>
  </si>
  <si>
    <t>50 Bradley Road</t>
  </si>
  <si>
    <t>Mitchell, Michael</t>
  </si>
  <si>
    <t>000APK-1</t>
  </si>
  <si>
    <t>3388 Fish Hill Road</t>
  </si>
  <si>
    <t>Rigby LaPierre, Sherri</t>
  </si>
  <si>
    <t>29 EAST TERRACE SOUTH BURLINGTON VT 05403 - CHITTENDEN</t>
  </si>
  <si>
    <t>000APM-1</t>
  </si>
  <si>
    <t>Loyal Carlon</t>
  </si>
  <si>
    <t>29 East Terrace</t>
  </si>
  <si>
    <t>McMillian, Christine</t>
  </si>
  <si>
    <t>5 SANDBAR HEIGHTS DRIVE SOUTH HERO VT 05486 - GRAND ISLE</t>
  </si>
  <si>
    <t>000APN-1</t>
  </si>
  <si>
    <t>5 Sandbar Heigths Drive</t>
  </si>
  <si>
    <t>Raymond, Christopher C.</t>
  </si>
  <si>
    <t>193 JUNIPER LANE LYNDONVILLE VT 05851 - CALEDONIA</t>
  </si>
  <si>
    <t>000APQ-1</t>
  </si>
  <si>
    <t>193 Juniper Lane</t>
  </si>
  <si>
    <t>Cameron, Annie</t>
  </si>
  <si>
    <t>110 LEDGEWOOD TERRACE MONTPELIER VT 05602 - WASHINGTON</t>
  </si>
  <si>
    <t>000APY-1</t>
  </si>
  <si>
    <t>110 Ledgewood Terrace</t>
  </si>
  <si>
    <t>Keats, Alex</t>
  </si>
  <si>
    <t>1355 PODUNK ROAD WHITE RIVER JUNCTION VT 05001 - WINDSOR</t>
  </si>
  <si>
    <t>000AQM-1</t>
  </si>
  <si>
    <t>1355 Podunk Road</t>
  </si>
  <si>
    <t>Jarvi, Lauren</t>
  </si>
  <si>
    <t>1221 RABBIT PLAIN ST JOHNSBURY VT 05819 - CALEDONIA</t>
  </si>
  <si>
    <t>000AQN-1</t>
  </si>
  <si>
    <t>1221 Rabbit Plain</t>
  </si>
  <si>
    <t>Auer, Sarah</t>
  </si>
  <si>
    <t>24 BEVERLY COURT ST ALBANS VT 05478 - FRANKLIN</t>
  </si>
  <si>
    <t>000AQX-1</t>
  </si>
  <si>
    <t>24 Beverly Court</t>
  </si>
  <si>
    <t>Carlisle, Joseph</t>
  </si>
  <si>
    <t>1974 EAST ROAD BENSON VT 05743 - RUTLAND</t>
  </si>
  <si>
    <t>000AQY-1</t>
  </si>
  <si>
    <t>1974 East Road</t>
  </si>
  <si>
    <t>Benson, James L., Jr.</t>
  </si>
  <si>
    <t>288 BARSTOW ROAD SHELBURNE VT 05482 - CHITTENDEN</t>
  </si>
  <si>
    <t>000AQZ-1</t>
  </si>
  <si>
    <t>James Benson</t>
  </si>
  <si>
    <t>288 Barstow Road</t>
  </si>
  <si>
    <t>Ashton, Charles</t>
  </si>
  <si>
    <t>14 CHELSEA LINE ROAD TUNBRIDGE VT 05077 - ORANGE</t>
  </si>
  <si>
    <t>000AW2-1</t>
  </si>
  <si>
    <t>14 Chelsea Line Road</t>
  </si>
  <si>
    <t>Godek, Joanne</t>
  </si>
  <si>
    <t>56 NASHVILLE ROAD JERICHO VT 05465 - CHITTENDEN</t>
  </si>
  <si>
    <t>000AW6-1</t>
  </si>
  <si>
    <t>56 Nashville Road</t>
  </si>
  <si>
    <t>Hull, Douglas</t>
  </si>
  <si>
    <t>1 POND STREET BARRE VT 05641 - WASHINGTON</t>
  </si>
  <si>
    <t>000AW7-1</t>
  </si>
  <si>
    <t>Barre City</t>
  </si>
  <si>
    <t>1 Pond Street</t>
  </si>
  <si>
    <t>Whitaker, Tod</t>
  </si>
  <si>
    <t>2475 BALDWIN ROAD HINESBURG VT 05461 - CHITTENDEN</t>
  </si>
  <si>
    <t>000AW9-1</t>
  </si>
  <si>
    <t>Whitaker-Home Yard</t>
  </si>
  <si>
    <t>Tod Whitaker</t>
  </si>
  <si>
    <t>Berthiaume, John R.</t>
  </si>
  <si>
    <t>384 MESSIER HILL ROAD NORTHFIELD VT 05663 - WASHINGTON</t>
  </si>
  <si>
    <t>000AWA-1</t>
  </si>
  <si>
    <t>384 Messier Hill Road</t>
  </si>
  <si>
    <t>Forrer, Katherine</t>
  </si>
  <si>
    <t>1301 WEST STREET BROOKFIELD VT 05036 - ORANGE</t>
  </si>
  <si>
    <t>000AWF-1</t>
  </si>
  <si>
    <t>1301 West Street</t>
  </si>
  <si>
    <t>Smith, Barbara</t>
  </si>
  <si>
    <t>146 WOODS POINT ROAD MANCHESTER CENTER VT 05255 - BENNINGTON</t>
  </si>
  <si>
    <t>000AWG-1</t>
  </si>
  <si>
    <t>146 Woods Point Road</t>
  </si>
  <si>
    <t>Manchester Center</t>
  </si>
  <si>
    <t>Beebe, Edward</t>
  </si>
  <si>
    <t>16 HIDDEN VIEW ROAD UNDERHILL VT 05489 - CHITTENDEN</t>
  </si>
  <si>
    <t>000AWX-1</t>
  </si>
  <si>
    <t>16 Hidden View Road</t>
  </si>
  <si>
    <t>Getler, Kristen</t>
  </si>
  <si>
    <t>66 DEANS MOUNTAIN ROAD MORETOWN VT 05660 - WASHINGTON</t>
  </si>
  <si>
    <t>000AWY-1</t>
  </si>
  <si>
    <t>Ben Falk</t>
  </si>
  <si>
    <t>66 Deans Mountain Road</t>
  </si>
  <si>
    <t>Bodin, John</t>
  </si>
  <si>
    <t>124 WEST ROAD NORTH CHITTENDEN VT 05763 - RUTLAND</t>
  </si>
  <si>
    <t>000AX0-1</t>
  </si>
  <si>
    <t>Bodin Home Yard</t>
  </si>
  <si>
    <t>JOhn Bodin</t>
  </si>
  <si>
    <t>124 West Road</t>
  </si>
  <si>
    <t>North Chittenden</t>
  </si>
  <si>
    <t>Hoyt, Rawlin</t>
  </si>
  <si>
    <t>79 HOYT HILL ROAD TUNBRIDGE VT 05077 - ORANGE</t>
  </si>
  <si>
    <t>000AXP-1</t>
  </si>
  <si>
    <t>Chickabee Farm</t>
  </si>
  <si>
    <t>79 Hoyt Hill Road</t>
  </si>
  <si>
    <t>Bache, Judy</t>
  </si>
  <si>
    <t>136 TRILLIUM LANE STARKSBORO VT 05487 - ADDISON</t>
  </si>
  <si>
    <t>000AXV-1</t>
  </si>
  <si>
    <t>Dave Schantz</t>
  </si>
  <si>
    <t>136 Trillium Lane</t>
  </si>
  <si>
    <t>Cassidy, Joe</t>
  </si>
  <si>
    <t>170 WAYS LANE MANCHESTER CENTER VT 05255 - BENNINGTON</t>
  </si>
  <si>
    <t>000AXW-1</t>
  </si>
  <si>
    <t>170 Ways Lane</t>
  </si>
  <si>
    <t>Parsons, Chester</t>
  </si>
  <si>
    <t>463 HARDWOOD HILL ROAD RICHFORD VT 05476 - FRANKLIN</t>
  </si>
  <si>
    <t>000AXX-1</t>
  </si>
  <si>
    <t>463 Hardwood Hill Road</t>
  </si>
  <si>
    <t>Sack, George</t>
  </si>
  <si>
    <t>200 SMEAD ROAD SALISBURY VT 05769 - ADDISON</t>
  </si>
  <si>
    <t>000AXY-1</t>
  </si>
  <si>
    <t>200 Smead Road</t>
  </si>
  <si>
    <t>Anzalone, Nicolas</t>
  </si>
  <si>
    <t>59 BLAISDELL LANE EAST RYEGATE VT 05042 - CALEDONIA</t>
  </si>
  <si>
    <t>000AXZ-1</t>
  </si>
  <si>
    <t>59 Blaisdell Lane</t>
  </si>
  <si>
    <t>East Ryegate</t>
  </si>
  <si>
    <t>Sightler, Randal</t>
  </si>
  <si>
    <t>123 N WINOOSKI AVENUE BURLINGTON VT 05401 - CHITTENDEN</t>
  </si>
  <si>
    <t>000AY0-1</t>
  </si>
  <si>
    <t>Sightler Home Yard</t>
  </si>
  <si>
    <t>Randal Sightler</t>
  </si>
  <si>
    <t>123 N. Winooski Avenue</t>
  </si>
  <si>
    <t>McLaughlin, John</t>
  </si>
  <si>
    <t>84 HAPGOOD LANE RICHMOND VT 05477 - CHITTENDEN</t>
  </si>
  <si>
    <t>000AZ4-1</t>
  </si>
  <si>
    <t>84 Hapgood Lane</t>
  </si>
  <si>
    <t>Ashley, Robin</t>
  </si>
  <si>
    <t>PO BOX 48 WARREN VT 05674 - WASHINGTON</t>
  </si>
  <si>
    <t>000AZ6-1</t>
  </si>
  <si>
    <t>South Hill Farm</t>
  </si>
  <si>
    <t>2505 Fuller Road</t>
  </si>
  <si>
    <t>000AZ7-1</t>
  </si>
  <si>
    <t>Kenneth Palmer</t>
  </si>
  <si>
    <t>331 Benedict Road</t>
  </si>
  <si>
    <t>Johnston, Lynn</t>
  </si>
  <si>
    <t>1159 CLINE ROAD ST ALBANS VT 05478 - FRANKLIN</t>
  </si>
  <si>
    <t>000AZ9-1</t>
  </si>
  <si>
    <t>1159 Cline Road</t>
  </si>
  <si>
    <t>Burns, Catherine</t>
  </si>
  <si>
    <t>176 LILY POND CIRCLE RICHMOND VT 05477 - CHITTENDEN</t>
  </si>
  <si>
    <t>000GA6-1</t>
  </si>
  <si>
    <t>176 Lily Pond Circle</t>
  </si>
  <si>
    <t>Houle, Mary</t>
  </si>
  <si>
    <t>2614 COCHRAN ROAD RICHMOND VT 05477 - CHITTENDEN</t>
  </si>
  <si>
    <t>000GA7-1</t>
  </si>
  <si>
    <t>2614 Cochran Road</t>
  </si>
  <si>
    <t>Graham, Sarah</t>
  </si>
  <si>
    <t>408 MOUNTAIN VIEW ROAD TINMOUTH VT 05773-9319 - RUTLAND</t>
  </si>
  <si>
    <t>000GA8-1</t>
  </si>
  <si>
    <t>408 Mountain View Road</t>
  </si>
  <si>
    <t>05773-9319</t>
  </si>
  <si>
    <t>Cathcart, Joanne</t>
  </si>
  <si>
    <t>483 SILVER LAKE ROAD GOSHEN VT 05733 - ADDISON</t>
  </si>
  <si>
    <t>000GAA-1</t>
  </si>
  <si>
    <t>Goshen Town</t>
  </si>
  <si>
    <t>483 Silver Lake Road</t>
  </si>
  <si>
    <t>Goshen</t>
  </si>
  <si>
    <t>Du Clos, Verne E.</t>
  </si>
  <si>
    <t>000GAB-1</t>
  </si>
  <si>
    <t>Mitchell, James</t>
  </si>
  <si>
    <t>79 CLAY HILL ROAD HARTLAND VT 05048 - WINDSOR</t>
  </si>
  <si>
    <t>000GAD-1</t>
  </si>
  <si>
    <t>79 Clay Hill Road</t>
  </si>
  <si>
    <t>Reeve, Steven (Old Elk Farm)</t>
  </si>
  <si>
    <t>515 CHURCH STREET ISLE LA MOTTE VT 05463 - GRAND ISLE</t>
  </si>
  <si>
    <t>000GAF-1</t>
  </si>
  <si>
    <t>Reeve Home Yard</t>
  </si>
  <si>
    <t>Beth Meese</t>
  </si>
  <si>
    <t>515 Church Street</t>
  </si>
  <si>
    <t>Isle La Motte</t>
  </si>
  <si>
    <t>Kolpa, Stan</t>
  </si>
  <si>
    <t>729 HUCKLEHILL ROAD VERNON VT 05354 - WINDHAM</t>
  </si>
  <si>
    <t>000GAG-1</t>
  </si>
  <si>
    <t>729 Hucklehill Road</t>
  </si>
  <si>
    <t>Comeau, Molly</t>
  </si>
  <si>
    <t>70 POOR FARM ROAD ALBURGH VT 05440 - GRAND ISLE</t>
  </si>
  <si>
    <t>000GBH-1</t>
  </si>
  <si>
    <t>70 Poor Farm Road</t>
  </si>
  <si>
    <t>Davis, Careth</t>
  </si>
  <si>
    <t>67 CROWLEY LANE MT HOLLY VT 05758 - RUTLAND</t>
  </si>
  <si>
    <t>000GBJ-1</t>
  </si>
  <si>
    <t>67 Crowley Lane</t>
  </si>
  <si>
    <t>Olson, Roger</t>
  </si>
  <si>
    <t>734-2 RT 4 EAST RUTLAND VT 05701 - RUTLAND</t>
  </si>
  <si>
    <t>000GC7-1</t>
  </si>
  <si>
    <t>734-2 RT 4 East</t>
  </si>
  <si>
    <t>Fredette, Mark</t>
  </si>
  <si>
    <t>2882 FURNACE BROOK ROAD NORTH CHITTENDEN VT 05763 - RUTLAND</t>
  </si>
  <si>
    <t>000GMV-1</t>
  </si>
  <si>
    <t>Julie Fredette</t>
  </si>
  <si>
    <t>2882 Furnace Brook Road</t>
  </si>
  <si>
    <t>McGinley, Mark</t>
  </si>
  <si>
    <t>129 CHARLOTTE STREET BURLINGTON VT 05401 - CHITTENDEN</t>
  </si>
  <si>
    <t>000GMX-1</t>
  </si>
  <si>
    <t>129 Charlotte Street</t>
  </si>
  <si>
    <t>Green, Devon</t>
  </si>
  <si>
    <t>13 CHARLES STREET MONTPELIER VT 05602 - WASHINGTON</t>
  </si>
  <si>
    <t>000GWZ-1</t>
  </si>
  <si>
    <t>13 Charles Street</t>
  </si>
  <si>
    <t>Lehouiller, Diane</t>
  </si>
  <si>
    <t>591 VT RT 100-C JOHNSON VT 05656 - LAMOILLE</t>
  </si>
  <si>
    <t>000GX0-1</t>
  </si>
  <si>
    <t>591 VT RT 100-C</t>
  </si>
  <si>
    <t>Blouin, Rebecca</t>
  </si>
  <si>
    <t>1272 MCCARTHY ROAD GRANITEVILLE VT 05654 - ORANGE</t>
  </si>
  <si>
    <t>000GX1-1</t>
  </si>
  <si>
    <t>1272 McCarthy Road</t>
  </si>
  <si>
    <t>Lewis, Raymond</t>
  </si>
  <si>
    <t>362 WOODWARD ROAD HARDWICK VT 05843 - CALEDONIA</t>
  </si>
  <si>
    <t>000GX2-1</t>
  </si>
  <si>
    <t>362 Woodward Road</t>
  </si>
  <si>
    <t>Medose, Julie</t>
  </si>
  <si>
    <t>933 ENNIS HILL ROAD MARSHFIELD VT 05658 - WASHINGTON</t>
  </si>
  <si>
    <t>000GX3-1</t>
  </si>
  <si>
    <t>933 Ennis Hill Road</t>
  </si>
  <si>
    <t>Boczar, Bogdan</t>
  </si>
  <si>
    <t>8 CHELSEA ROAD ESSEX VT 05452 - CHITTENDEN</t>
  </si>
  <si>
    <t>000GX6-1</t>
  </si>
  <si>
    <t>Boczar Home Yard</t>
  </si>
  <si>
    <t>Bogdan Boczar</t>
  </si>
  <si>
    <t>8 Chelsea Road</t>
  </si>
  <si>
    <t>Conklin, David</t>
  </si>
  <si>
    <t>225 GROVE STREET BENNINGTON VT 05201 - BENNINGTON</t>
  </si>
  <si>
    <t>000GX7-1</t>
  </si>
  <si>
    <t>225 Grove Street</t>
  </si>
  <si>
    <t>McEntee, Hilary</t>
  </si>
  <si>
    <t>207 MONKTON ROAD VERGENNES VT 05491 - ADDISON</t>
  </si>
  <si>
    <t>000GX8-1</t>
  </si>
  <si>
    <t>207 Monkton Road</t>
  </si>
  <si>
    <t>Wolfe, Julie</t>
  </si>
  <si>
    <t>2384 OAK HILL ROAD WILLISTON VT 05495 - CHITTENDEN</t>
  </si>
  <si>
    <t>000GX9-1</t>
  </si>
  <si>
    <t>Wolfe Home Yard</t>
  </si>
  <si>
    <t>Julie Wolfe</t>
  </si>
  <si>
    <t>2384 Oak Hill Road</t>
  </si>
  <si>
    <t>Cassidy, Maureen M</t>
  </si>
  <si>
    <t>7386 COUNTY ROAD CALAIS VT 05648 - WASHINGTON</t>
  </si>
  <si>
    <t>000GY0-1</t>
  </si>
  <si>
    <t>7386 County Road</t>
  </si>
  <si>
    <t>Calais</t>
  </si>
  <si>
    <t>Meyer, Heike</t>
  </si>
  <si>
    <t>38 MEADE ROAD FAIRFAX VT 05454 - FRANKLIN</t>
  </si>
  <si>
    <t>000GY1-1</t>
  </si>
  <si>
    <t>Meyer-Home Yard</t>
  </si>
  <si>
    <t>Heike Meyer</t>
  </si>
  <si>
    <t>38 Meade Road</t>
  </si>
  <si>
    <t>Karwoski, Barry M</t>
  </si>
  <si>
    <t>1607 EAST ROAD BARRE VT 05641 - WASHINGTON</t>
  </si>
  <si>
    <t>000GY2-1</t>
  </si>
  <si>
    <t>1607 East Road</t>
  </si>
  <si>
    <t>Dancy, Lee</t>
  </si>
  <si>
    <t>1816 FERRY ROAD CHARLOTTE VT 05445 - CHITTENDEN</t>
  </si>
  <si>
    <t>000GY3-1</t>
  </si>
  <si>
    <t>1816 Ferry Road</t>
  </si>
  <si>
    <t>Rybkiewicz, Jon</t>
  </si>
  <si>
    <t>221 HILLSIDE ROAD RICHFORD VT 05476 - ORLEANS</t>
  </si>
  <si>
    <t>000GY4-1</t>
  </si>
  <si>
    <t>221 Hillside Road</t>
  </si>
  <si>
    <t>Wood, Albert</t>
  </si>
  <si>
    <t>2126 NORTH ROAD BETHEL VT 05032 - WINDSOR</t>
  </si>
  <si>
    <t>000GY6-1</t>
  </si>
  <si>
    <t>2126 North Road</t>
  </si>
  <si>
    <t>Edwards, Tom</t>
  </si>
  <si>
    <t>250 EAGLE MOUNTAIN HARBOR ROAD MILTON VT 05468 - CHITTENDEN</t>
  </si>
  <si>
    <t>000GY7-1</t>
  </si>
  <si>
    <t>250 Eagle Mountain Harbor Road</t>
  </si>
  <si>
    <t>Dusablon, Armond J</t>
  </si>
  <si>
    <t>1574 BALLARD ROAD SWANTON VT 05488-8717 - FRANKLIN</t>
  </si>
  <si>
    <t>000GY9-1</t>
  </si>
  <si>
    <t>Dusablon-Home Yard</t>
  </si>
  <si>
    <t>Armond Dusablon</t>
  </si>
  <si>
    <t>1574 Ballard Road</t>
  </si>
  <si>
    <t>05488-8717</t>
  </si>
  <si>
    <t>Lynch, Erika</t>
  </si>
  <si>
    <t>2084 MIDDLE ROAD PLAINFIELD VT 05667 - WASHINGTON</t>
  </si>
  <si>
    <t>000GYG-1</t>
  </si>
  <si>
    <t>2084 Middle Road</t>
  </si>
  <si>
    <t>Reilly, Nancy</t>
  </si>
  <si>
    <t>15 NOTCH ROAD MIDDLESEX VT 05602 - WASHINGTON</t>
  </si>
  <si>
    <t>000GYH-1</t>
  </si>
  <si>
    <t>15 Notch Road</t>
  </si>
  <si>
    <t>Vaillancourt, Sarah</t>
  </si>
  <si>
    <t>9219 VT RT 105 ENOSBURG FALLS VT 05450 - FRANKLIN</t>
  </si>
  <si>
    <t>000GYM-1</t>
  </si>
  <si>
    <t>Valdale Farm</t>
  </si>
  <si>
    <t>9219 VT RT 105</t>
  </si>
  <si>
    <t>Crooks, Jason</t>
  </si>
  <si>
    <t>7 KINGFISHER DRIVE WESTFORD VT 05494 - CHITTENDEN</t>
  </si>
  <si>
    <t>000GYP-1</t>
  </si>
  <si>
    <t>Crooks-Home Yard</t>
  </si>
  <si>
    <t>Jason Crooks</t>
  </si>
  <si>
    <t>7 Kingfisher Drive</t>
  </si>
  <si>
    <t>Russo, Robert E</t>
  </si>
  <si>
    <t>2 FOREST ROAD ESSEX JUNCTION VT 05452 - CHITTENDEN</t>
  </si>
  <si>
    <t>000GYX-1</t>
  </si>
  <si>
    <t>2 Forest Road</t>
  </si>
  <si>
    <t>Warner, Malcolm H</t>
  </si>
  <si>
    <t>90 NORTON ROAD MIDDLETOWN SPRINGS VT 05757 - RUTLAND</t>
  </si>
  <si>
    <t>000H07-1</t>
  </si>
  <si>
    <t>90 Norton Road</t>
  </si>
  <si>
    <t>Winterbauer, Neil</t>
  </si>
  <si>
    <t>14 RIDGE ROAD JERICHO VT 05465-2077 - CHITTENDEN</t>
  </si>
  <si>
    <t>000H08-1</t>
  </si>
  <si>
    <t>14 Ridge Road</t>
  </si>
  <si>
    <t>05465-2077</t>
  </si>
  <si>
    <t>Martineau, David</t>
  </si>
  <si>
    <t>272 FIREHOUSE ROAD WASHINGTON VT 05675 - ORANGE</t>
  </si>
  <si>
    <t>000H11-1</t>
  </si>
  <si>
    <t>272 Firehouse Road</t>
  </si>
  <si>
    <t>Harding, Brian</t>
  </si>
  <si>
    <t>848 BUCKNER ROAD SE MABLETON GA 30126-2702</t>
  </si>
  <si>
    <t>000H12-1</t>
  </si>
  <si>
    <t>2244 Hinesburg Road</t>
  </si>
  <si>
    <t>Kane, Ken</t>
  </si>
  <si>
    <t>5733 E SHELDON ROAD ENOSBURG FALLS VT 05450 - FRANKLIN</t>
  </si>
  <si>
    <t>000H3A-1</t>
  </si>
  <si>
    <t>5733 E. Sheldon Road</t>
  </si>
  <si>
    <t>Goossen, Dan</t>
  </si>
  <si>
    <t>507 SAINT PAUL STREET BURLINGTON VT 05401 - CHITTENDEN</t>
  </si>
  <si>
    <t>000H3B-1</t>
  </si>
  <si>
    <t>Williston Yard</t>
  </si>
  <si>
    <t>CSWD</t>
  </si>
  <si>
    <t>Redmond Road</t>
  </si>
  <si>
    <t>Cassiday, Julie</t>
  </si>
  <si>
    <t>260 TOWER ROAD BENNINGTON VT 05201 - BENNINGTON</t>
  </si>
  <si>
    <t>000H3C-1</t>
  </si>
  <si>
    <t>Cassiday Home Yard</t>
  </si>
  <si>
    <t>Julie Cassiday</t>
  </si>
  <si>
    <t>260 Tower Road</t>
  </si>
  <si>
    <t>MacIsaac, Betsy</t>
  </si>
  <si>
    <t>37 APLIN WAY PUTNEY VT 05346 - WINDHAM</t>
  </si>
  <si>
    <t>000H3D-1</t>
  </si>
  <si>
    <t>37 Aplin Way</t>
  </si>
  <si>
    <t>Haggart, Beth</t>
  </si>
  <si>
    <t>68 CATHERINE STREET BURLINGTON VT 05401 - CHITTENDEN</t>
  </si>
  <si>
    <t>000H3G-1</t>
  </si>
  <si>
    <t>Beth Haggart</t>
  </si>
  <si>
    <t>68 Catherine Street</t>
  </si>
  <si>
    <t>Huskisson, Robert</t>
  </si>
  <si>
    <t>1578 SEVERANCE ROAD COLCHESTER VT 05446 - CHITTENDEN</t>
  </si>
  <si>
    <t>000H3H-1</t>
  </si>
  <si>
    <t>1578 Severance Road</t>
  </si>
  <si>
    <t>LaBelle, Ashley</t>
  </si>
  <si>
    <t>5376 VT RT 105 ENOSBURG FALLS VT 05450 - FRANKLIN</t>
  </si>
  <si>
    <t>000H3J-1</t>
  </si>
  <si>
    <t>Bonneau Yard</t>
  </si>
  <si>
    <t>Tom Kane</t>
  </si>
  <si>
    <t>RTE 236 - State Park Road</t>
  </si>
  <si>
    <t>Harris, Polly</t>
  </si>
  <si>
    <t>2887 GUINEA ROAD CHARLOTTE VT 05445 - CHITTENDEN</t>
  </si>
  <si>
    <t>000H3Y-1</t>
  </si>
  <si>
    <t>2887 Guinea Road</t>
  </si>
  <si>
    <t>Coy, Kevin</t>
  </si>
  <si>
    <t>777 WILLOUGHBY LAKE ROAD BARTON VT 05822 - ORLEANS</t>
  </si>
  <si>
    <t>000H3Z-1</t>
  </si>
  <si>
    <t>777 Willoughby Lake Road</t>
  </si>
  <si>
    <t>Burton, David</t>
  </si>
  <si>
    <t>2454 NORTH WILLISTON ROAD WILLISTON VT 05495 - CHITTENDEN</t>
  </si>
  <si>
    <t>000H42-1</t>
  </si>
  <si>
    <t>2454 North Williston Road</t>
  </si>
  <si>
    <t>Reisenweaver, Dennis W.</t>
  </si>
  <si>
    <t>518 RICHMOND ROAD BRANDON VT 05733 - RUTLAND</t>
  </si>
  <si>
    <t>000H43-1</t>
  </si>
  <si>
    <t>Reisenweaver Home Yard</t>
  </si>
  <si>
    <t>Dennis Reisenweaver</t>
  </si>
  <si>
    <t>518 Richmond Road</t>
  </si>
  <si>
    <t>Ratte`, Jay</t>
  </si>
  <si>
    <t>3209 BURTON HILL ROAD BARTON VT 05822 - ORLEANS</t>
  </si>
  <si>
    <t>000H44-1</t>
  </si>
  <si>
    <t>3209 Burton Hill Road</t>
  </si>
  <si>
    <t>Barrett, Austin</t>
  </si>
  <si>
    <t>943 WILL GRIMES ROAD HYDE PARK VT 05655 - LAMOILLE</t>
  </si>
  <si>
    <t>000H4Q-1</t>
  </si>
  <si>
    <t>Bruce Barrett</t>
  </si>
  <si>
    <t>943 Will Grimes Road</t>
  </si>
  <si>
    <t>Davis, John E.</t>
  </si>
  <si>
    <t>52 BOOTH STREET BURLINGTON VT 05401 - CHITTENDEN</t>
  </si>
  <si>
    <t>000H4W-1</t>
  </si>
  <si>
    <t>John Davis</t>
  </si>
  <si>
    <t>52 Booth Street</t>
  </si>
  <si>
    <t>Wells, Dave</t>
  </si>
  <si>
    <t>297 FAIRFIELD HILL ROAD ST ALBANS VT 05478 - FRANKLIN</t>
  </si>
  <si>
    <t>000H4X-1</t>
  </si>
  <si>
    <t>297 Fairfield Hill Road</t>
  </si>
  <si>
    <t>Gilbert, Don</t>
  </si>
  <si>
    <t>251 SHERMAN HOLLOW ROAD HINESBURG VT 05461 - CHITTENDEN</t>
  </si>
  <si>
    <t>000H4Y-1</t>
  </si>
  <si>
    <t>Gilbert-Home Yard</t>
  </si>
  <si>
    <t>Don Gilbert</t>
  </si>
  <si>
    <t>251 Sherman Hollow Road</t>
  </si>
  <si>
    <t>Kuligoski, Mark</t>
  </si>
  <si>
    <t>600 MCREYNOLDS ROAD DANVILLE VT 05828 - CALEDONIA</t>
  </si>
  <si>
    <t>000H50-1</t>
  </si>
  <si>
    <t>600 McReynolds Road</t>
  </si>
  <si>
    <t>Cormier, Robert</t>
  </si>
  <si>
    <t>4181 STATE PARK ROAD ENOSBURG FALLS VT 05450 - FRANKLIN</t>
  </si>
  <si>
    <t>000H51-1</t>
  </si>
  <si>
    <t>Cormier-Home Yard</t>
  </si>
  <si>
    <t>Robert Cormier</t>
  </si>
  <si>
    <t>4181 State Park Road</t>
  </si>
  <si>
    <t>DeCoster, Dwight</t>
  </si>
  <si>
    <t>468 VT RT 15 UNDERHILL VT 05489 - CHITTENDEN</t>
  </si>
  <si>
    <t>000H52-1</t>
  </si>
  <si>
    <t>468 VT RT 15</t>
  </si>
  <si>
    <t>4 MARY DRIVE ST ALBANS VT 05478 - FRANKLIN</t>
  </si>
  <si>
    <t>000H6W-1</t>
  </si>
  <si>
    <t>Todd Jarvis</t>
  </si>
  <si>
    <t>4 Mary Drive</t>
  </si>
  <si>
    <t>McLaughlin, Martin</t>
  </si>
  <si>
    <t>323 LOST NATION ROAD ESSEX JUNCTION VT 05452 - CHITTENDEN</t>
  </si>
  <si>
    <t>000H6Y-1</t>
  </si>
  <si>
    <t>McLaughlin Home Yard</t>
  </si>
  <si>
    <t>Martin McLaughlin</t>
  </si>
  <si>
    <t>323 Lost Nation Road</t>
  </si>
  <si>
    <t>Robb, Amy</t>
  </si>
  <si>
    <t>3488 CLOUDLAND ROAD WOODSTOCK VT 05091 - WINDSOR</t>
  </si>
  <si>
    <t>000H9P-1</t>
  </si>
  <si>
    <t>Elm Grove Farm</t>
  </si>
  <si>
    <t>3488 Cloudland Road</t>
  </si>
  <si>
    <t>Stanley, Dave</t>
  </si>
  <si>
    <t>289 CHERRIERVILLE ROAD FAIRFAX VT 05454 - FRANKLIN</t>
  </si>
  <si>
    <t>000H9Q-1</t>
  </si>
  <si>
    <t>Dave Stanley</t>
  </si>
  <si>
    <t>Y</t>
  </si>
  <si>
    <t>289 Cherrierville Road</t>
  </si>
  <si>
    <t>Willey, Michael</t>
  </si>
  <si>
    <t>148 BROWNS TRACE ROAD JERICHO VT 05465 - CHITTENDEN</t>
  </si>
  <si>
    <t>000H9V-1</t>
  </si>
  <si>
    <t>148 Browns Trace Road</t>
  </si>
  <si>
    <t>Chester, Michele</t>
  </si>
  <si>
    <t>2180 MAIN STREET NEW HAVEN VT 05472 - ADDISON</t>
  </si>
  <si>
    <t>000HA4-1</t>
  </si>
  <si>
    <t>2180 Main Street</t>
  </si>
  <si>
    <t>Lamphere, Leah</t>
  </si>
  <si>
    <t>490 EAST ROAD MILTON VT 05468 - CHITTENDEN</t>
  </si>
  <si>
    <t>000HA6-1</t>
  </si>
  <si>
    <t>Lamphere-Home Yard</t>
  </si>
  <si>
    <t>Leah Lamphere</t>
  </si>
  <si>
    <t>490 East Road</t>
  </si>
  <si>
    <t>Ferriss, Holly</t>
  </si>
  <si>
    <t>2470 N CAMBRIDGE ROAD JEFFERSONVILLE VT 05464 - LAMOILLE</t>
  </si>
  <si>
    <t>000HA7-1</t>
  </si>
  <si>
    <t>2470 N. Cambridge Road</t>
  </si>
  <si>
    <t>Hazen, Tyler</t>
  </si>
  <si>
    <t>110 TRAPP ROAD HUNTINGTON VT 05462 - CHITTENDEN</t>
  </si>
  <si>
    <t>000HA8-1</t>
  </si>
  <si>
    <t>110 Trapp Road</t>
  </si>
  <si>
    <t>Graham, Jason A.</t>
  </si>
  <si>
    <t>714 CORLEY ROAD WOLCOTT VT 05680 - LAMOILLE</t>
  </si>
  <si>
    <t>000HA9-1</t>
  </si>
  <si>
    <t>714 Corley Road</t>
  </si>
  <si>
    <t>000HAA-1</t>
  </si>
  <si>
    <t>2031 Baptist Street</t>
  </si>
  <si>
    <t>Duggan, Jim</t>
  </si>
  <si>
    <t>4114 BRAINTREE HILL ROAD BRAINTREE VT 05060 - ORANGE</t>
  </si>
  <si>
    <t>000HAB-1</t>
  </si>
  <si>
    <t>Bill &amp; Cecil Yard</t>
  </si>
  <si>
    <t>Gene Bianco</t>
  </si>
  <si>
    <t>4114 Braintree Hill Road</t>
  </si>
  <si>
    <t>Andersson-Swayze, Jean</t>
  </si>
  <si>
    <t>209 MUSEUM ROAD CHARLOTTE VT 05445 - CHITTENDEN</t>
  </si>
  <si>
    <t>000HAC-1</t>
  </si>
  <si>
    <t>Andersson-Swayze-Home Yard</t>
  </si>
  <si>
    <t>Jean Andersson-Swayze</t>
  </si>
  <si>
    <t>209 Museum Road</t>
  </si>
  <si>
    <t>Russell, Sheila</t>
  </si>
  <si>
    <t>1345 CROSSETT HILL ROAD DUXBURY VT 05676 - WASHINGTON</t>
  </si>
  <si>
    <t>000HAD-1</t>
  </si>
  <si>
    <t>1345 Crossett Hill Road</t>
  </si>
  <si>
    <t>Cook, Amy</t>
  </si>
  <si>
    <t>8 ACCESS ROAD MILTON VT 05468 - CHITTENDEN</t>
  </si>
  <si>
    <t>000HAJ-1</t>
  </si>
  <si>
    <t>Sweetwater Apiary</t>
  </si>
  <si>
    <t>8 Access Road</t>
  </si>
  <si>
    <t>Cloutier, Sister Holly</t>
  </si>
  <si>
    <t>56 HOWARD HILL ROAD BENSON VT 05743 - RUTLAND</t>
  </si>
  <si>
    <t>000HC1-1</t>
  </si>
  <si>
    <t>Mercy Farm Yard</t>
  </si>
  <si>
    <t>Sisters of Mercy</t>
  </si>
  <si>
    <t>56 Howard Hill Road</t>
  </si>
  <si>
    <t>Flickinger, Greg</t>
  </si>
  <si>
    <t>225 SUNRISE DRIVE GUILFORD VT 05301 - WINDHAM</t>
  </si>
  <si>
    <t>000HC2-1</t>
  </si>
  <si>
    <t>225 Sunrise Drive</t>
  </si>
  <si>
    <t>Kemsley, Michael</t>
  </si>
  <si>
    <t>2 LALAFOREST BURLINGTON VT 05401 - CHITTENDEN</t>
  </si>
  <si>
    <t>000HC6-1</t>
  </si>
  <si>
    <t>99 Reynolds Road</t>
  </si>
  <si>
    <t>Collins, Bruce</t>
  </si>
  <si>
    <t>214 EBENEZER PLACE HYDE PARK VT 05655 - LAMOILLE</t>
  </si>
  <si>
    <t>000HC7-1</t>
  </si>
  <si>
    <t>214 Ebenezer Place</t>
  </si>
  <si>
    <t>Watson, Gerald</t>
  </si>
  <si>
    <t>159 AUSTIN HILL ROAD BENNINGTON VT 05201 - BENNINGTON</t>
  </si>
  <si>
    <t>000HDC-1</t>
  </si>
  <si>
    <t>159 Austin Hill Road</t>
  </si>
  <si>
    <t>Magoon, Erika</t>
  </si>
  <si>
    <t>233 OLD DEUSO ROAD EDEN VT 05652 - LAMOILLE</t>
  </si>
  <si>
    <t>000HF2-1</t>
  </si>
  <si>
    <t>Jim Gagner</t>
  </si>
  <si>
    <t>233 Old Deuso Road</t>
  </si>
  <si>
    <t>Chamberlin, Kendall</t>
  </si>
  <si>
    <t>98 OLD PUMP ROAD ESSEX VT 05452 - CHITTENDEN</t>
  </si>
  <si>
    <t>000HG5-1</t>
  </si>
  <si>
    <t>Chamberlin-Home Yard</t>
  </si>
  <si>
    <t>Kendall Chamberlin</t>
  </si>
  <si>
    <t>98 Old Pump Road</t>
  </si>
  <si>
    <t>Wetherbee, William F.</t>
  </si>
  <si>
    <t>467 DEPOT ROAD COLCHESTER VT 05446 - CHITTENDEN</t>
  </si>
  <si>
    <t>000HG6-1</t>
  </si>
  <si>
    <t>Wetherbee-Home Yard</t>
  </si>
  <si>
    <t>William Wetherbee</t>
  </si>
  <si>
    <t>467 Depot Road</t>
  </si>
  <si>
    <t>Morris, Peter</t>
  </si>
  <si>
    <t>4800 BASIN HARBOR ROAD VERGENNES VT 05491 - ADDISON</t>
  </si>
  <si>
    <t>000HNH-1</t>
  </si>
  <si>
    <t>P's Bees</t>
  </si>
  <si>
    <t>Basin Harbor Club</t>
  </si>
  <si>
    <t>4800 Basin Harbor Road</t>
  </si>
  <si>
    <t>Kraft, Lori</t>
  </si>
  <si>
    <t>90 MAQUAM SHORE ROAD SWANTON VT 05488-9640 - FRANKLIN</t>
  </si>
  <si>
    <t>000HNJ-1</t>
  </si>
  <si>
    <t>Sirious Rising Apiary</t>
  </si>
  <si>
    <t>Lori Kraft</t>
  </si>
  <si>
    <t>90 Maquam Shore Road</t>
  </si>
  <si>
    <t>05488-9640</t>
  </si>
  <si>
    <t>Bolt, Annette</t>
  </si>
  <si>
    <t>647 MAD TOM ROAD EAST DORSET VT 05253 - BENNINGTON</t>
  </si>
  <si>
    <t>000HNK-1</t>
  </si>
  <si>
    <t>Bolt-Home Yard</t>
  </si>
  <si>
    <t>Pitmon, Stephen</t>
  </si>
  <si>
    <t>31 MAPLE LEAF FARM ROAD UNDERHILL VT 05489 - CHITTENDEN</t>
  </si>
  <si>
    <t>000HNM-1</t>
  </si>
  <si>
    <t>Pitmon Home Yard</t>
  </si>
  <si>
    <t>Stephen Pitmon</t>
  </si>
  <si>
    <t>31 Maple Leaf Farm Road</t>
  </si>
  <si>
    <t>Peck, Sharon</t>
  </si>
  <si>
    <t>1495 COBURN ROAD PLAINFIELD VT 05667 - WASHINGTON</t>
  </si>
  <si>
    <t>000HNN-1</t>
  </si>
  <si>
    <t>Willow Moon Farm</t>
  </si>
  <si>
    <t>1495 Coburn Road</t>
  </si>
  <si>
    <t>Fisher, Lori</t>
  </si>
  <si>
    <t>137 VILLAGE GROVE WILLISTON VT 05495 - CHITTENDEN</t>
  </si>
  <si>
    <t>000HVD-1</t>
  </si>
  <si>
    <t>137 Village Grove</t>
  </si>
  <si>
    <t>Goossen, Reed</t>
  </si>
  <si>
    <t>309 SAFFORD STREET BENNINGTON VT 05201-2015 - BENNINGTON</t>
  </si>
  <si>
    <t>000HVP-1</t>
  </si>
  <si>
    <t>309 Safford Street</t>
  </si>
  <si>
    <t>05201-2015</t>
  </si>
  <si>
    <t>Squier, Elizabeth</t>
  </si>
  <si>
    <t>894 TAMARACK ROAD STOWE VT 05672 - LAMOILLE</t>
  </si>
  <si>
    <t>000HVW-1</t>
  </si>
  <si>
    <t>894 Tamarack Road</t>
  </si>
  <si>
    <t>Stowe</t>
  </si>
  <si>
    <t>Moran, Diana</t>
  </si>
  <si>
    <t>640 WOODS HOLLOW ROAD WESTFORD VT 05494 - CHITTENDEN</t>
  </si>
  <si>
    <t>000HVX-1</t>
  </si>
  <si>
    <t>640 Woods Hollow Road</t>
  </si>
  <si>
    <t>Golden, Richard</t>
  </si>
  <si>
    <t>32 BROOKSIDE ROAD WESTFORD VT 05494 - CHITTENDEN</t>
  </si>
  <si>
    <t>000HVY-1</t>
  </si>
  <si>
    <t>32 Brookside Road</t>
  </si>
  <si>
    <t>Pollard, William</t>
  </si>
  <si>
    <t>205 WEST HILL ROAD WORCESTER VT 05682 - WASHINGTON</t>
  </si>
  <si>
    <t>000HW0-1</t>
  </si>
  <si>
    <t>205 West Hill Road</t>
  </si>
  <si>
    <t>Harrington, Monte James</t>
  </si>
  <si>
    <t>248 WALDEN ROAD COLCHESTER VT 05446 - CHITTENDEN</t>
  </si>
  <si>
    <t>000HW2-1</t>
  </si>
  <si>
    <t>Tom Cadreact</t>
  </si>
  <si>
    <t>248 Walden Road</t>
  </si>
  <si>
    <t>Becker, Jim</t>
  </si>
  <si>
    <t>2197 RT 133 PAWLET VT 05761 - RUTLAND</t>
  </si>
  <si>
    <t>000HW3-1</t>
  </si>
  <si>
    <t>Jim Becker</t>
  </si>
  <si>
    <t>2197 RT 133</t>
  </si>
  <si>
    <t>Kalp, James C</t>
  </si>
  <si>
    <t>313 TJADER ROAD WOLCOTT VT 05680 - LAMOILLE</t>
  </si>
  <si>
    <t>000J66-1</t>
  </si>
  <si>
    <t>Kalp Family Farm</t>
  </si>
  <si>
    <t>Kalp</t>
  </si>
  <si>
    <t>313 Tjader Road</t>
  </si>
  <si>
    <t>Sabens, Laurie D.</t>
  </si>
  <si>
    <t>59 APPLE BLOSSOM ROAD BARRE VT 05641 - WASHINGTON</t>
  </si>
  <si>
    <t>000J67-1</t>
  </si>
  <si>
    <t>59 Apple Blossom Road</t>
  </si>
  <si>
    <t>Muller, James</t>
  </si>
  <si>
    <t>42 WILDBERRY LANE UNDERHILL VT 05489 - CHITTENDEN</t>
  </si>
  <si>
    <t>000J69-1</t>
  </si>
  <si>
    <t>42 Wildberry Lane</t>
  </si>
  <si>
    <t>Filkowski, Eric</t>
  </si>
  <si>
    <t>370 LOOMIS HIGHLANDS WATERBURY CENTER VT 05677 - WASHINGTON</t>
  </si>
  <si>
    <t>000J6C-1</t>
  </si>
  <si>
    <t>Filkowski-Home Yard</t>
  </si>
  <si>
    <t>Eric Filkowski</t>
  </si>
  <si>
    <t>370 Loomis Highlands</t>
  </si>
  <si>
    <t>Burke, Lonnie</t>
  </si>
  <si>
    <t>416 CARROLL HILL ROAD FAIRFAX VT 05454 - FRANKLIN</t>
  </si>
  <si>
    <t>000J6D-1</t>
  </si>
  <si>
    <t>Gennette Carr</t>
  </si>
  <si>
    <t>416 Carroll Hill Road</t>
  </si>
  <si>
    <t>Fowler, Sarah</t>
  </si>
  <si>
    <t>331 SPRING HILL ROAD MORRISVILLE VT 05661 - LAMOILLE</t>
  </si>
  <si>
    <t>000J7P-1</t>
  </si>
  <si>
    <t>Fowler-Home Yard</t>
  </si>
  <si>
    <t>Sarah Fowler</t>
  </si>
  <si>
    <t>331 Spring Hill Road</t>
  </si>
  <si>
    <t>Girardin, James</t>
  </si>
  <si>
    <t>83 WEED ROAD ESSEX VT 05452 - CHITTENDEN</t>
  </si>
  <si>
    <t>000J7Q-1</t>
  </si>
  <si>
    <t>83 Weed Road</t>
  </si>
  <si>
    <t>Dupuis, Jonathan</t>
  </si>
  <si>
    <t>2521 CROSS ROAD CONCORD VT 05824 - ESSEX</t>
  </si>
  <si>
    <t>000J7X-1</t>
  </si>
  <si>
    <t>2521 Cross Road</t>
  </si>
  <si>
    <t>Lamphere, Bryan</t>
  </si>
  <si>
    <t>49 PACKARD ROAD JERICHO VT 05465 - CHITTENDEN</t>
  </si>
  <si>
    <t>000J7Y-1</t>
  </si>
  <si>
    <t>49 Packard Road</t>
  </si>
  <si>
    <t>Baptiste, L.</t>
  </si>
  <si>
    <t>107 HINESBURG ROAD RICHMOND VT 05477 - CHITTENDEN</t>
  </si>
  <si>
    <t>000J7Z-1</t>
  </si>
  <si>
    <t>107 Hinesburg Road</t>
  </si>
  <si>
    <t>Thibault, Daniel- Daniel's Apiary</t>
  </si>
  <si>
    <t>575 SPOONER ROAD FAIRFAX VT 05454 - FRANKLIN</t>
  </si>
  <si>
    <t>000J8N-1</t>
  </si>
  <si>
    <t>Thibault Home Yard</t>
  </si>
  <si>
    <t>Tim Thibault</t>
  </si>
  <si>
    <t>575 Spooner Road</t>
  </si>
  <si>
    <t>Bright, Jamie</t>
  </si>
  <si>
    <t>94 OLD PUMP ROAD JERICHO VT 05465 - CHITTENDEN</t>
  </si>
  <si>
    <t>000J8Y-1</t>
  </si>
  <si>
    <t>Pat Wells</t>
  </si>
  <si>
    <t>94 Old Pump Road</t>
  </si>
  <si>
    <t>Morrow, Laureli</t>
  </si>
  <si>
    <t>600 ELM STREET MONTPELIER VT 05602 - WASHINGTON</t>
  </si>
  <si>
    <t>000J90-1</t>
  </si>
  <si>
    <t>Morrow Home Yard</t>
  </si>
  <si>
    <t>Laureli Morrow</t>
  </si>
  <si>
    <t>600 Elm Street</t>
  </si>
  <si>
    <t>Chalmers, Alec</t>
  </si>
  <si>
    <t>770 RTE 100 WESTON VT 05161 - WINDSOR</t>
  </si>
  <si>
    <t>000JC8-1</t>
  </si>
  <si>
    <t>Wantastiquet Farm Home Yard</t>
  </si>
  <si>
    <t>Alec Chalmers</t>
  </si>
  <si>
    <t>770 RTE 100</t>
  </si>
  <si>
    <t>Mawhinney, Lorrie</t>
  </si>
  <si>
    <t>875 CRESTWOOD ROAD LYDONVILLE VT 05851-8642 - CALEDONIA</t>
  </si>
  <si>
    <t>000JC9-1</t>
  </si>
  <si>
    <t>2676 South Wheelock Road</t>
  </si>
  <si>
    <t>Lydonville</t>
  </si>
  <si>
    <t>Dindo, Howard</t>
  </si>
  <si>
    <t>155 BOBBIN SHOP ROAD CHELSEA VT 05038 - ORANGE</t>
  </si>
  <si>
    <t>000JCA-1</t>
  </si>
  <si>
    <t>Dindo Home Yard</t>
  </si>
  <si>
    <t>Howard Dindo</t>
  </si>
  <si>
    <t>155 Bobbin Shop Road</t>
  </si>
  <si>
    <t>Mongeon, Scott</t>
  </si>
  <si>
    <t>99 SLEEPY HOLLOW ROAD ESSEX VT 05452 - CHITTENDEN</t>
  </si>
  <si>
    <t>000JCB-1</t>
  </si>
  <si>
    <t>99 Sleepy Hollow Road</t>
  </si>
  <si>
    <t>Chaleff, George</t>
  </si>
  <si>
    <t>499 MELODY LANE JOHNSON VT 05656-4449 - LAMOILLE</t>
  </si>
  <si>
    <t>000JCP-1</t>
  </si>
  <si>
    <t>499 Melody Lane</t>
  </si>
  <si>
    <t>05656-4449</t>
  </si>
  <si>
    <t>Shatney, Leslie F.</t>
  </si>
  <si>
    <t>1775 CROSS ROAD CONCORD VT 05824 - ESSEX</t>
  </si>
  <si>
    <t>000JCQ-1</t>
  </si>
  <si>
    <t>1775 Cross Road</t>
  </si>
  <si>
    <t>Gullotti, Gail</t>
  </si>
  <si>
    <t>121 RYAN ROAD DUMMERSTON VT 05301 - WINDHAM</t>
  </si>
  <si>
    <t>000JCW-1</t>
  </si>
  <si>
    <t>Gullotti Home Yard</t>
  </si>
  <si>
    <t>Gail Gullotti</t>
  </si>
  <si>
    <t>121 Ryan Road</t>
  </si>
  <si>
    <t>Coolidge, Jolene</t>
  </si>
  <si>
    <t>452A GEORGE ROAD WILLIAMSTOWN VT 05679 - ORANGE</t>
  </si>
  <si>
    <t>000JCX-1</t>
  </si>
  <si>
    <t>Peggy Coolidge</t>
  </si>
  <si>
    <t>452A George Road</t>
  </si>
  <si>
    <t>Morgan, David</t>
  </si>
  <si>
    <t>50 ORCHARD COMMONS ROAD HINESBURG VT 05461 - CHITTENDEN</t>
  </si>
  <si>
    <t>000JCY-1</t>
  </si>
  <si>
    <t>50 Orchard Commons Road</t>
  </si>
  <si>
    <t>Spillane, Jim</t>
  </si>
  <si>
    <t>1457 NORTH ROAD GUILDHALL VT 05905 - ESSEX</t>
  </si>
  <si>
    <t>000JCZ-1</t>
  </si>
  <si>
    <t>Guildhall Town</t>
  </si>
  <si>
    <t>Jacqueline Spillane</t>
  </si>
  <si>
    <t>1457 North Road</t>
  </si>
  <si>
    <t>Guildhall</t>
  </si>
  <si>
    <t>Ruggerio, Janet</t>
  </si>
  <si>
    <t>250 AUTUMN HILL ROAD SOUTH BURLINGTON VT 05403 - CHITTENDEN</t>
  </si>
  <si>
    <t>000JD0-1</t>
  </si>
  <si>
    <t>250 Autumn Hill Road</t>
  </si>
  <si>
    <t>Schnell, Lisa</t>
  </si>
  <si>
    <t>46 CRESCENT ROAD BURLINGTON VT 05401-4119 - CHITTENDEN</t>
  </si>
  <si>
    <t>000JD1-1</t>
  </si>
  <si>
    <t>Schnell Home Yard</t>
  </si>
  <si>
    <t>Lisa Schnell</t>
  </si>
  <si>
    <t>46 Crescent Road</t>
  </si>
  <si>
    <t>05401-4119</t>
  </si>
  <si>
    <t>Zollner, Jennifer</t>
  </si>
  <si>
    <t>470 HAMMET HILL ROAD EAST MONTPELIER VT 05651 - WASHINGTON</t>
  </si>
  <si>
    <t>000JDV-1</t>
  </si>
  <si>
    <t>470 Hammet Hill Road</t>
  </si>
  <si>
    <t>East Montpelier</t>
  </si>
  <si>
    <t>Wooster, Chuck</t>
  </si>
  <si>
    <t>270 ORRIZZONTO ROAD WHITE RIVER JUNCTION VT 05001 - WINDSOR</t>
  </si>
  <si>
    <t>000JF1-1</t>
  </si>
  <si>
    <t>WoosterHome Yard</t>
  </si>
  <si>
    <t>Chuck Wooster</t>
  </si>
  <si>
    <t>270 Orrizzonto Road</t>
  </si>
  <si>
    <t>Dudley, Phyllis</t>
  </si>
  <si>
    <t>27 HEATH HILL ROAD GROTON VT 05046 - CALEDONIA</t>
  </si>
  <si>
    <t>000JF2-1</t>
  </si>
  <si>
    <t>27 Heath Hill Road</t>
  </si>
  <si>
    <t>Wetherby, Carl</t>
  </si>
  <si>
    <t>50 EASTERN AVE RICHFORD VT 05476 - FRANKLIN</t>
  </si>
  <si>
    <t>000JF3-1</t>
  </si>
  <si>
    <t>50 Eastern Lane</t>
  </si>
  <si>
    <t>Hemenway, Thomas</t>
  </si>
  <si>
    <t>PO BOX 865 MORRISVILLE VT 05661-0865 - LAMOILLE</t>
  </si>
  <si>
    <t>000JF4-1</t>
  </si>
  <si>
    <t>P.O. Box 865</t>
  </si>
  <si>
    <t>05661-0865</t>
  </si>
  <si>
    <t>Bourque, Judith</t>
  </si>
  <si>
    <t>4015 KIRBY MOUNTAIN ROAD CONCORD VT 05824 - CALEDONIA</t>
  </si>
  <si>
    <t>000JF5-1</t>
  </si>
  <si>
    <t>4015 Kirby Mountain Road</t>
  </si>
  <si>
    <t>Pettit, Dennis</t>
  </si>
  <si>
    <t>53 HICKORY RIDGE ROAD SOUTH PUTNEY VT 05346 - WINDHAM</t>
  </si>
  <si>
    <t>000JF6-1</t>
  </si>
  <si>
    <t>53 Hickory Ridge Road South</t>
  </si>
  <si>
    <t>Clark, Jay S.</t>
  </si>
  <si>
    <t>5071 RT 113 THETFORD CENTER VT 05075 - ORANGE</t>
  </si>
  <si>
    <t>000JM0-1</t>
  </si>
  <si>
    <t>5071 RT 113</t>
  </si>
  <si>
    <t>Sklepowicz, Thomas R.</t>
  </si>
  <si>
    <t>1378 MORGAN STREET BENNINGTON VT 05201-8616 - BENNINGTON</t>
  </si>
  <si>
    <t>000JQV-1</t>
  </si>
  <si>
    <t>1378 Morgan Street</t>
  </si>
  <si>
    <t>05201-8616</t>
  </si>
  <si>
    <t>Steele, Brian</t>
  </si>
  <si>
    <t>652 WITCHCAT ROAD ENOSBURG FALLS VT 05450 - FRANKLIN</t>
  </si>
  <si>
    <t>000JQY-1</t>
  </si>
  <si>
    <t>Lazy Bee Farm</t>
  </si>
  <si>
    <t>Brian Steele</t>
  </si>
  <si>
    <t>652 Witchcat Road</t>
  </si>
  <si>
    <t>Burget, Kevin</t>
  </si>
  <si>
    <t>177 TEN STONE CIRCLE CHARLOTTE VT 05445 - CHITTENDEN</t>
  </si>
  <si>
    <t>000JV2-1</t>
  </si>
  <si>
    <t>Ten Stone Circle Gardens</t>
  </si>
  <si>
    <t>Community Association</t>
  </si>
  <si>
    <t>177 Ten Stone Circle</t>
  </si>
  <si>
    <t>Gustavsen, Lars</t>
  </si>
  <si>
    <t>PO BOX 71 EAST BURKE VT 05832 - CALEDONIA</t>
  </si>
  <si>
    <t>000JV3-1</t>
  </si>
  <si>
    <t>Gustavsen-Home Yard</t>
  </si>
  <si>
    <t>Lars Gustavsen</t>
  </si>
  <si>
    <t>104 Winterset Drive</t>
  </si>
  <si>
    <t>Havard, Edward P.</t>
  </si>
  <si>
    <t>557 TEN STONES CIRCLE CHARLOTTE VT 05445 - CHITTENDEN</t>
  </si>
  <si>
    <t>000JV4-1</t>
  </si>
  <si>
    <t>Ten Stones Circle Garden</t>
  </si>
  <si>
    <t>557 Ten Stones Circle</t>
  </si>
  <si>
    <t>Mellen, David, Mellen Meadows</t>
  </si>
  <si>
    <t>81 GROUSE LANE PERKINSVILLE VT 05151 - WINDSOR</t>
  </si>
  <si>
    <t>000JV5-1</t>
  </si>
  <si>
    <t>Mellen Home Yard</t>
  </si>
  <si>
    <t>David Mellen</t>
  </si>
  <si>
    <t>81 Grouse Lane</t>
  </si>
  <si>
    <t>Plouff, Steve</t>
  </si>
  <si>
    <t>1087 COLTON ROAD ENOSBURG FALLS VT 05450 - FRANKLIN</t>
  </si>
  <si>
    <t>000JV7-1</t>
  </si>
  <si>
    <t>1087 Colton Road</t>
  </si>
  <si>
    <t>Mclean, Ian</t>
  </si>
  <si>
    <t>390 ROBERT YOUNG ROAD STARKSBORO VT 05487 - ADDISON</t>
  </si>
  <si>
    <t>000JVJ-1</t>
  </si>
  <si>
    <t>390 Robert Young Road</t>
  </si>
  <si>
    <t>Tonne, Deborah</t>
  </si>
  <si>
    <t>75 POKER HILL ROAD UNDERHILL VT 05489 - CHITTENDEN</t>
  </si>
  <si>
    <t>000JVK-1</t>
  </si>
  <si>
    <t>75 Poker Hill Road</t>
  </si>
  <si>
    <t>Szely III, Charles A.</t>
  </si>
  <si>
    <t>1016 CAMP BROOK ROAD BETHEL VT 05032 - WINDSOR</t>
  </si>
  <si>
    <t>000JVM-1</t>
  </si>
  <si>
    <t>1016 Camp Brook Road</t>
  </si>
  <si>
    <t>Vargo, Anthony</t>
  </si>
  <si>
    <t>1100 DORSET STREET SOUTH BURLINGTON VT 05403 - CHITTENDEN</t>
  </si>
  <si>
    <t>000JVX-1</t>
  </si>
  <si>
    <t>National Gardening Association</t>
  </si>
  <si>
    <t>City of S. Burlington</t>
  </si>
  <si>
    <t>1100 Dorset Street</t>
  </si>
  <si>
    <t>Curtis, Deborah</t>
  </si>
  <si>
    <t>293 BECKLEY HILL ROAD BARRE VT 05641-8908 - WASHINGTON</t>
  </si>
  <si>
    <t>000JW0-1</t>
  </si>
  <si>
    <t>293 Beckley Hill Road</t>
  </si>
  <si>
    <t>05641-8908</t>
  </si>
  <si>
    <t>Gross, Henry</t>
  </si>
  <si>
    <t>287 SINON ROAD WEST GLOVER VT 05875 - ORLEANS</t>
  </si>
  <si>
    <t>000JW1-1</t>
  </si>
  <si>
    <t>287 Sinon Road</t>
  </si>
  <si>
    <t>West Glover</t>
  </si>
  <si>
    <t>Clayton, Joseph</t>
  </si>
  <si>
    <t>49 WESTERN AVENUE BURLINGTON VT 05408 - CHITTENDEN</t>
  </si>
  <si>
    <t>000JW2-1</t>
  </si>
  <si>
    <t>49 Western Avenue</t>
  </si>
  <si>
    <t>Eckert, Brian</t>
  </si>
  <si>
    <t>12 DUBOIS DRIVE SOUTH BURLINGTON VT 05403 - CHITTENDEN</t>
  </si>
  <si>
    <t>000JW3-1</t>
  </si>
  <si>
    <t>12 Dubois Drive</t>
  </si>
  <si>
    <t>Lariviere, James</t>
  </si>
  <si>
    <t>3192 WEST BERKSHIRE ROAD ENOSBURG VT 05450 - FRANKLIN</t>
  </si>
  <si>
    <t>000JW6-1</t>
  </si>
  <si>
    <t>Lariviere home yard</t>
  </si>
  <si>
    <t>James Lariviere</t>
  </si>
  <si>
    <t>3192 West Berkshire Road</t>
  </si>
  <si>
    <t>Sutton, Susan</t>
  </si>
  <si>
    <t>37 ELMORE ROAD WORCESTER VT 05682 - WASHINGTON</t>
  </si>
  <si>
    <t>000JW7-1</t>
  </si>
  <si>
    <t>37 Elmore Road</t>
  </si>
  <si>
    <t>Wolstenholme, Keith</t>
  </si>
  <si>
    <t>1408 RT 113 EAST THETFORD VT 05043 - ORANGE</t>
  </si>
  <si>
    <t>000JWA-1</t>
  </si>
  <si>
    <t>1408 RT 113</t>
  </si>
  <si>
    <t>East Thetford</t>
  </si>
  <si>
    <t>Haven, Bob</t>
  </si>
  <si>
    <t>145 LITTLE HORSE LANE CHARLOTTE VT 05445 - CHITTENDEN</t>
  </si>
  <si>
    <t>000JWB-1</t>
  </si>
  <si>
    <t>Haven-Home Yard</t>
  </si>
  <si>
    <t>Bob Haven</t>
  </si>
  <si>
    <t>145 Little Horse Lane</t>
  </si>
  <si>
    <t>Delaney, Jill</t>
  </si>
  <si>
    <t>85 SHEDDSVILLE ROAD BROWNSVILLE VT 05037 - WINDSOR</t>
  </si>
  <si>
    <t>000JWG-1</t>
  </si>
  <si>
    <t>Delaney Home Yard</t>
  </si>
  <si>
    <t>Jill Delaney</t>
  </si>
  <si>
    <t>85 Sheddsville Road</t>
  </si>
  <si>
    <t>Burke, Nicole</t>
  </si>
  <si>
    <t>827 BLACKWOOD ROAD EAST WALLINGFORD VT 05742 - RUTLAND</t>
  </si>
  <si>
    <t>000JWH-1</t>
  </si>
  <si>
    <t>827 Blackwood Road</t>
  </si>
  <si>
    <t>East Wallingford</t>
  </si>
  <si>
    <t>Hanselman, Scott</t>
  </si>
  <si>
    <t>40 STAGE ROAD WEST HAVEN VT 05743 - RUTLAND</t>
  </si>
  <si>
    <t>000JWM-1</t>
  </si>
  <si>
    <t>40 Stage Road</t>
  </si>
  <si>
    <t>Hayes, Ryan J.</t>
  </si>
  <si>
    <t>275 BUTTERNUT ROAD WILLISTON VT 05495 - CHITTENDEN</t>
  </si>
  <si>
    <t>000JWP-1</t>
  </si>
  <si>
    <t>275 Butternut Road</t>
  </si>
  <si>
    <t>Gallison, Lyle</t>
  </si>
  <si>
    <t>620 S MIDDLEBROOK ROAD VERGENNES VT 05491 - ADDISON</t>
  </si>
  <si>
    <t>000JWQ-1</t>
  </si>
  <si>
    <t>620 S. Middlebrook Road</t>
  </si>
  <si>
    <t>Earle, JC</t>
  </si>
  <si>
    <t>44 SKUNK HOLLOW ROAD JERICHO VT 05465 - CHITTENDEN</t>
  </si>
  <si>
    <t>000JWW-1</t>
  </si>
  <si>
    <t>44 Skunk Hollow Road</t>
  </si>
  <si>
    <t>Post, Marilyn</t>
  </si>
  <si>
    <t>348 US RT 2 GRAND ISLE VT 05458 - GRAND ISLE</t>
  </si>
  <si>
    <t>000JWX-1</t>
  </si>
  <si>
    <t>348 US RT 2</t>
  </si>
  <si>
    <t>Thompson, Deborah</t>
  </si>
  <si>
    <t>20 BLISS ROAD TINMOUTH VT 05773 - RUTLAND</t>
  </si>
  <si>
    <t>000JX0-1</t>
  </si>
  <si>
    <t>Thompson Home Yard</t>
  </si>
  <si>
    <t>Deborah Thompson</t>
  </si>
  <si>
    <t>20 Bliss Road</t>
  </si>
  <si>
    <t>Chicoine, Lawrence</t>
  </si>
  <si>
    <t>896 VT RT 15 UNDERHILL VT 05489 - CHITTENDEN</t>
  </si>
  <si>
    <t>000JX1-1</t>
  </si>
  <si>
    <t>Chicoine Home Yard</t>
  </si>
  <si>
    <t>Lawrence Chicoine</t>
  </si>
  <si>
    <t>896 VT RT 15</t>
  </si>
  <si>
    <t>Burns, Jeremiah</t>
  </si>
  <si>
    <t>PO BOX 221 HARTLAND VT 05048 - WINDSOR</t>
  </si>
  <si>
    <t>000JX2-1</t>
  </si>
  <si>
    <t>&lt;Very small&gt;</t>
  </si>
  <si>
    <t>Burns-Home Yard</t>
  </si>
  <si>
    <t>Jermiah Burns</t>
  </si>
  <si>
    <t>P.O. Box 221</t>
  </si>
  <si>
    <t>Strokanov, Alexandre</t>
  </si>
  <si>
    <t>1127 NORTH DANVILLE ROAD SAINT JOHNSBURY VT 05819 - CALEDONIA</t>
  </si>
  <si>
    <t>000JX3-1</t>
  </si>
  <si>
    <t>1127 North Danville Road</t>
  </si>
  <si>
    <t>Saint Johnsbury</t>
  </si>
  <si>
    <t>Messer, Carla</t>
  </si>
  <si>
    <t>317 MEADOW ROAD WAITSFIELD VT 05673 - WASHINGTON</t>
  </si>
  <si>
    <t>000JX6-1</t>
  </si>
  <si>
    <t>317 Meadow Road</t>
  </si>
  <si>
    <t>Coffey, Sara</t>
  </si>
  <si>
    <t>542 FITCH ROAD GUILFORD VT 05301 - WINDHAM</t>
  </si>
  <si>
    <t>000JX7-1</t>
  </si>
  <si>
    <t>542 Fitch Road</t>
  </si>
  <si>
    <t>MacKnight, Linda</t>
  </si>
  <si>
    <t>680 CURTIS ROAD RANDOLPH CENTER VT 05061 - ORANGE</t>
  </si>
  <si>
    <t>000JXA-1</t>
  </si>
  <si>
    <t>680 Curtis Road</t>
  </si>
  <si>
    <t>Graham, Thomas</t>
  </si>
  <si>
    <t>40 ADVENT HILL ROAD HARTLAND VT 05048 - WINDSOR</t>
  </si>
  <si>
    <t>000JXB-1</t>
  </si>
  <si>
    <t>Thomas Graham</t>
  </si>
  <si>
    <t>40 Advent Hill Road</t>
  </si>
  <si>
    <t>Cyr, Tammy</t>
  </si>
  <si>
    <t>224 HENRY ROAD ALBURG VT 05440 - GRAND ISLE</t>
  </si>
  <si>
    <t>000JXD-1</t>
  </si>
  <si>
    <t>Cyr Home Yard</t>
  </si>
  <si>
    <t>Tammy Cyr</t>
  </si>
  <si>
    <t>224 Henry Road</t>
  </si>
  <si>
    <t>Feiker, Kim</t>
  </si>
  <si>
    <t>525 BLAIR ROAD ALBURGH VT 05440 - GRAND ISLE</t>
  </si>
  <si>
    <t>000JXQ-1</t>
  </si>
  <si>
    <t>Feiker-Home Yard</t>
  </si>
  <si>
    <t>Kim Feiker</t>
  </si>
  <si>
    <t>525 Blair Road</t>
  </si>
  <si>
    <t>Sparrow, Beth</t>
  </si>
  <si>
    <t>35 MARBLE AVENUE BURLINGTON VT 05401 - CHITTENDEN</t>
  </si>
  <si>
    <t>000JXV-1</t>
  </si>
  <si>
    <t>35 Marble Avenue</t>
  </si>
  <si>
    <t>Clark, Horace</t>
  </si>
  <si>
    <t>29 WOODS COURT MILTON VT 05468 - CHITTENDEN</t>
  </si>
  <si>
    <t>000JZ5-1</t>
  </si>
  <si>
    <t>Clark Home Yard</t>
  </si>
  <si>
    <t>Horace Clark</t>
  </si>
  <si>
    <t>29 Woods Court</t>
  </si>
  <si>
    <t>Thomas, Seth</t>
  </si>
  <si>
    <t>291 SUGARHOUSE WAY MORETOWN VT 05660 - WASHINGTON</t>
  </si>
  <si>
    <t>000JZ7-1</t>
  </si>
  <si>
    <t>291 Sugarhouse Way</t>
  </si>
  <si>
    <t>Colby, Allen</t>
  </si>
  <si>
    <t>3795 US RT 5 NORTH BRADFORD VT 05033 - ORANGE</t>
  </si>
  <si>
    <t>000JZ8-1</t>
  </si>
  <si>
    <t>3795 US RT 5 North</t>
  </si>
  <si>
    <t>Bushnell, Marcia</t>
  </si>
  <si>
    <t>349 OLD CITY FALLS ROAD STRAFFORD VT 05072 - ORANGE</t>
  </si>
  <si>
    <t>000JZJ-1</t>
  </si>
  <si>
    <t>349 Old City Falls Road</t>
  </si>
  <si>
    <t>Allen, Martha</t>
  </si>
  <si>
    <t>928 EAST STREET BROOKFIELD VT 05036 - ORANGE</t>
  </si>
  <si>
    <t>000K01-1</t>
  </si>
  <si>
    <t>Allen Home Yard</t>
  </si>
  <si>
    <t>Martha Allen</t>
  </si>
  <si>
    <t>928 East Street</t>
  </si>
  <si>
    <t>Saavedra, Brother Daniel</t>
  </si>
  <si>
    <t>58 PRIORY HILL ROAD WESTON VT 05161-6400 - WINDSOR</t>
  </si>
  <si>
    <t>000K02-1</t>
  </si>
  <si>
    <t>Weston Priory</t>
  </si>
  <si>
    <t>Benedictine Monks</t>
  </si>
  <si>
    <t>58 Priory Hill Road</t>
  </si>
  <si>
    <t>05161-6400</t>
  </si>
  <si>
    <t>Kennedy, Heather</t>
  </si>
  <si>
    <t>74 CHATEAUGUAY ROAD BRIDGEWATER CORNERS VT 05035 - WINDSOR</t>
  </si>
  <si>
    <t>000K56-1</t>
  </si>
  <si>
    <t>Kennedy-Our Residence</t>
  </si>
  <si>
    <t>Randall &amp; Heather Kennedy</t>
  </si>
  <si>
    <t>74 Chateauguay Road</t>
  </si>
  <si>
    <t>Bridgewater Center</t>
  </si>
  <si>
    <t>Lavigne, Susan</t>
  </si>
  <si>
    <t>1167 CHURCH HILL ROAD CHARLOTTE VT 05445 - CHITTENDEN</t>
  </si>
  <si>
    <t>000K58-1</t>
  </si>
  <si>
    <t>Lavigne-Home Yard</t>
  </si>
  <si>
    <t>Susan Lavigne</t>
  </si>
  <si>
    <t>1167 Church Hill Road</t>
  </si>
  <si>
    <t>Houston, Lawrence</t>
  </si>
  <si>
    <t>160 GEORGES WAY WATERBURY CENTER VT 05677 - WASHINGTON</t>
  </si>
  <si>
    <t>000KGJ-1</t>
  </si>
  <si>
    <t>160 Georges Way</t>
  </si>
  <si>
    <t>Bowers, Anne</t>
  </si>
  <si>
    <t>1067 PERLEY ROAD RICHFORD VT 05476 - FRANKLIN</t>
  </si>
  <si>
    <t>000KGK-1</t>
  </si>
  <si>
    <t>Bowers Home Yard</t>
  </si>
  <si>
    <t>Anne Bowers</t>
  </si>
  <si>
    <t>1067 Perley Road</t>
  </si>
  <si>
    <t>Cantrell, Anthony</t>
  </si>
  <si>
    <t>36 ALDER LANE BURLINGTON VT 05401 - CHITTENDEN</t>
  </si>
  <si>
    <t>000KGZ-1</t>
  </si>
  <si>
    <t>Anthony Cantrell</t>
  </si>
  <si>
    <t>36 Alder Lane</t>
  </si>
  <si>
    <t>Loving, Rose</t>
  </si>
  <si>
    <t>33 JOHNSON CIRCLE TUNBRIDGE VT 05077 - ORANGE</t>
  </si>
  <si>
    <t>000KH0-1</t>
  </si>
  <si>
    <t>Loving-Home Yard</t>
  </si>
  <si>
    <t>Rose Loving</t>
  </si>
  <si>
    <t>33 Johnson Circle</t>
  </si>
  <si>
    <t>Stasz, Bird</t>
  </si>
  <si>
    <t>1331 JAMES ROAD WEYBRIDGE VT 05753 - ADDISON</t>
  </si>
  <si>
    <t>000KH1-1</t>
  </si>
  <si>
    <t>Stasz-Home Yard</t>
  </si>
  <si>
    <t>Bird Stasz</t>
  </si>
  <si>
    <t>1331 James Road</t>
  </si>
  <si>
    <t>Bete, Julie</t>
  </si>
  <si>
    <t>179 BLUEBIRD DRIVE GUILFORD VT 05301 - WINDHAM</t>
  </si>
  <si>
    <t>000KH2-1</t>
  </si>
  <si>
    <t>179 Bluebird Drive</t>
  </si>
  <si>
    <t>Waterman, Ben</t>
  </si>
  <si>
    <t>242 VT RT 15W JOHNSON VT 05656 - LAMOILLE</t>
  </si>
  <si>
    <t>000KH3-1</t>
  </si>
  <si>
    <t>242 VT RT 15W</t>
  </si>
  <si>
    <t>Allen, Brian</t>
  </si>
  <si>
    <t>1730 OLD CREAMERY ROAD WILLISTON VT 05495 - CHITTENDEN</t>
  </si>
  <si>
    <t>000KH7-1</t>
  </si>
  <si>
    <t>Allen-Home Yard</t>
  </si>
  <si>
    <t>Brian Allen</t>
  </si>
  <si>
    <t>1730 Old Creamery Road</t>
  </si>
  <si>
    <t>Neil, Jennifer</t>
  </si>
  <si>
    <t>425 MEADON LANE NEW HAVEN VT 05472 - ADDISON</t>
  </si>
  <si>
    <t>000KH8-1</t>
  </si>
  <si>
    <t>425 Meadon Lane</t>
  </si>
  <si>
    <t>Herbert, Richard</t>
  </si>
  <si>
    <t>133 TERRACE DRIVE WILLISTON VT 05495 - CHITTENDEN</t>
  </si>
  <si>
    <t>000KH9-1</t>
  </si>
  <si>
    <t>133 Terrace Drive</t>
  </si>
  <si>
    <t>Fortin, Lise</t>
  </si>
  <si>
    <t>112 KENT ROAD P O BOX 169 WARDSBORO VT 05355 - WINDHAM</t>
  </si>
  <si>
    <t>000KHA-1</t>
  </si>
  <si>
    <t>112 Kent Road</t>
  </si>
  <si>
    <t>Yankura, Joanne</t>
  </si>
  <si>
    <t>26 BLUEBERRY HILL DRIVE WILMINGTON VT 05363 - WINDHAM</t>
  </si>
  <si>
    <t>000KHF-1</t>
  </si>
  <si>
    <t>Yankura Home Yard</t>
  </si>
  <si>
    <t>Joanne Yankura</t>
  </si>
  <si>
    <t>26 Blueberry Hill Drive</t>
  </si>
  <si>
    <t>Jedlicka, Patricia</t>
  </si>
  <si>
    <t>755 RUGG ROAD EAST FAIRFIELD VT 05448 - FRANKLIN</t>
  </si>
  <si>
    <t>000KHG-1</t>
  </si>
  <si>
    <t>&lt;10+&gt;</t>
  </si>
  <si>
    <t>Little Sisters</t>
  </si>
  <si>
    <t>755 Rugg Road</t>
  </si>
  <si>
    <t>Nevitt, Christopher</t>
  </si>
  <si>
    <t>2977 MAD TOM ROAD EAST DORSET VT 05253 - BENNINGTON</t>
  </si>
  <si>
    <t>000KHK-1</t>
  </si>
  <si>
    <t>Rick Travers</t>
  </si>
  <si>
    <t>Menard, Gloria</t>
  </si>
  <si>
    <t>162 MISTY MEADOWS CIRCLE CLARENDON SPRINGS VT 05777 - RUTLAND</t>
  </si>
  <si>
    <t>000KHM-1</t>
  </si>
  <si>
    <t>Munchkin Farm Apiary</t>
  </si>
  <si>
    <t>Gloria Menard</t>
  </si>
  <si>
    <t>162 Misty Meadows Circle</t>
  </si>
  <si>
    <t>Davine, Sam</t>
  </si>
  <si>
    <t>3169 RT 7 PITTSFORD VT 05763</t>
  </si>
  <si>
    <t>000KHP-1</t>
  </si>
  <si>
    <t>Keith Maseroni</t>
  </si>
  <si>
    <t>Furnace Brook Road</t>
  </si>
  <si>
    <t>Breen, Erica</t>
  </si>
  <si>
    <t>1197 BONNYVALE ROAD BRATTLEBORO VT 05301 - WINDHAM</t>
  </si>
  <si>
    <t>000KHX-1</t>
  </si>
  <si>
    <t>Earth Bridge Community Land Trust</t>
  </si>
  <si>
    <t>1197 Bonnyvale Road</t>
  </si>
  <si>
    <t>Griffin, Fred</t>
  </si>
  <si>
    <t>40 BOISSONEAULT FAIRFAX VT 05454 - FRANKLIN</t>
  </si>
  <si>
    <t>000KKA-1</t>
  </si>
  <si>
    <t>40 Boissoneault</t>
  </si>
  <si>
    <t>Huckabay, Katura</t>
  </si>
  <si>
    <t>776 GEE HILL ROAD SOUTH ROYALTON VT 05068 - WINDSOR</t>
  </si>
  <si>
    <t>000KKB-1</t>
  </si>
  <si>
    <t>Singing Meadow Bees</t>
  </si>
  <si>
    <t>Jinny Cleland</t>
  </si>
  <si>
    <t>776 Gee Hill Road</t>
  </si>
  <si>
    <t>Kennedy, Tara</t>
  </si>
  <si>
    <t>2312 NEWARK STREET WEST BURKE VT 05871 - CALEDONIA</t>
  </si>
  <si>
    <t>000KKC-1</t>
  </si>
  <si>
    <t>Tara's Bees</t>
  </si>
  <si>
    <t>Cheryle Boone</t>
  </si>
  <si>
    <t>2312 Newark Street</t>
  </si>
  <si>
    <t>Wadle, Janet</t>
  </si>
  <si>
    <t>77 JALBERT ROAD BARRE VT 05641 - WASHINGTON</t>
  </si>
  <si>
    <t>000KKD-1</t>
  </si>
  <si>
    <t>Wadle-Home Yard</t>
  </si>
  <si>
    <t>Janet Wadle</t>
  </si>
  <si>
    <t>77 Jalbert Road</t>
  </si>
  <si>
    <t>Bussod, Gilles Y.</t>
  </si>
  <si>
    <t>117 SOUTH PERRY ROAD WOODSTOCK VT 05091 - WINDSOR</t>
  </si>
  <si>
    <t>000KKF-1</t>
  </si>
  <si>
    <t>117 South Perry Road</t>
  </si>
  <si>
    <t>Livingston, Michael</t>
  </si>
  <si>
    <t>40 DEER MEADOW LANE SHARON VT 05065 - WINDSOR</t>
  </si>
  <si>
    <t>000KKG-1</t>
  </si>
  <si>
    <t>Moon Light Farm</t>
  </si>
  <si>
    <t>40 Deer Meadow Lane</t>
  </si>
  <si>
    <t>Yates, Susan C.</t>
  </si>
  <si>
    <t>2246 CHELSEA ROAD WILLIAMSTOWN VT 05679 - ORANGE</t>
  </si>
  <si>
    <t>000KKH-1</t>
  </si>
  <si>
    <t>2246 Chelsea Road</t>
  </si>
  <si>
    <t>Thygesen, Corey</t>
  </si>
  <si>
    <t>140 HYLAND HILL ROAD WASHINGTON VT 05675 - ORANGE</t>
  </si>
  <si>
    <t>000KKJ-1</t>
  </si>
  <si>
    <t>Beehavin'</t>
  </si>
  <si>
    <t>140 Hyland Hill Road</t>
  </si>
  <si>
    <t>NY</t>
  </si>
  <si>
    <t>Henrikson, Miriam</t>
  </si>
  <si>
    <t>11 PADDOCK LANE MILTON VT 05468 - CHITTENDEN</t>
  </si>
  <si>
    <t>000KKK-1</t>
  </si>
  <si>
    <t>Henrikson-Home Yard</t>
  </si>
  <si>
    <t>Miriam Henrikson</t>
  </si>
  <si>
    <t>11 Paddock Lane</t>
  </si>
  <si>
    <t>Mahon, Brianna</t>
  </si>
  <si>
    <t>210 CARPENTER ROAD SHARON VT 05065 - WINDSOR</t>
  </si>
  <si>
    <t>000KKM-1</t>
  </si>
  <si>
    <t>Fredson Small</t>
  </si>
  <si>
    <t>210 Carpenter Road</t>
  </si>
  <si>
    <t>Shea, Rebecca</t>
  </si>
  <si>
    <t>105 AUGHENRONG DRIVE IRASBURG VT 05845 - ORLEANS</t>
  </si>
  <si>
    <t>000KKP-1</t>
  </si>
  <si>
    <t>Sam Joseph</t>
  </si>
  <si>
    <t>105 Aughenrong Drive</t>
  </si>
  <si>
    <t>Conde, Jeanne</t>
  </si>
  <si>
    <t>1359 MACINTOSH HILL ROAD RANDOLPH VT 05060 - WINDSOR</t>
  </si>
  <si>
    <t>000KKQ-1</t>
  </si>
  <si>
    <t>Conde Home Yard</t>
  </si>
  <si>
    <t>Jeanine Conde</t>
  </si>
  <si>
    <t>1359 MacIntosh Hill Road</t>
  </si>
  <si>
    <t>Goodman, David</t>
  </si>
  <si>
    <t>1752 US RT 2 WATERBURY VT 05676 - WASHINGTON</t>
  </si>
  <si>
    <t>000KKW-1</t>
  </si>
  <si>
    <t>1752 US RT 2</t>
  </si>
  <si>
    <t>Curran, Frank</t>
  </si>
  <si>
    <t>4001 N CAMBRIDGE ROAD JEFFERSONVILLE VT 05464 - LAMOILLE</t>
  </si>
  <si>
    <t>000KKX-1</t>
  </si>
  <si>
    <t>Curran-Home Yard</t>
  </si>
  <si>
    <t>Frank Curran</t>
  </si>
  <si>
    <t>4001 N. Cambridge Road</t>
  </si>
  <si>
    <t>Miller, Andrew</t>
  </si>
  <si>
    <t>49 TYLER STREET BRATTLEBORO VT 05301 - WINDHAM</t>
  </si>
  <si>
    <t>000KKZ-1</t>
  </si>
  <si>
    <t>Riverbloom Yard</t>
  </si>
  <si>
    <t>Andrew Miller</t>
  </si>
  <si>
    <t>49 Tyler Street</t>
  </si>
  <si>
    <t>Watson, Bryant M.</t>
  </si>
  <si>
    <t>1506 VT RT 15 WEST DANVILLE VT 05873 - CALEDONIA</t>
  </si>
  <si>
    <t>000KM0-1</t>
  </si>
  <si>
    <t>1506 VT RT 15</t>
  </si>
  <si>
    <t>Ambler, Stacey</t>
  </si>
  <si>
    <t>3384 PERRY HILL ROAD WATERBURY VT 05676 - WASHINGTON</t>
  </si>
  <si>
    <t>000KM1-1</t>
  </si>
  <si>
    <t>&lt;average&gt;</t>
  </si>
  <si>
    <t>3384 Perry Hill Road</t>
  </si>
  <si>
    <t>Baraw, Shawn</t>
  </si>
  <si>
    <t>2366 BUCK HILL ROAD WESTFIELD VT 05874 - ORLEANS</t>
  </si>
  <si>
    <t>000KM4-1</t>
  </si>
  <si>
    <t>2366 Buck Hill Road</t>
  </si>
  <si>
    <t>Love Poet, Susan</t>
  </si>
  <si>
    <t>1682 DAIRY HILL ROAD SOUTH ROYALTON VT 05068 - WINDSOR</t>
  </si>
  <si>
    <t>000KM5-1</t>
  </si>
  <si>
    <t>Bee Love Honey</t>
  </si>
  <si>
    <t>1682 Dairy Hill Road</t>
  </si>
  <si>
    <t>Howe, Arthur</t>
  </si>
  <si>
    <t>677 MIDDLE POWNAL ROAD BENNINGTON VT 05201 - BENNINGTON</t>
  </si>
  <si>
    <t>000KM8-1</t>
  </si>
  <si>
    <t>677 Middle Pownal Road</t>
  </si>
  <si>
    <t>Hurst, Aaron</t>
  </si>
  <si>
    <t>698 LEE ROAD GUILFORD VT 05301 - WINDHAM</t>
  </si>
  <si>
    <t>000KMA-1</t>
  </si>
  <si>
    <t>698 Lee Road</t>
  </si>
  <si>
    <t>Doyle, Amos</t>
  </si>
  <si>
    <t>53 HAYWARD CROSSROAD CHELSEA VT 05038-9166 - ORANGE</t>
  </si>
  <si>
    <t>000KMB-1</t>
  </si>
  <si>
    <t>53 Hayward Crossroad</t>
  </si>
  <si>
    <t>05038-9166</t>
  </si>
  <si>
    <t>Walp, Brian</t>
  </si>
  <si>
    <t>91 SUNNY VIEW DRIVE JERICHO VT 05465 - CHITTENDEN</t>
  </si>
  <si>
    <t>000KMC-1</t>
  </si>
  <si>
    <t>91 Sunny View Drive</t>
  </si>
  <si>
    <t>Logan, James</t>
  </si>
  <si>
    <t>1123 LOWER NOTCH ROAD BRISTOL VT 05443 - ADDISON</t>
  </si>
  <si>
    <t>000KMF-1</t>
  </si>
  <si>
    <t>1123 Lower Notch Road</t>
  </si>
  <si>
    <t>Mirabile, Linda</t>
  </si>
  <si>
    <t>432 MARVIN ROAD BERLIN VT 05602 - WASHINGTON</t>
  </si>
  <si>
    <t>000KMH-1</t>
  </si>
  <si>
    <t>Mirabile-Home Yard</t>
  </si>
  <si>
    <t>Linda Mirabile</t>
  </si>
  <si>
    <t>432 Marvin Road</t>
  </si>
  <si>
    <t>Webb, Suzanne</t>
  </si>
  <si>
    <t>182 THORPE COVE ROAD CHARLOTTE VT 05445 - CHITTENDEN</t>
  </si>
  <si>
    <t>000KMJ-1</t>
  </si>
  <si>
    <t>182 Thorpe Cove Road</t>
  </si>
  <si>
    <t>MacGovern, John</t>
  </si>
  <si>
    <t>1653 MARTON ROAD WINDSOR VT 05089 - WINDSOR</t>
  </si>
  <si>
    <t>000KMM-1</t>
  </si>
  <si>
    <t>1653 Marton Road</t>
  </si>
  <si>
    <t>Emerson, Donna</t>
  </si>
  <si>
    <t>39 EMERSON DRIVE JERICHO VT 05465 - CHITTENDEN</t>
  </si>
  <si>
    <t>000KMV-1</t>
  </si>
  <si>
    <t>39 Emerson Drive</t>
  </si>
  <si>
    <t>Cheney, Shawn</t>
  </si>
  <si>
    <t>12 COUNTY ROAD SWANTON VT 05488 - FRANKLIN</t>
  </si>
  <si>
    <t>000KMW-1</t>
  </si>
  <si>
    <t>12 County Road</t>
  </si>
  <si>
    <t>Lesnikoski, Bob</t>
  </si>
  <si>
    <t>2563 NORTH ROAD E FAIRFIELD VT 05448 - FRANKLIN</t>
  </si>
  <si>
    <t>000KMX-1</t>
  </si>
  <si>
    <t>2563 North Road</t>
  </si>
  <si>
    <t>Gould, Gretchen</t>
  </si>
  <si>
    <t>300 BUTTON HILL ROAD SHREWSBURY VT 05738 - RUTLAND</t>
  </si>
  <si>
    <t>000KMY-1</t>
  </si>
  <si>
    <t>Gould-Home Yard</t>
  </si>
  <si>
    <t>Gretchen Gould</t>
  </si>
  <si>
    <t>300 Button Hill Road</t>
  </si>
  <si>
    <t>Konrad, Joseph</t>
  </si>
  <si>
    <t>365 BACK ROAD BELVIDERE CENTER VT 05442 - LAMOILLE</t>
  </si>
  <si>
    <t>000KMZ-1</t>
  </si>
  <si>
    <t>365 Back Road</t>
  </si>
  <si>
    <t>Belvidere Center</t>
  </si>
  <si>
    <t>Woodward, Elizabeth</t>
  </si>
  <si>
    <t>138 US RT 302 WEST TOPSHAM VT 05086 - ORANGE</t>
  </si>
  <si>
    <t>000KP3-1</t>
  </si>
  <si>
    <t>138 US RT 302</t>
  </si>
  <si>
    <t>McBride, Douglas J.</t>
  </si>
  <si>
    <t>4203 TWENTY MILE STREAM ROAD PROCTORSVILLE VT 05153 - WINDSOR</t>
  </si>
  <si>
    <t>000KP4-1</t>
  </si>
  <si>
    <t>4203 Twenty Mile Stream Road</t>
  </si>
  <si>
    <t>Proctorsville</t>
  </si>
  <si>
    <t>Mackenzie, Allan</t>
  </si>
  <si>
    <t>33 MACKENZIE LANE MILTON VT 05468-4079 - CHITTENDEN</t>
  </si>
  <si>
    <t>000KP6-1</t>
  </si>
  <si>
    <t>Mackenzie Home Yard</t>
  </si>
  <si>
    <t>Allan Mackenzie</t>
  </si>
  <si>
    <t>33 Mackenzie Lane</t>
  </si>
  <si>
    <t>05468-4079</t>
  </si>
  <si>
    <t>Herrick, Benjamin</t>
  </si>
  <si>
    <t>838 NORTH STREET BRANDON VT 05733 - RUTLAND</t>
  </si>
  <si>
    <t>000KP8-1</t>
  </si>
  <si>
    <t>838 North Street</t>
  </si>
  <si>
    <t>Chairvolotii, Tom</t>
  </si>
  <si>
    <t>3 FISH HATCHERY ROAD GRAND ISLE VT 05458 - GRAND ISLE</t>
  </si>
  <si>
    <t>000KPA-1</t>
  </si>
  <si>
    <t>State of Vermont</t>
  </si>
  <si>
    <t>3 Fish Hatchery Road</t>
  </si>
  <si>
    <t>Charbonneau, William</t>
  </si>
  <si>
    <t>206 SLEEPY HOLLOW LANE VERGENNES VT 05461-9081 - CHITTENDEN</t>
  </si>
  <si>
    <t>000KPG-1</t>
  </si>
  <si>
    <t>Charbonneau Home Yard</t>
  </si>
  <si>
    <t>William Charbonneau</t>
  </si>
  <si>
    <t>206 Sleepy Hollow Lane</t>
  </si>
  <si>
    <t>Ferrisbury</t>
  </si>
  <si>
    <t>Van Schaick, Daphne</t>
  </si>
  <si>
    <t>5234 VT RT 153 WEST PAWLET VT 05775 - RUTLAND</t>
  </si>
  <si>
    <t>000KQF-1</t>
  </si>
  <si>
    <t>Joseph Mayhew</t>
  </si>
  <si>
    <t>5234 VT RT 153</t>
  </si>
  <si>
    <t>Hadley, Justin</t>
  </si>
  <si>
    <t>8 LINCOLN STEET WATERBURY VT 05676 - WASHINGTON</t>
  </si>
  <si>
    <t>000KQG-1</t>
  </si>
  <si>
    <t>8 Lincoln Steet</t>
  </si>
  <si>
    <t>Menke, Dean</t>
  </si>
  <si>
    <t>315 BRIDGE STEET HUNTINGTON VT 05462 - CHITTENDEN</t>
  </si>
  <si>
    <t>000KQH-1</t>
  </si>
  <si>
    <t>315 Bridge Steet</t>
  </si>
  <si>
    <t>Wood, Stephen</t>
  </si>
  <si>
    <t>252 ORCHARD HILL ROAD PITTSFORD VT 05763 - RUTLAND</t>
  </si>
  <si>
    <t>000KQK-1</t>
  </si>
  <si>
    <t>Wood-Home Yard</t>
  </si>
  <si>
    <t>Stephen Wood</t>
  </si>
  <si>
    <t>252 Orchard Hill Road</t>
  </si>
  <si>
    <t>Leriche, Cecile</t>
  </si>
  <si>
    <t>2251 RT 15 WEST HARDWICK VT 05843 - CALEDONIA</t>
  </si>
  <si>
    <t>000KWW-1</t>
  </si>
  <si>
    <t>2251 RT 15 West</t>
  </si>
  <si>
    <t>Saunders, Barb</t>
  </si>
  <si>
    <t>329 CARLSTROM ROAD BRISTOL VT 05443 - ADDISON</t>
  </si>
  <si>
    <t>000KX6-1</t>
  </si>
  <si>
    <t>SAUNDERS-Home Yard</t>
  </si>
  <si>
    <t>Barb Saunders</t>
  </si>
  <si>
    <t>329 Carlstrom Road</t>
  </si>
  <si>
    <t>00083N-1</t>
  </si>
  <si>
    <t>#1</t>
  </si>
  <si>
    <t>Micheal Flett</t>
  </si>
  <si>
    <t>00083N-2</t>
  </si>
  <si>
    <t>Robin Langstaff-French</t>
  </si>
  <si>
    <t>375 Lane Road</t>
  </si>
  <si>
    <t>Gordon, Jody</t>
  </si>
  <si>
    <t>276 HENRY ROAD NORTON VT 05907 - ESSEX</t>
  </si>
  <si>
    <t>000M11-1</t>
  </si>
  <si>
    <t>Kingdom Busy Bees</t>
  </si>
  <si>
    <t>Norton Town</t>
  </si>
  <si>
    <t>Jeff Gordon</t>
  </si>
  <si>
    <t>276 Henry Road</t>
  </si>
  <si>
    <t>Norton</t>
  </si>
  <si>
    <t>Garguilo, Carl</t>
  </si>
  <si>
    <t>2170 KURN HATTIN ROAD PUTNEY VT 05346 - WINDHAM</t>
  </si>
  <si>
    <t>000M12-1</t>
  </si>
  <si>
    <t>Skyberry Yard</t>
  </si>
  <si>
    <t>2170 Kurn Hattin Road</t>
  </si>
  <si>
    <t>Thomas, Heather L.</t>
  </si>
  <si>
    <t>PO BOX 857 WELLS VT 05774 - RUTLAND</t>
  </si>
  <si>
    <t>000M13-1</t>
  </si>
  <si>
    <t>153 VT RT 30</t>
  </si>
  <si>
    <t>Ross, Andrea A.</t>
  </si>
  <si>
    <t>PO BOX 525 MANCHESTER VT 05254 - BENNINGTON</t>
  </si>
  <si>
    <t>000M14-1</t>
  </si>
  <si>
    <t>River Road Farm</t>
  </si>
  <si>
    <t>2330 River Road</t>
  </si>
  <si>
    <t>Keith, Shane</t>
  </si>
  <si>
    <t>PO BOX 449 ISLAND POND VT 05846 - ESSEX</t>
  </si>
  <si>
    <t>000M15-1</t>
  </si>
  <si>
    <t>102 Mountain Street</t>
  </si>
  <si>
    <t>Island Pond</t>
  </si>
  <si>
    <t>Coseo, Nancy</t>
  </si>
  <si>
    <t>3 MONUMENT CIRCLE BENNINGTON VT 05201 - BENNINGTON</t>
  </si>
  <si>
    <t>000M16-1</t>
  </si>
  <si>
    <t>Nancy Coseo</t>
  </si>
  <si>
    <t>3 Monument Circle</t>
  </si>
  <si>
    <t>Olmstead, John R.</t>
  </si>
  <si>
    <t>49 OTTO MERRILL ROAD ROYALTON VT 05068 - WINDSOR</t>
  </si>
  <si>
    <t>000M17-1</t>
  </si>
  <si>
    <t>49 Otto Merill Road</t>
  </si>
  <si>
    <t>Ventrice, Joshua</t>
  </si>
  <si>
    <t>1147 BALDWIN BROOK ROAD WOLCOTT VT 05680 - LAMOILLE</t>
  </si>
  <si>
    <t>000M18-1</t>
  </si>
  <si>
    <t>1147 Baldwin Brook Road</t>
  </si>
  <si>
    <t>Augustine, Ted</t>
  </si>
  <si>
    <t>2500 GARVIN HILL ROAD WOODSTOCK VT 05091 - WINDSOR</t>
  </si>
  <si>
    <t>000M19-1</t>
  </si>
  <si>
    <t>Augustine-Home Yard</t>
  </si>
  <si>
    <t>Ted Augustine</t>
  </si>
  <si>
    <t>2500 Garvin Hill Road</t>
  </si>
  <si>
    <t>Wilkins, Stuart</t>
  </si>
  <si>
    <t>49 PION ROAD FAIRFIELD VT 05455 - FRANKLIN</t>
  </si>
  <si>
    <t>000M1A-1</t>
  </si>
  <si>
    <t>Robert Wilkins</t>
  </si>
  <si>
    <t>44 Sweet Slattery Road</t>
  </si>
  <si>
    <t>Ordinetz, Sue</t>
  </si>
  <si>
    <t>1434 TURKEY HILL ROAD CORINTH VT 05039 - ORANGE</t>
  </si>
  <si>
    <t>000M1B-1</t>
  </si>
  <si>
    <t>Ordinetz-Home Yard</t>
  </si>
  <si>
    <t>Sue Ordinetz</t>
  </si>
  <si>
    <t>1434 Turkey Hill Road</t>
  </si>
  <si>
    <t>00088H-31</t>
  </si>
  <si>
    <t>Palmer</t>
  </si>
  <si>
    <t>RT 2</t>
  </si>
  <si>
    <t>Cook-DePascale, Stacey A.</t>
  </si>
  <si>
    <t>16 PETERSON ROAD WAYNE NJ 07470</t>
  </si>
  <si>
    <t>000M23-1</t>
  </si>
  <si>
    <t>3490 Main Road</t>
  </si>
  <si>
    <t>0007WA-36</t>
  </si>
  <si>
    <t>Old Orwell Town Pit</t>
  </si>
  <si>
    <t>Quarry Yard</t>
  </si>
  <si>
    <t>RT 73</t>
  </si>
  <si>
    <t>0007V0-8</t>
  </si>
  <si>
    <t>Morris Yard</t>
  </si>
  <si>
    <t>Rick Morris</t>
  </si>
  <si>
    <t>Morgan Road</t>
  </si>
  <si>
    <t>Herbert, Jesse</t>
  </si>
  <si>
    <t>712 CARPENTER HILL ROAD BENNINGTON VT 05201 - BENNINGTON</t>
  </si>
  <si>
    <t>000M32-1</t>
  </si>
  <si>
    <t>712 Carpenter Hill Road</t>
  </si>
  <si>
    <t>Martin, Kathleen</t>
  </si>
  <si>
    <t>PO BOX 161 SAXTONS RIVER VT 05194 - WINDHAM</t>
  </si>
  <si>
    <t>000M5C-1</t>
  </si>
  <si>
    <t>199 Westminster West Road</t>
  </si>
  <si>
    <t>Nyweide, Jeffrey O.</t>
  </si>
  <si>
    <t>527 BENSON ROAD MANCHESTER CENTER VT 05255 - BENNINGTON</t>
  </si>
  <si>
    <t>000M5V-1</t>
  </si>
  <si>
    <t>Nyweide Home Yard</t>
  </si>
  <si>
    <t>Jeffrey Nyweide</t>
  </si>
  <si>
    <t>527 Benson Road</t>
  </si>
  <si>
    <t>Venkataraman, Vivek</t>
  </si>
  <si>
    <t>12 TIGERTOWN ROAD NORWICH VT 05055 - WINDSOR</t>
  </si>
  <si>
    <t>000M5W-1</t>
  </si>
  <si>
    <t>Jeff Hastings</t>
  </si>
  <si>
    <t>12 Tigertown Road</t>
  </si>
  <si>
    <t>Turner, Ben</t>
  </si>
  <si>
    <t>904 LEWIS ROAD POULTNEY VT 05764 - RUTLAND</t>
  </si>
  <si>
    <t>000M5X-1</t>
  </si>
  <si>
    <t>Turner-Home Yard</t>
  </si>
  <si>
    <t>Ben Turner</t>
  </si>
  <si>
    <t>904 Lewis Road</t>
  </si>
  <si>
    <t>Barus, Peter</t>
  </si>
  <si>
    <t>637 CORSE ROAD WHITINGHAM VT 05361 - WINDHAM</t>
  </si>
  <si>
    <t>000M5Y-1</t>
  </si>
  <si>
    <t>637 Corse Road</t>
  </si>
  <si>
    <t>Boutin, Courtney</t>
  </si>
  <si>
    <t>83 CASCADE ST ESSEX JCT VT 05452-4101 - FRANKLIN</t>
  </si>
  <si>
    <t>000M5Z-1</t>
  </si>
  <si>
    <t>83 Cascade St</t>
  </si>
  <si>
    <t>Essex Jct.</t>
  </si>
  <si>
    <t>Morelli, Steven</t>
  </si>
  <si>
    <t>PO BOX 4150 WINDSOR VT 05001 - WINDSOR</t>
  </si>
  <si>
    <t>000M60-1</t>
  </si>
  <si>
    <t>1298 Dothan Road</t>
  </si>
  <si>
    <t>Deaner, Maureen</t>
  </si>
  <si>
    <t>5 CEDAR CIRCLE JERICHO VT 05465 - CHITTENDEN</t>
  </si>
  <si>
    <t>000M72-1</t>
  </si>
  <si>
    <t>5 Cedar Circle</t>
  </si>
  <si>
    <t>Palermo, John</t>
  </si>
  <si>
    <t>42 WHITEHEAD LANE CONCORD VT 05824 - CALEDONIA</t>
  </si>
  <si>
    <t>000M73-1</t>
  </si>
  <si>
    <t>69 Nelson Street</t>
  </si>
  <si>
    <t>000J7N-3</t>
  </si>
  <si>
    <t>Tom Thompson Yard</t>
  </si>
  <si>
    <t>254 Barber Farm Road</t>
  </si>
  <si>
    <t>Daniele, Jeanne</t>
  </si>
  <si>
    <t>29 ISABELLE ROAD BARRE VT 05641 - WASHINGTON</t>
  </si>
  <si>
    <t>000M7C-1</t>
  </si>
  <si>
    <t>29 Isabelle Road</t>
  </si>
  <si>
    <t>Forrest, Valerie</t>
  </si>
  <si>
    <t>PO BOX 204 WESTMINSTER STATION VT 05159-0204 - WINDHAM</t>
  </si>
  <si>
    <t>000M7D-1</t>
  </si>
  <si>
    <t>3709 US RT 5</t>
  </si>
  <si>
    <t>Danaher, Jordan</t>
  </si>
  <si>
    <t>1548 EASTHAM ROAD SHREWSBURY VT 05738 - RUTLAND</t>
  </si>
  <si>
    <t>000M7Q-1</t>
  </si>
  <si>
    <t>Bre's Bees</t>
  </si>
  <si>
    <t>Matthew Danaher</t>
  </si>
  <si>
    <t>1548 Eastham Road</t>
  </si>
  <si>
    <t>Crawford, Geoffrey</t>
  </si>
  <si>
    <t>375 SOUTH UNION STREET BURLINGTON VT 05401 - CHITTENDEN</t>
  </si>
  <si>
    <t>000M7V-1</t>
  </si>
  <si>
    <t>375 South Union Street</t>
  </si>
  <si>
    <t>Anderson, Mark</t>
  </si>
  <si>
    <t>405 KERWIN HILL ROAD NORWICH VT 05055 - WINDSOR</t>
  </si>
  <si>
    <t>000788-1</t>
  </si>
  <si>
    <t>405 Kerwin Hill Road</t>
  </si>
  <si>
    <t>Anthony, Peter</t>
  </si>
  <si>
    <t>25 SCAMPINI SQUARE BARRE VT 05641 - WASHINGTON</t>
  </si>
  <si>
    <t>0008V1-1</t>
  </si>
  <si>
    <t>25 Scampini Square</t>
  </si>
  <si>
    <t>Babick, Donna</t>
  </si>
  <si>
    <t>PO BOX 102 PLAINFIELD VT 05667 - WASHINGTON</t>
  </si>
  <si>
    <t>0008PH-1</t>
  </si>
  <si>
    <t>P.O. Box 102</t>
  </si>
  <si>
    <t>Bernhardt, Michael</t>
  </si>
  <si>
    <t>2070 UNDER THE MOUNTAIN ROAD SOUTH LONDONDERRY VT 05155 - WINDHAM</t>
  </si>
  <si>
    <t>0008QK-1</t>
  </si>
  <si>
    <t>South Londonderry</t>
  </si>
  <si>
    <t>Bouthillette, Nicholas</t>
  </si>
  <si>
    <t>1928 MAIN STREET FAIRFAX VT 05454 - FRANKLIN</t>
  </si>
  <si>
    <t>000742-1</t>
  </si>
  <si>
    <t>1928 Main Street</t>
  </si>
  <si>
    <t>Bridges, Mellisa</t>
  </si>
  <si>
    <t>PO BOX 1026 MIDDLEBURY VT 05753 - ADDISON</t>
  </si>
  <si>
    <t>00073H-1</t>
  </si>
  <si>
    <t>P.O. Box 1026</t>
  </si>
  <si>
    <t>Brooks, Will</t>
  </si>
  <si>
    <t>3726 QUECHEE-WHITEFIELD ROAD WHITE RIVER JUNCTION VT 05001 - WINDSOR</t>
  </si>
  <si>
    <t>00088M-1</t>
  </si>
  <si>
    <t>(Ssame)</t>
  </si>
  <si>
    <t>3726 Quechee-Whitefield Road</t>
  </si>
  <si>
    <t>Buck, John M</t>
  </si>
  <si>
    <t>722 RIPLEY ROAD WATERBURY CENTER VT 05677 - WASHINGTON</t>
  </si>
  <si>
    <t>000713-1</t>
  </si>
  <si>
    <t>Buck-Home Yard</t>
  </si>
  <si>
    <t>John Buck</t>
  </si>
  <si>
    <t>722 Ripley Road</t>
  </si>
  <si>
    <t>Bunnell, Cheryl</t>
  </si>
  <si>
    <t>2748 JOES BROOK RD ST JOHNSBURY VT 05819 - CALEDONIA</t>
  </si>
  <si>
    <t>0008YF-1</t>
  </si>
  <si>
    <t>88 Garfield Lane</t>
  </si>
  <si>
    <t>Zeichner, Oliver, Hedgehog Hill Apiary</t>
  </si>
  <si>
    <t>PO BOX 365 NORTHFIELD VT 05663 - WASHINGTON</t>
  </si>
  <si>
    <t>000M7Z-1</t>
  </si>
  <si>
    <t>Zeichner Home Yard</t>
  </si>
  <si>
    <t>Oliver Zeichner</t>
  </si>
  <si>
    <t>1934 Hallstrom Road</t>
  </si>
  <si>
    <t>Caggiano, Gary</t>
  </si>
  <si>
    <t>PO BOX 212 WESTMINSTER VT 05158 - WINDHAM</t>
  </si>
  <si>
    <t>00083Z-1</t>
  </si>
  <si>
    <t>P.O. Box 212</t>
  </si>
  <si>
    <t>Cooper, Alan</t>
  </si>
  <si>
    <t>BOX 320 WELLS VT 05774 - RUTLAND</t>
  </si>
  <si>
    <t>0008VY-1</t>
  </si>
  <si>
    <t>P.O. Box 320</t>
  </si>
  <si>
    <t>Cooper, Steve</t>
  </si>
  <si>
    <t>1113 JERUSALEM ROAD BRISTOL VT 05443 - ADDISON</t>
  </si>
  <si>
    <t>0008X5-1</t>
  </si>
  <si>
    <t>1113 Jerusalem Road</t>
  </si>
  <si>
    <t>Costa, Scott</t>
  </si>
  <si>
    <t>2953 VT RT 109 WATERVILLE VT 05492 - LAMOILLE</t>
  </si>
  <si>
    <t>0008PY-1</t>
  </si>
  <si>
    <t>2953 VT RT 109</t>
  </si>
  <si>
    <t>Craig, Timothy</t>
  </si>
  <si>
    <t>32 WESTWOOD PARKWAY BARRE VT 05641 - WASHINGTON</t>
  </si>
  <si>
    <t>00085H-1</t>
  </si>
  <si>
    <t>32 Westwood Parkway</t>
  </si>
  <si>
    <t>Cushing, Corey</t>
  </si>
  <si>
    <t>2200 BRONSON ROAD SAINT ALBANS VT 05478 - FRANKLIN</t>
  </si>
  <si>
    <t>0008BD-1</t>
  </si>
  <si>
    <t>2200 Bronson Road</t>
  </si>
  <si>
    <t>Saint Albans</t>
  </si>
  <si>
    <t>Deciucies, David</t>
  </si>
  <si>
    <t>2005 HARDWOOD FLATS RD WOLCOTT VT 05680 - LAMOILLE</t>
  </si>
  <si>
    <t>0008PF-1</t>
  </si>
  <si>
    <t>David Deciucies</t>
  </si>
  <si>
    <t>2005 Hardwood Flats Road</t>
  </si>
  <si>
    <t>Dixon, Stephen</t>
  </si>
  <si>
    <t>561 WESTFORD ROAD MILTON VT 05468 - CHITTENDEN</t>
  </si>
  <si>
    <t>00083G-1</t>
  </si>
  <si>
    <t>561 Westford Road</t>
  </si>
  <si>
    <t>Dunn, Richard, Jr.</t>
  </si>
  <si>
    <t>1424 NOTCH ROAD JERICHO VT 05465 - CHITTENDEN</t>
  </si>
  <si>
    <t>0007F9-1</t>
  </si>
  <si>
    <t>1424 Notch Road</t>
  </si>
  <si>
    <t>Fifield, Michael</t>
  </si>
  <si>
    <t>1123 TERRY HILL ROAD FAIRLEE VT 05045 - ORANGE</t>
  </si>
  <si>
    <t>000877-1</t>
  </si>
  <si>
    <t>Fifield-Home</t>
  </si>
  <si>
    <t>Michael Fifield</t>
  </si>
  <si>
    <t>1123 Terry Hill Road</t>
  </si>
  <si>
    <t>Flanagan, Joann M.</t>
  </si>
  <si>
    <t>496 E BEAR SWAMP ROAD MIDDLESEX VT 05602 - WASHINGTON</t>
  </si>
  <si>
    <t>00090V-1</t>
  </si>
  <si>
    <t>496 E. Bear Swamp Road</t>
  </si>
  <si>
    <t>000M83-1</t>
  </si>
  <si>
    <t>McFarline-Home Yard</t>
  </si>
  <si>
    <t>Tim McFarline</t>
  </si>
  <si>
    <t>833 Parkhill Road</t>
  </si>
  <si>
    <t>French, Thomas</t>
  </si>
  <si>
    <t>1331 CENTERVILLE ROAD E WALLINGFORD VT 05742 - RUTLAND</t>
  </si>
  <si>
    <t>0008YH-1</t>
  </si>
  <si>
    <t>1331 Centerville Road</t>
  </si>
  <si>
    <t>Gagner, Dominique</t>
  </si>
  <si>
    <t>1069 CARTER HILL ROAD HIGHGATE CENTER VT 05459</t>
  </si>
  <si>
    <t>0007G6-1</t>
  </si>
  <si>
    <t>1069 Carter Hill Road</t>
  </si>
  <si>
    <t>Highgate Center</t>
  </si>
  <si>
    <t>Greenip, Paul</t>
  </si>
  <si>
    <t>PO BOX 662 WOODSTOCK VT 05091 - WINDSOR</t>
  </si>
  <si>
    <t>00089B-1</t>
  </si>
  <si>
    <t>P.O. Box 662</t>
  </si>
  <si>
    <t>Hamby, Ian</t>
  </si>
  <si>
    <t>220 LOUIS STREET DERBY LINE VT 05830 - ORLEANS</t>
  </si>
  <si>
    <t>0007HX-1</t>
  </si>
  <si>
    <t>220 Louis Street</t>
  </si>
  <si>
    <t>Derby Line</t>
  </si>
  <si>
    <t>Henson, Randell</t>
  </si>
  <si>
    <t>1276 EAST ROAD COLCHESTER VT 05446 - CHITTENDEN</t>
  </si>
  <si>
    <t>0008V3-1</t>
  </si>
  <si>
    <t>1276 East Road</t>
  </si>
  <si>
    <t>Hewitt, Ben</t>
  </si>
  <si>
    <t>PO BOX 274 CABOT VT 05647 - WASHINGTON</t>
  </si>
  <si>
    <t>0008N8-1</t>
  </si>
  <si>
    <t>P.O. Box 274</t>
  </si>
  <si>
    <t>Kittell, Bill</t>
  </si>
  <si>
    <t>437 CHESTER ARTHUR RD FAIRFIELD VT 05455 - FRANKLIN</t>
  </si>
  <si>
    <t>000821-1</t>
  </si>
  <si>
    <t>437 Chester Arthur Road</t>
  </si>
  <si>
    <t>Hinrichsen, Harry</t>
  </si>
  <si>
    <t>PO BOX 43 EAST BARRE VT 05649 - WASHINGTON</t>
  </si>
  <si>
    <t>0008V8-1</t>
  </si>
  <si>
    <t>P.O. Box43</t>
  </si>
  <si>
    <t>East Barre</t>
  </si>
  <si>
    <t>Hurlburt, Rick</t>
  </si>
  <si>
    <t>0008PZ-1</t>
  </si>
  <si>
    <t>4067 Monkton Road</t>
  </si>
  <si>
    <t>Jakubowski, Matt</t>
  </si>
  <si>
    <t>2189 CREEK ROAD N CLARENDON VT 05759</t>
  </si>
  <si>
    <t>00080X-1</t>
  </si>
  <si>
    <t>2189 Creek Road</t>
  </si>
  <si>
    <t>North Clarendon</t>
  </si>
  <si>
    <t>Kalantari, Reza</t>
  </si>
  <si>
    <t>PO BOX 478 MORETOWN VT 05660 - WASHINGTON</t>
  </si>
  <si>
    <t>00081X-1</t>
  </si>
  <si>
    <t>P.O. Box 478</t>
  </si>
  <si>
    <t>Knapp, Neil</t>
  </si>
  <si>
    <t>145 BALL MOUNTAIN ROAD ARLINGTON VT 05250 - BENNINGTON</t>
  </si>
  <si>
    <t>00090X-1</t>
  </si>
  <si>
    <t>145 Ball Mountain Road</t>
  </si>
  <si>
    <t>Kuchel, Marianne</t>
  </si>
  <si>
    <t>1815 BLOOD BROOK ROAD FAIRLEE VT 05045 - ORANGE</t>
  </si>
  <si>
    <t>00075A-1</t>
  </si>
  <si>
    <t>1815 Blood Brook Road</t>
  </si>
  <si>
    <t>Lambert, Justin</t>
  </si>
  <si>
    <t>2625 RICHFORD ROAD RICHFORD VT 05476 - FRANKLIN</t>
  </si>
  <si>
    <t>0008YC-1</t>
  </si>
  <si>
    <t>2625 Richford Road</t>
  </si>
  <si>
    <t>Laskevich, Steve</t>
  </si>
  <si>
    <t>194 RANTA ROAD LUDLOW VT 05149 - WINDSOR</t>
  </si>
  <si>
    <t>0008YY-1</t>
  </si>
  <si>
    <t>194 Ranta Road</t>
  </si>
  <si>
    <t>Walls, Dave</t>
  </si>
  <si>
    <t>PO BOX 51 GAYSVILLE VT 05746 - UNKNOWN</t>
  </si>
  <si>
    <t>000M8X-1</t>
  </si>
  <si>
    <t>251 Vulture Mountain Road</t>
  </si>
  <si>
    <t>Longo, Michael</t>
  </si>
  <si>
    <t>630 ADAMS ROAD WEST TOWNSHEND VT 05359 - WINDHAM</t>
  </si>
  <si>
    <t>0007Y4-1</t>
  </si>
  <si>
    <t>630 Adams Road</t>
  </si>
  <si>
    <t>West Townshend</t>
  </si>
  <si>
    <t>000908-1</t>
  </si>
  <si>
    <t>262 Lakeview Road</t>
  </si>
  <si>
    <t>Mattote, Mike</t>
  </si>
  <si>
    <t>129 ORANGE STREET BARRE VT 05641 - WASHINGTON</t>
  </si>
  <si>
    <t>0008N5-1</t>
  </si>
  <si>
    <t>129 Orange Street</t>
  </si>
  <si>
    <t>Mccrory, Lisa</t>
  </si>
  <si>
    <t>341 MACINTOSH HILL ROAD RANDOLPH VT 05060 - ORANGE</t>
  </si>
  <si>
    <t>0008PG-1</t>
  </si>
  <si>
    <t>341 Macintosh Hill Road</t>
  </si>
  <si>
    <t>Morse, Spencer, H.</t>
  </si>
  <si>
    <t>PO BOX 8 CALAIS VT 05648 - WASHINGTON</t>
  </si>
  <si>
    <t>000718-1</t>
  </si>
  <si>
    <t>P.O. Box 8</t>
  </si>
  <si>
    <t>Norris, Rachael</t>
  </si>
  <si>
    <t>976 DAN SARGENT ROAD STARKSBORO VT 05487 - ADDISON</t>
  </si>
  <si>
    <t>00086G-1</t>
  </si>
  <si>
    <t>976 Dan Sargent Road</t>
  </si>
  <si>
    <t>Orr, Larry</t>
  </si>
  <si>
    <t>386 OLD STAGE ROAD ESSEX JUNCTION VT 05452 - CHITTENDEN</t>
  </si>
  <si>
    <t>0007M6-1</t>
  </si>
  <si>
    <t>386 Old Stage Road</t>
  </si>
  <si>
    <t>Parker, Chris</t>
  </si>
  <si>
    <t>231 NEW BOSTON ROAD LYNDONVILLE VT 05851 - CALEDONIA</t>
  </si>
  <si>
    <t>0008B6-1</t>
  </si>
  <si>
    <t>231 New Boston Road</t>
  </si>
  <si>
    <t>Pettinga, Kurt</t>
  </si>
  <si>
    <t>1499 CROSSETT HILL RD DUXBURY VT 05676 - WASHINGTON</t>
  </si>
  <si>
    <t>00090Y-1</t>
  </si>
  <si>
    <t>1499 Crossett Hill Road</t>
  </si>
  <si>
    <t>Prisco, Richard</t>
  </si>
  <si>
    <t>159 ROLLIN IRISH ROAD MILTON VT 05468 - CHITTENDEN</t>
  </si>
  <si>
    <t>0008WX-1</t>
  </si>
  <si>
    <t>159 Rollin Irish Road</t>
  </si>
  <si>
    <t>Quilliam, Mark</t>
  </si>
  <si>
    <t>99 FAIRFIELD HILL ROAD ST ALBANS VT 05478 - FRANKLIN</t>
  </si>
  <si>
    <t>0008WC-1</t>
  </si>
  <si>
    <t>99 Fairfield Hill Road</t>
  </si>
  <si>
    <t>Richer, Raymond</t>
  </si>
  <si>
    <t>239 SANDY BEACH ROAD CABOT VT 05647 - WASHINGTON</t>
  </si>
  <si>
    <t>0008NP-1</t>
  </si>
  <si>
    <t>239 Sandy Beach Road</t>
  </si>
  <si>
    <t>Sapienza, Peter</t>
  </si>
  <si>
    <t>1179 VT RT 17 BRISTOL VT 05443 - ADDISON</t>
  </si>
  <si>
    <t>0007W3-1</t>
  </si>
  <si>
    <t>1179 VT RT 17</t>
  </si>
  <si>
    <t>Sawyer, Tom</t>
  </si>
  <si>
    <t>964 HOWRIGAN ROAD E FAIRFIELD VT 05448 - FRANKLIN</t>
  </si>
  <si>
    <t>0008X3-1</t>
  </si>
  <si>
    <t>964 Howrigan Road</t>
  </si>
  <si>
    <t>E. Fairfield</t>
  </si>
  <si>
    <t>Seidel, Karin</t>
  </si>
  <si>
    <t>833 BROOKLYN STREET 1 MORRISVILLE VT 05661-8625 - LAMOILLE</t>
  </si>
  <si>
    <t>0008J6-1</t>
  </si>
  <si>
    <t>833 Brooklyn Street #1</t>
  </si>
  <si>
    <t>05661-8625</t>
  </si>
  <si>
    <t>Shaw, Richard</t>
  </si>
  <si>
    <t>23 WESTWOOD PARKWAY BARRE VT 05641</t>
  </si>
  <si>
    <t>0008DA-1</t>
  </si>
  <si>
    <t>23 Westwood Parkway</t>
  </si>
  <si>
    <t>Smith, Carolyn</t>
  </si>
  <si>
    <t>408 OLD STAGE ROAD ESSEX JUNCTION VT 05452-2519 - CHITTENDEN</t>
  </si>
  <si>
    <t>00089F-1</t>
  </si>
  <si>
    <t>408 Old Stage Road</t>
  </si>
  <si>
    <t>05452-2519</t>
  </si>
  <si>
    <t>Smith, Jerry</t>
  </si>
  <si>
    <t>4057 HINESBURG ROAD GUILDFORD VT 05301 - WINDHAM</t>
  </si>
  <si>
    <t>0008PK-1</t>
  </si>
  <si>
    <t>4057 Hinesburg Road</t>
  </si>
  <si>
    <t>Guildford</t>
  </si>
  <si>
    <t>05301-8105</t>
  </si>
  <si>
    <t>Smith, Philip</t>
  </si>
  <si>
    <t>9 CAPITOL HILL ROAD FAIR HAVEN VT 05743-1103 - RUTLAND</t>
  </si>
  <si>
    <t>0007ZA-1</t>
  </si>
  <si>
    <t>9 Capitol Hill Road</t>
  </si>
  <si>
    <t>05743-1103</t>
  </si>
  <si>
    <t>Sprague, Burr</t>
  </si>
  <si>
    <t>1867 COLVIN HILL ROAD DANBY VT 05739-9588 - RUTLAND</t>
  </si>
  <si>
    <t>0008P4-1</t>
  </si>
  <si>
    <t>1867 Colvin Hill Road</t>
  </si>
  <si>
    <t>05739-9588</t>
  </si>
  <si>
    <t>Teer, Joe</t>
  </si>
  <si>
    <t>9 SOUTH STREET MIDDLETOWN SPRINGS VT 05757-4210 - RUTLAND</t>
  </si>
  <si>
    <t>0007GM-1</t>
  </si>
  <si>
    <t>9 South Street</t>
  </si>
  <si>
    <t>05757-4210</t>
  </si>
  <si>
    <t>Valley Brook Farm</t>
  </si>
  <si>
    <t>583 GREELEY ROAD SPRINGFIELD VT 05156 - WINDSOR</t>
  </si>
  <si>
    <t>0008VZ-1</t>
  </si>
  <si>
    <t>583 Greeley Road</t>
  </si>
  <si>
    <t>Vangelder, David</t>
  </si>
  <si>
    <t>1040 W GLOVER ROAD IRASBURG VT 05845-9435 - ORLEANS</t>
  </si>
  <si>
    <t>0008NX-1</t>
  </si>
  <si>
    <t>1040 W. Glover Road</t>
  </si>
  <si>
    <t>05845-9435</t>
  </si>
  <si>
    <t>Verdon, Mario</t>
  </si>
  <si>
    <t>337 VT RT 110 ORANGE VT 05641 - ORANGE</t>
  </si>
  <si>
    <t>00087Y-1</t>
  </si>
  <si>
    <t>337 VT RT 110</t>
  </si>
  <si>
    <t>05641-9753</t>
  </si>
  <si>
    <t>Weston, Beth</t>
  </si>
  <si>
    <t>1792 HINMAN SETTLER ROAD NEWPORT VT 05855 - ORLEANS</t>
  </si>
  <si>
    <t>0008VP-1</t>
  </si>
  <si>
    <t>1792 Hinman Settler Road</t>
  </si>
  <si>
    <t>05855-9145</t>
  </si>
  <si>
    <t>Wetmore, John</t>
  </si>
  <si>
    <t>PO BOX 126 WOODSTOCK VT 05091 - WINDSOR</t>
  </si>
  <si>
    <t>0007B6-1</t>
  </si>
  <si>
    <t>Wetmore-Home Yard</t>
  </si>
  <si>
    <t>John Wetmore</t>
  </si>
  <si>
    <t>1040 Cartlon Hill Road</t>
  </si>
  <si>
    <t>Woodhead, Ken</t>
  </si>
  <si>
    <t>5142 POMFRET ROAD NORTH POMFRET VT 05053-5049 - WINDSOR</t>
  </si>
  <si>
    <t>0008VD-1</t>
  </si>
  <si>
    <t>5142 Pomfret Road</t>
  </si>
  <si>
    <t>North Pomfret</t>
  </si>
  <si>
    <t>05053-5049</t>
  </si>
  <si>
    <t>Worthington, Robert</t>
  </si>
  <si>
    <t>1068 RUSHFORD VALLEY ROAD MONTGOMERY CENTER VT 05471-3033 - FRANKLIN</t>
  </si>
  <si>
    <t>0008YJ-1</t>
  </si>
  <si>
    <t>1068 Rushford Valley Road</t>
  </si>
  <si>
    <t>Montgomery Center</t>
  </si>
  <si>
    <t>05471-4361</t>
  </si>
  <si>
    <t>Wright, Judy</t>
  </si>
  <si>
    <t>20 QUEENSBURY ROAD S BURLINGTON VT 05403 - CHITTENDEN</t>
  </si>
  <si>
    <t>0008ZP-1</t>
  </si>
  <si>
    <t>20 Queensbury Road</t>
  </si>
  <si>
    <t>05403-5747</t>
  </si>
  <si>
    <t>Wuerthele, Barbara</t>
  </si>
  <si>
    <t>1081 SILVER RIDGE ROAD HYDE PARK VT 05655-9395 - LAMOILLE</t>
  </si>
  <si>
    <t>0008WH-1</t>
  </si>
  <si>
    <t>1081 Silver Ridge Road</t>
  </si>
  <si>
    <t>05655-9395</t>
  </si>
  <si>
    <t>Gluck, Frederic</t>
  </si>
  <si>
    <t>46 MUNSON ROAD HYDE PARK VT 05655 - LAMOILLE</t>
  </si>
  <si>
    <t>000MBH-1</t>
  </si>
  <si>
    <t>&lt;2 hives had mites&gt;</t>
  </si>
  <si>
    <t>Gluck-Home Yard</t>
  </si>
  <si>
    <t>Frederic Gluck</t>
  </si>
  <si>
    <t>46 Munson Road</t>
  </si>
  <si>
    <t>Brace, Kenneth</t>
  </si>
  <si>
    <t>619 TOWNSHEND DAM ROAD TOWNSHEND VT 05353 - WINDHAM</t>
  </si>
  <si>
    <t>000MKX-1</t>
  </si>
  <si>
    <t>619 Townsend Dam Road</t>
  </si>
  <si>
    <t>Townsend</t>
  </si>
  <si>
    <t>Slade, Steven</t>
  </si>
  <si>
    <t>PO BOX 301 TOWNSHEND VT 05353 - WINDHAM</t>
  </si>
  <si>
    <t>000MKY-1</t>
  </si>
  <si>
    <t>Beeautiful Gardens</t>
  </si>
  <si>
    <t>301 Townshend Dam Road</t>
  </si>
  <si>
    <t>00088H-32</t>
  </si>
  <si>
    <t>Russo Yard</t>
  </si>
  <si>
    <t>Mr. Russo</t>
  </si>
  <si>
    <t>Coon Point Road</t>
  </si>
  <si>
    <t>South Alburg</t>
  </si>
  <si>
    <t>Hunt, Kristina</t>
  </si>
  <si>
    <t>4646 KIRBY MOUNTAIN ROAD CONCORD VT 05824 - CALEDONIA</t>
  </si>
  <si>
    <t>000MMF-1</t>
  </si>
  <si>
    <t>4646 Kirby Mountain Road</t>
  </si>
  <si>
    <t>Bishop, William L., Jr.</t>
  </si>
  <si>
    <t>1443 N ORWELL ROAD SHOREHAM VT 05770 - ADDISON</t>
  </si>
  <si>
    <t>000MMH-1</t>
  </si>
  <si>
    <t>Bishop Home Yard</t>
  </si>
  <si>
    <t>William Bishop</t>
  </si>
  <si>
    <t>1443 North Orwell Road</t>
  </si>
  <si>
    <t>Creech, Lynda</t>
  </si>
  <si>
    <t>1081 WEST HILL ROAD ROCHESTER VT 05767 - WINDSOR</t>
  </si>
  <si>
    <t>000MMN-1</t>
  </si>
  <si>
    <t>Creech-Home Yard</t>
  </si>
  <si>
    <t>Lynda Creech</t>
  </si>
  <si>
    <t>1081 West Hill Road</t>
  </si>
  <si>
    <t>Bonges, Henry</t>
  </si>
  <si>
    <t>5 JACKSON LANE MILTON VT 05468 - CHITTENDEN</t>
  </si>
  <si>
    <t>000MMP-1</t>
  </si>
  <si>
    <t>5 Jackson Lane</t>
  </si>
  <si>
    <t>Collins, Howard</t>
  </si>
  <si>
    <t>2921 COLLINS MILL ROAD NEWPORT CENTER VT 05857 - ORLEANS</t>
  </si>
  <si>
    <t>000MMX-1</t>
  </si>
  <si>
    <t>2921 Collins Mill Road</t>
  </si>
  <si>
    <t>Wurtzbacher, Joe</t>
  </si>
  <si>
    <t>34 HOMESTEAD LANE WATERBURY CENTER VT 05677 - WASHINGTON</t>
  </si>
  <si>
    <t>000MN1-1</t>
  </si>
  <si>
    <t>Wurthbacher-Home Yard</t>
  </si>
  <si>
    <t>Joe Wurtzbacher</t>
  </si>
  <si>
    <t>34 Homestead Lane</t>
  </si>
  <si>
    <t>Giovannetti, Susan</t>
  </si>
  <si>
    <t>120 BRIDGE ST HUNTINGTON VT 05462 - CHITTENDEN</t>
  </si>
  <si>
    <t>000MN2-1</t>
  </si>
  <si>
    <t>Giovannetti-Home Yard</t>
  </si>
  <si>
    <t>Susan Giovannetti</t>
  </si>
  <si>
    <t>120 Bridge Street</t>
  </si>
  <si>
    <t>Thompson, Robert</t>
  </si>
  <si>
    <t>450 BERT WHITE ROAD HUNTINGTON VT 05462 - CHITTENDEN</t>
  </si>
  <si>
    <t>000MN3-1</t>
  </si>
  <si>
    <t>Robert Thompson</t>
  </si>
  <si>
    <t>450 Bert White Road</t>
  </si>
  <si>
    <t>Holmes, Carolyn</t>
  </si>
  <si>
    <t>191 ASH STREET STOUGHTON MA 02072</t>
  </si>
  <si>
    <t>000MN6-1</t>
  </si>
  <si>
    <t>Carolyn's Bee Forest</t>
  </si>
  <si>
    <t>Carolyn Holmes</t>
  </si>
  <si>
    <t>1086 Goshen Road</t>
  </si>
  <si>
    <t>Ueda, Takako</t>
  </si>
  <si>
    <t>197 HILL ROAD DUMMERSTON VT 05301 - WINDHAM</t>
  </si>
  <si>
    <t>000MWQ-1</t>
  </si>
  <si>
    <t>&lt;some&gt;</t>
  </si>
  <si>
    <t>Ueda-Home Yard</t>
  </si>
  <si>
    <t>Takako Ueda</t>
  </si>
  <si>
    <t>197 Hill Road</t>
  </si>
  <si>
    <t>000H3J-2</t>
  </si>
  <si>
    <t>Uncle Buck's Yard</t>
  </si>
  <si>
    <t>Gary McAllister</t>
  </si>
  <si>
    <t>Hill West Road</t>
  </si>
  <si>
    <t>Kane, Donna</t>
  </si>
  <si>
    <t>283 KANE ROAD ENOSBURG FALLS VT 05450 - FRANKLIN</t>
  </si>
  <si>
    <t>000MX1-1</t>
  </si>
  <si>
    <t>Uncle Rudy's Yard</t>
  </si>
  <si>
    <t>Mark Kane</t>
  </si>
  <si>
    <t>283 Kane Road</t>
  </si>
  <si>
    <t>Kane, Jody</t>
  </si>
  <si>
    <t>199 RILEY ROAD ENOSBURG FALLS VT 05450 - FRANKLIN</t>
  </si>
  <si>
    <t>000MX2-1</t>
  </si>
  <si>
    <t>Jody's Yard</t>
  </si>
  <si>
    <t>199 Riley Road</t>
  </si>
  <si>
    <t>Carpenter, Jonathan</t>
  </si>
  <si>
    <t>306 CARTER STREET BARNET VT 05821 - CALEDONIA</t>
  </si>
  <si>
    <t>000MXA-1</t>
  </si>
  <si>
    <t>David Jewell</t>
  </si>
  <si>
    <t>827 Somerhill Road</t>
  </si>
  <si>
    <t>West Barnet</t>
  </si>
  <si>
    <t>Robinson, George</t>
  </si>
  <si>
    <t>83 ADAMS SCHOOL ROAD GRAND ISLE VT 05458 - GRAND ISLE</t>
  </si>
  <si>
    <t>000MXB-1</t>
  </si>
  <si>
    <t>83 Adams School Road</t>
  </si>
  <si>
    <t>Kolber, Bonnie</t>
  </si>
  <si>
    <t>3285 BACK COVENTRY ROAD IRASBURG VT 05845 - ORLEANS</t>
  </si>
  <si>
    <t>000MXC-1</t>
  </si>
  <si>
    <t>&lt;not bad&gt;</t>
  </si>
  <si>
    <t>Kolber-Home Yard</t>
  </si>
  <si>
    <t>Bonnie Kolber</t>
  </si>
  <si>
    <t>3285 Back Coventry Road</t>
  </si>
  <si>
    <t>Fegard, Charen</t>
  </si>
  <si>
    <t>PO BOX 351 SOUTH WOODSTOCK VT 05071 - WINDSOR</t>
  </si>
  <si>
    <t>000MXF-1</t>
  </si>
  <si>
    <t>Anne &amp; Drew Arnold</t>
  </si>
  <si>
    <t>187 Liberty Farm Road</t>
  </si>
  <si>
    <t>West Woodstock</t>
  </si>
  <si>
    <t>Lepuschenko, Karen</t>
  </si>
  <si>
    <t>8 MOUNTAIN VIEW STREET FAIRFAX VT 05454 - FRANKLIN</t>
  </si>
  <si>
    <t>000MXH-1</t>
  </si>
  <si>
    <t>Lepuschenko-Home Yard</t>
  </si>
  <si>
    <t>Karen Lepuschenko</t>
  </si>
  <si>
    <t>8 Mountain View Street</t>
  </si>
  <si>
    <t>Lessley, Leanne D.</t>
  </si>
  <si>
    <t>794 STONE BRIDGE ROAD GEORGIA VT 05468 - FRANKLIN</t>
  </si>
  <si>
    <t>000MXJ-1</t>
  </si>
  <si>
    <t>Lessley-Home Yard</t>
  </si>
  <si>
    <t>Leanne Lessley</t>
  </si>
  <si>
    <t>794 Stone Bridge Road</t>
  </si>
  <si>
    <t>Kennedy, David</t>
  </si>
  <si>
    <t>135 SWEETWATER LANE EAST BURKE VT 05832 - CALEDONIA</t>
  </si>
  <si>
    <t>000MXK-1</t>
  </si>
  <si>
    <t>David Kennedy</t>
  </si>
  <si>
    <t>135 Sweetwater Lane</t>
  </si>
  <si>
    <t>East Burke</t>
  </si>
  <si>
    <t>Stoehr, Ed</t>
  </si>
  <si>
    <t>27 OLD MAPLE LANE DANBY VT 05739 - RUTLAND</t>
  </si>
  <si>
    <t>000MXM-1</t>
  </si>
  <si>
    <t>Stoehr-Home Yard</t>
  </si>
  <si>
    <t>Ed Stoehr</t>
  </si>
  <si>
    <t>27 Old Maple Lane</t>
  </si>
  <si>
    <t>0008VM-2</t>
  </si>
  <si>
    <t>Out Yard #2</t>
  </si>
  <si>
    <t>John Sudarsky</t>
  </si>
  <si>
    <t>4218 Spear Street</t>
  </si>
  <si>
    <t>0008VM-3</t>
  </si>
  <si>
    <t>Out Yard #3</t>
  </si>
  <si>
    <t>Stony Loam Farm CSA</t>
  </si>
  <si>
    <t>Valley View Drive</t>
  </si>
  <si>
    <t>000HA5-11</t>
  </si>
  <si>
    <t>Brown Yard</t>
  </si>
  <si>
    <t>Mark Brown</t>
  </si>
  <si>
    <t>Blissville Road</t>
  </si>
  <si>
    <t>Stowell, Wayne</t>
  </si>
  <si>
    <t>228 FLETCHER HILL ROAD CHESTER VT 05143 - WINDSOR</t>
  </si>
  <si>
    <t>000MXN-1</t>
  </si>
  <si>
    <t>Stowell-Home Yard</t>
  </si>
  <si>
    <t>Wayne Stowel</t>
  </si>
  <si>
    <t>228 Fletcher Hill Road</t>
  </si>
  <si>
    <t>Rice, Sarah</t>
  </si>
  <si>
    <t>30 GENEROUS STREET BRATTLEBORO VT 05301 - WINDHAM</t>
  </si>
  <si>
    <t>000MXP-1</t>
  </si>
  <si>
    <t>30 Generous Street</t>
  </si>
  <si>
    <t>Sharma, Rohit</t>
  </si>
  <si>
    <t>PO BOX 102 ROXBURY VT 05669 - WASHINGTON</t>
  </si>
  <si>
    <t>000MXQ-1</t>
  </si>
  <si>
    <t>39 Bartelink Road</t>
  </si>
  <si>
    <t>Bingham, Alyssa</t>
  </si>
  <si>
    <t>197 PIGGERY ROAD WESTMINSTER VT 05158 - WINDSOR</t>
  </si>
  <si>
    <t>000MXV-1</t>
  </si>
  <si>
    <t>Lance Harlow</t>
  </si>
  <si>
    <t>197 Piggery Road</t>
  </si>
  <si>
    <t>000MXV-2</t>
  </si>
  <si>
    <t>&lt;high&gt;</t>
  </si>
  <si>
    <t>Hoisington Farm</t>
  </si>
  <si>
    <t>260 Asa Grout Lane</t>
  </si>
  <si>
    <t>Deweese, James</t>
  </si>
  <si>
    <t>2187 NORTH WILLISTON ROAD WILLISTON VT 05495 - CHITTENDEN</t>
  </si>
  <si>
    <t>000MXW-1</t>
  </si>
  <si>
    <t>2187 North Williston Road</t>
  </si>
  <si>
    <t>Hulbert, John</t>
  </si>
  <si>
    <t>199 BECKLEY HILL ROAD BARRE VT 05641 - WASHINGTON</t>
  </si>
  <si>
    <t>000MXX-1</t>
  </si>
  <si>
    <t>Hulbert Yard</t>
  </si>
  <si>
    <t>John Hulbert</t>
  </si>
  <si>
    <t>199 Beckley Hill Road</t>
  </si>
  <si>
    <t>Stannard, Paul</t>
  </si>
  <si>
    <t>723 STANNARD ROAD SANDGATE VT 05250 - BENNINGTON</t>
  </si>
  <si>
    <t>000MXY-1</t>
  </si>
  <si>
    <t>Stannard-Home Yard</t>
  </si>
  <si>
    <t>Paul Stannard</t>
  </si>
  <si>
    <t>723 Stannard Road</t>
  </si>
  <si>
    <t>Lees, Michael</t>
  </si>
  <si>
    <t>382 STAPLES ROAD DANBY VT 05739 - RUTLAND</t>
  </si>
  <si>
    <t>000MXZ-1</t>
  </si>
  <si>
    <t>Lees Home Yard</t>
  </si>
  <si>
    <t>Michael Lees</t>
  </si>
  <si>
    <t>382 Staples Road</t>
  </si>
  <si>
    <t>Brown, Audra</t>
  </si>
  <si>
    <t>3316 ELM STREET MONTPELIER VT 05602 - WASHINGTON</t>
  </si>
  <si>
    <t>000MZ3-1</t>
  </si>
  <si>
    <t>3316 Elm Street</t>
  </si>
  <si>
    <t>English, David</t>
  </si>
  <si>
    <t>C/O AIR DIMENSIONS 1371 W NEWPORT CENTER DR 101 DEERFIELD BEACH FL 33442</t>
  </si>
  <si>
    <t>000MZV-1</t>
  </si>
  <si>
    <t>English Home Yard</t>
  </si>
  <si>
    <t>David English</t>
  </si>
  <si>
    <t>852 Water Andric Road</t>
  </si>
  <si>
    <t>Hayden, John</t>
  </si>
  <si>
    <t>3727 VT RT 15 JEFFERSONVILLE VT 05464 - LAMOILLE</t>
  </si>
  <si>
    <t>000MZW-1</t>
  </si>
  <si>
    <t>Hayden-Home Yard</t>
  </si>
  <si>
    <t>John Hayden</t>
  </si>
  <si>
    <t>3727 VT RT 15</t>
  </si>
  <si>
    <t>Lacy, Wayne R.</t>
  </si>
  <si>
    <t>12 TRUAX ROAD MILTON VT 05468 - CHITTENDEN</t>
  </si>
  <si>
    <t>000MZX-1</t>
  </si>
  <si>
    <t>Walker Yard</t>
  </si>
  <si>
    <t>Brian Walker</t>
  </si>
  <si>
    <t>12 Truax Road</t>
  </si>
  <si>
    <t>Hook, Bruce</t>
  </si>
  <si>
    <t>10 KLONDIKE ROAD CHELSEA VT 05038 - ORANGE</t>
  </si>
  <si>
    <t>000MZY-1</t>
  </si>
  <si>
    <t>10 Klondike Road</t>
  </si>
  <si>
    <t>000MZY-2</t>
  </si>
  <si>
    <t>East Randolph Yard</t>
  </si>
  <si>
    <t>Ron Allen</t>
  </si>
  <si>
    <t>East Randolph Road</t>
  </si>
  <si>
    <t>000MZY-3</t>
  </si>
  <si>
    <t>Tunbridge Yard</t>
  </si>
  <si>
    <t>Roger Sargent</t>
  </si>
  <si>
    <t>475 VT RTE 110</t>
  </si>
  <si>
    <t>N. Tunbridge</t>
  </si>
  <si>
    <t>Gaines, Gary R.</t>
  </si>
  <si>
    <t>ApiariesTotal</t>
  </si>
  <si>
    <t>000MZZ-1</t>
  </si>
  <si>
    <t>Gaines Home Yard</t>
  </si>
  <si>
    <t>Gary Gaines</t>
  </si>
  <si>
    <t>190 Monroe Way</t>
  </si>
  <si>
    <t>Zajac, Ryan</t>
  </si>
  <si>
    <t>PO BOX 86 ROXBURY VT 05669 - WASHINGTON</t>
  </si>
  <si>
    <t>000N01-1</t>
  </si>
  <si>
    <t>Zajak-Home Yard</t>
  </si>
  <si>
    <t>Ryan Zajak</t>
  </si>
  <si>
    <t>440 Cram Hill Road</t>
  </si>
  <si>
    <t>Ross, Amber</t>
  </si>
  <si>
    <t>434 KING ROAD BAKERSFIELD VT 05441 - FRANKLIN</t>
  </si>
  <si>
    <t>000N02-1</t>
  </si>
  <si>
    <t>434 King Road</t>
  </si>
  <si>
    <t>Hall, Howard</t>
  </si>
  <si>
    <t>410 RIDGELINE ROAD PANTON VT 05491-9301 - ADDISON</t>
  </si>
  <si>
    <t>000N4W-1</t>
  </si>
  <si>
    <t>Hall-Home Yard</t>
  </si>
  <si>
    <t>Howard Hall</t>
  </si>
  <si>
    <t>410 Ridgeline Road</t>
  </si>
  <si>
    <t>05491-9301</t>
  </si>
  <si>
    <t>0007PK-2</t>
  </si>
  <si>
    <t>Sam Mazza Farm</t>
  </si>
  <si>
    <t>Sam Mazza</t>
  </si>
  <si>
    <t>277 Lavign Road</t>
  </si>
  <si>
    <t>Varney, Don</t>
  </si>
  <si>
    <t>70 MURRAY HILL DRIVE MONTPELIER VT 05602 - WASHINGTON</t>
  </si>
  <si>
    <t>000N51-1</t>
  </si>
  <si>
    <t>Varney-Home Yard</t>
  </si>
  <si>
    <t>Don Varney</t>
  </si>
  <si>
    <t>70 Murray Hill Drive</t>
  </si>
  <si>
    <t>Sherman, Francis</t>
  </si>
  <si>
    <t>4426 VT RT 100 WATERBURY VT 05676 - WASHINGTON</t>
  </si>
  <si>
    <t>000N53-1</t>
  </si>
  <si>
    <t>4426 VT RT 100</t>
  </si>
  <si>
    <t>Bullock-Prado, Gesine</t>
  </si>
  <si>
    <t>527 CENTER OF TOWN ROAD WHITE RIVER JUNCTION VT 05001 - WINDSOR</t>
  </si>
  <si>
    <t>000N54-1</t>
  </si>
  <si>
    <t>527 Center of Town Road</t>
  </si>
  <si>
    <t>Weyer, Cliff</t>
  </si>
  <si>
    <t>859 BROCKWAY MILLS ROAD SPRINGFIELD VT 05156 - WINDSOR</t>
  </si>
  <si>
    <t>000N57-1</t>
  </si>
  <si>
    <t>Weyer-Home Yard</t>
  </si>
  <si>
    <t>Cliff Weyer</t>
  </si>
  <si>
    <t>859 Brockway Mills Road</t>
  </si>
  <si>
    <t>Solt, Larry N.</t>
  </si>
  <si>
    <t>111 EDGEMOOR DRIVE BURLINGTON VT 05408 - CHITTENDEN</t>
  </si>
  <si>
    <t>000N58-1</t>
  </si>
  <si>
    <t>&lt;6%?&gt;</t>
  </si>
  <si>
    <t>North Shore Apiary</t>
  </si>
  <si>
    <t>Burlington Parks &amp; Rec Dept.</t>
  </si>
  <si>
    <t>Starr Farm Road</t>
  </si>
  <si>
    <t>Tomasi, Dawnmarie</t>
  </si>
  <si>
    <t>PO BOX 368 SOUTH BARRE VT 05670 - WASHINGTON</t>
  </si>
  <si>
    <t>000N59-1</t>
  </si>
  <si>
    <t>MacAuley</t>
  </si>
  <si>
    <t>Sterling Hill Road</t>
  </si>
  <si>
    <t>South Barre</t>
  </si>
  <si>
    <t>Young, Li Ling</t>
  </si>
  <si>
    <t>66 CHERRY LANE BURLINGTON VT 05401 - CHITTENDEN</t>
  </si>
  <si>
    <t>000N5A-1</t>
  </si>
  <si>
    <t>Young-Home Yard</t>
  </si>
  <si>
    <t>Li Ling Young</t>
  </si>
  <si>
    <t>66 Cherry Lane</t>
  </si>
  <si>
    <t>Peters, Jane</t>
  </si>
  <si>
    <t>1222 PAGE POND ROAD IRASBURG VT 05845 - ORLEANS</t>
  </si>
  <si>
    <t>000N5B-1</t>
  </si>
  <si>
    <t>1222 Page Pond Road</t>
  </si>
  <si>
    <t>Bacon, Harold C.</t>
  </si>
  <si>
    <t>PO BOX 35 CABOT VT 05647 - WASHINGTON</t>
  </si>
  <si>
    <t>000N5C-1</t>
  </si>
  <si>
    <t>2606 Main Street</t>
  </si>
  <si>
    <t>McDermit, Ellen</t>
  </si>
  <si>
    <t>535 LOST NATION ROAD CRAFTSBURY COMMON VT 05827 - ORLEANS</t>
  </si>
  <si>
    <t>000N5D-1</t>
  </si>
  <si>
    <t>Craftsbury Outdoor Center</t>
  </si>
  <si>
    <t>1466 Mill Village Road</t>
  </si>
  <si>
    <t>Murphy, Bruno (high Hedge Farm)</t>
  </si>
  <si>
    <t>69 ASHE RD CHARLOTTE VT 05445 - ORANGE</t>
  </si>
  <si>
    <t>000N5F-1</t>
  </si>
  <si>
    <t>1753 Chase Hollow Road</t>
  </si>
  <si>
    <t>Madalinski, Paul</t>
  </si>
  <si>
    <t>142 WHITNEY HILL ROAD BROOKLINE VT 05345 - WINDHAM</t>
  </si>
  <si>
    <t>000N5G-1</t>
  </si>
  <si>
    <t>Madalinski-Home Yard</t>
  </si>
  <si>
    <t>Paul Madalinski</t>
  </si>
  <si>
    <t>142 Whitney Hill Road</t>
  </si>
  <si>
    <t>Reed, James</t>
  </si>
  <si>
    <t>20 DUCHESS STREET NEWPORT VT 05855 - ORLEANS</t>
  </si>
  <si>
    <t>000N5H-1</t>
  </si>
  <si>
    <t>James Reed</t>
  </si>
  <si>
    <t>4486 Glenn Road</t>
  </si>
  <si>
    <t>Aldrich, Charlie</t>
  </si>
  <si>
    <t>12 PARKS ROAD SAINT JOHNSBURY VT 05819 - CALEDONIA</t>
  </si>
  <si>
    <t>000N72-1</t>
  </si>
  <si>
    <t>Aldrich Home Yard</t>
  </si>
  <si>
    <t>Charlie Aldrich</t>
  </si>
  <si>
    <t>12 Parks Road</t>
  </si>
  <si>
    <t>0008NN-3</t>
  </si>
  <si>
    <t>Blodgett Road</t>
  </si>
  <si>
    <t>0008NN-4</t>
  </si>
  <si>
    <t>Miller Farm Yard</t>
  </si>
  <si>
    <t>1733 Fort Bridgman Road</t>
  </si>
  <si>
    <t>0008NN-5</t>
  </si>
  <si>
    <t>40 Victoria Drive</t>
  </si>
  <si>
    <t>0008NN-6</t>
  </si>
  <si>
    <t>Interstate 91</t>
  </si>
  <si>
    <t>Fortune, Jane</t>
  </si>
  <si>
    <t>934 ROWELL HILL ROAD BERLIN VT 05602 - WASHINGTON</t>
  </si>
  <si>
    <t>000N77-1</t>
  </si>
  <si>
    <t>Nate Rogers</t>
  </si>
  <si>
    <t>934 Rowell Hill Rod</t>
  </si>
  <si>
    <t>Hatch, Jonathan</t>
  </si>
  <si>
    <t>196 LOVERS LANE NORTHFIELD VT 05663 - WASHINGTON</t>
  </si>
  <si>
    <t>000N78-1</t>
  </si>
  <si>
    <t>Hatch-Home Yard</t>
  </si>
  <si>
    <t>Jonathan Hatch</t>
  </si>
  <si>
    <t>196 Lovers Lane</t>
  </si>
  <si>
    <t>Stephens, Shaun</t>
  </si>
  <si>
    <t>17 HARRISON AVENUE MONTPELIER VT 05602 - WASHINGTON</t>
  </si>
  <si>
    <t>000N7A-1</t>
  </si>
  <si>
    <t>17 Harrison Avenue</t>
  </si>
  <si>
    <t>DePillis, Alexander</t>
  </si>
  <si>
    <t>2 MONSIGNOR CROSBY AVENUE APT 2 MONTPELIER VT 05602</t>
  </si>
  <si>
    <t>000N7B-1</t>
  </si>
  <si>
    <t>Congo Yard</t>
  </si>
  <si>
    <t>Ross Congo</t>
  </si>
  <si>
    <t>2 McKinley Street</t>
  </si>
  <si>
    <t>Randles, Jocelyn</t>
  </si>
  <si>
    <t>PO BOX 1 N POMFRET VT 05053 - WINDSOR</t>
  </si>
  <si>
    <t>000N7D-1</t>
  </si>
  <si>
    <t>Jocelyn Randles</t>
  </si>
  <si>
    <t>882 Old Kings Highway</t>
  </si>
  <si>
    <t>N. Pomfret</t>
  </si>
  <si>
    <t>Graddock, Becky</t>
  </si>
  <si>
    <t>1509 BARROWS ROAD STOWE VT 05672 - LAMOILLE</t>
  </si>
  <si>
    <t>000N7F-1</t>
  </si>
  <si>
    <t>Hunger Mountain Farm</t>
  </si>
  <si>
    <t>1509 Barrows Road</t>
  </si>
  <si>
    <t>000MN3-2</t>
  </si>
  <si>
    <t>Faye's Corner Yard</t>
  </si>
  <si>
    <t>Collin Campbell</t>
  </si>
  <si>
    <t>115 East Hill Road</t>
  </si>
  <si>
    <t>Miles, Lynn W.</t>
  </si>
  <si>
    <t>3173 HARBOR ROAD SHELBURNE VT 05482 - LAMOILLE</t>
  </si>
  <si>
    <t>000N7G-1</t>
  </si>
  <si>
    <t>Lynn's Bees</t>
  </si>
  <si>
    <t>Angelo Pizzagalli</t>
  </si>
  <si>
    <t>3173 Harbor Road</t>
  </si>
  <si>
    <t>Pauly, Anthony P., Jr.</t>
  </si>
  <si>
    <t>PO BOX 1114 STOWE VT 05672</t>
  </si>
  <si>
    <t>000N7H-1</t>
  </si>
  <si>
    <t>The Bee Shaman Apiary</t>
  </si>
  <si>
    <t>Selina French</t>
  </si>
  <si>
    <t>2187 Cole Hill Road</t>
  </si>
  <si>
    <t>Stanley, Donna</t>
  </si>
  <si>
    <t>35 HELVI HILL ROAD MENDON VT 05701 - RUTLAND</t>
  </si>
  <si>
    <t>000N7J-1</t>
  </si>
  <si>
    <t>35 Helvi Hill Road</t>
  </si>
  <si>
    <t>Lynn, Bonnie</t>
  </si>
  <si>
    <t>53 VARNEY ROAD JERICHO VT 05465 - CHITTENDEN</t>
  </si>
  <si>
    <t>000N7K-1</t>
  </si>
  <si>
    <t>Lynn-Home Yard</t>
  </si>
  <si>
    <t>Bonnie Lynn</t>
  </si>
  <si>
    <t>53 Varney Road</t>
  </si>
  <si>
    <t>Brandt, Michelle</t>
  </si>
  <si>
    <t>2 ORION AVENUE LUDLOW VT 05149</t>
  </si>
  <si>
    <t>000N89-1</t>
  </si>
  <si>
    <t>Peace &amp; Plenty Farm</t>
  </si>
  <si>
    <t>Michelle Brandt</t>
  </si>
  <si>
    <t>2 Orion Avenue</t>
  </si>
  <si>
    <t>000JQX-2</t>
  </si>
  <si>
    <t>Metcalf Pond Road</t>
  </si>
  <si>
    <t>0008B2-4</t>
  </si>
  <si>
    <t>Shulumbia's Yard</t>
  </si>
  <si>
    <t>George Shulumbia</t>
  </si>
  <si>
    <t>West Shore Road</t>
  </si>
  <si>
    <t>Philip Dudley, Jennifer Findley</t>
  </si>
  <si>
    <t>PO BOX 118 ELMORE VT 05657 - LAMOILLE</t>
  </si>
  <si>
    <t>000N8A-1</t>
  </si>
  <si>
    <t>&lt;lite&gt;</t>
  </si>
  <si>
    <t>Dudley Home Yard</t>
  </si>
  <si>
    <t>Philip Dudley/Jennifer Findley</t>
  </si>
  <si>
    <t>3458 Elmore Pond Road</t>
  </si>
  <si>
    <t>Vilardi, Jodi</t>
  </si>
  <si>
    <t>78 MAIN STREET PLAINFIELD VT 05667 - WASHINGTON</t>
  </si>
  <si>
    <t>000N8B-1</t>
  </si>
  <si>
    <t>&lt;moderate&gt;</t>
  </si>
  <si>
    <t>78 Main Street</t>
  </si>
  <si>
    <t>Randall, Megan</t>
  </si>
  <si>
    <t>PO BOX 246 NORTH POWNAL VT 05260 - BENNINGTON</t>
  </si>
  <si>
    <t>000N8C-1</t>
  </si>
  <si>
    <t>Randall-Home Yard</t>
  </si>
  <si>
    <t>Megan Randall</t>
  </si>
  <si>
    <t>1500 Skiparee Road</t>
  </si>
  <si>
    <t>North Pownal</t>
  </si>
  <si>
    <t>Sturgis, Glenn</t>
  </si>
  <si>
    <t>126 EAST HILL ROAD MIDDLESEX VT 05602 - WASHINGTON</t>
  </si>
  <si>
    <t>000N8D-1</t>
  </si>
  <si>
    <t>Sturgis Home Yard</t>
  </si>
  <si>
    <t>Glenn Sturgis</t>
  </si>
  <si>
    <t>126 East Hill Road</t>
  </si>
  <si>
    <t>Robinson, Bill</t>
  </si>
  <si>
    <t>144 SUGAR HOUSE LANE MORRISVILLE VT 05661 - LAMOILLE</t>
  </si>
  <si>
    <t>000N8G-1</t>
  </si>
  <si>
    <t>144 Sugar House Lane</t>
  </si>
  <si>
    <t>Lesko, William</t>
  </si>
  <si>
    <t>864 APACHE ROAD FRANKLIN LAKES NJ 07417-2803</t>
  </si>
  <si>
    <t>000N8H-1</t>
  </si>
  <si>
    <t>Twin Rivers</t>
  </si>
  <si>
    <t>William Lesko</t>
  </si>
  <si>
    <t>3173 VT RT 313</t>
  </si>
  <si>
    <t>West Arlington</t>
  </si>
  <si>
    <t>Beaudreau, Francis</t>
  </si>
  <si>
    <t>22 WEST MEADOW COURT POWNAL VT 05261-9221 - BENNINGTON</t>
  </si>
  <si>
    <t>000N8J-1</t>
  </si>
  <si>
    <t>22 West Meadow Court</t>
  </si>
  <si>
    <t>05261-9221</t>
  </si>
  <si>
    <t>Christopher, Annie</t>
  </si>
  <si>
    <t>792 FOSTER HILL ROAD EAST CALAIS VT 05650</t>
  </si>
  <si>
    <t>000N8K-1</t>
  </si>
  <si>
    <t>Foster Hill Farm</t>
  </si>
  <si>
    <t>823 Foster Hill Road</t>
  </si>
  <si>
    <t>Murphy, Megan A.</t>
  </si>
  <si>
    <t>207 WENTWORTH ROAD BOLTON VALLEY VT 05477</t>
  </si>
  <si>
    <t>000N8M-1</t>
  </si>
  <si>
    <t>Murphy-Home Yard</t>
  </si>
  <si>
    <t>Megan Murphy</t>
  </si>
  <si>
    <t>207 Wentworth Road</t>
  </si>
  <si>
    <t>Bolton Valley</t>
  </si>
  <si>
    <t>Slater, Jennifer (Be My Honey)</t>
  </si>
  <si>
    <t>2111 MT PHILO ROAD CHARLOTTE VT 05445 - CHITTENDEN</t>
  </si>
  <si>
    <t>000N9J-1</t>
  </si>
  <si>
    <t>Bee My Honey</t>
  </si>
  <si>
    <t>Jennifer Slater</t>
  </si>
  <si>
    <t>2111 Mt. Philo Road</t>
  </si>
  <si>
    <t>Kemp, Richard T.</t>
  </si>
  <si>
    <t>288 FLYNN AVENUE APT 20 BURLINGTON VT 05401-5370 - CHITTENDEN</t>
  </si>
  <si>
    <t>000N9K-1</t>
  </si>
  <si>
    <t>288 Flynn Avenue</t>
  </si>
  <si>
    <t>05401-5370</t>
  </si>
  <si>
    <t>Miller, Beth</t>
  </si>
  <si>
    <t>817 COY HILL ROAD MIDDLETOWN SPRINGS VT 05757 - RUTLAND</t>
  </si>
  <si>
    <t>000N9M-1</t>
  </si>
  <si>
    <t>817 Coy Hill Road</t>
  </si>
  <si>
    <t>Mayo, K.E.</t>
  </si>
  <si>
    <t>303 MAYO ROAD COLCHESTER VT 05446</t>
  </si>
  <si>
    <t>000N9W-1</t>
  </si>
  <si>
    <t>303 Mayo Road</t>
  </si>
  <si>
    <t>Lubicich, Ted</t>
  </si>
  <si>
    <t>948 WYLIE HILL ROAD CRAFTSBURY COMMON VT 05827 - ORLEANS</t>
  </si>
  <si>
    <t>000NC3-1</t>
  </si>
  <si>
    <t>&lt;Very low, Russian bees&gt;</t>
  </si>
  <si>
    <t>Lubicich-Home Yard</t>
  </si>
  <si>
    <t>Ted Lubicich</t>
  </si>
  <si>
    <t>948 Wylie Hill Road</t>
  </si>
  <si>
    <t>Honkala, Maria</t>
  </si>
  <si>
    <t>10 OLD ROUTE 110 SOUTH ROYALTON VT 05068 - WINDSOR</t>
  </si>
  <si>
    <t>000NC4-1</t>
  </si>
  <si>
    <t>Maria Honkala</t>
  </si>
  <si>
    <t>10 Old Route 110</t>
  </si>
  <si>
    <t>Hurley, Lori</t>
  </si>
  <si>
    <t>505 BLUEBERRY HILL ROAD SHAFTSBURY VT 05262 - BENNINGTON</t>
  </si>
  <si>
    <t>000NC5-1</t>
  </si>
  <si>
    <t>&lt;very low&gt;</t>
  </si>
  <si>
    <t>"Tobias Funke"</t>
  </si>
  <si>
    <t>Phil Hoar</t>
  </si>
  <si>
    <t>356 Glastenview Drive</t>
  </si>
  <si>
    <t>Ellicock, Skye</t>
  </si>
  <si>
    <t>32 RUSSELL STREET BURLINGTON VT 05401 - CHITTENDEN</t>
  </si>
  <si>
    <t>000NC6-1</t>
  </si>
  <si>
    <t>32 Russell Street</t>
  </si>
  <si>
    <t>Slade, Kristen</t>
  </si>
  <si>
    <t>2326 VT ROUTE 109 WATERVILLE VT 05492 - LAMOILLE</t>
  </si>
  <si>
    <t>000NC7-1</t>
  </si>
  <si>
    <t>Kristen Slade</t>
  </si>
  <si>
    <t>2326 VT Route 109</t>
  </si>
  <si>
    <t>Chase, Jack L.</t>
  </si>
  <si>
    <t>169 CRYSTAL HEIGHTS BOMOSEEN VT 05732 - RUTLAND</t>
  </si>
  <si>
    <t>000NC8-1</t>
  </si>
  <si>
    <t>Chase Home Yard</t>
  </si>
  <si>
    <t>Jack Chase</t>
  </si>
  <si>
    <t>263 Burns Road</t>
  </si>
  <si>
    <t>Bomoseen</t>
  </si>
  <si>
    <t>Grannis, Joseph</t>
  </si>
  <si>
    <t>2766 WINDHAM HILL ROAD WEST TOWNSHEND VT 05359 - WINDHAM</t>
  </si>
  <si>
    <t>000NC9-1</t>
  </si>
  <si>
    <t>"Flower Hill"</t>
  </si>
  <si>
    <t>2766 Windham Hill Road</t>
  </si>
  <si>
    <t>Ball, Tim</t>
  </si>
  <si>
    <t>712 CHAMBERLIN ROAD NORTHFIELD VT 05663 - WASHINGTON</t>
  </si>
  <si>
    <t>000NCA-1</t>
  </si>
  <si>
    <t>712 Chamberlin Road</t>
  </si>
  <si>
    <t>Rosedahl, Sarah</t>
  </si>
  <si>
    <t>68 FARM HOUSE LANE NORTH HERO VT 05474 - GRAND ISLE</t>
  </si>
  <si>
    <t>000NCB-1</t>
  </si>
  <si>
    <t>Rosedahl-Home Yard</t>
  </si>
  <si>
    <t>Sarah Rosedahl</t>
  </si>
  <si>
    <t>68 Farm House Lane</t>
  </si>
  <si>
    <t>Phillips, Patrick</t>
  </si>
  <si>
    <t>428 JUSTIN MORGAN DRIVE COLCHESTER VT 05446 - CHITTENDEN</t>
  </si>
  <si>
    <t>000NCC-1</t>
  </si>
  <si>
    <t>&lt;Moderate&gt;</t>
  </si>
  <si>
    <t>Phillips-Home Yard</t>
  </si>
  <si>
    <t>Patrick Phillips</t>
  </si>
  <si>
    <t>428 Justin Morgan Drive</t>
  </si>
  <si>
    <t>Howe, Eric</t>
  </si>
  <si>
    <t>206 LAVALLEE LANE WILLISTON VT 05495 - CHITTENDEN</t>
  </si>
  <si>
    <t>000NCG-1</t>
  </si>
  <si>
    <t>206 Lavallee Lane</t>
  </si>
  <si>
    <t>Stewart, Jim</t>
  </si>
  <si>
    <t>5856 RT 125 ADDISON VT 05491 - ADDISON</t>
  </si>
  <si>
    <t>000NCH-1</t>
  </si>
  <si>
    <t>"Lakeside Apiary"</t>
  </si>
  <si>
    <t>Jim Stewart</t>
  </si>
  <si>
    <t>5856 RT 125</t>
  </si>
  <si>
    <t>0008W6-3</t>
  </si>
  <si>
    <t>Gleason Yard</t>
  </si>
  <si>
    <t>John Gleason</t>
  </si>
  <si>
    <t>306 South Main</t>
  </si>
  <si>
    <t>0008W6-4</t>
  </si>
  <si>
    <t>Drown Yard</t>
  </si>
  <si>
    <t>Frank Drown</t>
  </si>
  <si>
    <t>3315 Union Brook Road</t>
  </si>
  <si>
    <t>Steen, Greg</t>
  </si>
  <si>
    <t>3192 RICHMOND ROAD HINESBURG VT 05461 - CHITTENDEN</t>
  </si>
  <si>
    <t>000NCJ-1</t>
  </si>
  <si>
    <t>3192 Richmond Road</t>
  </si>
  <si>
    <t>Boucher, Heather</t>
  </si>
  <si>
    <t>48 WILDWOOD ACRES ROAD NEWFANE VT 05345 - WINDHAM</t>
  </si>
  <si>
    <t>000NCK-1</t>
  </si>
  <si>
    <t>Boucher Home Yard</t>
  </si>
  <si>
    <t>Heather Boucher</t>
  </si>
  <si>
    <t>48 Wildwood Acres Road</t>
  </si>
  <si>
    <t>Rauch, Michelle</t>
  </si>
  <si>
    <t>179 OWLS HEAD LANE STOWE VT 05672 - LAMOILLE</t>
  </si>
  <si>
    <t>000NCM-1</t>
  </si>
  <si>
    <t>&lt;don't remember but I treated MAQs in early Sept.&gt;</t>
  </si>
  <si>
    <t>Rauch Home Yard</t>
  </si>
  <si>
    <t>Michelle Rauch</t>
  </si>
  <si>
    <t>179 Owls Head Lane</t>
  </si>
  <si>
    <t>Chadwick, Michael</t>
  </si>
  <si>
    <t>466 VAIL ROAD WHITING VT 05778 - RUTLAND</t>
  </si>
  <si>
    <t>000NCN-1</t>
  </si>
  <si>
    <t>Chadwick-Home Yard</t>
  </si>
  <si>
    <t>Michael Chadwick</t>
  </si>
  <si>
    <t>466 Vail Road</t>
  </si>
  <si>
    <t>Poirier, Michael</t>
  </si>
  <si>
    <t>5235 VT RT 12 BRAINTREE VT 05060 - ORANGE</t>
  </si>
  <si>
    <t>000NCP-1</t>
  </si>
  <si>
    <t>5235 VT RT 12</t>
  </si>
  <si>
    <t>Drake, Tia</t>
  </si>
  <si>
    <t>510 WRIGHT ROAD NEWPORT CENTER VT 05857 - ORLEANS</t>
  </si>
  <si>
    <t>000NCQ-1</t>
  </si>
  <si>
    <t>510 Wright Road</t>
  </si>
  <si>
    <t>Wallace, Margaret</t>
  </si>
  <si>
    <t>27 WASHINGTON STREET BURLINGTON VT 05401 - CHITTENDEN</t>
  </si>
  <si>
    <t>000NCV-1</t>
  </si>
  <si>
    <t>Wallace Home Yard</t>
  </si>
  <si>
    <t>Margaret Wallace</t>
  </si>
  <si>
    <t>Lipke, Kathryn</t>
  </si>
  <si>
    <t>613 VT RT 105W NORTH TROY VT 05859 - ORLEANS</t>
  </si>
  <si>
    <t>000NCW-1</t>
  </si>
  <si>
    <t>613 VT RT 105W</t>
  </si>
  <si>
    <t>Airold, Sara</t>
  </si>
  <si>
    <t>269 JIGGER HILL ROAD SOUTH ROYALTON VT 05068 - WINDSOR</t>
  </si>
  <si>
    <t>000NCX-1</t>
  </si>
  <si>
    <t>Airold Home Yard</t>
  </si>
  <si>
    <t>Sara Airold</t>
  </si>
  <si>
    <t>269 Jigger Hill Road</t>
  </si>
  <si>
    <t>Gamez, Carol</t>
  </si>
  <si>
    <t>601 STATE LINE ROAD N BENNINGTON VT 05257 - BENNINGTON</t>
  </si>
  <si>
    <t>000NCY-1</t>
  </si>
  <si>
    <t>James Williamson Estate</t>
  </si>
  <si>
    <t>601 State Line Road</t>
  </si>
  <si>
    <t>Nolfi, Barbara</t>
  </si>
  <si>
    <t>4 EAST VILLAGE DRIVE BURLINGTON VT 05401 - CHITTENDEN</t>
  </si>
  <si>
    <t>000NCZ-1</t>
  </si>
  <si>
    <t>Burlington Cohousing</t>
  </si>
  <si>
    <t>Barbara Nolfi</t>
  </si>
  <si>
    <t>4 East Village Drive</t>
  </si>
  <si>
    <t>Gilmat, Hanna</t>
  </si>
  <si>
    <t>734 PEACHAM - DANVILLE ROAD BARNET VT 05821 - CALEDONIA</t>
  </si>
  <si>
    <t>000ND0-1</t>
  </si>
  <si>
    <t>734 Peacham - Danville Road</t>
  </si>
  <si>
    <t>Sheridan, Moira</t>
  </si>
  <si>
    <t>148 PLAINS ROAD JERICHO VT 05465 - CHITTENDEN</t>
  </si>
  <si>
    <t>000ND1-1</t>
  </si>
  <si>
    <t>Sheridan Home Yard</t>
  </si>
  <si>
    <t>Moira Sheridan</t>
  </si>
  <si>
    <t>148 Plains Road</t>
  </si>
  <si>
    <t>Powley, Thomas</t>
  </si>
  <si>
    <t>PO BOX 162 TOPSHAM VT 05076</t>
  </si>
  <si>
    <t>000ND2-1</t>
  </si>
  <si>
    <t>Lisa Gagnon</t>
  </si>
  <si>
    <t>2420Scott Highway</t>
  </si>
  <si>
    <t>Goreau, Peter</t>
  </si>
  <si>
    <t>3501 OLD COUNTRY ROAD SOUTH WATERFORD VT 05819 - CALEDONIA</t>
  </si>
  <si>
    <t>000ND3-1</t>
  </si>
  <si>
    <t>Goreau-Home Yard</t>
  </si>
  <si>
    <t>Peter Goreau</t>
  </si>
  <si>
    <t>3501 Old County Road South</t>
  </si>
  <si>
    <t>Broe, Patricia &amp; Timothy</t>
  </si>
  <si>
    <t>1646 SWEET HOLLOW ROAD SHELDON VT 05483 - FRANKLIN</t>
  </si>
  <si>
    <t>000ND4-1</t>
  </si>
  <si>
    <t>&lt;Not known&gt;</t>
  </si>
  <si>
    <t>Broe-Home Yard</t>
  </si>
  <si>
    <t>Patricia and Timothy Broe</t>
  </si>
  <si>
    <t>1646 Sweet Hollow Road</t>
  </si>
  <si>
    <t>Sheldon Springs</t>
  </si>
  <si>
    <t>Stasunas, Jim</t>
  </si>
  <si>
    <t>3042 SWEET POND ROAD GUILFORD VT 05301</t>
  </si>
  <si>
    <t>000ND5-1</t>
  </si>
  <si>
    <t>3042 Sweet Pond Road</t>
  </si>
  <si>
    <t>Von Lepel, Audrey (Fairfax Apiary)</t>
  </si>
  <si>
    <t>PO BOX 297 FAIRFAX VT 05454</t>
  </si>
  <si>
    <t>000ND6-1</t>
  </si>
  <si>
    <t>Von Lepel Home Yard</t>
  </si>
  <si>
    <t>Audrey Von Lepel</t>
  </si>
  <si>
    <t>7 Stewart Street</t>
  </si>
  <si>
    <t>Bishop, Dana</t>
  </si>
  <si>
    <t>1611 HARBOR ROAD SHELBURNE VT 05482 - CHITTENDEN</t>
  </si>
  <si>
    <t>000NDB-1</t>
  </si>
  <si>
    <t>"Shelburn Farms Honey"</t>
  </si>
  <si>
    <t>Shelbure Farms</t>
  </si>
  <si>
    <t>Barrett, Anna</t>
  </si>
  <si>
    <t>1905 MUD CITY LOOP MORRISVILLE VT 05661 - LAMOILLE</t>
  </si>
  <si>
    <t>000NDC-1</t>
  </si>
  <si>
    <t>1905 Mud City Loop</t>
  </si>
  <si>
    <t>Mathyas, Stephen</t>
  </si>
  <si>
    <t>799 KIRBY HOLLOW ROAD DORSET VT 05251</t>
  </si>
  <si>
    <t>000NDD-1</t>
  </si>
  <si>
    <t>Stephen Mathyas</t>
  </si>
  <si>
    <t>799 Kirby Hollow Road</t>
  </si>
  <si>
    <t>Marts, Christina</t>
  </si>
  <si>
    <t>186 TOWN FARM ROAD TUNBRIDGE VT 05077</t>
  </si>
  <si>
    <t>000NDF-1</t>
  </si>
  <si>
    <t>186 Town Farm Road</t>
  </si>
  <si>
    <t>Marchione, Elanor</t>
  </si>
  <si>
    <t>114 BLODGETT STREET BROOKFIELD VT 05036</t>
  </si>
  <si>
    <t>000NDG-1</t>
  </si>
  <si>
    <t>114 Blodgett Street</t>
  </si>
  <si>
    <t>Frye, Nancy</t>
  </si>
  <si>
    <t>207 URSA RIDGE BRATTLEBORO VT 05301</t>
  </si>
  <si>
    <t>000NDH-1</t>
  </si>
  <si>
    <t>&lt;10-12&gt;</t>
  </si>
  <si>
    <t>Frye-Home Yard</t>
  </si>
  <si>
    <t>Nancy Frye</t>
  </si>
  <si>
    <t>297 Ursa Ridge Road</t>
  </si>
  <si>
    <t>Reynolds, Peter</t>
  </si>
  <si>
    <t>493 STILLMEADOW LANE ADDISON VT 05941-5700</t>
  </si>
  <si>
    <t>000NDJ-1</t>
  </si>
  <si>
    <t>493 Stillmeadow Lane</t>
  </si>
  <si>
    <t>05941-5700</t>
  </si>
  <si>
    <t>Vergi, Henry</t>
  </si>
  <si>
    <t>157 SOUTH READING ROAD PROCTORSVILLE VT 05149</t>
  </si>
  <si>
    <t>000NDK-1</t>
  </si>
  <si>
    <t>Henry Vergi</t>
  </si>
  <si>
    <t>157 South Reading Road</t>
  </si>
  <si>
    <t>Hatch, Eric</t>
  </si>
  <si>
    <t>1292 WEST ROAD BENNINGTON VT 05201</t>
  </si>
  <si>
    <t>000NF9-1</t>
  </si>
  <si>
    <t>Eric Hutch</t>
  </si>
  <si>
    <t>1292 West Road</t>
  </si>
  <si>
    <t>Brooks, Trevor</t>
  </si>
  <si>
    <t>1364 JERICHO ROAD RICHMOND VT 05477</t>
  </si>
  <si>
    <t>000NFN-1</t>
  </si>
  <si>
    <t>Stephen Brooks</t>
  </si>
  <si>
    <t>81 Lavallee Lane</t>
  </si>
  <si>
    <t>00088H-33</t>
  </si>
  <si>
    <t>Blue Heron Farm</t>
  </si>
  <si>
    <t>Blue Heron</t>
  </si>
  <si>
    <t>Quaker Road</t>
  </si>
  <si>
    <t>Richardson, Renee R.</t>
  </si>
  <si>
    <t>270 OVERLEA ROAD NORTH BENNINGTON VT 05257 - BENNINGTON</t>
  </si>
  <si>
    <t>000NHD-1</t>
  </si>
  <si>
    <t>270 Overlea Road</t>
  </si>
  <si>
    <t>North Bennington</t>
  </si>
  <si>
    <t>Riley, Matt</t>
  </si>
  <si>
    <t>30 BUXTON AVENUE MIDDLETOWN SPRINGS VT 05757 - RUTLAND</t>
  </si>
  <si>
    <t>000NHW-1</t>
  </si>
  <si>
    <t>000NHW-2</t>
  </si>
  <si>
    <t>124 South Street</t>
  </si>
  <si>
    <t>000NHW-3</t>
  </si>
  <si>
    <t>Robin Chestnut-Tangerman</t>
  </si>
  <si>
    <t>72 Sundog Lane</t>
  </si>
  <si>
    <t>000NHW-4</t>
  </si>
  <si>
    <t>Dodge Yard</t>
  </si>
  <si>
    <t>Jim Dodge</t>
  </si>
  <si>
    <t>000M83-36</t>
  </si>
  <si>
    <t>Book Yard</t>
  </si>
  <si>
    <t>Books</t>
  </si>
  <si>
    <t>Book Road</t>
  </si>
  <si>
    <t>000HA5-12</t>
  </si>
  <si>
    <t>Hadeka Yard</t>
  </si>
  <si>
    <t>Hadeka Stone Company</t>
  </si>
  <si>
    <t>Staso Road</t>
  </si>
  <si>
    <t>000HA5-13</t>
  </si>
  <si>
    <t>Pacyna Yard</t>
  </si>
  <si>
    <t>416 Upper Road</t>
  </si>
  <si>
    <t>South Poultny</t>
  </si>
  <si>
    <t>000NJV-1</t>
  </si>
  <si>
    <t>Main, Amy Beth</t>
  </si>
  <si>
    <t>4067 WEATHERSFIELD CENTER ROAD PERKINSVILLE VT 05151 - WINDSOR</t>
  </si>
  <si>
    <t>000NK2-1</t>
  </si>
  <si>
    <t>4067 Weathersfield Center Road</t>
  </si>
  <si>
    <t>Schneck, Linda</t>
  </si>
  <si>
    <t>423 GOODWIN MOUNTAIN LANE ORLEANS VT 05860</t>
  </si>
  <si>
    <t>000NK7-1</t>
  </si>
  <si>
    <t>423 Goodwin Mountain Lane</t>
  </si>
  <si>
    <t>Goggin, Richard</t>
  </si>
  <si>
    <t>30 WHIPPLE ROAD SOUTH HERO VT 05486</t>
  </si>
  <si>
    <t>000NMJ-1</t>
  </si>
  <si>
    <t>Goggin Home Yard</t>
  </si>
  <si>
    <t>Richard Goggin</t>
  </si>
  <si>
    <t>30 Whipple Road</t>
  </si>
  <si>
    <t>Cahoon, Michael L.</t>
  </si>
  <si>
    <t>370 NEW BOSTON ROAD NORWICH VT 05055</t>
  </si>
  <si>
    <t>000NMK-1</t>
  </si>
  <si>
    <t>Cahoon-Home Yard</t>
  </si>
  <si>
    <t>Michael Cahoon</t>
  </si>
  <si>
    <t>370 New Boston Road</t>
  </si>
  <si>
    <t>Buzzell, Steve</t>
  </si>
  <si>
    <t>165 CLARK ROAD STOWE VT 05672</t>
  </si>
  <si>
    <t>000NMX-1</t>
  </si>
  <si>
    <t>Buzzell-Home Yard</t>
  </si>
  <si>
    <t>Steve Buzzell</t>
  </si>
  <si>
    <t>165 Clark Road</t>
  </si>
  <si>
    <t>Callahan, Matt</t>
  </si>
  <si>
    <t>1576 FERRY ROAD CHARLOTTE VT 05445</t>
  </si>
  <si>
    <t>000NMY-1</t>
  </si>
  <si>
    <t>&lt;high before treatment&gt;</t>
  </si>
  <si>
    <t>Jim McCullaugh</t>
  </si>
  <si>
    <t>251 Govenor Chittenden Road</t>
  </si>
  <si>
    <t>Choquette, Lynn</t>
  </si>
  <si>
    <t>668 CHERRY TREE HILL ROAD EAST MONTPELIER VT 05651</t>
  </si>
  <si>
    <t>000NN2-1</t>
  </si>
  <si>
    <t>Choquette-Home Yard</t>
  </si>
  <si>
    <t>Lynn Choquette</t>
  </si>
  <si>
    <t>668 Cherry Tree Hill Road</t>
  </si>
  <si>
    <t>Shortsleeve, Dane W.</t>
  </si>
  <si>
    <t>21 ORCHARD TERRACE ESSEX JUNCTION VT 05452</t>
  </si>
  <si>
    <t>000NN8-1</t>
  </si>
  <si>
    <t xml:space="preserve"> &lt;heavy&gt;</t>
  </si>
  <si>
    <t>Shortsleeve-Home Yard</t>
  </si>
  <si>
    <t>Dane Shortsleeve</t>
  </si>
  <si>
    <t>21 Orchard Terrace</t>
  </si>
  <si>
    <t>Village of Essex Jct</t>
  </si>
  <si>
    <t>000JQW-4</t>
  </si>
  <si>
    <t>North Street Yard</t>
  </si>
  <si>
    <t>1904 North Street</t>
  </si>
  <si>
    <t>Welch, Jensen - Laughing Stock Farm O.</t>
  </si>
  <si>
    <t>960 POND ROAD JEFFERSONVILLE VT 05464</t>
  </si>
  <si>
    <t>000NNM-1</t>
  </si>
  <si>
    <t>Welch-Home Yard</t>
  </si>
  <si>
    <t>Jensen Welch</t>
  </si>
  <si>
    <t>960 Pond Road</t>
  </si>
  <si>
    <t>Pratt, Candace</t>
  </si>
  <si>
    <t>450 OAK KNOLL ROAD WILLISTON VT 05495</t>
  </si>
  <si>
    <t>000NQ3-1</t>
  </si>
  <si>
    <t>Pratt-Home Yard</t>
  </si>
  <si>
    <t>Candace Pratt</t>
  </si>
  <si>
    <t>450 Oak Knoll Road</t>
  </si>
  <si>
    <t>Baker, Cody</t>
  </si>
  <si>
    <t>2901 RT 7B CENTRAL APT2 NORTH CLARENDON VT 05759</t>
  </si>
  <si>
    <t>000NQ4-1</t>
  </si>
  <si>
    <t>Bob Johnson</t>
  </si>
  <si>
    <t>2901 RT 7B Central</t>
  </si>
  <si>
    <t>Laurel, Green</t>
  </si>
  <si>
    <t>2128 BROCKWAYS MILLS ROAD ROCKINGHAM VT 05143</t>
  </si>
  <si>
    <t>000NV4-1</t>
  </si>
  <si>
    <t>2128 Brockways Mill Road</t>
  </si>
  <si>
    <t>Orava, Heather</t>
  </si>
  <si>
    <t>119 HASTINGS COVE ROAD MANCHESTER CENTER VT 05255</t>
  </si>
  <si>
    <t>000Q2X-1</t>
  </si>
  <si>
    <t>Heather Orava</t>
  </si>
  <si>
    <t>119 Hastings Cove Road</t>
  </si>
  <si>
    <t>Sterling, Thomas</t>
  </si>
  <si>
    <t>78 SONGBIRD MEADOWS DORSET VT 05251</t>
  </si>
  <si>
    <t>000Q40-1</t>
  </si>
  <si>
    <t>78 Songbird Meadows</t>
  </si>
  <si>
    <t>Rothstein, Jay L.</t>
  </si>
  <si>
    <t>18 ELM STREET NORWICH VT 05055</t>
  </si>
  <si>
    <t>000Q41-1</t>
  </si>
  <si>
    <t>Rothstein-Home Yard</t>
  </si>
  <si>
    <t>Jay Rothstein</t>
  </si>
  <si>
    <t>18 Elm Street</t>
  </si>
  <si>
    <t>Lowell, Gray</t>
  </si>
  <si>
    <t>3695 HARTLAND HILL ROAD WOODSTOCK VT 05901</t>
  </si>
  <si>
    <t>000Q6J-1</t>
  </si>
  <si>
    <t>3695 Hartland Hill Road</t>
  </si>
  <si>
    <t>McAllister, Sherry</t>
  </si>
  <si>
    <t>37 MOCCASIN AVE GRAND ISLE VT 05458</t>
  </si>
  <si>
    <t>000Q6M-1</t>
  </si>
  <si>
    <t>37 Moccasin Avenue</t>
  </si>
  <si>
    <t>05458-2216</t>
  </si>
  <si>
    <t>Martin, Marjorie</t>
  </si>
  <si>
    <t>1126 JEFFERSON HILL ROAD SOUTH RYEGATE VT 05069</t>
  </si>
  <si>
    <t>000Q73-1</t>
  </si>
  <si>
    <t>Starlit Hill Farm</t>
  </si>
  <si>
    <t>Marjorie Martin</t>
  </si>
  <si>
    <t>1126 Jefferson Hill Road</t>
  </si>
  <si>
    <t>Silloway, Stacy</t>
  </si>
  <si>
    <t>314 HIDDEN HEIGHTS ROAD ENOSBURG FALLS VT 05450</t>
  </si>
  <si>
    <t>000Q74-1</t>
  </si>
  <si>
    <t>314 Hidden Heights Road</t>
  </si>
  <si>
    <t>Berger, Jennings</t>
  </si>
  <si>
    <t>319 HARWOOD PL TOWNSHEND VT 05353</t>
  </si>
  <si>
    <t>0008ZN-4</t>
  </si>
  <si>
    <t>Morrison Yard</t>
  </si>
  <si>
    <t>John Morrison</t>
  </si>
  <si>
    <t>7 Grassy Brook Road</t>
  </si>
  <si>
    <t>Barsotti, Shannon</t>
  </si>
  <si>
    <t>141 ROIZIN ROAD BENNINGTON VT 05201</t>
  </si>
  <si>
    <t>000QAB-1</t>
  </si>
  <si>
    <t>Chris &amp; Shannon Barsotti</t>
  </si>
  <si>
    <t>141 Roizin Road</t>
  </si>
  <si>
    <t>Bjerke, Iver</t>
  </si>
  <si>
    <t>297 WILDWOOD CT WEST CHARLOTTE VT 05445</t>
  </si>
  <si>
    <t>000QAC-1</t>
  </si>
  <si>
    <t>297 Wildwood West Road</t>
  </si>
  <si>
    <t>Bly, Bill</t>
  </si>
  <si>
    <t>42 LOVERS LANE GRAND ISLE VT 05458</t>
  </si>
  <si>
    <t>000QAD-1</t>
  </si>
  <si>
    <t>42 Lovers Lane</t>
  </si>
  <si>
    <t>Crowley, Michael</t>
  </si>
  <si>
    <t>633 PIETTE MEADOW ROAD HINESBURG VT 05461</t>
  </si>
  <si>
    <t>000QAF-1</t>
  </si>
  <si>
    <t>Howling Hill Hives</t>
  </si>
  <si>
    <t>633 Piette Meadow Road</t>
  </si>
  <si>
    <t>Fitz-Gerald, Ralph</t>
  </si>
  <si>
    <t>288 MONKTON RIDGE ROAD NORTH FERRISBURGH VT 05473</t>
  </si>
  <si>
    <t>000QAG-1</t>
  </si>
  <si>
    <t>Charlie Proutt</t>
  </si>
  <si>
    <t>2111 Green Bush Road</t>
  </si>
  <si>
    <t>North Ferrisburgh</t>
  </si>
  <si>
    <t>Hill, James</t>
  </si>
  <si>
    <t>369 SOUTH STREET MIDDLETOWN SPRINGS VT 05757</t>
  </si>
  <si>
    <t>000QAJ-1</t>
  </si>
  <si>
    <t>James Hill</t>
  </si>
  <si>
    <t>369 South Street</t>
  </si>
  <si>
    <t>Lovett, Richard</t>
  </si>
  <si>
    <t>1434 MCKINLEY AVENUE RUTLAND VT 05701</t>
  </si>
  <si>
    <t>000QAK-1</t>
  </si>
  <si>
    <t>Richard Lowett</t>
  </si>
  <si>
    <t>1434 McKinley Avenue</t>
  </si>
  <si>
    <t>Monaghan, Matthew</t>
  </si>
  <si>
    <t>404 VAIL ROAD BENNINGTON VT 05201</t>
  </si>
  <si>
    <t>000QAM-1</t>
  </si>
  <si>
    <t>Monaghan-Home Yard</t>
  </si>
  <si>
    <t>Matthew Monaghan</t>
  </si>
  <si>
    <t>404 Vail Road</t>
  </si>
  <si>
    <t>Moses, Charles</t>
  </si>
  <si>
    <t>2298 MOUNT ANTHONY ROAD NORTH POWNAL VT 05260</t>
  </si>
  <si>
    <t>000QAN-1</t>
  </si>
  <si>
    <t>2298 Mount Anthony Road</t>
  </si>
  <si>
    <t>Mozaffari, Jahangir</t>
  </si>
  <si>
    <t>5 HENRY STREET BELLOWS FALLS VT 05101</t>
  </si>
  <si>
    <t>000QAP-1</t>
  </si>
  <si>
    <t>5 Henry Street</t>
  </si>
  <si>
    <t>Bellows Falls</t>
  </si>
  <si>
    <t>Ritter, Aaron</t>
  </si>
  <si>
    <t>107 RIVER STREET BENNINGTON VT 05201</t>
  </si>
  <si>
    <t>000QAQ-1</t>
  </si>
  <si>
    <t>107 River Street</t>
  </si>
  <si>
    <t>Roberts, Jean</t>
  </si>
  <si>
    <t>84 RUBY ROAD POULTNEY VT 05764-9779</t>
  </si>
  <si>
    <t>000QAV-1</t>
  </si>
  <si>
    <t>Jeffrey Roberts</t>
  </si>
  <si>
    <t>84 Ruby Road</t>
  </si>
  <si>
    <t>05764-9779</t>
  </si>
  <si>
    <t>Smith, Beth</t>
  </si>
  <si>
    <t>105 SMITTYBROOK ROAD MILTON VT 05468</t>
  </si>
  <si>
    <t>000QAW-1</t>
  </si>
  <si>
    <t>105 Smittybrook Road</t>
  </si>
  <si>
    <t>Maplewood, Apiary</t>
  </si>
  <si>
    <t>50 PELKEY ROAD SPRINGFIELD VT 05156-9163</t>
  </si>
  <si>
    <t>000QAX-1</t>
  </si>
  <si>
    <t>Maplewood Yard</t>
  </si>
  <si>
    <t>Maplewood Apiary</t>
  </si>
  <si>
    <t>50 Pelkey Road</t>
  </si>
  <si>
    <t>Bard, Douglas- Bard's Bees and Trees H.</t>
  </si>
  <si>
    <t>84 WEST SHORE ROAD NORTH HERO VT 05474</t>
  </si>
  <si>
    <t>000QAY-1</t>
  </si>
  <si>
    <t>&lt;unknown treated for the winter&gt;</t>
  </si>
  <si>
    <t>Bard Home Yard</t>
  </si>
  <si>
    <t>Douglas Bard</t>
  </si>
  <si>
    <t>84 West Shore Road</t>
  </si>
  <si>
    <t>Brunken, Diedrich</t>
  </si>
  <si>
    <t>5936 VT RT 30 PAWLET VT 05761-9806</t>
  </si>
  <si>
    <t>000QB1-1</t>
  </si>
  <si>
    <t>5 Hearths Apiary</t>
  </si>
  <si>
    <t>Diedrich Brunken</t>
  </si>
  <si>
    <t>5936 VT RT 30</t>
  </si>
  <si>
    <t>05761-9806</t>
  </si>
  <si>
    <t>Bolus, Robert</t>
  </si>
  <si>
    <t>340 SCHOOL ROAD BARRE VT 05641</t>
  </si>
  <si>
    <t>000QB2-1</t>
  </si>
  <si>
    <t>Bob 1</t>
  </si>
  <si>
    <t>Robert Bolus</t>
  </si>
  <si>
    <t>340 School Road</t>
  </si>
  <si>
    <t>Collins, Timothy</t>
  </si>
  <si>
    <t>274 COLLINS ROAD WEST BERKSHIRE VT 05450</t>
  </si>
  <si>
    <t>000QC5-1</t>
  </si>
  <si>
    <t>277 Collins Road</t>
  </si>
  <si>
    <t>Decker, Brooke</t>
  </si>
  <si>
    <t>PO BOX 377 MANCHESTER VT 05254 - WINDSOR</t>
  </si>
  <si>
    <t>0007B0-2</t>
  </si>
  <si>
    <t>Hildene Yard</t>
  </si>
  <si>
    <t>Friends of Hildene</t>
  </si>
  <si>
    <t>1005 Hildene Road</t>
  </si>
  <si>
    <t>Boguzewski, Michael</t>
  </si>
  <si>
    <t>2 SHORE DRIVE TUNBRIDGE VT 05077</t>
  </si>
  <si>
    <t>000QFX-1</t>
  </si>
  <si>
    <t>Hazel's Honey</t>
  </si>
  <si>
    <t>Michael Boguzewski</t>
  </si>
  <si>
    <t>2 Shore Drive</t>
  </si>
  <si>
    <t>Peirce, David</t>
  </si>
  <si>
    <t>249 PARTRIDGE HILL RANDOLPH VT 05060</t>
  </si>
  <si>
    <t>000QFZ-1</t>
  </si>
  <si>
    <t>Peirce-Home Yard</t>
  </si>
  <si>
    <t>David Peirce</t>
  </si>
  <si>
    <t>249 Partridge Hill</t>
  </si>
  <si>
    <t>Doyle, Eugenie</t>
  </si>
  <si>
    <t>2246 TYLER BRIDGE ROAD BRISTOL VT 05443</t>
  </si>
  <si>
    <t>000QGQ-1</t>
  </si>
  <si>
    <t>Doyle-Home Yard</t>
  </si>
  <si>
    <t>Eugenie Doyle</t>
  </si>
  <si>
    <t>2246 Tyler Bridge Road</t>
  </si>
  <si>
    <t>Werner, Cheryl</t>
  </si>
  <si>
    <t>429 PAINTER ROAD MIDDLEBURY VT 05753</t>
  </si>
  <si>
    <t>000QGV-1</t>
  </si>
  <si>
    <t>Werner Tree Farm</t>
  </si>
  <si>
    <t>Cheryl Werner</t>
  </si>
  <si>
    <t>429 Painter Road</t>
  </si>
  <si>
    <t>Gilbert, Amy</t>
  </si>
  <si>
    <t>1865 WEIR ROAD WILLIAMSTOWN VT 05679</t>
  </si>
  <si>
    <t>000QGW-1</t>
  </si>
  <si>
    <t>Gilbert Tree Farm</t>
  </si>
  <si>
    <t>1865 Weir Road</t>
  </si>
  <si>
    <t>Santorello, John</t>
  </si>
  <si>
    <t>176 ELM STREET BARRE VT 05641</t>
  </si>
  <si>
    <t>000QGX-1</t>
  </si>
  <si>
    <t>Hidden Steps Gardens</t>
  </si>
  <si>
    <t>Santorello</t>
  </si>
  <si>
    <t>176 Elm Street</t>
  </si>
  <si>
    <t>McManus, Jill &amp; Matthew</t>
  </si>
  <si>
    <t>1541 TUCKER HILL ROAD WAITSFIELD VT 05673</t>
  </si>
  <si>
    <t>000QGY-1</t>
  </si>
  <si>
    <t>Matt McManus Yard</t>
  </si>
  <si>
    <t>Matt McManus</t>
  </si>
  <si>
    <t>1541 Tucker Hill Road</t>
  </si>
  <si>
    <t>Sweitzer, Jim</t>
  </si>
  <si>
    <t>89 HOG FARM ROAD PUTNEY VT 05346</t>
  </si>
  <si>
    <t>000QH7-1</t>
  </si>
  <si>
    <t>Sweitzer-Home Yard</t>
  </si>
  <si>
    <t>Jim Sweitzer</t>
  </si>
  <si>
    <t>89 Hog Farm Road</t>
  </si>
  <si>
    <t>Hard, Jocelyn</t>
  </si>
  <si>
    <t>4479 PEPPER ROAD CHELSEA VT 05038</t>
  </si>
  <si>
    <t>000QHB-1</t>
  </si>
  <si>
    <t>Jocelyn Hard</t>
  </si>
  <si>
    <t>4479 Pepper Road</t>
  </si>
  <si>
    <t>Still Meadow Farm</t>
  </si>
  <si>
    <t>22 BOYCE ROAD WILLIAMSTOWN VT 05679</t>
  </si>
  <si>
    <t>000QJ6-1</t>
  </si>
  <si>
    <t>Richard Flies</t>
  </si>
  <si>
    <t>22 Boyce Road</t>
  </si>
  <si>
    <t>Catella, Roy John</t>
  </si>
  <si>
    <t>2722 BOROUGH HILL ROAD MONKTON VT 05443</t>
  </si>
  <si>
    <t>000QJ7-1</t>
  </si>
  <si>
    <t>Catella</t>
  </si>
  <si>
    <t>2722 Borough Hill Road</t>
  </si>
  <si>
    <t>Gaston, Howard S</t>
  </si>
  <si>
    <t>6 MCLAM LANE BARNET VT 05821</t>
  </si>
  <si>
    <t>000QJ8-1</t>
  </si>
  <si>
    <t>Presbyterian Church of Barnet</t>
  </si>
  <si>
    <t>6 McLam Lane</t>
  </si>
  <si>
    <t>Gooley, Brenda</t>
  </si>
  <si>
    <t>75 HEMLOCK DRIVE BRISTOL VT 05443</t>
  </si>
  <si>
    <t>000QJ9-1</t>
  </si>
  <si>
    <t>Brenda Gooley</t>
  </si>
  <si>
    <t>75 Hemlock Drive</t>
  </si>
  <si>
    <t>Kitchen, David</t>
  </si>
  <si>
    <t>438 GALLISON HILL ROAD MONTPELIER VT 05602 - WASHINGTON</t>
  </si>
  <si>
    <t>000QJA-1</t>
  </si>
  <si>
    <t>David &amp; Sarah Kitchen</t>
  </si>
  <si>
    <t>438 Gallison Hill Road</t>
  </si>
  <si>
    <t>McCullough, Jeanne</t>
  </si>
  <si>
    <t>2147 ROUSSEAU ROAD BETHEL VT 05032 - WINDSOR</t>
  </si>
  <si>
    <t>000QJB-1</t>
  </si>
  <si>
    <t>Wild Acre Perennials</t>
  </si>
  <si>
    <t>Jeanne McCullough</t>
  </si>
  <si>
    <t>2147 Rousseau Road</t>
  </si>
  <si>
    <t>Bazarian, Barbara</t>
  </si>
  <si>
    <t>1155 SAFFORD ROAD PO BOX 339 QUECHEE VT 05059 - WINDSOR</t>
  </si>
  <si>
    <t>000QJC-1</t>
  </si>
  <si>
    <t>Bazarian Bees</t>
  </si>
  <si>
    <t>Harvey &amp; Barbara Bazarian</t>
  </si>
  <si>
    <t>1155 Safford Rd</t>
  </si>
  <si>
    <t>PO Box 339</t>
  </si>
  <si>
    <t>Quechee/ Hartford</t>
  </si>
  <si>
    <t>00094Y-2</t>
  </si>
  <si>
    <t>Reg Cramer</t>
  </si>
  <si>
    <t>2002 Terry Hill Road</t>
  </si>
  <si>
    <t>Edwards, Susan</t>
  </si>
  <si>
    <t>1248 SUGARBUSH ACCESS ROAD WARREN VT 05674</t>
  </si>
  <si>
    <t>000QJD-1</t>
  </si>
  <si>
    <t>Susan Edwards</t>
  </si>
  <si>
    <t>1248 Sugarbush Access Road</t>
  </si>
  <si>
    <t>Dorchner, Cheryl</t>
  </si>
  <si>
    <t>2361 NORTH WILLISTON ROAD WILLISTON VT 05495</t>
  </si>
  <si>
    <t>000QK5-1</t>
  </si>
  <si>
    <t>Cheryl Dorschner</t>
  </si>
  <si>
    <t>2361 North Williston Road</t>
  </si>
  <si>
    <t>LaRose, Dana</t>
  </si>
  <si>
    <t>P O BOX 216 DORSET VT 05251 - UNKNOWN</t>
  </si>
  <si>
    <t>000QK6-1</t>
  </si>
  <si>
    <t>Dana Larose</t>
  </si>
  <si>
    <t>P O Box 216</t>
  </si>
  <si>
    <t>Waitekus, Beverly</t>
  </si>
  <si>
    <t>207 PLEASANT ST APT 2A BENNINGTON VT 05201 - BENNINGTON</t>
  </si>
  <si>
    <t>000QK7-1</t>
  </si>
  <si>
    <t>Beverly Waitekus</t>
  </si>
  <si>
    <t>207 Pleasant Street</t>
  </si>
  <si>
    <t>Scavone, William (Flyring bird Farm)</t>
  </si>
  <si>
    <t>1655 TURNPIKE ROAD NORWICH VT 05055</t>
  </si>
  <si>
    <t>000QK8-1</t>
  </si>
  <si>
    <t>Scavone Home Yard</t>
  </si>
  <si>
    <t>William Scavone</t>
  </si>
  <si>
    <t>1655 Turnpike Road</t>
  </si>
  <si>
    <t>Sequist, David</t>
  </si>
  <si>
    <t>PO BOX 1357 STOWE VT 05672 - LAMOILLE</t>
  </si>
  <si>
    <t>000QK9-1</t>
  </si>
  <si>
    <t>Sequist</t>
  </si>
  <si>
    <t>David Sequist</t>
  </si>
  <si>
    <t>49 Bennett Lane</t>
  </si>
  <si>
    <t>Brown, Candace A</t>
  </si>
  <si>
    <t>1504 SCOTTSVILLE ROAD DANBY VT 05739 - RUTLAND</t>
  </si>
  <si>
    <t>000QKA-1</t>
  </si>
  <si>
    <t>Candace A. Brown</t>
  </si>
  <si>
    <t>1504 Scottsville Road</t>
  </si>
  <si>
    <t>000KGY-2</t>
  </si>
  <si>
    <t>Benoit Home Yard</t>
  </si>
  <si>
    <t>Christina &amp; Troy Forcier</t>
  </si>
  <si>
    <t>2506 Highgate Road</t>
  </si>
  <si>
    <t>000KGY-3</t>
  </si>
  <si>
    <t>Benoit Home yard</t>
  </si>
  <si>
    <t>Ray &amp; Sue Laroche</t>
  </si>
  <si>
    <t>975 Carter Hill Road</t>
  </si>
  <si>
    <t>Hicks, Adrian</t>
  </si>
  <si>
    <t>441 PINEY WOODS ROAD BRISTOL VT 05443</t>
  </si>
  <si>
    <t>000QKB-1</t>
  </si>
  <si>
    <t>Backyard Bees</t>
  </si>
  <si>
    <t>Adrian Hicks</t>
  </si>
  <si>
    <t>441 Piney Woods Road</t>
  </si>
  <si>
    <t>Lubkowitz, Mark</t>
  </si>
  <si>
    <t>1105 MAIN ROAD RICHMOND VT 05477 - CHITTENDEN</t>
  </si>
  <si>
    <t>000QKC-1</t>
  </si>
  <si>
    <t>Jax's Bees</t>
  </si>
  <si>
    <t>Mark Lubkowitz</t>
  </si>
  <si>
    <t>1105 Main Road</t>
  </si>
  <si>
    <t>Walsh, Seamus</t>
  </si>
  <si>
    <t>8 BROOKS AVE ESSEX JUNCTION VT 05452 - CHITTENDEN</t>
  </si>
  <si>
    <t>000QKD-1</t>
  </si>
  <si>
    <t>Walsh Home</t>
  </si>
  <si>
    <t>Seamus Walsh</t>
  </si>
  <si>
    <t>8 Brooks Ave</t>
  </si>
  <si>
    <t>Ford, Josh</t>
  </si>
  <si>
    <t>398 MCCARTHY LANE WEST RUTLAND VT 05777 - RUTLAND</t>
  </si>
  <si>
    <t>000QKF-1</t>
  </si>
  <si>
    <t>Cass ANderson</t>
  </si>
  <si>
    <t>398 McCarthy Lane</t>
  </si>
  <si>
    <t>Roy, Richard</t>
  </si>
  <si>
    <t>881 CLAY POINT ROAD COLCHESTER VT 05446 - CHITTENDEN</t>
  </si>
  <si>
    <t>000QKG-1</t>
  </si>
  <si>
    <t>Roy-Home Yard</t>
  </si>
  <si>
    <t>Roy Richard</t>
  </si>
  <si>
    <t>881 Clay Point Road</t>
  </si>
  <si>
    <t>Atwood, Diane</t>
  </si>
  <si>
    <t>PO BOX 326 BARRE VT 05641 - WASHINGTON</t>
  </si>
  <si>
    <t>000QKH-1</t>
  </si>
  <si>
    <t>Diane Atwood</t>
  </si>
  <si>
    <t>P O Box 326</t>
  </si>
  <si>
    <t>Schmertz, Heidi</t>
  </si>
  <si>
    <t>49 STATE STREET WINDSOR VT 05089 - WINDSOR</t>
  </si>
  <si>
    <t>000QKJ-1</t>
  </si>
  <si>
    <t>HOS First</t>
  </si>
  <si>
    <t>Heidi Schmertz</t>
  </si>
  <si>
    <t>49 State Street</t>
  </si>
  <si>
    <t>Alves, Caroline</t>
  </si>
  <si>
    <t>2572 GILMAN RD HINESBURG VT 05641 - CHITTENDEN</t>
  </si>
  <si>
    <t>000QKK-1</t>
  </si>
  <si>
    <t>Caroline Alves</t>
  </si>
  <si>
    <t>2572 Gilman Rd</t>
  </si>
  <si>
    <t>Perzanowski, Kathy</t>
  </si>
  <si>
    <t>190 ADAMS STREET RUTLAND VT 05701 - RUTLAND</t>
  </si>
  <si>
    <t>000QKM-1</t>
  </si>
  <si>
    <t>Kathy Perzanowski</t>
  </si>
  <si>
    <t>190 Adams Street</t>
  </si>
  <si>
    <t>Herbert, Bob</t>
  </si>
  <si>
    <t>P O BOX 613 MANCHESTER VT 05254 - BENNINGTON</t>
  </si>
  <si>
    <t>000QKN-1</t>
  </si>
  <si>
    <t>Maplewood</t>
  </si>
  <si>
    <t>Bob Herbert</t>
  </si>
  <si>
    <t>38 Dandy Mountain Road</t>
  </si>
  <si>
    <t>Moore, Matthew</t>
  </si>
  <si>
    <t>124 LANE ROAD DORSET VT 05251 - BENNINGTON</t>
  </si>
  <si>
    <t>000QKP-1</t>
  </si>
  <si>
    <t>Matthew Moore</t>
  </si>
  <si>
    <t>124 Lane Road</t>
  </si>
  <si>
    <t>LaFountain, John</t>
  </si>
  <si>
    <t>PO BOX 771 BENNINGTON VT 05201</t>
  </si>
  <si>
    <t>000QKQ-1</t>
  </si>
  <si>
    <t>John LaFountain</t>
  </si>
  <si>
    <t>136 Frost Lane</t>
  </si>
  <si>
    <t>Scalzilli, Anthony</t>
  </si>
  <si>
    <t>PO BOX 216 BRIDGEWATER CORNERS VT 05035 - WINDSOR</t>
  </si>
  <si>
    <t>000QKW-1</t>
  </si>
  <si>
    <t>Anthony Scalzilli</t>
  </si>
  <si>
    <t>Bridgewater Corners</t>
  </si>
  <si>
    <t>Massucco, Tim</t>
  </si>
  <si>
    <t>259 SIMPSONBROOK ROAD TOWNSHEND VT 05353</t>
  </si>
  <si>
    <t>000QKX-1</t>
  </si>
  <si>
    <t>Tim Massucco</t>
  </si>
  <si>
    <t>259 Simpson Brook Road</t>
  </si>
  <si>
    <t>Johnson, April</t>
  </si>
  <si>
    <t>388 BOVAT ROAD FAIRFAX VT 05454</t>
  </si>
  <si>
    <t>000QKY-1</t>
  </si>
  <si>
    <t>Johnson home yard</t>
  </si>
  <si>
    <t>D Johnson</t>
  </si>
  <si>
    <t>388 Bovat Road</t>
  </si>
  <si>
    <t>Bragg, Eric (Bragg's Birds and Bee's) G</t>
  </si>
  <si>
    <t>15 ALTON DR EAST THETFORD VT 05043 - ORANGE</t>
  </si>
  <si>
    <t>0005DA-1</t>
  </si>
  <si>
    <t>Bragg Home yard</t>
  </si>
  <si>
    <t>Eric &amp; Elise Bragg</t>
  </si>
  <si>
    <t>15 Alton Drive</t>
  </si>
  <si>
    <t>Pearce, Quinton</t>
  </si>
  <si>
    <t>1267 TINMOUTH ROAD DANBY VT 05739</t>
  </si>
  <si>
    <t>000QM1-1</t>
  </si>
  <si>
    <t>Quinton Pearse</t>
  </si>
  <si>
    <t>1267 Tinmouth Road</t>
  </si>
  <si>
    <t>Lawrence, Lee</t>
  </si>
  <si>
    <t>9 FARNHAM DRIVE TUNBRIDGE VT 05077 - ORANGE</t>
  </si>
  <si>
    <t>000QM3-1</t>
  </si>
  <si>
    <t>Lee Lawrence</t>
  </si>
  <si>
    <t>Farnham Drive</t>
  </si>
  <si>
    <t>Plouffe, James</t>
  </si>
  <si>
    <t>1827 BAPTIST STREET WILLIAMSTOWN VT 05679</t>
  </si>
  <si>
    <t>000QM4-1</t>
  </si>
  <si>
    <t>Ploufe-Home</t>
  </si>
  <si>
    <t>James Plouffe</t>
  </si>
  <si>
    <t>1827 Baptist Street</t>
  </si>
  <si>
    <t>Raymond, Adam</t>
  </si>
  <si>
    <t>56 BAKER STREET ALBURGH VT 05440 - GRAND ISLE</t>
  </si>
  <si>
    <t>000QM5-1</t>
  </si>
  <si>
    <t>Adam Raymond</t>
  </si>
  <si>
    <t>56 Baker Street</t>
  </si>
  <si>
    <t>Bodan, Katharine</t>
  </si>
  <si>
    <t>160 WORCESTER MOUNTAIN VIEW DRIVE WATERBURY CENTER VT 05677 - WASHINGTON</t>
  </si>
  <si>
    <t>000QM6-1</t>
  </si>
  <si>
    <t>Bodan-Home</t>
  </si>
  <si>
    <t>Katharine &amp; Michael Bodan</t>
  </si>
  <si>
    <t>160 Worcester Mountain View Drive</t>
  </si>
  <si>
    <t>Beauregard, Dannah</t>
  </si>
  <si>
    <t>157 CAMBRIDGE ROAD CAMBRIDGE VT 05444</t>
  </si>
  <si>
    <t>000QM7-1</t>
  </si>
  <si>
    <t>Beauregard home yard</t>
  </si>
  <si>
    <t>Dannah Beauregard</t>
  </si>
  <si>
    <t>157 Cambridge Road</t>
  </si>
  <si>
    <t>Dailey, Deborah</t>
  </si>
  <si>
    <t>1530 HARDWOOD FLATS ROAD WOLCOTT VT 05680</t>
  </si>
  <si>
    <t>000QM8-1</t>
  </si>
  <si>
    <t>Deborah Dailey</t>
  </si>
  <si>
    <t>1530 Hardwood Flats Road</t>
  </si>
  <si>
    <t>Roberts, Amber</t>
  </si>
  <si>
    <t>1316 KITTREDGE RD DANVILLE VT 05828</t>
  </si>
  <si>
    <t>000QM9-1</t>
  </si>
  <si>
    <t>Sue and Brian Roberts</t>
  </si>
  <si>
    <t>1316 Kittredge Rd</t>
  </si>
  <si>
    <t>Morris, Travis</t>
  </si>
  <si>
    <t>119 NORTHVIEW DR NORTHFIELD VT 05663 - WASHINGTON</t>
  </si>
  <si>
    <t>000QMA-1</t>
  </si>
  <si>
    <t>Morris-Home</t>
  </si>
  <si>
    <t>Morris</t>
  </si>
  <si>
    <t>119 Northview Drive</t>
  </si>
  <si>
    <t>Batchelder, Tyler J</t>
  </si>
  <si>
    <t>43 MOORE DRIVE BURLINGTON VT 05408 - CHITTENDEN</t>
  </si>
  <si>
    <t>0003HA-2</t>
  </si>
  <si>
    <t>137 Deer Creek Lane</t>
  </si>
  <si>
    <t>Jordan Weidman</t>
  </si>
  <si>
    <t>Deer Creek Lane</t>
  </si>
  <si>
    <t>McAllister, Mary Ann</t>
  </si>
  <si>
    <t>358 SILVER STREET HINESBURG VT 05461</t>
  </si>
  <si>
    <t>000QMB-1</t>
  </si>
  <si>
    <t>McAllister</t>
  </si>
  <si>
    <t>358 Silver Street</t>
  </si>
  <si>
    <t>Kaigle, Leslie</t>
  </si>
  <si>
    <t>55 BEDFORD ROAD VERGENNES VT 05491 - ADDISON</t>
  </si>
  <si>
    <t>000QMM-1</t>
  </si>
  <si>
    <t>Kaigle-Home</t>
  </si>
  <si>
    <t>Leslie Kaigle</t>
  </si>
  <si>
    <t>55 Bedford Road</t>
  </si>
  <si>
    <t>Glosser, Tina and Jeffrey</t>
  </si>
  <si>
    <t>41 OSBORNE ROAD BARRE VT 05641 - WASHINGTON</t>
  </si>
  <si>
    <t>000QMN-1</t>
  </si>
  <si>
    <t>Homeyard</t>
  </si>
  <si>
    <t>Jeffrey and Tina Glosser</t>
  </si>
  <si>
    <t>41 Osborne Road</t>
  </si>
  <si>
    <t>Loesel, Katie</t>
  </si>
  <si>
    <t>454 MEADOW LANE RICHMOND VT 05477 - CHITTENDEN</t>
  </si>
  <si>
    <t>000QN0-1</t>
  </si>
  <si>
    <t>Loesel-Home</t>
  </si>
  <si>
    <t>Katie Loesel and Lucas Cady</t>
  </si>
  <si>
    <t>454 Meadow lane</t>
  </si>
  <si>
    <t>Shady Nook Apiary</t>
  </si>
  <si>
    <t>1058 SUNSET HILL ROAD WILLISTON VT 05495 - CHITTENDEN</t>
  </si>
  <si>
    <t>000QN2-1</t>
  </si>
  <si>
    <t>Mike and Robin Harris</t>
  </si>
  <si>
    <t>1058 Sunset Hill Road</t>
  </si>
  <si>
    <t>Longmeadow Apiary</t>
  </si>
  <si>
    <t>37 LONGMEADOW CAMP ROAD GRAND ISLE VT 05458 - GRAND ISLE</t>
  </si>
  <si>
    <t>000QN3-1</t>
  </si>
  <si>
    <t>Yard</t>
  </si>
  <si>
    <t>Robert B. Fraser</t>
  </si>
  <si>
    <t>37 Longmeadow Camp Road</t>
  </si>
  <si>
    <t>Soos, Ryan</t>
  </si>
  <si>
    <t>23 SPAULDING LANE WOODSTOCK VT 05091 - WINDSOR</t>
  </si>
  <si>
    <t>000QN4-1</t>
  </si>
  <si>
    <t>Quechee</t>
  </si>
  <si>
    <t>Elizabeth Cassell</t>
  </si>
  <si>
    <t>23 Spaulding Lane</t>
  </si>
  <si>
    <t>Denis Querrard</t>
  </si>
  <si>
    <t>P O BOX 303 92 SPENCER HILL ROAD NORTH STRATFORD NH 03590-0303 - COOS</t>
  </si>
  <si>
    <t>000QN5-1</t>
  </si>
  <si>
    <t>Querrard 1</t>
  </si>
  <si>
    <t>Debra Laverty</t>
  </si>
  <si>
    <t>92 Spencer Hill Road</t>
  </si>
  <si>
    <t>000JC8-2</t>
  </si>
  <si>
    <t>Field/Silos</t>
  </si>
  <si>
    <t>Silos R.</t>
  </si>
  <si>
    <t>Saxtons River Road</t>
  </si>
  <si>
    <t>Cambridgeport</t>
  </si>
  <si>
    <t>Booth, Mark</t>
  </si>
  <si>
    <t>79 JENSEN ROAD BARRE VT 05641 - WASHINGTON</t>
  </si>
  <si>
    <t>000QN8-1</t>
  </si>
  <si>
    <t>Mark Booth</t>
  </si>
  <si>
    <t>79 Jensen Road</t>
  </si>
  <si>
    <t>Battaglini, Jeff</t>
  </si>
  <si>
    <t>6828 RT 100 N PO BOX 294 WEST WARDSBORO VT 05360</t>
  </si>
  <si>
    <t>000QN9-1</t>
  </si>
  <si>
    <t>&lt;more than 3 per 100&gt;</t>
  </si>
  <si>
    <t>Weis Batty Bees</t>
  </si>
  <si>
    <t>Lesley Weisburt/Jeff Battaglini</t>
  </si>
  <si>
    <t>6828 Rt 100 N</t>
  </si>
  <si>
    <t>PO Box 294</t>
  </si>
  <si>
    <t>G L Darling Apiary</t>
  </si>
  <si>
    <t>PO BOX 526 966 GILBERT ROAD WILLIAMSTOWN VT 05679 - ORANGE</t>
  </si>
  <si>
    <t>000QNA-1</t>
  </si>
  <si>
    <t>GL Darling Apiary</t>
  </si>
  <si>
    <t>Darling</t>
  </si>
  <si>
    <t>966 Gilbert Road</t>
  </si>
  <si>
    <t>Schonholtz, Tim</t>
  </si>
  <si>
    <t>106 JONESVILLE ESTATES RICHMOND VT 05477 - CHITTENDEN</t>
  </si>
  <si>
    <t>000QNB-1</t>
  </si>
  <si>
    <t>Schonholtz Home Yard</t>
  </si>
  <si>
    <t>Tim Schonholtz</t>
  </si>
  <si>
    <t>106 Jonesville Estates</t>
  </si>
  <si>
    <t>Curry, Lauren and Dave</t>
  </si>
  <si>
    <t>82 NORTH ROAD WESTFORD VT 05494 - CHITTENDEN</t>
  </si>
  <si>
    <t>000QNC-1</t>
  </si>
  <si>
    <t>Curry</t>
  </si>
  <si>
    <t>82 North Road</t>
  </si>
  <si>
    <t>Abigally Honey Shack</t>
  </si>
  <si>
    <t>7 WATSON HILL ROAD WEST TOPSHAM VT 05086 - ORANGE</t>
  </si>
  <si>
    <t>000QND-1</t>
  </si>
  <si>
    <t>Abigail Honey Shack</t>
  </si>
  <si>
    <t>Ken Appleton</t>
  </si>
  <si>
    <t>7 Watson Hill Road</t>
  </si>
  <si>
    <t>Churchman, John</t>
  </si>
  <si>
    <t>15 GRAY WAY ESSEX JUNCTION VT 05452 - CHITTENDEN</t>
  </si>
  <si>
    <t>000QNF-1</t>
  </si>
  <si>
    <t>Churchman</t>
  </si>
  <si>
    <t>John and Jennifer Churchman</t>
  </si>
  <si>
    <t>15 Gray Way</t>
  </si>
  <si>
    <t>Pride, David J</t>
  </si>
  <si>
    <t>160 ANDERSON ROAD CHESTER VT 05143 - WINDSOR</t>
  </si>
  <si>
    <t>000QNG-1</t>
  </si>
  <si>
    <t>Pride-Home Yard</t>
  </si>
  <si>
    <t>Pride</t>
  </si>
  <si>
    <t>160 Anderson Road</t>
  </si>
  <si>
    <t>Norton, Everett</t>
  </si>
  <si>
    <t>P O BOX 243 330 RICE MTN ROAD WARREN VT 05674 - WASHINGTON</t>
  </si>
  <si>
    <t>000QNH-1</t>
  </si>
  <si>
    <t>Norton Apiary/Woods</t>
  </si>
  <si>
    <t>Roni Davenfield and John Norton</t>
  </si>
  <si>
    <t>330 Rice Mtn. Road</t>
  </si>
  <si>
    <t>Slayton, Matt</t>
  </si>
  <si>
    <t>P O BOX 27 220 RIDGE ROAD RANDOLP CENTER VT 05061 - ORANGE</t>
  </si>
  <si>
    <t>000QNJ-1</t>
  </si>
  <si>
    <t>Home/Yard</t>
  </si>
  <si>
    <t>Slayton</t>
  </si>
  <si>
    <t>220 Ridge Road</t>
  </si>
  <si>
    <t>Randolp Center</t>
  </si>
  <si>
    <t>Kitchel, Frederick</t>
  </si>
  <si>
    <t>P O BOX 115 45 COVERED BRIDGE ROAD DANVILLE VT 05828 - CALEDONIA</t>
  </si>
  <si>
    <t>000QNK-1</t>
  </si>
  <si>
    <t>Field/Yard</t>
  </si>
  <si>
    <t>Kitchel</t>
  </si>
  <si>
    <t>45 Covered Bridge Road</t>
  </si>
  <si>
    <t>000AK3-2</t>
  </si>
  <si>
    <t>Blackburn Yard</t>
  </si>
  <si>
    <t>Brad Blackburn</t>
  </si>
  <si>
    <t>2619Upper Road</t>
  </si>
  <si>
    <t>Appleton Apiary</t>
  </si>
  <si>
    <t>921 KITTRIDGE PASTURE ROAD READING VT 05062 - WINDSOR</t>
  </si>
  <si>
    <t>000QNM-1</t>
  </si>
  <si>
    <t>921 Kittridge Pasture Road</t>
  </si>
  <si>
    <t>Bibb, Stefan and Dana</t>
  </si>
  <si>
    <t>272 SHELLHOUSE MT ROAD FERRISBURG VT 05456 - ADDISON</t>
  </si>
  <si>
    <t>000QNN-1</t>
  </si>
  <si>
    <t>Bibb-Home Yard</t>
  </si>
  <si>
    <t>Bibb</t>
  </si>
  <si>
    <t>272 Shellhouse Mt. Road</t>
  </si>
  <si>
    <t>Laszakovits, Diane</t>
  </si>
  <si>
    <t>898 VT RT 105 SHELDON VT 05483 - FRANKLIN</t>
  </si>
  <si>
    <t>000QNP-1</t>
  </si>
  <si>
    <t>Backyard Bees/Yard</t>
  </si>
  <si>
    <t>Laszakovits</t>
  </si>
  <si>
    <t>898 VT Rt. 105</t>
  </si>
  <si>
    <t>Fitzhugh, John H</t>
  </si>
  <si>
    <t>1398 WEST HILL ROAD WEST BERLIN VT 05663 - WASHINGTON</t>
  </si>
  <si>
    <t>000QNQ-1</t>
  </si>
  <si>
    <t>Jessup via Sheri Englert</t>
  </si>
  <si>
    <t>Fitzhugh</t>
  </si>
  <si>
    <t>1398 West Hill Road</t>
  </si>
  <si>
    <t>West Berlin</t>
  </si>
  <si>
    <t>Vatter, Desiree</t>
  </si>
  <si>
    <t>20 IRONWOOD ROAD ST ALBANS VT 05478 - FRANKLIN</t>
  </si>
  <si>
    <t>000QNV-1</t>
  </si>
  <si>
    <t>&lt;unknown&gt;</t>
  </si>
  <si>
    <t>Field</t>
  </si>
  <si>
    <t>Desiree and Robert Vatter</t>
  </si>
  <si>
    <t>20 Ironwood Road</t>
  </si>
  <si>
    <t>River's Edge Farm Stand</t>
  </si>
  <si>
    <t>P O BOX 814 43 PROSPECT BARTON VT 05822 - ORLEANS</t>
  </si>
  <si>
    <t>000QNW-1</t>
  </si>
  <si>
    <t>REFS1</t>
  </si>
  <si>
    <t>Seadale</t>
  </si>
  <si>
    <t>776 Glover Road</t>
  </si>
  <si>
    <t>P O Box 814</t>
  </si>
  <si>
    <t>Montalban, Mark</t>
  </si>
  <si>
    <t>45 GREEN ACRES DRIVE BURLINGTON VT 05408 - CHITTENDEN</t>
  </si>
  <si>
    <t>000QNX-1</t>
  </si>
  <si>
    <t>Montalban-Home</t>
  </si>
  <si>
    <t>Montalban and Rebecca Roy</t>
  </si>
  <si>
    <t>45 Green Acres Drive</t>
  </si>
  <si>
    <t>Taylor, Edward</t>
  </si>
  <si>
    <t>23 WALLACE FARM ROAD NORWICH VT 05055 - WINDSOR</t>
  </si>
  <si>
    <t>000QNY-1</t>
  </si>
  <si>
    <t>Taylor Home yard</t>
  </si>
  <si>
    <t>Ed Taylor</t>
  </si>
  <si>
    <t>23 Wallace Farm Road</t>
  </si>
  <si>
    <t>Bouvier, Timothy</t>
  </si>
  <si>
    <t>2569 SOUTH STREET NEW HAVEN VT 05472</t>
  </si>
  <si>
    <t>000KWH-1</t>
  </si>
  <si>
    <t>Buck Mountain Maple Farm</t>
  </si>
  <si>
    <t>Terry Evarts</t>
  </si>
  <si>
    <t>3796 Green Street</t>
  </si>
  <si>
    <t>Wright, Tracy/Steve May</t>
  </si>
  <si>
    <t>45 CHURCHILL ROAD WEBSTERVILLE VT 05678 - WASHINGTON</t>
  </si>
  <si>
    <t>000QP3-1</t>
  </si>
  <si>
    <t>Tracy Wright</t>
  </si>
  <si>
    <t>45 Churchill Road</t>
  </si>
  <si>
    <t>Coyle, William F, Jr.</t>
  </si>
  <si>
    <t>1026 PALMER HILL ROAD WAITSFIELD VT 05673 - WASHINGTON</t>
  </si>
  <si>
    <t>000QP4-1</t>
  </si>
  <si>
    <t>Palmer Hill Road</t>
  </si>
  <si>
    <t>William F. Coyle Jr.</t>
  </si>
  <si>
    <t>1026 Palmer Hill Road</t>
  </si>
  <si>
    <t>Farley, William</t>
  </si>
  <si>
    <t>370 RICHARD WOOLCUTT ROAD WOLCOTT VT 05680</t>
  </si>
  <si>
    <t>000QPH-1</t>
  </si>
  <si>
    <t>&lt;1-2/hive&gt;</t>
  </si>
  <si>
    <t>William and Anne Farley</t>
  </si>
  <si>
    <t>370 Richard Woolcutt Road</t>
  </si>
  <si>
    <t>Goldsmith, Doug</t>
  </si>
  <si>
    <t>32 CHITTENDEN DR BURLINGTON VT 05401</t>
  </si>
  <si>
    <t>000QPJ-1</t>
  </si>
  <si>
    <t>Goldsmith Home Yard</t>
  </si>
  <si>
    <t>Doug Goldsmith</t>
  </si>
  <si>
    <t>32 Chittenden Drive</t>
  </si>
  <si>
    <t>Mosher, Allison</t>
  </si>
  <si>
    <t>1325 POOR FARM ROAD WASHINGTON VT 05675 - ORANGE</t>
  </si>
  <si>
    <t>000QPP-1</t>
  </si>
  <si>
    <t>Hands-On LLC</t>
  </si>
  <si>
    <t>1325 Poor Farm Road</t>
  </si>
  <si>
    <t>000764-3</t>
  </si>
  <si>
    <t>Sedlock</t>
  </si>
  <si>
    <t>Sedleck</t>
  </si>
  <si>
    <t>1177 N Mason Hill Road</t>
  </si>
  <si>
    <t>Roos, Constance</t>
  </si>
  <si>
    <t>PO BOX 300 PLAINFIELD VT 05667</t>
  </si>
  <si>
    <t>000QQ0-1</t>
  </si>
  <si>
    <t>Roos</t>
  </si>
  <si>
    <t>970 Upper Road</t>
  </si>
  <si>
    <t>Danly, Bruce &amp; Jennifer</t>
  </si>
  <si>
    <t>PO BOX 32 WOODSTOCK VT 05091 - WINDSOR</t>
  </si>
  <si>
    <t>000QQC-1</t>
  </si>
  <si>
    <t>Danly-Home Yard</t>
  </si>
  <si>
    <t>Danly</t>
  </si>
  <si>
    <t>184 Echo Ledge Road</t>
  </si>
  <si>
    <t>Wilson, Jessica</t>
  </si>
  <si>
    <t>67 WHITE BIRCH LANE WILLISTON VT 05495</t>
  </si>
  <si>
    <t>000QQD-1</t>
  </si>
  <si>
    <t>Jane Wilson</t>
  </si>
  <si>
    <t>667 Willow Brook Lane</t>
  </si>
  <si>
    <t>00092M-5</t>
  </si>
  <si>
    <t>Unity</t>
  </si>
  <si>
    <t>Cathy Wells</t>
  </si>
  <si>
    <t>200 Higbee Road</t>
  </si>
  <si>
    <t>00092M-6</t>
  </si>
  <si>
    <t>Toni</t>
  </si>
  <si>
    <t>Toni Hill</t>
  </si>
  <si>
    <t>5283 Dorset Street</t>
  </si>
  <si>
    <t>00092M-7</t>
  </si>
  <si>
    <t>Amy</t>
  </si>
  <si>
    <t>Amy McVey</t>
  </si>
  <si>
    <t>37 Crowley Street</t>
  </si>
  <si>
    <t>Yaryna, Luba</t>
  </si>
  <si>
    <t>334 HILLSIDE ROAD WILLISTON VT 05495</t>
  </si>
  <si>
    <t>000QQG-1</t>
  </si>
  <si>
    <t>Yarina Homeyard</t>
  </si>
  <si>
    <t>Luba Yarina</t>
  </si>
  <si>
    <t>334 Hillside Road</t>
  </si>
  <si>
    <t>000810-4</t>
  </si>
  <si>
    <t>128 Intervale Road</t>
  </si>
  <si>
    <t>Leontieva, Irina</t>
  </si>
  <si>
    <t>460 MT PRITCHARD LANE ST GEORGE VT 05495</t>
  </si>
  <si>
    <t>000QQM-1</t>
  </si>
  <si>
    <t>Leontieva home yard</t>
  </si>
  <si>
    <t>Irina Leontieva</t>
  </si>
  <si>
    <t>460 Mt. Pritchard Lane</t>
  </si>
  <si>
    <t>Saint George</t>
  </si>
  <si>
    <t>Irish, Palmer J</t>
  </si>
  <si>
    <t>71 SUSIE WILSON ROAD ESSEX JUNCTION VT 05452</t>
  </si>
  <si>
    <t>0007X2-1</t>
  </si>
  <si>
    <t>Palmer Irish</t>
  </si>
  <si>
    <t>7 Linderwood Drive</t>
  </si>
  <si>
    <t>Loseke, Zelma</t>
  </si>
  <si>
    <t>ZELMAS FARM 30 WOODARD LANE E CORINTH VT 05040</t>
  </si>
  <si>
    <t>000QFJ-1</t>
  </si>
  <si>
    <t>Zelma's Farm of Taste &amp; See</t>
  </si>
  <si>
    <t>Zelma Loseke</t>
  </si>
  <si>
    <t>30 Woodward Lane</t>
  </si>
  <si>
    <t>East Corinth</t>
  </si>
  <si>
    <t>00084K-2</t>
  </si>
  <si>
    <t>Richard Greenwood</t>
  </si>
  <si>
    <t>219 Old Country Road</t>
  </si>
  <si>
    <t>Welch, Martha</t>
  </si>
  <si>
    <t>147 CHURCH STREET RUTLAND VT 05701-2917</t>
  </si>
  <si>
    <t>00098G-2</t>
  </si>
  <si>
    <t>Martha Welch</t>
  </si>
  <si>
    <t>Gagne, Leonard</t>
  </si>
  <si>
    <t>2794 VT RTE 5A WEST BURKE VT 05871-9204 - CALEDONIA</t>
  </si>
  <si>
    <t>000QQV-1</t>
  </si>
  <si>
    <t>Leonard Gagne</t>
  </si>
  <si>
    <t>2794 VT Rte 5A</t>
  </si>
  <si>
    <t>Kayhart, Samantha</t>
  </si>
  <si>
    <t>13 CEDAR DRIVE ADDISON VT 05491 - ADDISON</t>
  </si>
  <si>
    <t>000QQW-1</t>
  </si>
  <si>
    <t>Samantha Kayhart</t>
  </si>
  <si>
    <t>7429 VT Rte 17 W</t>
  </si>
  <si>
    <t>Crosby, Jeffrey</t>
  </si>
  <si>
    <t>20 FOX CHAIR MOUNTAIN ROAD SPRINGFIELD VT 05156 - WINDSOR</t>
  </si>
  <si>
    <t>000KKY-1</t>
  </si>
  <si>
    <t>Jeffrey Crosby</t>
  </si>
  <si>
    <t>20 Fox Chair Mountain Road</t>
  </si>
  <si>
    <t>00081D-2</t>
  </si>
  <si>
    <t>Kimball</t>
  </si>
  <si>
    <t>West Sandgate Road</t>
  </si>
  <si>
    <t>000HG5-2</t>
  </si>
  <si>
    <t>281 Explanade</t>
  </si>
  <si>
    <t>Town of Richmond</t>
  </si>
  <si>
    <t>Daniloff, Nicholas</t>
  </si>
  <si>
    <t>BOX 892 CHESTER VT 05143 - WINDSOR</t>
  </si>
  <si>
    <t>000850-1</t>
  </si>
  <si>
    <t>N Daniloff</t>
  </si>
  <si>
    <t>2409 East Hill Road</t>
  </si>
  <si>
    <t>Timmer, Diana</t>
  </si>
  <si>
    <t>42 SPAFFORD ROAD FAIRFAX VT 05454</t>
  </si>
  <si>
    <t>000QJ5-1</t>
  </si>
  <si>
    <t>Timmer-Home Yard</t>
  </si>
  <si>
    <t>Daniel &amp; Diana Timmer</t>
  </si>
  <si>
    <t>42 Spafford Road</t>
  </si>
  <si>
    <t>000NC5-2</t>
  </si>
  <si>
    <t>John Hurley</t>
  </si>
  <si>
    <t>5447 Route 9</t>
  </si>
  <si>
    <t>Oesterle, Blair</t>
  </si>
  <si>
    <t>61 WALNUT STREET BURLINGTON VT 05401</t>
  </si>
  <si>
    <t>000ADV-1</t>
  </si>
  <si>
    <t>Blair Osterle</t>
  </si>
  <si>
    <t>61 Walnut Street</t>
  </si>
  <si>
    <t>00092V-9</t>
  </si>
  <si>
    <t>Childs-Home Yard</t>
  </si>
  <si>
    <t>Childs</t>
  </si>
  <si>
    <t>1148 Kibbee Road</t>
  </si>
  <si>
    <t>00092V-10</t>
  </si>
  <si>
    <t>267 Old Post Rd</t>
  </si>
  <si>
    <t>Pattison</t>
  </si>
  <si>
    <t>267 Old Post Road</t>
  </si>
  <si>
    <t>0007DJ-8</t>
  </si>
  <si>
    <t>Fugaro</t>
  </si>
  <si>
    <t>Anna Fugaro</t>
  </si>
  <si>
    <t>488 East Munger Street</t>
  </si>
  <si>
    <t>Ready, Kathleen</t>
  </si>
  <si>
    <t>694 LAFFIN ROAD NEW HAVEN VT 05472 - ADDISON</t>
  </si>
  <si>
    <t>00088W-1</t>
  </si>
  <si>
    <t>Open View Farm</t>
  </si>
  <si>
    <t>7261 Ethan Allen Highway</t>
  </si>
  <si>
    <t>Clark, Elijah</t>
  </si>
  <si>
    <t>PO BOX 192 ST JOHNSBURY VT 05819-0192</t>
  </si>
  <si>
    <t>000QVP-1</t>
  </si>
  <si>
    <t>Rich Clark</t>
  </si>
  <si>
    <t>630 Crowhill</t>
  </si>
  <si>
    <t>St Johnsbury</t>
  </si>
  <si>
    <t>05819-0192</t>
  </si>
  <si>
    <t>0008GW-2</t>
  </si>
  <si>
    <t>Andersen Farm</t>
  </si>
  <si>
    <t>Andersen Family</t>
  </si>
  <si>
    <t>3818 Monument Hill Road</t>
  </si>
  <si>
    <t>0008GW-3</t>
  </si>
  <si>
    <t>Lincoln Yard</t>
  </si>
  <si>
    <t>D. Lincoln</t>
  </si>
  <si>
    <t>590 Old Town Farm Road</t>
  </si>
  <si>
    <t>Dunham, John</t>
  </si>
  <si>
    <t>134 CHURCH ROAD BRISTOL VT 05443</t>
  </si>
  <si>
    <t>000QVV-1</t>
  </si>
  <si>
    <t>John &amp; Lindsay Dunham</t>
  </si>
  <si>
    <t>134 Church Road</t>
  </si>
  <si>
    <t>Howland, William &amp; Anne</t>
  </si>
  <si>
    <t>1553 WEST SHORE ROAD ISLE LA MOTTE VT 05463 - GRAND ISLE</t>
  </si>
  <si>
    <t>000GAC-4</t>
  </si>
  <si>
    <t>Noble</t>
  </si>
  <si>
    <t>2032 Main St.</t>
  </si>
  <si>
    <t>Ely, David &amp; Janet</t>
  </si>
  <si>
    <t>PO BOX 235 UNDERHILL CENTER VT 05490</t>
  </si>
  <si>
    <t>000QW1-1</t>
  </si>
  <si>
    <t>Ely</t>
  </si>
  <si>
    <t>12 Moose Run</t>
  </si>
  <si>
    <t>Buck, James</t>
  </si>
  <si>
    <t>1677 HALLSTROM ROAD NORTHFIELD VT 05663</t>
  </si>
  <si>
    <t>000KMG-1</t>
  </si>
  <si>
    <t>Anne Lewis</t>
  </si>
  <si>
    <t>1677 Hallstrom Road</t>
  </si>
  <si>
    <t>Brian Pine, Liz Curry</t>
  </si>
  <si>
    <t>16 CROWLEY STREET BURLINGTON VT 05401</t>
  </si>
  <si>
    <t>000QW2-1</t>
  </si>
  <si>
    <t>Curry and Pine Home Yard</t>
  </si>
  <si>
    <t>Curry &amp; Pine</t>
  </si>
  <si>
    <t>16 Crowley Street</t>
  </si>
  <si>
    <t>0007MA-9</t>
  </si>
  <si>
    <t>Glenn Symon</t>
  </si>
  <si>
    <t>2280-2666 Hemenway Road</t>
  </si>
  <si>
    <t>0008GQ-4</t>
  </si>
  <si>
    <t>Deranalow</t>
  </si>
  <si>
    <t>MIlton</t>
  </si>
  <si>
    <t>0008GQ-5</t>
  </si>
  <si>
    <t>Gardner</t>
  </si>
  <si>
    <t>Gardener Road</t>
  </si>
  <si>
    <t>0008GQ-6</t>
  </si>
  <si>
    <t>Manly Road</t>
  </si>
  <si>
    <t>0008GQ-7</t>
  </si>
  <si>
    <t>Bezial</t>
  </si>
  <si>
    <t>198 Everseat Road</t>
  </si>
  <si>
    <t>0007V0-9</t>
  </si>
  <si>
    <t>GMC</t>
  </si>
  <si>
    <t>Green Mountain College</t>
  </si>
  <si>
    <t>436 Granville St.</t>
  </si>
  <si>
    <t>0007Z5-1</t>
  </si>
  <si>
    <t>William Taft</t>
  </si>
  <si>
    <t>19 Dorrance St.</t>
  </si>
  <si>
    <t>0007Z5-5</t>
  </si>
  <si>
    <t>G Coassin</t>
  </si>
  <si>
    <t>0007Z5-6</t>
  </si>
  <si>
    <t>M Pacquette</t>
  </si>
  <si>
    <t>90 Turner Place</t>
  </si>
  <si>
    <t>Ascutney</t>
  </si>
  <si>
    <t>Buchanan, Alan</t>
  </si>
  <si>
    <t>410 BONANZA PARK COLCHESTER VT 05446 - CHITTENDEN</t>
  </si>
  <si>
    <t>000916-1</t>
  </si>
  <si>
    <t>Alan Buchanan</t>
  </si>
  <si>
    <t>410 Bonanza Park</t>
  </si>
  <si>
    <t>0007BD-2</t>
  </si>
  <si>
    <t>Littman-Home yard</t>
  </si>
  <si>
    <t>Littman</t>
  </si>
  <si>
    <t>109 WEST COBBLE HILL ROAD BARRE VT 05641</t>
  </si>
  <si>
    <t>000QWJ-1</t>
  </si>
  <si>
    <t>Scott Ackerman</t>
  </si>
  <si>
    <t>109 West Cobble Hill Road</t>
  </si>
  <si>
    <t>Hygeia Apiary</t>
  </si>
  <si>
    <t>72 W LOWER MAIN ST APT 52 JOHNSON VT 05656</t>
  </si>
  <si>
    <t>000QWK-1</t>
  </si>
  <si>
    <t>Mark Woodward</t>
  </si>
  <si>
    <t>72 W. Lower Main St. Apt 52</t>
  </si>
  <si>
    <t>0008DQ-5</t>
  </si>
  <si>
    <t>86 Blue Spruce Lane</t>
  </si>
  <si>
    <t>000KM9-2</t>
  </si>
  <si>
    <t>240 Bills Road</t>
  </si>
  <si>
    <t>000KHP-2</t>
  </si>
  <si>
    <t>John &amp; DianeAnderson</t>
  </si>
  <si>
    <t>362 Quarterline Road</t>
  </si>
  <si>
    <t>Chapple-Sokol, Jonathan</t>
  </si>
  <si>
    <t>143 NORTH PROSPECT STREET BURLINGTON VT 05401</t>
  </si>
  <si>
    <t>000QFV-1</t>
  </si>
  <si>
    <t>Chapple-Sokol-Home Yard</t>
  </si>
  <si>
    <t>Jonathan Chapple-Sokol</t>
  </si>
  <si>
    <t>143 North Prospect Street</t>
  </si>
  <si>
    <t>0008W7-3</t>
  </si>
  <si>
    <t>Ronald Taylor</t>
  </si>
  <si>
    <t>522 Chet Clark Road</t>
  </si>
  <si>
    <t>Gouchoe, Frank</t>
  </si>
  <si>
    <t>2349 MT PHILO ROAD CHARLOTTE VT 05445</t>
  </si>
  <si>
    <t>000QX3-1</t>
  </si>
  <si>
    <t>Gouchoe-Home Yard</t>
  </si>
  <si>
    <t>Frank Gouchoe</t>
  </si>
  <si>
    <t>2349 Mt Philo Road</t>
  </si>
  <si>
    <t>Stahler, Scott</t>
  </si>
  <si>
    <t>PO BOX 58 JAMAICA VT 05343</t>
  </si>
  <si>
    <t>000QX5-1</t>
  </si>
  <si>
    <t>Scott Stahler</t>
  </si>
  <si>
    <t>57 Oak Lane</t>
  </si>
  <si>
    <t>0008B2-5</t>
  </si>
  <si>
    <t>Mathieu Fortin</t>
  </si>
  <si>
    <t>53 Truck Route</t>
  </si>
  <si>
    <t>Snow, Heather</t>
  </si>
  <si>
    <t>1191 SUNDERLAND HILL ROAD ARLINGTON VT 05250</t>
  </si>
  <si>
    <t>000H3W-1</t>
  </si>
  <si>
    <t>Adrienne Kimball</t>
  </si>
  <si>
    <t>2590 West Road</t>
  </si>
  <si>
    <t>000H3W-2</t>
  </si>
  <si>
    <t>2589 West Road</t>
  </si>
  <si>
    <t>Burnham, Andre J</t>
  </si>
  <si>
    <t>3309 ROUTE 7A ARLINGTON VT 05250</t>
  </si>
  <si>
    <t>000QX8-1</t>
  </si>
  <si>
    <t>Phyllis Burnham</t>
  </si>
  <si>
    <t>3309 Route 7A</t>
  </si>
  <si>
    <t>Barns, Johno Luke</t>
  </si>
  <si>
    <t>58 GREENE ST BURLINGTON VT 05401</t>
  </si>
  <si>
    <t>000QXA-1</t>
  </si>
  <si>
    <t>&lt;Heavy&gt;</t>
  </si>
  <si>
    <t>Larry Barns</t>
  </si>
  <si>
    <t>58 Green St Apt 2</t>
  </si>
  <si>
    <t>Beach, Pennie</t>
  </si>
  <si>
    <t>PS BEES 4800 BASIN HARBOR ROAD VERGENNES VT 05491</t>
  </si>
  <si>
    <t>000QXC-1</t>
  </si>
  <si>
    <t>Pennie Beach</t>
  </si>
  <si>
    <t>84 Cemetery Lane</t>
  </si>
  <si>
    <t>Welch, Tom</t>
  </si>
  <si>
    <t>506 HICKORY PLACE HINESBURG VT 05461</t>
  </si>
  <si>
    <t>000QXG-1</t>
  </si>
  <si>
    <t>Welch home yard</t>
  </si>
  <si>
    <t>Tom Welch</t>
  </si>
  <si>
    <t>506 Hickory Place</t>
  </si>
  <si>
    <t>0008NG-2</t>
  </si>
  <si>
    <t>Ruth Pestle</t>
  </si>
  <si>
    <t>345 Bridge Street</t>
  </si>
  <si>
    <t>Buxton, Clinton</t>
  </si>
  <si>
    <t>426 STONEFENCE ROAD RICHMOND VT 05477</t>
  </si>
  <si>
    <t>000QXH-1</t>
  </si>
  <si>
    <t>Clint Buxton</t>
  </si>
  <si>
    <t>426 Stonefence Road</t>
  </si>
  <si>
    <t>Lucas, Kristie</t>
  </si>
  <si>
    <t>27 BASCOM ROAD ORWELL VT 05760</t>
  </si>
  <si>
    <t>000QXK-1</t>
  </si>
  <si>
    <t>Jean Audet</t>
  </si>
  <si>
    <t>27 Bascom Road</t>
  </si>
  <si>
    <t>000J7N-4</t>
  </si>
  <si>
    <t>577 Fay Lane</t>
  </si>
  <si>
    <t>000J7N-5</t>
  </si>
  <si>
    <t>33 Plains Road</t>
  </si>
  <si>
    <t>000J7N-6</t>
  </si>
  <si>
    <t>182 River Road</t>
  </si>
  <si>
    <t>00088H-35</t>
  </si>
  <si>
    <t>South End</t>
  </si>
  <si>
    <t>Button</t>
  </si>
  <si>
    <t>00088H-36</t>
  </si>
  <si>
    <t>Pond</t>
  </si>
  <si>
    <t>Linn Hazen</t>
  </si>
  <si>
    <t>6856-7010 U.S. Highway 2</t>
  </si>
  <si>
    <t>00088H-37</t>
  </si>
  <si>
    <t>Griswald</t>
  </si>
  <si>
    <t>Cameron</t>
  </si>
  <si>
    <t>39 Griswold Road</t>
  </si>
  <si>
    <t>00088H-38</t>
  </si>
  <si>
    <t>Richard</t>
  </si>
  <si>
    <t>2773 Lakeview Drive</t>
  </si>
  <si>
    <t>00088H-39</t>
  </si>
  <si>
    <t>Wheeler</t>
  </si>
  <si>
    <t>178 Highway 129</t>
  </si>
  <si>
    <t>00088H-40</t>
  </si>
  <si>
    <t>Hunter</t>
  </si>
  <si>
    <t>11 Hunters Farm Road</t>
  </si>
  <si>
    <t>00088H-41</t>
  </si>
  <si>
    <t>Collette</t>
  </si>
  <si>
    <t>3 Champlain Street</t>
  </si>
  <si>
    <t>00088H-42</t>
  </si>
  <si>
    <t>Fournier</t>
  </si>
  <si>
    <t>40 Campbell Bay Road</t>
  </si>
  <si>
    <t>00088H-43</t>
  </si>
  <si>
    <t>Young</t>
  </si>
  <si>
    <t>321A North River Street</t>
  </si>
  <si>
    <t>00088H-44</t>
  </si>
  <si>
    <t>Frens</t>
  </si>
  <si>
    <t>200 Middle Road</t>
  </si>
  <si>
    <t>00088H-45</t>
  </si>
  <si>
    <t>Boucher</t>
  </si>
  <si>
    <t>2124 Gore Road</t>
  </si>
  <si>
    <t>00088H-46</t>
  </si>
  <si>
    <t>Vallaincourt</t>
  </si>
  <si>
    <t>64 Gilman Road</t>
  </si>
  <si>
    <t>00088H-47</t>
  </si>
  <si>
    <t>Lussier</t>
  </si>
  <si>
    <t>39-159 Dairy Center Lane</t>
  </si>
  <si>
    <t>00088H-48</t>
  </si>
  <si>
    <t>Dodd</t>
  </si>
  <si>
    <t>Unnamed Road</t>
  </si>
  <si>
    <t>00088H-49</t>
  </si>
  <si>
    <t>Carmi</t>
  </si>
  <si>
    <t>00088H-50</t>
  </si>
  <si>
    <t>Bathalon</t>
  </si>
  <si>
    <t>Tony Braults</t>
  </si>
  <si>
    <t>264 Highway 100</t>
  </si>
  <si>
    <t>00088H-51</t>
  </si>
  <si>
    <t>Sawmill</t>
  </si>
  <si>
    <t>1831 Mineral Brook Road</t>
  </si>
  <si>
    <t>00088H-53</t>
  </si>
  <si>
    <t>133 Breton Drive</t>
  </si>
  <si>
    <t>00088H-55</t>
  </si>
  <si>
    <t>Fiske</t>
  </si>
  <si>
    <t>2674 Browns Corner Road</t>
  </si>
  <si>
    <t>00088H-56</t>
  </si>
  <si>
    <t>Parent</t>
  </si>
  <si>
    <t>000KHK-2</t>
  </si>
  <si>
    <t>Bellas</t>
  </si>
  <si>
    <t>0007JF-2</t>
  </si>
  <si>
    <t>Norah Lake</t>
  </si>
  <si>
    <t>Zucker, Matthew R</t>
  </si>
  <si>
    <t>1311 CHURCH HILL ROAD CHARLOTTE VT 05445</t>
  </si>
  <si>
    <t>000QXQ-1</t>
  </si>
  <si>
    <t>Zucker-Home</t>
  </si>
  <si>
    <t>Matthew Zucker</t>
  </si>
  <si>
    <t>1311 Church Hill Road</t>
  </si>
  <si>
    <t>Spring Mist Farm</t>
  </si>
  <si>
    <t>72 COREYS DR MORETOWN VT 05660</t>
  </si>
  <si>
    <t>000QXV-1</t>
  </si>
  <si>
    <t>&lt;Treated 9/10/16 after 13 count in 24 hr. drop thru screened bottom board.&gt;</t>
  </si>
  <si>
    <t>Amy &amp; Kevin Kuzio</t>
  </si>
  <si>
    <t>72 Coreys Dr</t>
  </si>
  <si>
    <t>0007J2-2</t>
  </si>
  <si>
    <t>Cherry Hill</t>
  </si>
  <si>
    <t>Peter Hingston</t>
  </si>
  <si>
    <t>409 Highland Road</t>
  </si>
  <si>
    <t>Grover, Shawn</t>
  </si>
  <si>
    <t>2600 CREAMERY ROAD GUILFORD VT 05301</t>
  </si>
  <si>
    <t>000QFM-1</t>
  </si>
  <si>
    <t>Grover-Home Yard</t>
  </si>
  <si>
    <t>Shawn Grover</t>
  </si>
  <si>
    <t>2600 Creamery Road</t>
  </si>
  <si>
    <t>Larabee's Point Apiary</t>
  </si>
  <si>
    <t>50 KINGSLEY AVENUE RUTLAND VT 05701</t>
  </si>
  <si>
    <t>000QYJ-1</t>
  </si>
  <si>
    <t>Orwell Yard</t>
  </si>
  <si>
    <t>Timothy Short</t>
  </si>
  <si>
    <t>244 Royce Hill Road</t>
  </si>
  <si>
    <t>84 CEMETERY LANE FERRISBURGH VT 05491</t>
  </si>
  <si>
    <t>000QYK-1</t>
  </si>
  <si>
    <t>Wilcox, Scott</t>
  </si>
  <si>
    <t>3249 CHASE ROAD BERLIN VT 05602</t>
  </si>
  <si>
    <t>000QX9-1</t>
  </si>
  <si>
    <t>Scott Keyes &amp; Scott Wilcox</t>
  </si>
  <si>
    <t>3249 Chase Road</t>
  </si>
  <si>
    <t>000M83-37</t>
  </si>
  <si>
    <t>MAC</t>
  </si>
  <si>
    <t>Pat Maclaren</t>
  </si>
  <si>
    <t>Carter Street</t>
  </si>
  <si>
    <t>000910-2</t>
  </si>
  <si>
    <t>Liz Scott</t>
  </si>
  <si>
    <t>550 West Shore</t>
  </si>
  <si>
    <t>Sanford, Tim</t>
  </si>
  <si>
    <t>96 BOLES ROAD SOUTH ROYALTON VT 05068</t>
  </si>
  <si>
    <t>0007BK-3</t>
  </si>
  <si>
    <t>T Sanford/Suzanne Long</t>
  </si>
  <si>
    <t>96 Boles Road</t>
  </si>
  <si>
    <t>B-Town</t>
  </si>
  <si>
    <t>234 PINE STREET BURLINGTON VT 05401</t>
  </si>
  <si>
    <t>000QYX-1</t>
  </si>
  <si>
    <t>Doll-Home Yard</t>
  </si>
  <si>
    <t>Diana Doll</t>
  </si>
  <si>
    <t>234 Pine Street</t>
  </si>
  <si>
    <t>Potwin, Tracy</t>
  </si>
  <si>
    <t>3385 ROXBURY ROAD ROXBURY VT 05669</t>
  </si>
  <si>
    <t>000QFK-1</t>
  </si>
  <si>
    <t>Josh Potwin</t>
  </si>
  <si>
    <t>3385 Roxbury Road</t>
  </si>
  <si>
    <t>Rausenberger, Wayne L.</t>
  </si>
  <si>
    <t>2891 UNION STREET BRANDON VT 05733 - RUTLAND</t>
  </si>
  <si>
    <t>000JWN-2</t>
  </si>
  <si>
    <t>Maurice Racine</t>
  </si>
  <si>
    <t>1535 Hollow Road</t>
  </si>
  <si>
    <t>000JWN-3</t>
  </si>
  <si>
    <t>Jesse Wilbur</t>
  </si>
  <si>
    <t>152 Royce Hill Road</t>
  </si>
  <si>
    <t>0008AP-4</t>
  </si>
  <si>
    <t>Dodge Farm</t>
  </si>
  <si>
    <t>Scott Hill Road</t>
  </si>
  <si>
    <t>00085P-4</t>
  </si>
  <si>
    <t>Victory Garden</t>
  </si>
  <si>
    <t>266 Hwy 15</t>
  </si>
  <si>
    <t>Siegel, Rebecca</t>
  </si>
  <si>
    <t>896 ROUTE 132 THETFORD CENTER VT 05075</t>
  </si>
  <si>
    <t>000QZ3-1</t>
  </si>
  <si>
    <t>Siegel-Home Yard</t>
  </si>
  <si>
    <t>Rebecca Siegel/Michael Maddalena</t>
  </si>
  <si>
    <t>896 Route 132</t>
  </si>
  <si>
    <t>000840-2</t>
  </si>
  <si>
    <t>Burelli home yard</t>
  </si>
  <si>
    <t>Peter Burmeister and Katherine Fanelli</t>
  </si>
  <si>
    <t>567 Muzzy Road</t>
  </si>
  <si>
    <t>Fraser, Stephen D.</t>
  </si>
  <si>
    <t>3952 TREBO ROAD CHESTER VT 05143-8307 - WINDSOR</t>
  </si>
  <si>
    <t>000AWC-1</t>
  </si>
  <si>
    <t>A</t>
  </si>
  <si>
    <t>Nate Fraser</t>
  </si>
  <si>
    <t>1 Mill Road</t>
  </si>
  <si>
    <t>North Springfield</t>
  </si>
  <si>
    <t>000AWC-2</t>
  </si>
  <si>
    <t>B</t>
  </si>
  <si>
    <t>Mary Fraser</t>
  </si>
  <si>
    <t>2155 Rt 11</t>
  </si>
  <si>
    <t>Happy Hives Honey Production</t>
  </si>
  <si>
    <t>4377 SILVER STREET MONKTON VT 05469</t>
  </si>
  <si>
    <t>000QZF-1</t>
  </si>
  <si>
    <t>Lee-Home Yard</t>
  </si>
  <si>
    <t>Sharon Lee</t>
  </si>
  <si>
    <t>4377 Silver St.</t>
  </si>
  <si>
    <t>HInesburg</t>
  </si>
  <si>
    <t>White, David</t>
  </si>
  <si>
    <t>18 CENTRAL STREET RANDOLPH VT 05060</t>
  </si>
  <si>
    <t>000QZG-1</t>
  </si>
  <si>
    <t>David WHite</t>
  </si>
  <si>
    <t>Anthony &amp; Judy White</t>
  </si>
  <si>
    <t>18 Central St.</t>
  </si>
  <si>
    <t>Patoine, Guy A</t>
  </si>
  <si>
    <t>1112 DUTTON RD HARDWICK VT 05843 - CALEDONIA</t>
  </si>
  <si>
    <t>0004D1-1</t>
  </si>
  <si>
    <t>Patoine-Home Yard</t>
  </si>
  <si>
    <t>Frank Patoine</t>
  </si>
  <si>
    <t>378 Patoine Place</t>
  </si>
  <si>
    <t>Sadie's Apple Orchard</t>
  </si>
  <si>
    <t>5775 GEORGIA SHORE ROAD GEORGIA VT 05468 - FRANKLIN</t>
  </si>
  <si>
    <t>000V05-1</t>
  </si>
  <si>
    <t>Wells Home Yard</t>
  </si>
  <si>
    <t>Silas &amp; Gail Wells</t>
  </si>
  <si>
    <t>5775 Georgia Shore Road</t>
  </si>
  <si>
    <t>0007K0-4</t>
  </si>
  <si>
    <t>Sally Lindburgh</t>
  </si>
  <si>
    <t>595 Fairfield Hill Road</t>
  </si>
  <si>
    <t>0007K0-3</t>
  </si>
  <si>
    <t>Meech Cove Trust</t>
  </si>
  <si>
    <t>508-906 Limerick Road</t>
  </si>
  <si>
    <t>0007K0-5</t>
  </si>
  <si>
    <t>Nordic</t>
  </si>
  <si>
    <t>Clark Hinsdale</t>
  </si>
  <si>
    <t>1108-1768 Mount Philo Road</t>
  </si>
  <si>
    <t>0007K0-31</t>
  </si>
  <si>
    <t>Lynn Lang</t>
  </si>
  <si>
    <t>Gene</t>
  </si>
  <si>
    <t>2497 Roosevelt Hwy</t>
  </si>
  <si>
    <t>Lewis Creek Trout Farm</t>
  </si>
  <si>
    <t>1835 RTE 116 STARKSBORO VT 05487</t>
  </si>
  <si>
    <t>000V0F-1</t>
  </si>
  <si>
    <t>Laura Nugent</t>
  </si>
  <si>
    <t>1835 Rte 116</t>
  </si>
  <si>
    <t>Golden Well Apiaries</t>
  </si>
  <si>
    <t>1089 RIVER ROAD NEW HAVEN VT 05472</t>
  </si>
  <si>
    <t>000V0G-1</t>
  </si>
  <si>
    <t>1089 River Road</t>
  </si>
  <si>
    <t>Douville, Gary</t>
  </si>
  <si>
    <t>211 SWEETWATER DR WHITE RIVER JUNCTION VT 05001</t>
  </si>
  <si>
    <t>000V0P-1</t>
  </si>
  <si>
    <t>Sweetwater Drive</t>
  </si>
  <si>
    <t>Gary Douville</t>
  </si>
  <si>
    <t>211 Sweetwater Dr.</t>
  </si>
  <si>
    <t>Pratt, Daniel, III</t>
  </si>
  <si>
    <t>5 JENNINGS DRIVE BENNINGTON VT 05201</t>
  </si>
  <si>
    <t>000V0V-1</t>
  </si>
  <si>
    <t>Dan Pratt</t>
  </si>
  <si>
    <t>5 Jennings Dr.</t>
  </si>
  <si>
    <t>DiChiara, Karin</t>
  </si>
  <si>
    <t>1865 LILY HILL PAWLET VT 05761</t>
  </si>
  <si>
    <t>000V14-1</t>
  </si>
  <si>
    <t>Mike Wesko</t>
  </si>
  <si>
    <t>1037 Kelly Hill</t>
  </si>
  <si>
    <t>000JX2-2</t>
  </si>
  <si>
    <t>Dottie Cummings</t>
  </si>
  <si>
    <t>20 US Rte 2</t>
  </si>
  <si>
    <t>Lake Champlain Chocolates</t>
  </si>
  <si>
    <t>750 PINE ST BURLINGTON VT 05401</t>
  </si>
  <si>
    <t>000MMA-1</t>
  </si>
  <si>
    <t>2141 Intervale Road</t>
  </si>
  <si>
    <t>750 Pine Street</t>
  </si>
  <si>
    <t>West, Todd</t>
  </si>
  <si>
    <t>446 MISSING LINK ROAD BELLOWS FALLS VT 05101</t>
  </si>
  <si>
    <t>000V2J-1</t>
  </si>
  <si>
    <t>Todd West</t>
  </si>
  <si>
    <t>446 Missing Link Road</t>
  </si>
  <si>
    <t>0007JW-3</t>
  </si>
  <si>
    <t>McClellan-Home Yard 2</t>
  </si>
  <si>
    <t>2753 Rt 22A</t>
  </si>
  <si>
    <t>05491-9090</t>
  </si>
  <si>
    <t>00081Y-15</t>
  </si>
  <si>
    <t>Fortin</t>
  </si>
  <si>
    <t>Dan Fortin</t>
  </si>
  <si>
    <t>00081Y-16</t>
  </si>
  <si>
    <t>Berthiaume 1</t>
  </si>
  <si>
    <t>Lee Berthiaume</t>
  </si>
  <si>
    <t>247 Berthiaume Road</t>
  </si>
  <si>
    <t>00081Y-17</t>
  </si>
  <si>
    <t>Gerard Yandow</t>
  </si>
  <si>
    <t>00081Y-18</t>
  </si>
  <si>
    <t>Berthiaume 2</t>
  </si>
  <si>
    <t>00081Y-19</t>
  </si>
  <si>
    <t>00081Y-20</t>
  </si>
  <si>
    <t>Cimeron</t>
  </si>
  <si>
    <t>Ted Yandow</t>
  </si>
  <si>
    <t>2929 Lower Newton Street</t>
  </si>
  <si>
    <t>00081Y-21</t>
  </si>
  <si>
    <t>Gates</t>
  </si>
  <si>
    <t>John Gates</t>
  </si>
  <si>
    <t>198 Beaver Meadow Road</t>
  </si>
  <si>
    <t>Breen, Gary H.</t>
  </si>
  <si>
    <t>187 TINMOUTH POND ROAD DANBY VT 05739</t>
  </si>
  <si>
    <t>000V3X-1</t>
  </si>
  <si>
    <t>Gary Breen</t>
  </si>
  <si>
    <t>187 Tinmouth Pond Road</t>
  </si>
  <si>
    <t>Quintin, Greta</t>
  </si>
  <si>
    <t>PO BOX 171 MONTGOMERY CENTER VT 05471</t>
  </si>
  <si>
    <t>000V44-1</t>
  </si>
  <si>
    <t>Fire Yard</t>
  </si>
  <si>
    <t>Greta &amp; Brad Quintin</t>
  </si>
  <si>
    <t>80 Mountain Road</t>
  </si>
  <si>
    <t>Minister Hill Orchard</t>
  </si>
  <si>
    <t>857 MIDDLE ROAD FRANKLIN VT 05457</t>
  </si>
  <si>
    <t>000V4D-1</t>
  </si>
  <si>
    <t>Charles Magnant</t>
  </si>
  <si>
    <t>857 Middle Road</t>
  </si>
  <si>
    <t>Strawberry Knoll Farm/Honey Knoll Farm</t>
  </si>
  <si>
    <t>1385 ROYALTON HILL ROAD SOUTH ROYALTON VT 05068</t>
  </si>
  <si>
    <t>000V4G-1</t>
  </si>
  <si>
    <t>Same as home 911 address</t>
  </si>
  <si>
    <t>488 Rt 14</t>
  </si>
  <si>
    <t>East Bethel</t>
  </si>
  <si>
    <t>000V4G-2</t>
  </si>
  <si>
    <t>2745 South Randolph Rd</t>
  </si>
  <si>
    <t>Stewart Skrill</t>
  </si>
  <si>
    <t>South Randolph</t>
  </si>
  <si>
    <t>000V4G-3</t>
  </si>
  <si>
    <t>Vermont Technical College</t>
  </si>
  <si>
    <t>PO Box 500</t>
  </si>
  <si>
    <t>000V4G-4</t>
  </si>
  <si>
    <t>Across Rt 12 from 936 Rt 12</t>
  </si>
  <si>
    <t>Perry Hodgdon</t>
  </si>
  <si>
    <t>000V4G-5</t>
  </si>
  <si>
    <t>2814 Rt 12</t>
  </si>
  <si>
    <t>Rick &amp; Sara Marie</t>
  </si>
  <si>
    <t>Broad Brook Bees</t>
  </si>
  <si>
    <t>2455 BROAD BROOK ROAD SOUTH ROYALTON VT 05068</t>
  </si>
  <si>
    <t>000V4W-1</t>
  </si>
  <si>
    <t>&lt;9-12&gt;</t>
  </si>
  <si>
    <t>Noble Home Yard</t>
  </si>
  <si>
    <t>Chris &amp; Diane Noble</t>
  </si>
  <si>
    <t>2455 Broad Brook Road</t>
  </si>
  <si>
    <t>Myers, Jeannine K</t>
  </si>
  <si>
    <t>125 OLD BRANDON ROAD BRANDON VT 05733 - RUTLAND</t>
  </si>
  <si>
    <t>000V4X-1</t>
  </si>
  <si>
    <t>Myers-Home Yard</t>
  </si>
  <si>
    <t>Jeannine Myers</t>
  </si>
  <si>
    <t>125 Old Brandon Road</t>
  </si>
  <si>
    <t>Lacorte, Thomas</t>
  </si>
  <si>
    <t>325 MOFFITT ROAD PLATTSBURGH NY 12901</t>
  </si>
  <si>
    <t>000V4Y-1</t>
  </si>
  <si>
    <t>&lt;I treat all hives for mites with Mite Away quick strips in August&gt;</t>
  </si>
  <si>
    <t>Joe's</t>
  </si>
  <si>
    <t>Joseph Couture</t>
  </si>
  <si>
    <t>768 Camp Kiniya Road</t>
  </si>
  <si>
    <t>000V4Y-2</t>
  </si>
  <si>
    <t>Mike's</t>
  </si>
  <si>
    <t>Mike Stiles</t>
  </si>
  <si>
    <t>9 Old Farmer Road</t>
  </si>
  <si>
    <t>000V4Y-3</t>
  </si>
  <si>
    <t>Karl</t>
  </si>
  <si>
    <t>Karl Kruger</t>
  </si>
  <si>
    <t>229 South Street</t>
  </si>
  <si>
    <t>000V4Y-4</t>
  </si>
  <si>
    <t>Thom</t>
  </si>
  <si>
    <t>Thom McNeil</t>
  </si>
  <si>
    <t>10 Tracy Road</t>
  </si>
  <si>
    <t>000V4Y-5</t>
  </si>
  <si>
    <t>Wayne</t>
  </si>
  <si>
    <t>Wayne Lafayette</t>
  </si>
  <si>
    <t>153 East Shore North</t>
  </si>
  <si>
    <t>000V4Y-6</t>
  </si>
  <si>
    <t>Sloan's</t>
  </si>
  <si>
    <t>Sloan Abranczyk</t>
  </si>
  <si>
    <t>117 Adams School Road</t>
  </si>
  <si>
    <t>000V4Y-7</t>
  </si>
  <si>
    <t>Trevor</t>
  </si>
  <si>
    <t>Trevor Ewald</t>
  </si>
  <si>
    <t>46 Poor Farm Road</t>
  </si>
  <si>
    <t>000V4Y-8</t>
  </si>
  <si>
    <t>Sonny</t>
  </si>
  <si>
    <t>Sonny Beaulieu</t>
  </si>
  <si>
    <t>1363 Route 2</t>
  </si>
  <si>
    <t>000V4Y-9</t>
  </si>
  <si>
    <t>POW</t>
  </si>
  <si>
    <t>Shawn Martin</t>
  </si>
  <si>
    <t>Reynolds Road and Griswol Road Corner</t>
  </si>
  <si>
    <t>Peden, Charles</t>
  </si>
  <si>
    <t>2093 SYMONDS MILL ROAD WOLCOTT VT 05680</t>
  </si>
  <si>
    <t>000V53-1</t>
  </si>
  <si>
    <t>Charles Peden</t>
  </si>
  <si>
    <t>2093 Symonds Mill Road</t>
  </si>
  <si>
    <t>Bueckendorf, Gwen</t>
  </si>
  <si>
    <t>1410 S ALBANY RD CRAFTSBURY VT 05826</t>
  </si>
  <si>
    <t>000BVJ-1</t>
  </si>
  <si>
    <t>Larry Duane-Gwen Bueckendorf</t>
  </si>
  <si>
    <t>00090Q-3</t>
  </si>
  <si>
    <t>Newmont Farm Yard</t>
  </si>
  <si>
    <t>Walter Gladstone</t>
  </si>
  <si>
    <t>Mallary Road</t>
  </si>
  <si>
    <t>Gilson, Michael &amp; Abigail</t>
  </si>
  <si>
    <t>115 GROVE ROAD SHAFTSBURY VT 05262</t>
  </si>
  <si>
    <t>000V5J-1</t>
  </si>
  <si>
    <t>Abigail Gilson</t>
  </si>
  <si>
    <t>115 Grove Road</t>
  </si>
  <si>
    <t>Instone Design Llc</t>
  </si>
  <si>
    <t>3748 RT 4 KILLINGTON VT 05751</t>
  </si>
  <si>
    <t>000V5K-1</t>
  </si>
  <si>
    <t>Fuliana-Home Yard</t>
  </si>
  <si>
    <t>Antonio Fuliana</t>
  </si>
  <si>
    <t>210 Bear Hill Road</t>
  </si>
  <si>
    <t>Noble, Sandra S</t>
  </si>
  <si>
    <t>2519 WEEKS HILL ROAD STOWE VT 05672</t>
  </si>
  <si>
    <t>000V6B-1</t>
  </si>
  <si>
    <t>Sandra Noble</t>
  </si>
  <si>
    <t>2519 Weeks Hill Road</t>
  </si>
  <si>
    <t>Bradshaw, Chad</t>
  </si>
  <si>
    <t>99 FIELDS LANE JERICHO VT 05465 - CHITTENDEN</t>
  </si>
  <si>
    <t>000G9M-1</t>
  </si>
  <si>
    <t>Bob Bechard</t>
  </si>
  <si>
    <t>2 Fields Lane</t>
  </si>
  <si>
    <t>00075N-4</t>
  </si>
  <si>
    <t>Dennis Gray</t>
  </si>
  <si>
    <t>44 Waterman ST.</t>
  </si>
  <si>
    <t>Greenwood, Harold</t>
  </si>
  <si>
    <t>3090 RTE 12A BRAINTREE VT 05060</t>
  </si>
  <si>
    <t>000V6Y-1</t>
  </si>
  <si>
    <t>Braintree Colony</t>
  </si>
  <si>
    <t>Harold Greenwood</t>
  </si>
  <si>
    <t>3090 Rte 12A</t>
  </si>
  <si>
    <t>000V6Y-2</t>
  </si>
  <si>
    <t>Bethel Colony</t>
  </si>
  <si>
    <t>2312 Findley Bridge Road</t>
  </si>
  <si>
    <t>Dennan, Kristopher</t>
  </si>
  <si>
    <t>PO BOX 332 BONDVILLE VT 05340 - BENNINGTON</t>
  </si>
  <si>
    <t>000926-1</t>
  </si>
  <si>
    <t>Camp Endo</t>
  </si>
  <si>
    <t>Howard Fischer</t>
  </si>
  <si>
    <t>337 Ridge Road</t>
  </si>
  <si>
    <t>Baasch, David A</t>
  </si>
  <si>
    <t>3261 WEST HILL ROAD WALLINGFORD VT 05773</t>
  </si>
  <si>
    <t>000V6Z-1</t>
  </si>
  <si>
    <t>Baasch-Home Yard</t>
  </si>
  <si>
    <t>David &amp; Debra Baasch</t>
  </si>
  <si>
    <t>3261 West Hill Road</t>
  </si>
  <si>
    <t>Blanchette, Mark</t>
  </si>
  <si>
    <t>33 LAUREL HILL DRIVE SOUTH BURLINGTON VT 05403 - CHITTENDEN</t>
  </si>
  <si>
    <t>000KMD-1</t>
  </si>
  <si>
    <t>Old Stage Road</t>
  </si>
  <si>
    <t>John Adams</t>
  </si>
  <si>
    <t>00094X-4</t>
  </si>
  <si>
    <t>Jason and Diana King</t>
  </si>
  <si>
    <t>115 Windywood</t>
  </si>
  <si>
    <t>000HA6-2</t>
  </si>
  <si>
    <t>33 Willy's Lane</t>
  </si>
  <si>
    <t>William Labelle</t>
  </si>
  <si>
    <t>0007QM-2</t>
  </si>
  <si>
    <t>1029 Codding Hollow Road</t>
  </si>
  <si>
    <t>0007PV-2</t>
  </si>
  <si>
    <t>Church</t>
  </si>
  <si>
    <t>Hunger Mt. Christian Assoc.</t>
  </si>
  <si>
    <t>4940 Waterbury Stowe Road</t>
  </si>
  <si>
    <t>Eberhardy, James</t>
  </si>
  <si>
    <t>500 FRANK ORVIS ROAD BRISTOL VT 05443 - ADDISON</t>
  </si>
  <si>
    <t>000KHB-1</t>
  </si>
  <si>
    <t>3979 River Road</t>
  </si>
  <si>
    <t>Christopher North</t>
  </si>
  <si>
    <t>0007WB-25</t>
  </si>
  <si>
    <t>Pitts Nuc Yard</t>
  </si>
  <si>
    <t>Pitts</t>
  </si>
  <si>
    <t>Meadow Ln</t>
  </si>
  <si>
    <t>Gagnon, Dean</t>
  </si>
  <si>
    <t>965 LAKE ROAD MILTON VT 05468 - CHITTENDEN</t>
  </si>
  <si>
    <t>0008D3-1</t>
  </si>
  <si>
    <t>Dean Gagnon</t>
  </si>
  <si>
    <t>965 Lake Road</t>
  </si>
  <si>
    <t>Kauffman, David</t>
  </si>
  <si>
    <t>1428 PEPIN ROAD BROWNINGTON VT 05860 - ORLEANS</t>
  </si>
  <si>
    <t>000V7K-1</t>
  </si>
  <si>
    <t>Kauffman home yard</t>
  </si>
  <si>
    <t>David Kauffman</t>
  </si>
  <si>
    <t>1428 Pepin Road</t>
  </si>
  <si>
    <t>000JW6-2</t>
  </si>
  <si>
    <t>Chates</t>
  </si>
  <si>
    <t>William Chates</t>
  </si>
  <si>
    <t>0008KZ-2</t>
  </si>
  <si>
    <t>Hardwick Yard</t>
  </si>
  <si>
    <t>Larry Karp</t>
  </si>
  <si>
    <t>101 W Church St</t>
  </si>
  <si>
    <t>0008KZ-3</t>
  </si>
  <si>
    <t>Haveson Yard</t>
  </si>
  <si>
    <t>Michael Haveson</t>
  </si>
  <si>
    <t>1014 Center Road</t>
  </si>
  <si>
    <t>0008KZ-4</t>
  </si>
  <si>
    <t>Young Yard</t>
  </si>
  <si>
    <t>Wayne Young</t>
  </si>
  <si>
    <t>2141 Town Highway #8</t>
  </si>
  <si>
    <t>Lewis Creek Honey &amp; Maple</t>
  </si>
  <si>
    <t>527 CONWAY ROAD STARKSBORO VT 05487 - ADDISON</t>
  </si>
  <si>
    <t>00082W-2</t>
  </si>
  <si>
    <t>Chris Sullivan</t>
  </si>
  <si>
    <t>1770 West Road</t>
  </si>
  <si>
    <t>Labate, Michael</t>
  </si>
  <si>
    <t>1537 FINEL HOLLOW ROAD POULTNEY VT 05764</t>
  </si>
  <si>
    <t>000V7P-1</t>
  </si>
  <si>
    <t>Steve Bartlett</t>
  </si>
  <si>
    <t>120 Orchard Road</t>
  </si>
  <si>
    <t>000V7P-2</t>
  </si>
  <si>
    <t>Michael LaBate</t>
  </si>
  <si>
    <t>1537 Finel Hollow Road</t>
  </si>
  <si>
    <t>Beebe, Chris</t>
  </si>
  <si>
    <t>11 JULIE LANE CASTLETON VT 05735</t>
  </si>
  <si>
    <t>000V7Q-1</t>
  </si>
  <si>
    <t>&lt;4/100&gt;</t>
  </si>
  <si>
    <t>Beebe-Home Yard</t>
  </si>
  <si>
    <t>Chris Beebe</t>
  </si>
  <si>
    <t>11 Julie Lane</t>
  </si>
  <si>
    <t>0007HY-9</t>
  </si>
  <si>
    <t>Wheeler Farm</t>
  </si>
  <si>
    <t>0007HY-10</t>
  </si>
  <si>
    <t>Rt 5</t>
  </si>
  <si>
    <t>0007HY-11</t>
  </si>
  <si>
    <t>Young Home yard</t>
  </si>
  <si>
    <t>Peter Young</t>
  </si>
  <si>
    <t>1097 Newfane Road</t>
  </si>
  <si>
    <t>0007HY-12</t>
  </si>
  <si>
    <t>Allard Lumber</t>
  </si>
  <si>
    <t>Ferry Road</t>
  </si>
  <si>
    <t>000HW0-2</t>
  </si>
  <si>
    <t>Seth Gardner</t>
  </si>
  <si>
    <t>Letourneau, John M.</t>
  </si>
  <si>
    <t>111 FRANK STREET BENNINGTON VT 05201-2049 - BENNINGTON</t>
  </si>
  <si>
    <t>0007H7-2</t>
  </si>
  <si>
    <t>Pettit</t>
  </si>
  <si>
    <t>0007H7-3</t>
  </si>
  <si>
    <t>Erich Augerstein</t>
  </si>
  <si>
    <t>Westra, Phillip</t>
  </si>
  <si>
    <t>49 CHURCH ST VERGENNES VT 05491</t>
  </si>
  <si>
    <t>000V9X-1</t>
  </si>
  <si>
    <t>Westra-Home yard</t>
  </si>
  <si>
    <t>Phillip Westra</t>
  </si>
  <si>
    <t>49 Church St.</t>
  </si>
  <si>
    <t>Hotchkiss, Arthur, III</t>
  </si>
  <si>
    <t>12 ORCHARD STREET ST ALBANDS VT 05478</t>
  </si>
  <si>
    <t>000V9Y-1</t>
  </si>
  <si>
    <t>Richard St Pierre</t>
  </si>
  <si>
    <t>8 Route 36</t>
  </si>
  <si>
    <t>Flemer, Steve</t>
  </si>
  <si>
    <t>11 VALE DRIVE SOUTH BURLINGTON VT 05403</t>
  </si>
  <si>
    <t>000VAD-1</t>
  </si>
  <si>
    <t>Flemer-Home Yard</t>
  </si>
  <si>
    <t>Steve Flemer</t>
  </si>
  <si>
    <t>11 Vale Drive</t>
  </si>
  <si>
    <t>Flat Rock Apiary</t>
  </si>
  <si>
    <t>000VAF-1</t>
  </si>
  <si>
    <t>Bartemy, Ronald H, Jr</t>
  </si>
  <si>
    <t>2171 KELLOGG ROAD ST ALBANS VT 05478 - FRANKLIN</t>
  </si>
  <si>
    <t>000VAG-1</t>
  </si>
  <si>
    <t>&lt;1 per 100&gt;</t>
  </si>
  <si>
    <t>Bartemy-Home Yard</t>
  </si>
  <si>
    <t>Ronald Bartemy</t>
  </si>
  <si>
    <t>2171 Kellogg Road</t>
  </si>
  <si>
    <t>000HAD-2</t>
  </si>
  <si>
    <t>1345 Crosset Hill Road</t>
  </si>
  <si>
    <t>Faturos, Donna</t>
  </si>
  <si>
    <t>75 FORBES ROAD ANDOVER VT 05143</t>
  </si>
  <si>
    <t>000VB7-1</t>
  </si>
  <si>
    <t>Faturos Home Yard</t>
  </si>
  <si>
    <t>John/Donna Faturos</t>
  </si>
  <si>
    <t>75 Forbes</t>
  </si>
  <si>
    <t>00082N-2</t>
  </si>
  <si>
    <t>1030 Boardman Hill</t>
  </si>
  <si>
    <t>Bee The Change</t>
  </si>
  <si>
    <t>803 SHEEP FARM ROAD WEYBRIDGE VT 05753</t>
  </si>
  <si>
    <t>000VBV-1</t>
  </si>
  <si>
    <t>803 Sheep Farm Rd</t>
  </si>
  <si>
    <t>000VBV-2</t>
  </si>
  <si>
    <t>GMP</t>
  </si>
  <si>
    <t>panton</t>
  </si>
  <si>
    <t>000VBV-3</t>
  </si>
  <si>
    <t>South Ridge</t>
  </si>
  <si>
    <t>Middle Road Ventures</t>
  </si>
  <si>
    <t>2 Main Street</t>
  </si>
  <si>
    <t>000VBV-4</t>
  </si>
  <si>
    <t>000VBV-5</t>
  </si>
  <si>
    <t>000VBV-6</t>
  </si>
  <si>
    <t>Holden, Shirley</t>
  </si>
  <si>
    <t>511 SOUTH HILL ROAD LUDLOW VT 05149</t>
  </si>
  <si>
    <t>000VBW-1</t>
  </si>
  <si>
    <t>Holden</t>
  </si>
  <si>
    <t>511 South Hill Road</t>
  </si>
  <si>
    <t>Blackmore, Jeanne</t>
  </si>
  <si>
    <t>278 WILLIAMS HILL ROAD CHARLOTTE VT 05445</t>
  </si>
  <si>
    <t>000VC3-1</t>
  </si>
  <si>
    <t>Blackmore-Home Yard</t>
  </si>
  <si>
    <t>Jeanne Blackmore</t>
  </si>
  <si>
    <t>278 Williams Hill Road</t>
  </si>
  <si>
    <t>Lourie, Suzanne</t>
  </si>
  <si>
    <t>245 TEN STONES CIRCLE CHARLOTTE VT 05445</t>
  </si>
  <si>
    <t>000VJ0-1</t>
  </si>
  <si>
    <t>Lourie-Home Garden</t>
  </si>
  <si>
    <t>Community</t>
  </si>
  <si>
    <t>245 Ten Stones Circle</t>
  </si>
  <si>
    <t>Klezos, Rosalind &amp; Jason</t>
  </si>
  <si>
    <t>97 BROPHY LANE LONDONDERRY VT 05148</t>
  </si>
  <si>
    <t>000VJ1-1</t>
  </si>
  <si>
    <t>Klezos</t>
  </si>
  <si>
    <t>97 Brophy Lane</t>
  </si>
  <si>
    <t>Sullivan, Farley</t>
  </si>
  <si>
    <t>545 STARBUCK ROAD NORTH POMFRET VT 05053</t>
  </si>
  <si>
    <t>000VJ2-1</t>
  </si>
  <si>
    <t>starbuck</t>
  </si>
  <si>
    <t>Jeffrey Roy, Farley Sullivan</t>
  </si>
  <si>
    <t>545 Starbuck Road</t>
  </si>
  <si>
    <t>N Pomfret</t>
  </si>
  <si>
    <t>0008X8-2</t>
  </si>
  <si>
    <t>Ken Brown Yard 2</t>
  </si>
  <si>
    <t>Diana</t>
  </si>
  <si>
    <t>Osowski, John and Deborah</t>
  </si>
  <si>
    <t>14 WARWICK ROAD NORTHFIELD MA 01360</t>
  </si>
  <si>
    <t>000VJ4-1</t>
  </si>
  <si>
    <t>Hugh and Joyce Whitney</t>
  </si>
  <si>
    <t>1274 South Road</t>
  </si>
  <si>
    <t>Elm Hill Inc</t>
  </si>
  <si>
    <t>1329 JOHN FOWLER ROAD PLAINFIELD VT 05667 - WASHINGTON</t>
  </si>
  <si>
    <t>000BXY-1</t>
  </si>
  <si>
    <t>Elmhill Inc</t>
  </si>
  <si>
    <t>1329 John Fowler Road</t>
  </si>
  <si>
    <t>00081M-2</t>
  </si>
  <si>
    <t>&lt;8/100&gt;</t>
  </si>
  <si>
    <t>South Hill</t>
  </si>
  <si>
    <t>David Tremblay</t>
  </si>
  <si>
    <t>1426 South Hill Rd</t>
  </si>
  <si>
    <t>Guay, Steven</t>
  </si>
  <si>
    <t>58 RIVER ROAD UNDERHILL VT 05489</t>
  </si>
  <si>
    <t>000VKC-1</t>
  </si>
  <si>
    <t>Steven Guay</t>
  </si>
  <si>
    <t>58 River Road</t>
  </si>
  <si>
    <t>Knoff, Jesse</t>
  </si>
  <si>
    <t>2836 HARBOR ROAD SHELBURNE VT 05482</t>
  </si>
  <si>
    <t>000VKG-1</t>
  </si>
  <si>
    <t>&lt;less than .01&gt;</t>
  </si>
  <si>
    <t>Elroy Langdell</t>
  </si>
  <si>
    <t>2836 Harbor Road</t>
  </si>
  <si>
    <t>Monkton Elder</t>
  </si>
  <si>
    <t>2301 ROTAX ROAD MONKTON VT 05469</t>
  </si>
  <si>
    <t>000VM2-1</t>
  </si>
  <si>
    <t>Burbo-Home Yard</t>
  </si>
  <si>
    <t>Victor &amp; Deborah Burbo</t>
  </si>
  <si>
    <t>2301 Rotax Road</t>
  </si>
  <si>
    <t>Jeffrey, Steven E</t>
  </si>
  <si>
    <t>678 SMITH HILL ROAD NORTHFIELD VT 05663 - WASHINGTON</t>
  </si>
  <si>
    <t>000VM3-1</t>
  </si>
  <si>
    <t>Jeffrey Home Yard</t>
  </si>
  <si>
    <t>Steven Jeffrey</t>
  </si>
  <si>
    <t>678 Smith Road</t>
  </si>
  <si>
    <t>Fruits of Their Labor</t>
  </si>
  <si>
    <t>22 WESTFORD MILTON ROAD WESTFORD VT 05494 - CHITTENDEN</t>
  </si>
  <si>
    <t>000VM4-1</t>
  </si>
  <si>
    <t>France &amp; Charles Phillips</t>
  </si>
  <si>
    <t>22 Westford Milton Road</t>
  </si>
  <si>
    <t>Stanley, Carol D</t>
  </si>
  <si>
    <t>000VM5-1</t>
  </si>
  <si>
    <t>&lt;10%&gt;</t>
  </si>
  <si>
    <t>Stanley-Home Yard</t>
  </si>
  <si>
    <t>Dave &amp; Carol Stanley</t>
  </si>
  <si>
    <t>High Gambol Farm</t>
  </si>
  <si>
    <t>376 RANDALL HILL ROAD SPRINGFIELD VT 05156</t>
  </si>
  <si>
    <t>000VD2-1</t>
  </si>
  <si>
    <t>same as physical</t>
  </si>
  <si>
    <t>Demotses, William</t>
  </si>
  <si>
    <t>412 S PINE CREEK ROAD FAIRFIELD CT 06824</t>
  </si>
  <si>
    <t>000VMZ-1</t>
  </si>
  <si>
    <t>Readsboro Town</t>
  </si>
  <si>
    <t>Readsboro</t>
  </si>
  <si>
    <t>Wrase, Rich</t>
  </si>
  <si>
    <t>516 GOODENOUGH RD BRATTLEBORO VT 05301</t>
  </si>
  <si>
    <t>000VN4-1</t>
  </si>
  <si>
    <t>Wrase-Home Yard</t>
  </si>
  <si>
    <t>Rich Wrase</t>
  </si>
  <si>
    <t>516 Goodenough Rd</t>
  </si>
  <si>
    <t>Holler, John</t>
  </si>
  <si>
    <t>535 MTN VIEW ROAD TINMOUTH VT 05773</t>
  </si>
  <si>
    <t>000VNF-1</t>
  </si>
  <si>
    <t>&lt;less than 3%&gt;</t>
  </si>
  <si>
    <t>Holler- Home Yard</t>
  </si>
  <si>
    <t>John Holler</t>
  </si>
  <si>
    <t>535 Mountain View Rd</t>
  </si>
  <si>
    <t>Miller, Mike</t>
  </si>
  <si>
    <t>119 METAYER COURT WATERBURY VT 05677</t>
  </si>
  <si>
    <t>000VNG-1</t>
  </si>
  <si>
    <t>Mike's place</t>
  </si>
  <si>
    <t>Shanye Fisk</t>
  </si>
  <si>
    <t>119 Metayer Court</t>
  </si>
  <si>
    <t>Ransom, Geoffrey</t>
  </si>
  <si>
    <t>875 MORRISON HILL ROAD BARNET VT 05821 - CALEDONIA</t>
  </si>
  <si>
    <t>000VNJ-1</t>
  </si>
  <si>
    <t>Geoffrey Ransom</t>
  </si>
  <si>
    <t>875 Morrison Hill Road</t>
  </si>
  <si>
    <t>0007DJ-9</t>
  </si>
  <si>
    <t>Ross Conrad &amp; Alice Eckles</t>
  </si>
  <si>
    <t>0007DJ-10</t>
  </si>
  <si>
    <t>Elgin Springs</t>
  </si>
  <si>
    <t>Ed Bassett</t>
  </si>
  <si>
    <t>1016 Quarry Road</t>
  </si>
  <si>
    <t>0007DJ-11</t>
  </si>
  <si>
    <t>Foster Farm</t>
  </si>
  <si>
    <t>George Foster</t>
  </si>
  <si>
    <t>Clark, James &amp; Deborah</t>
  </si>
  <si>
    <t>PO BOX 114 CALAIS VT 05648</t>
  </si>
  <si>
    <t>000VQF-1</t>
  </si>
  <si>
    <t>James &amp; Deborah Clark</t>
  </si>
  <si>
    <t>448 W County Road</t>
  </si>
  <si>
    <t>Sauer, Greg</t>
  </si>
  <si>
    <t>2385 EAGLE PEAK ROAD WEST BROOKFIELD VT 05060</t>
  </si>
  <si>
    <t>000VQQ-1</t>
  </si>
  <si>
    <t>&lt;8 mites/24 hour bottom board drop&gt;</t>
  </si>
  <si>
    <t>Sauer-Home Yard</t>
  </si>
  <si>
    <t>Greg Sauer</t>
  </si>
  <si>
    <t>2385 Eagle Peak Road</t>
  </si>
  <si>
    <t>West Brookfield</t>
  </si>
  <si>
    <t>Ryley, Kate</t>
  </si>
  <si>
    <t>1440 EAST WARREN ROAD WAITSFIELD VT 05673</t>
  </si>
  <si>
    <t>000VV3-1</t>
  </si>
  <si>
    <t>Ryley-home yard</t>
  </si>
  <si>
    <t>Kate Ryley</t>
  </si>
  <si>
    <t>1440 East Warren Road</t>
  </si>
  <si>
    <t>Hand, Susan</t>
  </si>
  <si>
    <t>20 HUBBARD PARK DRIVE MONTPELIER VT 05602</t>
  </si>
  <si>
    <t>000VV4-1</t>
  </si>
  <si>
    <t>Hand-Home Yard</t>
  </si>
  <si>
    <t>Susan Hand &amp; Danielle Lafleour Brooks</t>
  </si>
  <si>
    <t>20 Hubbard Park Drive</t>
  </si>
  <si>
    <t>0008GB-6</t>
  </si>
  <si>
    <t>566 Ratta Road</t>
  </si>
  <si>
    <t>Chazy</t>
  </si>
  <si>
    <t>Graham Hayes Govoni, &amp; Leslie Black</t>
  </si>
  <si>
    <t>PO BOX 353 MORRISVILLE VT 05661</t>
  </si>
  <si>
    <t>000VV7-1</t>
  </si>
  <si>
    <t>Graham Hayes Govoni &amp; Leslie Black</t>
  </si>
  <si>
    <t>96 Carpenter Road</t>
  </si>
  <si>
    <t>Hepburn, Mary</t>
  </si>
  <si>
    <t>PO BOX 411 SAXTONS RIVER VT 05154 - WINDHAM</t>
  </si>
  <si>
    <t>000VV8-1</t>
  </si>
  <si>
    <t>Hepburn home yard</t>
  </si>
  <si>
    <t>Mary Hepburn</t>
  </si>
  <si>
    <t>27 Pleasant Street</t>
  </si>
  <si>
    <t>Francoeur, Paul</t>
  </si>
  <si>
    <t>780 SHACKETT ROAD LEICESTER VT 05733</t>
  </si>
  <si>
    <t>000VVB-1</t>
  </si>
  <si>
    <t>Francoeur-Home Yard</t>
  </si>
  <si>
    <t>Paul &amp; Kris Francoeur</t>
  </si>
  <si>
    <t>780 Shackett Road</t>
  </si>
  <si>
    <t>Latta, Jeff</t>
  </si>
  <si>
    <t>901 LAKE ROAD MILTON VT 05468</t>
  </si>
  <si>
    <t>000VVD-1</t>
  </si>
  <si>
    <t>Latta-Home Yard</t>
  </si>
  <si>
    <t>Jeff Latta</t>
  </si>
  <si>
    <t>901 Lake Road</t>
  </si>
  <si>
    <t>Place, Denis</t>
  </si>
  <si>
    <t>411 SHORE ACRES DRIVE COLCHESTER VT 05446</t>
  </si>
  <si>
    <t>000VVF-1</t>
  </si>
  <si>
    <t>Denis Place</t>
  </si>
  <si>
    <t>411 Shore Acres Drive</t>
  </si>
  <si>
    <t>0008GQ-8</t>
  </si>
  <si>
    <t>Dragon</t>
  </si>
  <si>
    <t>476 Everst Road</t>
  </si>
  <si>
    <t>Ladd, Kasey</t>
  </si>
  <si>
    <t>35 CEDAR ST SAINT ALBANS VT 05478 - FRANKLIN</t>
  </si>
  <si>
    <t>000VVJ-1</t>
  </si>
  <si>
    <t>Kasey Ladd</t>
  </si>
  <si>
    <t>35 Cedar St</t>
  </si>
  <si>
    <t>Whitehouse, Scott</t>
  </si>
  <si>
    <t>2277 LEADVILLE ROAD NEWPORT CENTER VT 05857</t>
  </si>
  <si>
    <t>000VVK-1</t>
  </si>
  <si>
    <t>Dustry Trail Homestead</t>
  </si>
  <si>
    <t>Scott Whitehouse</t>
  </si>
  <si>
    <t>2277 Leadville Road</t>
  </si>
  <si>
    <t>0007G1-2</t>
  </si>
  <si>
    <t>Village Farms and Gardens</t>
  </si>
  <si>
    <t>136 Allen Road East</t>
  </si>
  <si>
    <t>Brian's Vermont Apiaries</t>
  </si>
  <si>
    <t>16 WELLS STREET WINDSOR VT 05089</t>
  </si>
  <si>
    <t>000VVN-1</t>
  </si>
  <si>
    <t>Roy</t>
  </si>
  <si>
    <t>000VVN-2</t>
  </si>
  <si>
    <t>2 Brian Jasinski</t>
  </si>
  <si>
    <t>Carol and Michael Jasinski</t>
  </si>
  <si>
    <t>184 Parker Hill Rd</t>
  </si>
  <si>
    <t>Authier, Elaine</t>
  </si>
  <si>
    <t>954 RIVERSIDE CEMETERY ROAD WATERFORD VT 05819</t>
  </si>
  <si>
    <t>000VVP-1</t>
  </si>
  <si>
    <t>Elaine Authier</t>
  </si>
  <si>
    <t>954 Riverside Cemetery Road</t>
  </si>
  <si>
    <t>Stillinger, Susan</t>
  </si>
  <si>
    <t>1959 WEST HILL ROAD NORTHFIELD VT 05663</t>
  </si>
  <si>
    <t>000VVX-1</t>
  </si>
  <si>
    <t>S Stillinger</t>
  </si>
  <si>
    <t>1959 West Hill Road</t>
  </si>
  <si>
    <t>Russo, David</t>
  </si>
  <si>
    <t>71 DEER RUN LANE MONTPELIER VT 05602 - WASHINGTON</t>
  </si>
  <si>
    <t>000VVY-1</t>
  </si>
  <si>
    <t>David Russo</t>
  </si>
  <si>
    <t>71 Deer Run Lane</t>
  </si>
  <si>
    <t>Chase, Robin</t>
  </si>
  <si>
    <t>9679 COUNTY ROAD CALAIS VT 05648</t>
  </si>
  <si>
    <t>000VVZ-1</t>
  </si>
  <si>
    <t>Robin Chase</t>
  </si>
  <si>
    <t>9679 County Road</t>
  </si>
  <si>
    <t>The Shepherdess</t>
  </si>
  <si>
    <t>575 HUNTER ROAD JOHNSON VT 05656 - LAMOILLE</t>
  </si>
  <si>
    <t>000VW0-1</t>
  </si>
  <si>
    <t>Cook Home Yard</t>
  </si>
  <si>
    <t>Paula Cook</t>
  </si>
  <si>
    <t>575 Hunter Road</t>
  </si>
  <si>
    <t>Brinton, Daniel</t>
  </si>
  <si>
    <t>43 WHITCOMB LANE LUDLOW VT 05149</t>
  </si>
  <si>
    <t>000VWA-1</t>
  </si>
  <si>
    <t>Brinton-Home Yard</t>
  </si>
  <si>
    <t>Daniel Brinton</t>
  </si>
  <si>
    <t>43 Whitcomb Lane</t>
  </si>
  <si>
    <t>Lynch, Susan</t>
  </si>
  <si>
    <t>454 PAULS WAY DORSET VT 05251</t>
  </si>
  <si>
    <t>000VWB-1</t>
  </si>
  <si>
    <t>Susan Lynch</t>
  </si>
  <si>
    <t>Susan and Jeff Lynch</t>
  </si>
  <si>
    <t>454 Paul's Way</t>
  </si>
  <si>
    <t>000QJ7-2</t>
  </si>
  <si>
    <t>Pecor</t>
  </si>
  <si>
    <t>676 Mountain Road</t>
  </si>
  <si>
    <t>0008Y2-3</t>
  </si>
  <si>
    <t>home yard</t>
  </si>
  <si>
    <t>79 Rt 35</t>
  </si>
  <si>
    <t>Giroux, Ryan</t>
  </si>
  <si>
    <t>297 OLD PIPER ROAD BALTIMORE VT 05143</t>
  </si>
  <si>
    <t>000VWM-1</t>
  </si>
  <si>
    <t>Giroux Home Yard</t>
  </si>
  <si>
    <t>Ryan Giroux</t>
  </si>
  <si>
    <t>297 Old Piper Road</t>
  </si>
  <si>
    <t>Baltimore</t>
  </si>
  <si>
    <t>Kennedy, Scott &amp; Tina</t>
  </si>
  <si>
    <t>82 LONGLEY ROAD MORETOWN VT 05660</t>
  </si>
  <si>
    <t>000VWP-1</t>
  </si>
  <si>
    <t>Kennedy home yard</t>
  </si>
  <si>
    <t>Scott &amp; Tina Kennedy</t>
  </si>
  <si>
    <t>82 Longley Road</t>
  </si>
  <si>
    <t>0007B0-3</t>
  </si>
  <si>
    <t>UBS</t>
  </si>
  <si>
    <t>Hildene</t>
  </si>
  <si>
    <t>Katie Gardiner &amp;, Jeffrey Swedberg</t>
  </si>
  <si>
    <t>168 LUGE RUN EAST DORSET VT 05253</t>
  </si>
  <si>
    <t>000VX1-1</t>
  </si>
  <si>
    <t>Katie Gardiner &amp; Jeff Swedberg</t>
  </si>
  <si>
    <t>168 Luge Run</t>
  </si>
  <si>
    <t>Terrier, Lee</t>
  </si>
  <si>
    <t>3006 SOUTH ST EXT MIDDLEBURY VT 05753</t>
  </si>
  <si>
    <t>000VX2-1</t>
  </si>
  <si>
    <t>Terrier</t>
  </si>
  <si>
    <t>Lee Terrier</t>
  </si>
  <si>
    <t>3006 South St Ext</t>
  </si>
  <si>
    <t>Senger, Matthias</t>
  </si>
  <si>
    <t>52 OLD STRONG ROAD THETFORD CENTER VT 05075</t>
  </si>
  <si>
    <t>000VX3-1</t>
  </si>
  <si>
    <t>Senger home yard</t>
  </si>
  <si>
    <t>Matthias Senger</t>
  </si>
  <si>
    <t>52 Old Strong Road</t>
  </si>
  <si>
    <t>0007V0-10</t>
  </si>
  <si>
    <t>Furniture yard</t>
  </si>
  <si>
    <t>Merle Schloff</t>
  </si>
  <si>
    <t>65 Plains Road</t>
  </si>
  <si>
    <t>0007V0-11</t>
  </si>
  <si>
    <t>Oliver Ketchan</t>
  </si>
  <si>
    <t>1177 Shard Villa Road</t>
  </si>
  <si>
    <t>Paladine Meadows</t>
  </si>
  <si>
    <t>251 FISHER HILL ROAD GRAFTON VT 05146</t>
  </si>
  <si>
    <t>000VX5-1</t>
  </si>
  <si>
    <t>Iva Fisher</t>
  </si>
  <si>
    <t>1191-1393 Vermont 121</t>
  </si>
  <si>
    <t>000N01-2</t>
  </si>
  <si>
    <t>Jeff Lourie</t>
  </si>
  <si>
    <t>85 Curtis Road</t>
  </si>
  <si>
    <t>Putnam, Fred - Busy Bee Honey, Jr</t>
  </si>
  <si>
    <t>179 TOWN FARM ROAD BRANDON VT 05733</t>
  </si>
  <si>
    <t>000VX6-1</t>
  </si>
  <si>
    <t>&lt;13 per 300 direct read, assume 26 per 300 for mites in capped cells, treated w/ MAQs in early Aug. Treated NUCS w/ Apiguard Oct.&gt;</t>
  </si>
  <si>
    <t>Fred Putnam Jr home yard</t>
  </si>
  <si>
    <t>Fred Putnam</t>
  </si>
  <si>
    <t>179 Town Farm Road</t>
  </si>
  <si>
    <t>Main, Amy Beth &amp; Ron</t>
  </si>
  <si>
    <t>4067 WEATHERSFIELD CENTER ROAD PERKINSVILLE VT 05151</t>
  </si>
  <si>
    <t>000VXC-1</t>
  </si>
  <si>
    <t>Main Home Yard</t>
  </si>
  <si>
    <t>Amy Beth &amp; Ron Main</t>
  </si>
  <si>
    <t>McEnaney, Erin</t>
  </si>
  <si>
    <t>599 TOWN LINE ROAD BENNINGTON VT 05201</t>
  </si>
  <si>
    <t>000VXJ-1</t>
  </si>
  <si>
    <t>Erin &amp; Scott Mchaney</t>
  </si>
  <si>
    <t>599 Town Line Road</t>
  </si>
  <si>
    <t>Warren, Roger</t>
  </si>
  <si>
    <t>93 WOODCHUCK HOLLOW ROAD WASHINGTON VT 05675</t>
  </si>
  <si>
    <t>000VXK-1</t>
  </si>
  <si>
    <t>Mary Warren</t>
  </si>
  <si>
    <t>93 Woodchuck Hollow Road</t>
  </si>
  <si>
    <t>000QJA-2</t>
  </si>
  <si>
    <t>Park, Robert</t>
  </si>
  <si>
    <t>955 MIDDLE ROAD COLCHESTER VT 05446</t>
  </si>
  <si>
    <t>000VXM-1</t>
  </si>
  <si>
    <t>&lt;Did have mites in late Sept. and treated then&gt;</t>
  </si>
  <si>
    <t>Park Home yard</t>
  </si>
  <si>
    <t>Robert Park</t>
  </si>
  <si>
    <t>955 Middle Road</t>
  </si>
  <si>
    <t>000862-5</t>
  </si>
  <si>
    <t>Vincent Orchard</t>
  </si>
  <si>
    <t>Vincent Panella</t>
  </si>
  <si>
    <t>4813 Auger Hole Road</t>
  </si>
  <si>
    <t>Criscolo, Mike &amp; Nikki</t>
  </si>
  <si>
    <t>375 WESTFORD MILTON ROAD WESTFORD VT 05494</t>
  </si>
  <si>
    <t>000VXV-1</t>
  </si>
  <si>
    <t>&lt;4.6% alcohol wash (then re-treated with MAQs)</t>
  </si>
  <si>
    <t>Criscolo</t>
  </si>
  <si>
    <t>375 Westford Milton Road</t>
  </si>
  <si>
    <t>000V9X-2</t>
  </si>
  <si>
    <t>Verburg</t>
  </si>
  <si>
    <t>1495 Basin Harbor Road</t>
  </si>
  <si>
    <t>Kampf, Frank</t>
  </si>
  <si>
    <t>84 MCKINSTRY RD CABOT VT 05647</t>
  </si>
  <si>
    <t>000VXW-1</t>
  </si>
  <si>
    <t>Kampf-Home Yard</t>
  </si>
  <si>
    <t>Frank Kampf</t>
  </si>
  <si>
    <t>84 McKinstry Rd</t>
  </si>
  <si>
    <t>000JV1-2</t>
  </si>
  <si>
    <t>103 Chapman Rd</t>
  </si>
  <si>
    <t>103 Chapman Road</t>
  </si>
  <si>
    <t>Cheney, David</t>
  </si>
  <si>
    <t>14 WILLOW DRIVE BARRE VT 05641</t>
  </si>
  <si>
    <t>000VY8-1</t>
  </si>
  <si>
    <t>David Cheney</t>
  </si>
  <si>
    <t>14 Willow Drive</t>
  </si>
  <si>
    <t>Powers, Matthew</t>
  </si>
  <si>
    <t>3 POWERS ROAD TOPSHAM VT 05076</t>
  </si>
  <si>
    <t>000VY9-1</t>
  </si>
  <si>
    <t>&lt;Did not count&gt;</t>
  </si>
  <si>
    <t>Matthew Powers</t>
  </si>
  <si>
    <t>3 Powers Road</t>
  </si>
  <si>
    <t>Foote, Michael, Mike Foote Home Yard</t>
  </si>
  <si>
    <t>131 SWAMP ROAD RICHMOND VT 05477</t>
  </si>
  <si>
    <t>000VYA-1</t>
  </si>
  <si>
    <t>Mike Foote home yard</t>
  </si>
  <si>
    <t>Mike Foote</t>
  </si>
  <si>
    <t>131 Swamp Road</t>
  </si>
  <si>
    <t>Atomanuk, Laura</t>
  </si>
  <si>
    <t>680 GUILFORD ST BRATTLEBORO VT 05301</t>
  </si>
  <si>
    <t>000VYB-1</t>
  </si>
  <si>
    <t>Atomanuk Home Yard</t>
  </si>
  <si>
    <t>James Atomanuk</t>
  </si>
  <si>
    <t>680 Guilford St.</t>
  </si>
  <si>
    <t>000980-2</t>
  </si>
  <si>
    <t>Valenta-Home</t>
  </si>
  <si>
    <t>Kurt Valenta</t>
  </si>
  <si>
    <t>1635 Watertower Road</t>
  </si>
  <si>
    <t>O'Donnell, Vanessa</t>
  </si>
  <si>
    <t>PO BOX 212 EAST THETFORD VT 05043-0212</t>
  </si>
  <si>
    <t>000VYC-1</t>
  </si>
  <si>
    <t>O'Donnell Home Yard</t>
  </si>
  <si>
    <t>Vanessa O'Donnell</t>
  </si>
  <si>
    <t>1559 Latham Road</t>
  </si>
  <si>
    <t>000V5K-2</t>
  </si>
  <si>
    <t>Steve Bolze</t>
  </si>
  <si>
    <t>558 Trailview Drive</t>
  </si>
  <si>
    <t>Lussier, Jesse</t>
  </si>
  <si>
    <t>702 OAK KNOLL ROAD WILLISTON VT 05495</t>
  </si>
  <si>
    <t>000VYJ-1</t>
  </si>
  <si>
    <t>Awesome Sauce Apiary</t>
  </si>
  <si>
    <t>Jesse Lussier</t>
  </si>
  <si>
    <t>702 Oak Knoll Road</t>
  </si>
  <si>
    <t>Alger, Samantha</t>
  </si>
  <si>
    <t>109 CARRIGAN DRIVE BURLINGTON VT 05405</t>
  </si>
  <si>
    <t>000VZ6-1</t>
  </si>
  <si>
    <t>&lt;2 mites/100 bees sugar&gt;</t>
  </si>
  <si>
    <t>Homes Road</t>
  </si>
  <si>
    <t>Karen &amp; John Wolff</t>
  </si>
  <si>
    <t>109 Carrigan Drive</t>
  </si>
  <si>
    <t>Mather, Rob</t>
  </si>
  <si>
    <t>75 ROUTE 10 NORTH SPRINGFIELD VT 05150</t>
  </si>
  <si>
    <t>000VZA-1</t>
  </si>
  <si>
    <t>Karen Bailey</t>
  </si>
  <si>
    <t>75 Route 10</t>
  </si>
  <si>
    <t>John Byrnes and, Kiersten McKenney</t>
  </si>
  <si>
    <t>88 MACINTOSH LANE WEST BRATTLEBORO VT 05303</t>
  </si>
  <si>
    <t>000VZK-1</t>
  </si>
  <si>
    <t>Byrnes-Home Yard</t>
  </si>
  <si>
    <t>John Byrnes</t>
  </si>
  <si>
    <t>88 MacIntosh Lane</t>
  </si>
  <si>
    <t>Kidder, Michael &amp; Danielle</t>
  </si>
  <si>
    <t>1441 CADY HILL ROAD CAMBRIDGE VT 05444</t>
  </si>
  <si>
    <t>000VZM-1</t>
  </si>
  <si>
    <t>Michael &amp; Danielle Kidder</t>
  </si>
  <si>
    <t>1441 Cady Hill Road</t>
  </si>
  <si>
    <t>Desjardins, Christine</t>
  </si>
  <si>
    <t>16 ORCHARD LANE SPRINGFIELD VT 05156</t>
  </si>
  <si>
    <t>000VZN-1</t>
  </si>
  <si>
    <t>Desjardins Home Yard</t>
  </si>
  <si>
    <t>Jeremy &amp; Christine Desjardins</t>
  </si>
  <si>
    <t>16 Orchard Lane</t>
  </si>
  <si>
    <t>Greene, Robert</t>
  </si>
  <si>
    <t>791 AUSTIN HILL ROAD BENNINGTON VT 05201 - BENNINGTON</t>
  </si>
  <si>
    <t>000VZP-1</t>
  </si>
  <si>
    <t>Greene-Home Yard</t>
  </si>
  <si>
    <t>Robert Greene</t>
  </si>
  <si>
    <t>791 Austin Hill Road</t>
  </si>
  <si>
    <t>Daniels, Cecil</t>
  </si>
  <si>
    <t>522 MIDDLE ST PO BOX 367 ISLAND POND VT 05846</t>
  </si>
  <si>
    <t>000VZQ-1</t>
  </si>
  <si>
    <t>Daniels Home Yard</t>
  </si>
  <si>
    <t>Cecil Daniels</t>
  </si>
  <si>
    <t>522 Middle St</t>
  </si>
  <si>
    <t>000JWV-2</t>
  </si>
  <si>
    <t>3912 Hunting Road</t>
  </si>
  <si>
    <t>Ralph &amp; Rachel Towers</t>
  </si>
  <si>
    <t>3912 Huntington Road</t>
  </si>
  <si>
    <t>Kelly, Nancy</t>
  </si>
  <si>
    <t>1404 ORCHARD ROAD CHARLOTTE VT 05445</t>
  </si>
  <si>
    <t>000VZZ-1</t>
  </si>
  <si>
    <t>Kelly Home Yard</t>
  </si>
  <si>
    <t>Nancy &amp; Jack Kelly</t>
  </si>
  <si>
    <t>1404 Orchard Road</t>
  </si>
  <si>
    <t>Vance, Mike</t>
  </si>
  <si>
    <t>947 BOSTON RD ST JOHNSBURY VT 05819</t>
  </si>
  <si>
    <t>000W06-1</t>
  </si>
  <si>
    <t>Vance home yard</t>
  </si>
  <si>
    <t>Mike Vance</t>
  </si>
  <si>
    <t>947 Boston Road</t>
  </si>
  <si>
    <t>King, Nikki</t>
  </si>
  <si>
    <t>9 MERRITT ROAD HARTLAND VT 05048</t>
  </si>
  <si>
    <t>000W10-1</t>
  </si>
  <si>
    <t>Jeannine Black</t>
  </si>
  <si>
    <t>9 Merritt Road</t>
  </si>
  <si>
    <t>Hart, Chip</t>
  </si>
  <si>
    <t>147 VAN PATTEN BURLINGTON VT 05408</t>
  </si>
  <si>
    <t>000W11-1</t>
  </si>
  <si>
    <t>&lt;medium bottom board&gt;</t>
  </si>
  <si>
    <t>147 Van Patten Pkwy</t>
  </si>
  <si>
    <t>Chip Hart</t>
  </si>
  <si>
    <t>147 Van Patten</t>
  </si>
  <si>
    <t>Cowan, Dan</t>
  </si>
  <si>
    <t>PO BOX 106 EAST MONTPELIER VT 05651 - WASHINGTON</t>
  </si>
  <si>
    <t>000W12-1</t>
  </si>
  <si>
    <t>Cowan Home yard</t>
  </si>
  <si>
    <t>Dan Cowan</t>
  </si>
  <si>
    <t>2875 US Rt 2</t>
  </si>
  <si>
    <t>River Cloud Farm</t>
  </si>
  <si>
    <t>804 COUNTY HILL ROAD BARNET VT 05823</t>
  </si>
  <si>
    <t>000W17-1</t>
  </si>
  <si>
    <t>Butterfield-Home</t>
  </si>
  <si>
    <t>Dakota Butterfield</t>
  </si>
  <si>
    <t>804 County Hill Road</t>
  </si>
  <si>
    <t>Havard, Ed</t>
  </si>
  <si>
    <t>245 TEN STONE CIRCLE CHARLOTTE VT 05445</t>
  </si>
  <si>
    <t>000W18-1</t>
  </si>
  <si>
    <t>245 Ten Stone Circle</t>
  </si>
  <si>
    <t>Downs, Timothy</t>
  </si>
  <si>
    <t>245 HUNT STREET FAIRFAX VT 05454</t>
  </si>
  <si>
    <t>000W16-1</t>
  </si>
  <si>
    <t>185 Green Hill Road</t>
  </si>
  <si>
    <t>Gordon Spencer</t>
  </si>
  <si>
    <t>Eldred, Ernie</t>
  </si>
  <si>
    <t>615 SHAW HILL ROAD STOWE VT 05672</t>
  </si>
  <si>
    <t>000W1A-1</t>
  </si>
  <si>
    <t>Eldred-Home Yard</t>
  </si>
  <si>
    <t>Ernie Eldred</t>
  </si>
  <si>
    <t>194 Fairwood Parkway</t>
  </si>
  <si>
    <t>0008AP-6</t>
  </si>
  <si>
    <t>Pratt Road</t>
  </si>
  <si>
    <t>Smuggler's Notch</t>
  </si>
  <si>
    <t>1039 Pratt Road</t>
  </si>
  <si>
    <t>Price, Nicoal</t>
  </si>
  <si>
    <t>319 HAGUE ROAD DUMMERSTON VT 05301 - WINDHAM</t>
  </si>
  <si>
    <t>000W1C-1</t>
  </si>
  <si>
    <t>Price-Home Yard</t>
  </si>
  <si>
    <t>Nicoal Price &amp; Todd Blackman</t>
  </si>
  <si>
    <t>319 Hague Road</t>
  </si>
  <si>
    <t>Top Acres Farm</t>
  </si>
  <si>
    <t>1390 FLETCHER SCHOOLHOUSE ROAD SOUTH WOODSTOCK VT 05071 - WINDSOR</t>
  </si>
  <si>
    <t>000W1D-1</t>
  </si>
  <si>
    <t>McCuaig-Home Yard</t>
  </si>
  <si>
    <t>Carl &amp; Mary McCuaig</t>
  </si>
  <si>
    <t>1390 Fletcher Schoolhouse Road</t>
  </si>
  <si>
    <t>South Woodstock</t>
  </si>
  <si>
    <t>Appleton, Timothy J</t>
  </si>
  <si>
    <t>360 TOWN FARM ROAD WOODBURY VT 05681 - WASHINGTON</t>
  </si>
  <si>
    <t>0002KF-1</t>
  </si>
  <si>
    <t>&lt;bottom board 12 mites / 24 hr&gt;</t>
  </si>
  <si>
    <t>AppletonHome Yard</t>
  </si>
  <si>
    <t>Tim &amp; Stephanie Appleton</t>
  </si>
  <si>
    <t>360 Town Farm Road</t>
  </si>
  <si>
    <t>Leamy, Ryan</t>
  </si>
  <si>
    <t>2198 WILD BRANCH ROAD CRAFTSBURY VT 05826</t>
  </si>
  <si>
    <t>000QC4-1</t>
  </si>
  <si>
    <t>Brown-Home Yard</t>
  </si>
  <si>
    <t>Patrick Brown</t>
  </si>
  <si>
    <t>1213 North Williston Road</t>
  </si>
  <si>
    <t>Just, Erin/Brian</t>
  </si>
  <si>
    <t>543 TEN STONES CIRCLE CHARLOTTE VT 05445</t>
  </si>
  <si>
    <t>000W23-1</t>
  </si>
  <si>
    <t>Brian &amp; Erin Just/Ten Stones Community</t>
  </si>
  <si>
    <t>same as home address</t>
  </si>
  <si>
    <t>Berries &amp; Bees</t>
  </si>
  <si>
    <t>184 STOWE HILL ROAD WILMINGTON VT 05363</t>
  </si>
  <si>
    <t>000W26-1</t>
  </si>
  <si>
    <t>Elder-Home Yard</t>
  </si>
  <si>
    <t>Dr Alexander Elder</t>
  </si>
  <si>
    <t>184 Stowe Hill Road</t>
  </si>
  <si>
    <t>Stoffel, Michael</t>
  </si>
  <si>
    <t>225 ROUTE 132 SOUTH STRAFFORD VT 05070</t>
  </si>
  <si>
    <t>000W27-1</t>
  </si>
  <si>
    <t>Stoffel Home Yard</t>
  </si>
  <si>
    <t>Michael Stoffel / R Temeny</t>
  </si>
  <si>
    <t>225 Route 132</t>
  </si>
  <si>
    <t>Becker, Eric M</t>
  </si>
  <si>
    <t>105 TURNPIKE ROAD SOUTH STRAFFORD VT 05070</t>
  </si>
  <si>
    <t>000W2D-1</t>
  </si>
  <si>
    <t>Becker-home</t>
  </si>
  <si>
    <t>Eric Becker</t>
  </si>
  <si>
    <t>105 Turnpike Road</t>
  </si>
  <si>
    <t>Sargent, Robert</t>
  </si>
  <si>
    <t>864 HERRING BROOK ROAD MONTPELIER VT 05602</t>
  </si>
  <si>
    <t>000W2H-1</t>
  </si>
  <si>
    <t>Robert and Deborah Sargent</t>
  </si>
  <si>
    <t>864 Herring Brook Road</t>
  </si>
  <si>
    <t>Staples, Scott</t>
  </si>
  <si>
    <t>368 GUILMETTE ROAD RICHFORD VT 05476</t>
  </si>
  <si>
    <t>000W2J-1</t>
  </si>
  <si>
    <t>Staples-Home Yard</t>
  </si>
  <si>
    <t>Scott &amp; Susan Staples</t>
  </si>
  <si>
    <t>368 Guilmette Road</t>
  </si>
  <si>
    <t>Lavalette, Tammy</t>
  </si>
  <si>
    <t>2838 MONKTON ROAD VERGENNES VT 05491</t>
  </si>
  <si>
    <t>000W2K-1</t>
  </si>
  <si>
    <t>T Lavalette- Home Yard</t>
  </si>
  <si>
    <t>Tammy Lavalette</t>
  </si>
  <si>
    <t>2838 Monkton Road</t>
  </si>
  <si>
    <t>Longley, Damian</t>
  </si>
  <si>
    <t>429 HARD WOOD HILL ROAD RICHFORD VT 05476</t>
  </si>
  <si>
    <t>000W2M-1</t>
  </si>
  <si>
    <t>Longley Family Apiary</t>
  </si>
  <si>
    <t>Pam and Gary Royea</t>
  </si>
  <si>
    <t>429 Hard Wood Hill Road</t>
  </si>
  <si>
    <t>Maple Star Farm</t>
  </si>
  <si>
    <t>39 KELLEY RD UNDERHILL VT 05489</t>
  </si>
  <si>
    <t>000NDN-1</t>
  </si>
  <si>
    <t>Sedney home yard</t>
  </si>
  <si>
    <t>Damian Sedney</t>
  </si>
  <si>
    <t>000H3W-3</t>
  </si>
  <si>
    <t>Snow-Home yard</t>
  </si>
  <si>
    <t>Heather Snow</t>
  </si>
  <si>
    <t>1191 Sunderland Hill Road</t>
  </si>
  <si>
    <t>Parker, Fran</t>
  </si>
  <si>
    <t>394 TIMSON HILL RD NEWFANE VT 05345</t>
  </si>
  <si>
    <t>000W2X-1</t>
  </si>
  <si>
    <t>Parker-Home</t>
  </si>
  <si>
    <t>Fran Parker</t>
  </si>
  <si>
    <t>394 Timson Hill Rd</t>
  </si>
  <si>
    <t>000W2X-2</t>
  </si>
  <si>
    <t>Mia Scheffy</t>
  </si>
  <si>
    <t>29 Timson Hill Rd</t>
  </si>
  <si>
    <t>000VAG-2</t>
  </si>
  <si>
    <t>382 County Road</t>
  </si>
  <si>
    <t>Steve &amp; Tracey Wagnor</t>
  </si>
  <si>
    <t>Countryman Peony Farm</t>
  </si>
  <si>
    <t>868 WINCH HILL ROAD NORTHFIELD VT 05663</t>
  </si>
  <si>
    <t>000W30-1</t>
  </si>
  <si>
    <t>Countryman Peony Farm-Home Yard</t>
  </si>
  <si>
    <t>Ann Sivori</t>
  </si>
  <si>
    <t>868 Winch Hill Road</t>
  </si>
  <si>
    <t>Chlebowski, Peter</t>
  </si>
  <si>
    <t>UNIVERSITY OF VERMONT BURLINGTON VT 05401</t>
  </si>
  <si>
    <t>000W31-1</t>
  </si>
  <si>
    <t>University of Vermont</t>
  </si>
  <si>
    <t>Wood, Julie-Lynn</t>
  </si>
  <si>
    <t>399 DEPOT ST PROCTORSVILLE VT 05153</t>
  </si>
  <si>
    <t>000W32-1</t>
  </si>
  <si>
    <t>M&amp;J Wood</t>
  </si>
  <si>
    <t>399 Depot Street</t>
  </si>
  <si>
    <t>Reeb, Mike</t>
  </si>
  <si>
    <t>456 CHANDLER ROAD CHESTER VT 05143</t>
  </si>
  <si>
    <t>000W34-1</t>
  </si>
  <si>
    <t>Mike Reeb</t>
  </si>
  <si>
    <t>456 Chandler Road</t>
  </si>
  <si>
    <t>0007VM-2</t>
  </si>
  <si>
    <t>Green Mountain Club</t>
  </si>
  <si>
    <t>4711 Waterbury-Stowe Road</t>
  </si>
  <si>
    <t>Dickerson, Matthew</t>
  </si>
  <si>
    <t>46 SOUTH STREET MIDDLEBURY VT 05753 - ADDISON</t>
  </si>
  <si>
    <t>0007YY-1</t>
  </si>
  <si>
    <t>Matthew Dickerson</t>
  </si>
  <si>
    <t>5084 S 116 Road</t>
  </si>
  <si>
    <t>Robbins, Lynne</t>
  </si>
  <si>
    <t>34 ORR ROAD JERICHO VT 05465</t>
  </si>
  <si>
    <t>000W3B-1</t>
  </si>
  <si>
    <t>Bob or Lynne Robbins</t>
  </si>
  <si>
    <t>34 Orr Road</t>
  </si>
  <si>
    <t>DeMarco, Robert</t>
  </si>
  <si>
    <t>1925 WEST CREEK ROAD FLORENCE VT 05744</t>
  </si>
  <si>
    <t>000W3J-1</t>
  </si>
  <si>
    <t>DeMarco-Home</t>
  </si>
  <si>
    <t>Bob DeMarco</t>
  </si>
  <si>
    <t>1925 West Creek Road</t>
  </si>
  <si>
    <t>Merkert, Robert</t>
  </si>
  <si>
    <t>PO BOX 286 BRANDON VT 05733</t>
  </si>
  <si>
    <t>000W3M-1</t>
  </si>
  <si>
    <t>Merkert-home yard</t>
  </si>
  <si>
    <t>Robert Merkert</t>
  </si>
  <si>
    <t>580 Long Swamp Road</t>
  </si>
  <si>
    <t>Pouech, Phil</t>
  </si>
  <si>
    <t>67 NEW SOUTH FARM ROAD HINESBURG VT 05461</t>
  </si>
  <si>
    <t>000W3N-1</t>
  </si>
  <si>
    <t>Pouech-Home Yard</t>
  </si>
  <si>
    <t>Phil Pouech</t>
  </si>
  <si>
    <t>67 New South Farm Road</t>
  </si>
  <si>
    <t>Smith, Douglas</t>
  </si>
  <si>
    <t>284 BOLTON VALLEY ACCESS ROAD BOLTON VT 05676</t>
  </si>
  <si>
    <t>000W3P-1</t>
  </si>
  <si>
    <t>&lt;5% sugar&gt;</t>
  </si>
  <si>
    <t>Smith-Home</t>
  </si>
  <si>
    <t>Douglas Smith</t>
  </si>
  <si>
    <t>284 Bolton Valley Access Road</t>
  </si>
  <si>
    <t>Weinstein, Melissa</t>
  </si>
  <si>
    <t>PO BOX 53 NORTH THETFORD VT 05054</t>
  </si>
  <si>
    <t>000W3Q-1</t>
  </si>
  <si>
    <t>James Weinstein</t>
  </si>
  <si>
    <t>5065 Rte 5</t>
  </si>
  <si>
    <t>N Thetford</t>
  </si>
  <si>
    <t>0008B2-6</t>
  </si>
  <si>
    <t>New Winery</t>
  </si>
  <si>
    <t>newhouse</t>
  </si>
  <si>
    <t>500 Vt Rt 129</t>
  </si>
  <si>
    <t>Isle la Motte</t>
  </si>
  <si>
    <t>Cutler, Ingrid</t>
  </si>
  <si>
    <t>250 RIVER ROAD NEWFANE VT 05345</t>
  </si>
  <si>
    <t>000W3X-1</t>
  </si>
  <si>
    <t>Nick Mercede</t>
  </si>
  <si>
    <t>250 River Road</t>
  </si>
  <si>
    <t>Rivers, Robert</t>
  </si>
  <si>
    <t>273 STOKES ROAD WEATHERSFIELD VT 05156</t>
  </si>
  <si>
    <t>000W44-1</t>
  </si>
  <si>
    <t>Stone Hill</t>
  </si>
  <si>
    <t>Bob Rivers</t>
  </si>
  <si>
    <t>271 Stokes Road</t>
  </si>
  <si>
    <t>Blue Moon Farm</t>
  </si>
  <si>
    <t>295 BRIGHAM HILL ESSEX JUNCTION VT 05453</t>
  </si>
  <si>
    <t>000W45-1</t>
  </si>
  <si>
    <t>Blue Moon</t>
  </si>
  <si>
    <t>Frank Oliver</t>
  </si>
  <si>
    <t>295 Brigham Hill</t>
  </si>
  <si>
    <t>000ADN-2</t>
  </si>
  <si>
    <t>John Farrell</t>
  </si>
  <si>
    <t>Bee Tribe LLC</t>
  </si>
  <si>
    <t>13 BRIGHAM ROAD ST ALBANS VT 05478</t>
  </si>
  <si>
    <t>000W47-1</t>
  </si>
  <si>
    <t>Blondel's Home Yard</t>
  </si>
  <si>
    <t>Celine Blondel</t>
  </si>
  <si>
    <t>13 Brigham Road</t>
  </si>
  <si>
    <t>Gagne, Gary</t>
  </si>
  <si>
    <t>118 ACORN STREET WHITE RIVER JUNCTION VT 05001</t>
  </si>
  <si>
    <t>000W4A-1</t>
  </si>
  <si>
    <t>Gague home yard</t>
  </si>
  <si>
    <t>Gary Gagne</t>
  </si>
  <si>
    <t>118 Acorn Street</t>
  </si>
  <si>
    <t>Stoddard, Robert</t>
  </si>
  <si>
    <t>340 STEELE ROAD SHARON VT 05065</t>
  </si>
  <si>
    <t>000W4B-1</t>
  </si>
  <si>
    <t>Bob &amp; Mary Stoddard</t>
  </si>
  <si>
    <t>340 Steele Road</t>
  </si>
  <si>
    <t>Van Dine, Lee S</t>
  </si>
  <si>
    <t>125 SNOWDEN LANE MORETOWN VT 05660</t>
  </si>
  <si>
    <t>000W4F-1</t>
  </si>
  <si>
    <t>Van Dine Home yard</t>
  </si>
  <si>
    <t>Lee &amp; Nancy Van Dine</t>
  </si>
  <si>
    <t>125 Snowden Lane</t>
  </si>
  <si>
    <t>Isaac, Daniel</t>
  </si>
  <si>
    <t>8493 VT ROUTE 113 POST MILLS VT 05058</t>
  </si>
  <si>
    <t>000W4H-1</t>
  </si>
  <si>
    <t>Toby Cottage</t>
  </si>
  <si>
    <t>8493 VT Route 113</t>
  </si>
  <si>
    <t>66 CHERRY LN BURLINGTON VT 05401</t>
  </si>
  <si>
    <t>000W4P-1</t>
  </si>
  <si>
    <t>66 Cherry Ln</t>
  </si>
  <si>
    <t>Wee Bee Nature</t>
  </si>
  <si>
    <t>109 WHIPPLE HOLLOW ROAD WEST RUTLAND VT 05777</t>
  </si>
  <si>
    <t>000W4V-1</t>
  </si>
  <si>
    <t>Shanholzter-Home</t>
  </si>
  <si>
    <t>Melissa Shanholtzer</t>
  </si>
  <si>
    <t>109 Whipple Hollow Road</t>
  </si>
  <si>
    <t>Gallitano, Laura</t>
  </si>
  <si>
    <t>654 COGSWELL STREET GRANITEVILLE VT 05654</t>
  </si>
  <si>
    <t>000W52-1</t>
  </si>
  <si>
    <t>Gallitano-Home Yard</t>
  </si>
  <si>
    <t>Laura Gallitano</t>
  </si>
  <si>
    <t>654 Cogswell Street</t>
  </si>
  <si>
    <t>Graniteville</t>
  </si>
  <si>
    <t>Mad Rive Access</t>
  </si>
  <si>
    <t>3301 ROUTE 100 S WARREN VT 05674</t>
  </si>
  <si>
    <t>000W57-1</t>
  </si>
  <si>
    <t>Nick Hayer</t>
  </si>
  <si>
    <t>3301 Route 100 S</t>
  </si>
  <si>
    <t>Harris, Anne</t>
  </si>
  <si>
    <t>1286 PRATT ROAD JEFFERSONVILLE VT 05464</t>
  </si>
  <si>
    <t>000W5K-1</t>
  </si>
  <si>
    <t>&lt;High&gt;</t>
  </si>
  <si>
    <t>Anne &amp; Dick Harris</t>
  </si>
  <si>
    <t>1286 Pratt Road</t>
  </si>
  <si>
    <t>cambridge</t>
  </si>
  <si>
    <t>Terhune, Lea</t>
  </si>
  <si>
    <t>63 APPLETREE POINT LANE BURLINGTON VT 05401</t>
  </si>
  <si>
    <t>000W5V-1</t>
  </si>
  <si>
    <t>&lt;Small&gt;</t>
  </si>
  <si>
    <t>63 Appletree Point Lane</t>
  </si>
  <si>
    <t>Benoit, Mitchell</t>
  </si>
  <si>
    <t>834 RT 131 CAVENDISH VT 05142</t>
  </si>
  <si>
    <t>000W5W-1</t>
  </si>
  <si>
    <t>Mitchell Benoit</t>
  </si>
  <si>
    <t>834 Rt 131</t>
  </si>
  <si>
    <t>Chad Tribou, Sharon Irwin</t>
  </si>
  <si>
    <t>294 ROUTE 12 HARTLAND VT 05048</t>
  </si>
  <si>
    <t>000W5Y-1</t>
  </si>
  <si>
    <t>Sharon Irwin Chad Tribou</t>
  </si>
  <si>
    <t>294 Route 12</t>
  </si>
  <si>
    <t>West, Ethan</t>
  </si>
  <si>
    <t>234 CAPE LOOKOFF RD GOSHEN VT 05733</t>
  </si>
  <si>
    <t>000W5X-1</t>
  </si>
  <si>
    <t>Humphrey</t>
  </si>
  <si>
    <t>Sam Stagg</t>
  </si>
  <si>
    <t>460 Humphrey Road</t>
  </si>
  <si>
    <t>000W5X-2</t>
  </si>
  <si>
    <t>West Creek</t>
  </si>
  <si>
    <t>Larry Haselton</t>
  </si>
  <si>
    <t>2847 West Creek Road</t>
  </si>
  <si>
    <t>Trukenbrod Mill and Bakery</t>
  </si>
  <si>
    <t>775 ABE JACOBS ROAD CORINTH VT 05039</t>
  </si>
  <si>
    <t>000W61-1</t>
  </si>
  <si>
    <t>John Mellquist</t>
  </si>
  <si>
    <t>775 Abe Jacobs Road</t>
  </si>
  <si>
    <t>153 TRACY DRIVE BURLINGTON VT 05408</t>
  </si>
  <si>
    <t>000W62-1</t>
  </si>
  <si>
    <t>John Kleptz</t>
  </si>
  <si>
    <t>Grech, Alexander, III</t>
  </si>
  <si>
    <t>30 DAHLBERGH ROAD ST JOHNSBURY VT 05819</t>
  </si>
  <si>
    <t>000W64-1</t>
  </si>
  <si>
    <t>Back Field</t>
  </si>
  <si>
    <t>Grech</t>
  </si>
  <si>
    <t>30 Dahlbergh Road</t>
  </si>
  <si>
    <t>00088H-57</t>
  </si>
  <si>
    <t>Farney</t>
  </si>
  <si>
    <t>00082C-2</t>
  </si>
  <si>
    <t>Eldred, Christine</t>
  </si>
  <si>
    <t>2528 KELLOGG ROAD ST ALBANS VT 05488</t>
  </si>
  <si>
    <t>000W69-1</t>
  </si>
  <si>
    <t>&lt;I don't recall the level, I did an alcohol wash + found 13 mites in a half cup of bees&gt;</t>
  </si>
  <si>
    <t>Christine Eldred and Jason Barney</t>
  </si>
  <si>
    <t>2528 Kellogg Road</t>
  </si>
  <si>
    <t>Brown, Deborah</t>
  </si>
  <si>
    <t>52 GREENHILL PKWY BRATTLEBORO VT 05301</t>
  </si>
  <si>
    <t>000W6A-1</t>
  </si>
  <si>
    <t>Deborah Brown</t>
  </si>
  <si>
    <t>52 Greenhill Pkwy</t>
  </si>
  <si>
    <t>Richard, Alyssa &amp; Edward</t>
  </si>
  <si>
    <t>440 BAYLEY-HAZEN ROAD WALDEN VT 05843</t>
  </si>
  <si>
    <t>000W6B-1</t>
  </si>
  <si>
    <t>Edward &amp; Alyssa Richard</t>
  </si>
  <si>
    <t>440 Bayley-Hazen Road</t>
  </si>
  <si>
    <t>Jackson, Steven</t>
  </si>
  <si>
    <t>486 FAIRFIELD ROAD BAKERSFIELD VT 05441</t>
  </si>
  <si>
    <t>000W6F-1</t>
  </si>
  <si>
    <t>Steven Jackson</t>
  </si>
  <si>
    <t>486 Fairfield Road</t>
  </si>
  <si>
    <t>Williams, Jill M</t>
  </si>
  <si>
    <t>140 NANCY LANE BROOKFIELD VT 05036</t>
  </si>
  <si>
    <t>000W6G-1</t>
  </si>
  <si>
    <t>Jill Williams</t>
  </si>
  <si>
    <t>140 Nancy Lane</t>
  </si>
  <si>
    <t>1492 EAST HILL ROAD ANDOVER VT 05143</t>
  </si>
  <si>
    <t>000W6H-1</t>
  </si>
  <si>
    <t>Harlows</t>
  </si>
  <si>
    <t>Paul Harlow</t>
  </si>
  <si>
    <t>6365 US 5</t>
  </si>
  <si>
    <t>Northcountry Bees</t>
  </si>
  <si>
    <t>2 CANOE ROAD EXT GRAND ISLE VT 05458</t>
  </si>
  <si>
    <t>000W6K-1</t>
  </si>
  <si>
    <t>&lt;Treated, not counted; mite load very high in 1st week of August, removed supers+ treated early&gt;</t>
  </si>
  <si>
    <t>Grenon-home</t>
  </si>
  <si>
    <t>Jeremy Grenon</t>
  </si>
  <si>
    <t>2 Canoe Road Ext.</t>
  </si>
  <si>
    <t>000W6K-2</t>
  </si>
  <si>
    <t>Grennys</t>
  </si>
  <si>
    <t>Jerry Grenon</t>
  </si>
  <si>
    <t>122 Adams School Road</t>
  </si>
  <si>
    <t>Butterfield's Bees</t>
  </si>
  <si>
    <t>97 RAY FORREST ROAD BRANDON VT 05733</t>
  </si>
  <si>
    <t>000W71-1</t>
  </si>
  <si>
    <t>David Butterfield</t>
  </si>
  <si>
    <t>97 Ray Forrest Road</t>
  </si>
  <si>
    <t>Botanical Springs</t>
  </si>
  <si>
    <t>525 GREEN MOUNTAIN ROAD RICHFORD VT 05476</t>
  </si>
  <si>
    <t>000W74-1</t>
  </si>
  <si>
    <t>Fransesco Capaldi</t>
  </si>
  <si>
    <t>525 Green Mountain Road</t>
  </si>
  <si>
    <t>000W74-2</t>
  </si>
  <si>
    <t>Gary Draper</t>
  </si>
  <si>
    <t>3431 Tyler Branch Road</t>
  </si>
  <si>
    <t>Wantastiquet Farm</t>
  </si>
  <si>
    <t>770 RTE 100 WESTON VT 05161</t>
  </si>
  <si>
    <t>000W7D-1</t>
  </si>
  <si>
    <t>Wantastiquet</t>
  </si>
  <si>
    <t>770 Rte 100</t>
  </si>
  <si>
    <t>000W7D-2</t>
  </si>
  <si>
    <t>Giles</t>
  </si>
  <si>
    <t>Giles Roberts</t>
  </si>
  <si>
    <t>Priest, Gretchen</t>
  </si>
  <si>
    <t>125 CRANBERRY MEADOW EAST CALAIS VT 05650</t>
  </si>
  <si>
    <t>000W7H-1</t>
  </si>
  <si>
    <t>Shao Shan Honey</t>
  </si>
  <si>
    <t>Gretchen Priest</t>
  </si>
  <si>
    <t>359 Cranberry Meadow</t>
  </si>
  <si>
    <t>Rush's Family Farm</t>
  </si>
  <si>
    <t>99 ROUNDS ROAD FAIRFAX VT 05454</t>
  </si>
  <si>
    <t>000W7J-1</t>
  </si>
  <si>
    <t>&lt;A LOT&gt;</t>
  </si>
  <si>
    <t>sugar house</t>
  </si>
  <si>
    <t>DKKE Inc</t>
  </si>
  <si>
    <t>0 Seymour Road</t>
  </si>
  <si>
    <t>Lafirira, Wendy</t>
  </si>
  <si>
    <t>119 GEORGE STREET EAST CALAIS VT 05650</t>
  </si>
  <si>
    <t>000W7N-1</t>
  </si>
  <si>
    <t>100 acre Apiary</t>
  </si>
  <si>
    <t>Lafirira</t>
  </si>
  <si>
    <t>119 George Street</t>
  </si>
  <si>
    <t>Duboff, Lynn</t>
  </si>
  <si>
    <t>237 HAWLEY LANE RUTLAND VT 05701</t>
  </si>
  <si>
    <t>000W7Z-1</t>
  </si>
  <si>
    <t>Duboff-Home Yard</t>
  </si>
  <si>
    <t>Lynn Duboff</t>
  </si>
  <si>
    <t>237 Hawley Lane</t>
  </si>
  <si>
    <t>Davis, Jeff</t>
  </si>
  <si>
    <t>1964 WEST ROAD IRA VT 05777</t>
  </si>
  <si>
    <t>00058V-1</t>
  </si>
  <si>
    <t>Jeff and Karen davis</t>
  </si>
  <si>
    <t>1964 West Road</t>
  </si>
  <si>
    <t>Ward, Dana</t>
  </si>
  <si>
    <t>479 JUSTIN MORRILL HWY STRAFFORD VT 05072</t>
  </si>
  <si>
    <t>000W8H-1</t>
  </si>
  <si>
    <t>&lt;5 per 100 bees&gt;</t>
  </si>
  <si>
    <t>Ward Home Yard</t>
  </si>
  <si>
    <t>Dana Ward &amp; Tina Moses</t>
  </si>
  <si>
    <t>479 Justin Morrill Hwy</t>
  </si>
  <si>
    <t>Rhode, Solon</t>
  </si>
  <si>
    <t>522 BOUPLON HOLLOW ROAD NORTH BENNINGTON VT 05257</t>
  </si>
  <si>
    <t>000W8N-1</t>
  </si>
  <si>
    <t>Rhode Home Yard</t>
  </si>
  <si>
    <t>Solon Rhode</t>
  </si>
  <si>
    <t>522 Bouplon Hollow Road</t>
  </si>
  <si>
    <t>Baraw, Shawn &amp; Angel</t>
  </si>
  <si>
    <t>624 PRESCOTT DRIVE CRAFTSBURY VT 05826</t>
  </si>
  <si>
    <t>000W8P-1</t>
  </si>
  <si>
    <t>Black River Apiary &amp; Honey</t>
  </si>
  <si>
    <t>Linda Bruce and Shawn &amp; Angel Baraw</t>
  </si>
  <si>
    <t>624 Prescott Drive</t>
  </si>
  <si>
    <t>Cline, Andrea</t>
  </si>
  <si>
    <t>125 WINTERBIRD ROAD STOWE VT 05672</t>
  </si>
  <si>
    <t>000W8V-1</t>
  </si>
  <si>
    <t>Cline-Home Yard</t>
  </si>
  <si>
    <t>Andrea &amp; Brett Cline</t>
  </si>
  <si>
    <t>125 Winterbird Road</t>
  </si>
  <si>
    <t>Anna Bourakovsky, Seth Mullendore</t>
  </si>
  <si>
    <t>963 EAST HILL ROAD PLAINFIELD VT 05667</t>
  </si>
  <si>
    <t>000XHJ-1</t>
  </si>
  <si>
    <t>Anna Bourakovsky &amp; Seth Mullendore</t>
  </si>
  <si>
    <t>963 East Hill Road</t>
  </si>
  <si>
    <t>Gautney, Karen</t>
  </si>
  <si>
    <t>1778 GOULDEN RIDGE RD SPRINGFIELD VT 05156</t>
  </si>
  <si>
    <t>000XHX-1</t>
  </si>
  <si>
    <t>Gautney-Home Yard</t>
  </si>
  <si>
    <t>Karen Gautney</t>
  </si>
  <si>
    <t>1778 Goulden Ridge</t>
  </si>
  <si>
    <t>Washburn, Mark &amp; Brenda</t>
  </si>
  <si>
    <t>3225 PLEASANT ST BETHEL VT 05032</t>
  </si>
  <si>
    <t>000XJ4-1</t>
  </si>
  <si>
    <t>Washburn-Home Yard</t>
  </si>
  <si>
    <t>Mark &amp; Brenda Washburn</t>
  </si>
  <si>
    <t>3225 Pleasant St.</t>
  </si>
  <si>
    <t>Norton, David</t>
  </si>
  <si>
    <t>BOX 221 S STRAFFORD VT 05070</t>
  </si>
  <si>
    <t>000XJ6-1</t>
  </si>
  <si>
    <t>M.L. Pierson</t>
  </si>
  <si>
    <t>20 Powell Road</t>
  </si>
  <si>
    <t>Mostov, Neal</t>
  </si>
  <si>
    <t>683 SOUTH HILL ROAD MORETOWN VT 05660 - WASHINGTON</t>
  </si>
  <si>
    <t>000XJ7-1</t>
  </si>
  <si>
    <t>Mostov</t>
  </si>
  <si>
    <t>683 South Hill Rd</t>
  </si>
  <si>
    <t>Endicott, John P</t>
  </si>
  <si>
    <t>205 HAPPY VALLEY ROAD TAFTSVILLE VT 05073</t>
  </si>
  <si>
    <t>000XJ8-1</t>
  </si>
  <si>
    <t>Endicott-Home Yard</t>
  </si>
  <si>
    <t>John Endicott</t>
  </si>
  <si>
    <t>205 Happy Valley Road</t>
  </si>
  <si>
    <t>Taftsville</t>
  </si>
  <si>
    <t>Melamed, Steven</t>
  </si>
  <si>
    <t>28 NOTCH ROAD MIDDLESEX VT 05602</t>
  </si>
  <si>
    <t>000XJA-1</t>
  </si>
  <si>
    <t>Melamed home yard</t>
  </si>
  <si>
    <t>Steven Melamed</t>
  </si>
  <si>
    <t>28 Notch Road</t>
  </si>
  <si>
    <t>Torcoletti, Tara J</t>
  </si>
  <si>
    <t>210 LAWRENCE DRIVE WEST TOWNSHEND VT 05359-9713 - WINDHAM</t>
  </si>
  <si>
    <t>000XJB-1</t>
  </si>
  <si>
    <t>Torcoletti home yard</t>
  </si>
  <si>
    <t>Tara Torcoletti</t>
  </si>
  <si>
    <t>210 Lawrence Drive</t>
  </si>
  <si>
    <t>05359-9713</t>
  </si>
  <si>
    <t>Priscilla White</t>
  </si>
  <si>
    <t>514 DONER ROAD CALAIS VT 05648</t>
  </si>
  <si>
    <t>000XJZ-1</t>
  </si>
  <si>
    <t>White-Home Yard</t>
  </si>
  <si>
    <t>514 Doner Road</t>
  </si>
  <si>
    <t>0008DK-6</t>
  </si>
  <si>
    <t>Rt 7 A</t>
  </si>
  <si>
    <t>Dennis Murry</t>
  </si>
  <si>
    <t>Rt 7A Settler Road</t>
  </si>
  <si>
    <t>McDowell, Suzanne</t>
  </si>
  <si>
    <t>75 BOB WHITE LANE NORWICH VT 05055 - WASHINGTON</t>
  </si>
  <si>
    <t>000XK1-1</t>
  </si>
  <si>
    <t>McDowell &amp; Higgins</t>
  </si>
  <si>
    <t>75 Bob White Lane</t>
  </si>
  <si>
    <t>0008DK-7</t>
  </si>
  <si>
    <t>Andrew</t>
  </si>
  <si>
    <t>47 Hidden Valley Road</t>
  </si>
  <si>
    <t>Fisher, Ellen</t>
  </si>
  <si>
    <t>4738 VERMONT 7A SHAFTSBURY VT 05262 - BENNINGTON</t>
  </si>
  <si>
    <t>000XK2-1</t>
  </si>
  <si>
    <t>4738 Vermont 7A</t>
  </si>
  <si>
    <t>Thibault, Garrett</t>
  </si>
  <si>
    <t>583 AUGER HOLD ROAD BARTON VT 05822</t>
  </si>
  <si>
    <t>000XK3-1</t>
  </si>
  <si>
    <t>Thibault-Home Yard</t>
  </si>
  <si>
    <t>Garrett Thibault</t>
  </si>
  <si>
    <t>583 Auger Hold Road</t>
  </si>
  <si>
    <t>Pattee Hill Farm</t>
  </si>
  <si>
    <t>144 PATTEE HILL ROAD GEORGIA VT 05468</t>
  </si>
  <si>
    <t>000XK9-1</t>
  </si>
  <si>
    <t>Donald Vickers</t>
  </si>
  <si>
    <t>144 Pattee Hill Road</t>
  </si>
  <si>
    <t>Francis, Brock</t>
  </si>
  <si>
    <t>699 HAYDEN HILL ROAD WEST HINESBURG VT 05461</t>
  </si>
  <si>
    <t>000XKF-1</t>
  </si>
  <si>
    <t>BDR 529</t>
  </si>
  <si>
    <t>Brock &amp; Kristine Francis</t>
  </si>
  <si>
    <t>699 Hayden Hill Road West</t>
  </si>
  <si>
    <t>Landis-Marinello, Kyle</t>
  </si>
  <si>
    <t>46 BEAR SWAMP ROAD MIDDLESEX VT 05602 - WASHINGTON</t>
  </si>
  <si>
    <t>000XKK-1</t>
  </si>
  <si>
    <t>Kyle &amp; Talitha Landis-Marinello</t>
  </si>
  <si>
    <t>46 Bear Swamp Road</t>
  </si>
  <si>
    <t>Stetson, Arthur</t>
  </si>
  <si>
    <t>6014 ETHAN ALLEN HWY APT 2 ST ALBANS VT 05478</t>
  </si>
  <si>
    <t>000XKM-1</t>
  </si>
  <si>
    <t>Stetson-Home Yard</t>
  </si>
  <si>
    <t>Jeff</t>
  </si>
  <si>
    <t>6014 Ethan Allen Hwy Apt # 2</t>
  </si>
  <si>
    <t>000XKM-2</t>
  </si>
  <si>
    <t>372 Lake Road Milton</t>
  </si>
  <si>
    <t>Brain</t>
  </si>
  <si>
    <t>372 Lake Rd</t>
  </si>
  <si>
    <t>Macchia, Carmen</t>
  </si>
  <si>
    <t>894 HOWARD HILL ROAD ANDOVER VT 05143</t>
  </si>
  <si>
    <t>000XKX-1</t>
  </si>
  <si>
    <t>Macchia Home Yard</t>
  </si>
  <si>
    <t>Carmen Macchia</t>
  </si>
  <si>
    <t>894 Howard Hill Road</t>
  </si>
  <si>
    <t>Goodman, Jessica</t>
  </si>
  <si>
    <t>PO BOX 5 PROCTORSVILLE VT 05153</t>
  </si>
  <si>
    <t>000XM2-1</t>
  </si>
  <si>
    <t>Jessica Goodman</t>
  </si>
  <si>
    <t>17 Pratt Hill</t>
  </si>
  <si>
    <t>Green Mountain Honey</t>
  </si>
  <si>
    <t>135 HANNA ROAD HIGHGATE CENTER VT 05459</t>
  </si>
  <si>
    <t>000XM3-1</t>
  </si>
  <si>
    <t>Ray Gagner</t>
  </si>
  <si>
    <t>Cindy Shedrick</t>
  </si>
  <si>
    <t>135 Hanna Road</t>
  </si>
  <si>
    <t>000XM3-2</t>
  </si>
  <si>
    <t>Eugene Gagner</t>
  </si>
  <si>
    <t>185 Boucher Road</t>
  </si>
  <si>
    <t>000XM3-3</t>
  </si>
  <si>
    <t>1210 Lamkin Street</t>
  </si>
  <si>
    <t>Norcross, Thomas</t>
  </si>
  <si>
    <t>431 BROWNS TRACE ROAD JERICHO VT 05465 - CHITTENDEN</t>
  </si>
  <si>
    <t>00097F-2</t>
  </si>
  <si>
    <t>431 Browns Trace Road</t>
  </si>
  <si>
    <t>Thomas Norcros</t>
  </si>
  <si>
    <t>000V4D-2</t>
  </si>
  <si>
    <t>441 Lake Road</t>
  </si>
  <si>
    <t>Burt Monyard</t>
  </si>
  <si>
    <t>000V4D-3</t>
  </si>
  <si>
    <t>157 Barnum Road</t>
  </si>
  <si>
    <t>Adriane Rainville</t>
  </si>
  <si>
    <t>000QYX-2</t>
  </si>
  <si>
    <t>Intervail Community Farms</t>
  </si>
  <si>
    <t>283 Intervail Road</t>
  </si>
  <si>
    <t>000ND6-2</t>
  </si>
  <si>
    <t>303 LLoyd Road</t>
  </si>
  <si>
    <t>Krystal Jenners</t>
  </si>
  <si>
    <t>303 Lloyd Road</t>
  </si>
  <si>
    <t>Rainbow Mountain Apiary LLC</t>
  </si>
  <si>
    <t>2825 DOG POND ROAD WOODBURY VT 05681</t>
  </si>
  <si>
    <t>000XMC-1</t>
  </si>
  <si>
    <t>Caryn Leistner</t>
  </si>
  <si>
    <t>Coughlin-Galbraith, Eli K</t>
  </si>
  <si>
    <t>105 WINTER ST 1 BRATTLEBORO VT 05301</t>
  </si>
  <si>
    <t>000XMN-1</t>
  </si>
  <si>
    <t>Coughlin-Galbraith Home Yard</t>
  </si>
  <si>
    <t>James K Galbraith</t>
  </si>
  <si>
    <t>000QQ0-2</t>
  </si>
  <si>
    <t>McDermid, Leese S</t>
  </si>
  <si>
    <t>181 W HILL RD ENOSBURG FALLS VT 05450</t>
  </si>
  <si>
    <t>000XN6-1</t>
  </si>
  <si>
    <t>Stanion</t>
  </si>
  <si>
    <t>00084K-3</t>
  </si>
  <si>
    <t>Crane</t>
  </si>
  <si>
    <t>2777 Portland St</t>
  </si>
  <si>
    <t>0008W6-5</t>
  </si>
  <si>
    <t>Bill Marcinkowski</t>
  </si>
  <si>
    <t>360 Vine Street</t>
  </si>
  <si>
    <t>Drugan, Pat</t>
  </si>
  <si>
    <t>300 GROVE STREET UNIT 6 RUTLAND VT 05701</t>
  </si>
  <si>
    <t>000NKJ-1</t>
  </si>
  <si>
    <t>Schoolhouse Hill</t>
  </si>
  <si>
    <t>a friend</t>
  </si>
  <si>
    <t>Schoolhouse Hill Road</t>
  </si>
  <si>
    <t>Finelli, Janis</t>
  </si>
  <si>
    <t>2181 S HILL ROAD WAITSFIELD VT 05660</t>
  </si>
  <si>
    <t>000XP3-1</t>
  </si>
  <si>
    <t>Finelli-Home Yard</t>
  </si>
  <si>
    <t>Janis Finelli</t>
  </si>
  <si>
    <t>2181 S Hill Road</t>
  </si>
  <si>
    <t>Alexander, Aaron</t>
  </si>
  <si>
    <t>41 BLISS ROAD MARSHFIELD VT 05658</t>
  </si>
  <si>
    <t>000QAZ-1</t>
  </si>
  <si>
    <t>Aaron Alexander</t>
  </si>
  <si>
    <t>41 Bliss Road</t>
  </si>
  <si>
    <t>000V4W-2</t>
  </si>
  <si>
    <t>&lt;3-5&gt;</t>
  </si>
  <si>
    <t>Ralf Shaw</t>
  </si>
  <si>
    <t>000W3M-2</t>
  </si>
  <si>
    <t>Joe &amp; Emily Pearl</t>
  </si>
  <si>
    <t>186 Evergreen Lane</t>
  </si>
  <si>
    <t>0007K0-32</t>
  </si>
  <si>
    <t>Chipman Hill</t>
  </si>
  <si>
    <t>Chas Mraz</t>
  </si>
  <si>
    <t>Springside Heights</t>
  </si>
  <si>
    <t>0007K0-33</t>
  </si>
  <si>
    <t>Bill</t>
  </si>
  <si>
    <t>Bill Mraz</t>
  </si>
  <si>
    <t>Seminary St</t>
  </si>
  <si>
    <t>000JQZ-2</t>
  </si>
  <si>
    <t>P Mazza</t>
  </si>
  <si>
    <t>Full Plate Farm</t>
  </si>
  <si>
    <t>440 MILLER ROAD EAST DUMMERSTON VT 05346</t>
  </si>
  <si>
    <t>000XPX-1</t>
  </si>
  <si>
    <t>Matthew Crowley Laura Hecht</t>
  </si>
  <si>
    <t>440 Miller Road</t>
  </si>
  <si>
    <t>East Dummerston</t>
  </si>
  <si>
    <t>0007GW-6</t>
  </si>
  <si>
    <t>337 West St.</t>
  </si>
  <si>
    <t>000NQ4-2</t>
  </si>
  <si>
    <t>Stephen Kapusta</t>
  </si>
  <si>
    <t>1290 East St</t>
  </si>
  <si>
    <t>000NQ4-3</t>
  </si>
  <si>
    <t>Kevin Bombardier</t>
  </si>
  <si>
    <t>134 Crown Point N</t>
  </si>
  <si>
    <t>The Shaman's Touch Apiary</t>
  </si>
  <si>
    <t>217 URBAN ROAD CABOT VT 05647</t>
  </si>
  <si>
    <t>000XQ0-1</t>
  </si>
  <si>
    <t>Cyrus Pond</t>
  </si>
  <si>
    <t>217 Urban Road</t>
  </si>
  <si>
    <t>Cabot Smith Farm</t>
  </si>
  <si>
    <t>391 SMITH ROAD CABOT VT 05467</t>
  </si>
  <si>
    <t>000XQ2-1</t>
  </si>
  <si>
    <t>391 Smith Road</t>
  </si>
  <si>
    <t>000N5F-2</t>
  </si>
  <si>
    <t>&lt;Treated with strips&gt;</t>
  </si>
  <si>
    <t>Bruno Murphy</t>
  </si>
  <si>
    <t>69 Ashe Road</t>
  </si>
  <si>
    <t>Hodgdon, Marcey</t>
  </si>
  <si>
    <t>56 TURCOTTE RD WOLCOTT VT 05680</t>
  </si>
  <si>
    <t>000XQH-1</t>
  </si>
  <si>
    <t>56 Turcotte Rd</t>
  </si>
  <si>
    <t>Riker, Jack&amp; Maureen</t>
  </si>
  <si>
    <t>27 VAN CORTLAND ROAD BRANDON VT 05733</t>
  </si>
  <si>
    <t>000XVF-1</t>
  </si>
  <si>
    <t>Jack &amp; Maureen Riker</t>
  </si>
  <si>
    <t>27 Van Cortland Road</t>
  </si>
  <si>
    <t>Heroway Farm LLC</t>
  </si>
  <si>
    <t>3821 US ROUTE 2 NORTH HERO VT 05474</t>
  </si>
  <si>
    <t>000XW1-1</t>
  </si>
  <si>
    <t>Jane Way</t>
  </si>
  <si>
    <t>3821 US Route 2</t>
  </si>
  <si>
    <t>000M83-38</t>
  </si>
  <si>
    <t>FH</t>
  </si>
  <si>
    <t>000M83-39</t>
  </si>
  <si>
    <t>FM</t>
  </si>
  <si>
    <t>Paul Horton</t>
  </si>
  <si>
    <t>Deemer (Api Chicks), Kathy</t>
  </si>
  <si>
    <t>70 MOSS GLENN LANE SOUTH BURLINGTON VT 05403</t>
  </si>
  <si>
    <t>000XYD-1</t>
  </si>
  <si>
    <t>Kathy Deemer Home yard</t>
  </si>
  <si>
    <t>Kathy Deemer</t>
  </si>
  <si>
    <t>70 Moss Glenn Lane</t>
  </si>
  <si>
    <t>Peck, Loren</t>
  </si>
  <si>
    <t>532 PARAN ROAD NORTH BENNINGTON VT 05257</t>
  </si>
  <si>
    <t>000Y05-1</t>
  </si>
  <si>
    <t>Loren and Hilary Peck</t>
  </si>
  <si>
    <t>532 Paran Road</t>
  </si>
  <si>
    <t>Behrens, Isaac</t>
  </si>
  <si>
    <t>254 ELM STREET APT 3 MONTPELIER VT 05602</t>
  </si>
  <si>
    <t>000Y1M-1</t>
  </si>
  <si>
    <t>Green Street</t>
  </si>
  <si>
    <t>Christopher Guertin</t>
  </si>
  <si>
    <t>114 Green St</t>
  </si>
  <si>
    <t>HALL APIARIES</t>
  </si>
  <si>
    <t>374 ROUTE 12A PLAINFIELD NH 03781</t>
  </si>
  <si>
    <t>000Y23-1</t>
  </si>
  <si>
    <t>Path of Life</t>
  </si>
  <si>
    <t>Terry McDonald</t>
  </si>
  <si>
    <t>000Y23-2</t>
  </si>
  <si>
    <t>Killdeer</t>
  </si>
  <si>
    <t>Jake Guest</t>
  </si>
  <si>
    <t>000Y23-3</t>
  </si>
  <si>
    <t>Farrell Farm</t>
  </si>
  <si>
    <t>Bob Sherwin</t>
  </si>
  <si>
    <t>000Y23-4</t>
  </si>
  <si>
    <t>Jeff Boggie</t>
  </si>
  <si>
    <t>000Y23-5</t>
  </si>
  <si>
    <t>ELY</t>
  </si>
  <si>
    <t>000Y23-6</t>
  </si>
  <si>
    <t>Hartland Nuc Yard</t>
  </si>
  <si>
    <t>Brian</t>
  </si>
  <si>
    <t>000Y23-7</t>
  </si>
  <si>
    <t>Mating Yard #2</t>
  </si>
  <si>
    <t>Ed Micheum</t>
  </si>
  <si>
    <t>North Hartland</t>
  </si>
  <si>
    <t>MATTERA, STEVE</t>
  </si>
  <si>
    <t>48 MILO WHITE ROAD JERICHO VT 05465</t>
  </si>
  <si>
    <t>000Y2Z-1</t>
  </si>
  <si>
    <t>48 MILO WHITE ROAD</t>
  </si>
  <si>
    <t>JERICHO</t>
  </si>
  <si>
    <t>0008G3-5</t>
  </si>
  <si>
    <t>HHA1</t>
  </si>
  <si>
    <t>Scott Wilson</t>
  </si>
  <si>
    <t>118 Rotax Rd</t>
  </si>
  <si>
    <t>TUCKER, JEROME</t>
  </si>
  <si>
    <t>2616 EAST CLARENDON ROAD NORTH CLARENDON VT 05759</t>
  </si>
  <si>
    <t>000Y3N-1</t>
  </si>
  <si>
    <t>Jerome Tucker</t>
  </si>
  <si>
    <t>2616 EAST CLARENDON ROAD</t>
  </si>
  <si>
    <t>Jones, Eleanor</t>
  </si>
  <si>
    <t>193 NORTH ST WELLS VT 05774</t>
  </si>
  <si>
    <t>000Y92-1</t>
  </si>
  <si>
    <t>Eleanor Jones</t>
  </si>
  <si>
    <t>193 North Street</t>
  </si>
  <si>
    <t>LAMBERT, KIMBERLY</t>
  </si>
  <si>
    <t>196 FITCH HILL ROAD HYDE PARK VT 05655</t>
  </si>
  <si>
    <t>000Y9Q-1</t>
  </si>
  <si>
    <t>Ted &amp; Kim Lambert</t>
  </si>
  <si>
    <t>196 FITCH HILL ROAD</t>
  </si>
  <si>
    <t>HYDE PARK</t>
  </si>
  <si>
    <t>DORSCHNER, CHERYL</t>
  </si>
  <si>
    <t>2361 N WILLISTON ROAD WILLISTON VT 05495</t>
  </si>
  <si>
    <t>000Y9V-1</t>
  </si>
  <si>
    <t>CHERYL DORSCHNER</t>
  </si>
  <si>
    <t>2361 N WILLISTON ROAD</t>
  </si>
  <si>
    <t>WILLISTON</t>
  </si>
  <si>
    <t>BEAUPRE, MARC</t>
  </si>
  <si>
    <t>1726 MONKTON ROAD MONKTON VT 05469</t>
  </si>
  <si>
    <t>000Y9W-1</t>
  </si>
  <si>
    <t>MARC BEAUPRE</t>
  </si>
  <si>
    <t>1726 MONKTON ROAD</t>
  </si>
  <si>
    <t>MONKTON</t>
  </si>
  <si>
    <t>CRAWFORD, JUSTIN &amp; CHRISTEN</t>
  </si>
  <si>
    <t>23 BANK ST NO BENNINGTON VT 05257</t>
  </si>
  <si>
    <t>000Y9X-1</t>
  </si>
  <si>
    <t>Justin Crawford</t>
  </si>
  <si>
    <t>23 BANK ST</t>
  </si>
  <si>
    <t>NO BENNINGTON</t>
  </si>
  <si>
    <t>RAWSON, TESSA</t>
  </si>
  <si>
    <t>127 MOSCOW ROAD STOWE VT 05672</t>
  </si>
  <si>
    <t>000YAY-1</t>
  </si>
  <si>
    <t>TESSA RAWSON</t>
  </si>
  <si>
    <t>127 MOSCOW ROAD</t>
  </si>
  <si>
    <t>STOWE</t>
  </si>
  <si>
    <t>MAZZA, MIKE</t>
  </si>
  <si>
    <t>1059 MIDDLE ROAD COLCHESTER VT 05446</t>
  </si>
  <si>
    <t>000YAZ-1</t>
  </si>
  <si>
    <t>Sweet Treat yard</t>
  </si>
  <si>
    <t>MIKE MAZZA</t>
  </si>
  <si>
    <t>1059 MIDDLE ROAD</t>
  </si>
  <si>
    <t>COLCHESTER</t>
  </si>
  <si>
    <t>Anderson, Kyle</t>
  </si>
  <si>
    <t>28 MAPLE DRIVE GEORGIA VT 05478</t>
  </si>
  <si>
    <t>000YB0-1</t>
  </si>
  <si>
    <t>Kyle Anderson</t>
  </si>
  <si>
    <t>28 Maple Drive</t>
  </si>
  <si>
    <t>Farmor Farm</t>
  </si>
  <si>
    <t>232 THOMPSON HILL NORTHFIELD VT 05663 - WASHINGTON</t>
  </si>
  <si>
    <t>000N11-1</t>
  </si>
  <si>
    <t>Charlie Morse</t>
  </si>
  <si>
    <t>232 Thompson Hill</t>
  </si>
  <si>
    <t>Clark, Gary L</t>
  </si>
  <si>
    <t>1197 UPPER NOTCH ROAD BRISTOL VT 05443</t>
  </si>
  <si>
    <t>000YB2-1</t>
  </si>
  <si>
    <t>Clark-Home Yard</t>
  </si>
  <si>
    <t>Gary Lee Clark</t>
  </si>
  <si>
    <t>Tucker Mountain Apiary</t>
  </si>
  <si>
    <t>170 TUCKER MOUNTAIN ROAD WEST NEWBURY VT 05085</t>
  </si>
  <si>
    <t>000YB3-1</t>
  </si>
  <si>
    <t>Denise Ayers</t>
  </si>
  <si>
    <t>170 Tucker Mountain Road</t>
  </si>
  <si>
    <t>Salyer, Robert</t>
  </si>
  <si>
    <t>414 NOBLE HILL ROAD ENOSBURG FALLS VT 05450 - FRANKLIN</t>
  </si>
  <si>
    <t>000YB4-1</t>
  </si>
  <si>
    <t>Salyer-Home Yard</t>
  </si>
  <si>
    <t>Robert Salyer</t>
  </si>
  <si>
    <t>414 Noble Hill Road</t>
  </si>
  <si>
    <t>THE LITTLE ACRE FARM LLC</t>
  </si>
  <si>
    <t>217 FERRY RAOD FERRISBURGH VT 05491</t>
  </si>
  <si>
    <t>000YB8-1</t>
  </si>
  <si>
    <t>Laura Wright</t>
  </si>
  <si>
    <t>217 FERRY RAOD</t>
  </si>
  <si>
    <t>FERRISBURGH</t>
  </si>
  <si>
    <t>RYAN, CHANTAL</t>
  </si>
  <si>
    <t>1933 HILLVIEW ROAD RICHMOND VT 05477</t>
  </si>
  <si>
    <t>000YB9-1</t>
  </si>
  <si>
    <t>CHANTAL RYAN</t>
  </si>
  <si>
    <t>1933 HILLVIEW ROAD</t>
  </si>
  <si>
    <t>RICHMOND</t>
  </si>
  <si>
    <t>LAROSE, ANDY</t>
  </si>
  <si>
    <t>165 RICHARDSON ROAD ORANGE VT 05641</t>
  </si>
  <si>
    <t>000YBB-1</t>
  </si>
  <si>
    <t>ANDY LAROSE</t>
  </si>
  <si>
    <t>165 RICHARDSON ROAD</t>
  </si>
  <si>
    <t>ORANGE</t>
  </si>
  <si>
    <t>THE HONEY POT APIARY</t>
  </si>
  <si>
    <t>158 CHRISTIAN ST WHITE RIVER JUNCTION VT 05001</t>
  </si>
  <si>
    <t>000YBC-1</t>
  </si>
  <si>
    <t>STEVE DAVIS</t>
  </si>
  <si>
    <t>158 CHRISTIAN ST</t>
  </si>
  <si>
    <t>WHITE RIVER JUNCTION</t>
  </si>
  <si>
    <t>ROCKWOOD, TIM</t>
  </si>
  <si>
    <t>24 COBB HILL ROAD HARTLAND VT 05048</t>
  </si>
  <si>
    <t>000YBD-1</t>
  </si>
  <si>
    <t>Codie Rockwood Trust</t>
  </si>
  <si>
    <t>24 COBB HILL ROAD</t>
  </si>
  <si>
    <t>HARTLAND</t>
  </si>
  <si>
    <t>BARR, CORINNE</t>
  </si>
  <si>
    <t>373 FLETCHER HILL ROAD SOUTH WOODSTOCK VT 05071</t>
  </si>
  <si>
    <t>000YBF-1</t>
  </si>
  <si>
    <t>CORINNE BARR</t>
  </si>
  <si>
    <t>373 FLETCHER HILL ROAD</t>
  </si>
  <si>
    <t>SOUTH WOODSTOCK</t>
  </si>
  <si>
    <t>Giammusso, Michael</t>
  </si>
  <si>
    <t>1337 ADAMANT RD CALAIS VT 05640 - WASHINGTON</t>
  </si>
  <si>
    <t>000YBG-1</t>
  </si>
  <si>
    <t>Michael Giammusso</t>
  </si>
  <si>
    <t>1337 Adamant Rd</t>
  </si>
  <si>
    <t>Whitney, Sandra</t>
  </si>
  <si>
    <t>21 WHITNEY LYMAN DR CHELSEA VT 05038</t>
  </si>
  <si>
    <t>000YBH-1</t>
  </si>
  <si>
    <t>Merrill &amp; Sandra Whitney</t>
  </si>
  <si>
    <t>21 Whitney Lyman Dr</t>
  </si>
  <si>
    <t>Key, James, Jr</t>
  </si>
  <si>
    <t>1329 OLD STAGE RD WESTFORD VT 05494</t>
  </si>
  <si>
    <t>000YBJ-1</t>
  </si>
  <si>
    <t>Mead-Home Yard</t>
  </si>
  <si>
    <t>Mary Mead</t>
  </si>
  <si>
    <t>1329 Old Stage Road</t>
  </si>
  <si>
    <t>Wells, Benjamin &amp; Roger</t>
  </si>
  <si>
    <t>149 DEER RUN LN NEWPORT VT 05855 - ORLEANS</t>
  </si>
  <si>
    <t>000YBK-1</t>
  </si>
  <si>
    <t>Wells-Home Yard</t>
  </si>
  <si>
    <t>Roger Wells</t>
  </si>
  <si>
    <t>149 Deer Run Lane</t>
  </si>
  <si>
    <t>000YBK-2</t>
  </si>
  <si>
    <t>Wells-Home yard 2</t>
  </si>
  <si>
    <t>149 Hudson Rd</t>
  </si>
  <si>
    <t>ADAMS, VICKY</t>
  </si>
  <si>
    <t>3255 LEIGHTON HILL ROAD WELLS RIVER VT 05081</t>
  </si>
  <si>
    <t>000YD3-1</t>
  </si>
  <si>
    <t>VICTORIA and ROBERT ADAMS</t>
  </si>
  <si>
    <t>3255 LEIGHTON HILL ROAD</t>
  </si>
  <si>
    <t>WELLS RIVER</t>
  </si>
  <si>
    <t>Winslow, Kate</t>
  </si>
  <si>
    <t>PO BOX 757 WASHINGTON VT 05675</t>
  </si>
  <si>
    <t>000YD2-1</t>
  </si>
  <si>
    <t>Kate Winslow and Bob Sherman</t>
  </si>
  <si>
    <t>129 Johnson Lane</t>
  </si>
  <si>
    <t>BAZARIAN BEES</t>
  </si>
  <si>
    <t>1155 SAFFORD ROAD QUECHEE VT 05059</t>
  </si>
  <si>
    <t>000YD4-1</t>
  </si>
  <si>
    <t>1155 SAFFORD ROAD</t>
  </si>
  <si>
    <t>QUECHEE</t>
  </si>
  <si>
    <t>Cheryl Gates Home Yard</t>
  </si>
  <si>
    <t>11 APPLE TREE LANE WESTFORD VT 05494</t>
  </si>
  <si>
    <t>000YD5-1</t>
  </si>
  <si>
    <t>Cheryl Gates</t>
  </si>
  <si>
    <t>11 Apple Tree Lane</t>
  </si>
  <si>
    <t>Panic Swamp Farm</t>
  </si>
  <si>
    <t>36 ALLY RD PUTNEY VT 05346</t>
  </si>
  <si>
    <t>000YD7-1</t>
  </si>
  <si>
    <t>Lucia Turino</t>
  </si>
  <si>
    <t>Hyde, Theresa</t>
  </si>
  <si>
    <t>83 SOFTWOOD RD WOLCOTT VT 05680</t>
  </si>
  <si>
    <t>000YD9-1</t>
  </si>
  <si>
    <t>Theresa Hyde</t>
  </si>
  <si>
    <t>83 Softwood Rd</t>
  </si>
  <si>
    <t>Ellsworth-Spooner, Kristina</t>
  </si>
  <si>
    <t>22 S ELM ST ST ALBANS VT 05478</t>
  </si>
  <si>
    <t>000YDA-1</t>
  </si>
  <si>
    <t>Kristina Ellsworth-Spooner</t>
  </si>
  <si>
    <t>22 S Elm St</t>
  </si>
  <si>
    <t>GLEASON, PAMELA</t>
  </si>
  <si>
    <t>65 HIGHLAND LANE JAMAICA VT 05343</t>
  </si>
  <si>
    <t>000YDB-1</t>
  </si>
  <si>
    <t>Personal Hives</t>
  </si>
  <si>
    <t>PAMELA and Arthur GLEASON</t>
  </si>
  <si>
    <t>65 HIGHLAND LANE</t>
  </si>
  <si>
    <t>JAMAICA</t>
  </si>
  <si>
    <t>L'Ecuyer, Samantha</t>
  </si>
  <si>
    <t>12 CASCADE STREET ESSEX JUNCTION VT 05452</t>
  </si>
  <si>
    <t>000YDG-1</t>
  </si>
  <si>
    <t>Samantha L'Ecuyer</t>
  </si>
  <si>
    <t>12 Cascade Street</t>
  </si>
  <si>
    <t>ORR, LINDA DEAN</t>
  </si>
  <si>
    <t>309 SUNRISE ROAD BETHEL VT 05032</t>
  </si>
  <si>
    <t>000YDH-1</t>
  </si>
  <si>
    <t>LINDA and Jerome ORR</t>
  </si>
  <si>
    <t>309 SUNRISE ROAD</t>
  </si>
  <si>
    <t>BETHEL</t>
  </si>
  <si>
    <t>Berger, Maria</t>
  </si>
  <si>
    <t>PO BOX 4 HINESBURG VT 05461-0004</t>
  </si>
  <si>
    <t>000YDM-1</t>
  </si>
  <si>
    <t>Len Duffy</t>
  </si>
  <si>
    <t>1070 Silver St</t>
  </si>
  <si>
    <t>05461-0004</t>
  </si>
  <si>
    <t>Winegar, Richard</t>
  </si>
  <si>
    <t>136 BROOKSIDE LANE HINESBURG VT 05461-0004</t>
  </si>
  <si>
    <t>000YDV-1</t>
  </si>
  <si>
    <t>Richard &amp; Jennifer Winegar</t>
  </si>
  <si>
    <t>136 Brookside Lane</t>
  </si>
  <si>
    <t>GARDNER, KELLY</t>
  </si>
  <si>
    <t>1490 SAWNEE BEAN ROAD THETFORD CENTER VT 05075</t>
  </si>
  <si>
    <t>000YF6-1</t>
  </si>
  <si>
    <t>KELLY GARDNER</t>
  </si>
  <si>
    <t>1490 SAWNEE BEAN ROAD</t>
  </si>
  <si>
    <t>THETFORD CENTER</t>
  </si>
  <si>
    <t>000YF6-2</t>
  </si>
  <si>
    <t>Brian Collins</t>
  </si>
  <si>
    <t>1903 Vershire Center Road</t>
  </si>
  <si>
    <t>STACEY FAMILY APIARY</t>
  </si>
  <si>
    <t>6961 MONUMENT HILL ROAD HUBBARTON VT 05735</t>
  </si>
  <si>
    <t>000YF7-1</t>
  </si>
  <si>
    <t>Stacey Family</t>
  </si>
  <si>
    <t>Shelly &amp; Carl Stacey</t>
  </si>
  <si>
    <t>6961 MONUMENT HILL ROAD</t>
  </si>
  <si>
    <t>HUBBARTON</t>
  </si>
  <si>
    <t>SARGENT, IRA &amp; JUSTIN</t>
  </si>
  <si>
    <t>694 WILLIAMSTOWN ROAD WILLIAMSTOWN VT 05679</t>
  </si>
  <si>
    <t>000YF8-1</t>
  </si>
  <si>
    <t>Brian &amp; Tanya Sargent</t>
  </si>
  <si>
    <t>694 WILLIAMSTOWN ROAD</t>
  </si>
  <si>
    <t>WILLIAMSTOWN</t>
  </si>
  <si>
    <t>Tori's Bees</t>
  </si>
  <si>
    <t>315 E BETHEL RD RANDOLPH VT 05061</t>
  </si>
  <si>
    <t>000YFP-1</t>
  </si>
  <si>
    <t>&lt;2 mite away strips&gt;</t>
  </si>
  <si>
    <t>Managan Home Yard</t>
  </si>
  <si>
    <t>Victoria Managan</t>
  </si>
  <si>
    <t>315 E Bethel Rd</t>
  </si>
  <si>
    <t>Schoville, Nick</t>
  </si>
  <si>
    <t>121 GILLS ROAD BETHEL VT 05032</t>
  </si>
  <si>
    <t>000YFZ-1</t>
  </si>
  <si>
    <t>Schoville Home Yard</t>
  </si>
  <si>
    <t>Nick Schoville</t>
  </si>
  <si>
    <t>121 Gills Road</t>
  </si>
  <si>
    <t>Johnson, Laura</t>
  </si>
  <si>
    <t>2307 BEAVER MEADOW ROAD SHARON VT 05065</t>
  </si>
  <si>
    <t>000YG0-1</t>
  </si>
  <si>
    <t>Richard Johnson</t>
  </si>
  <si>
    <t>2307 Beaver Meadow Road</t>
  </si>
  <si>
    <t>Saunders, Adam</t>
  </si>
  <si>
    <t>122 FOX HAVEN LN GEORGIA VT 05478</t>
  </si>
  <si>
    <t>000YG6-1</t>
  </si>
  <si>
    <t>Saunders home Yard</t>
  </si>
  <si>
    <t>Adam Saunders</t>
  </si>
  <si>
    <t>122 Fox Haven Lane</t>
  </si>
  <si>
    <t>BOX 221 STRAFFORD VT 05070 - ORANGE</t>
  </si>
  <si>
    <t>000XJ5-1</t>
  </si>
  <si>
    <t>&lt;low, 3%&gt;</t>
  </si>
  <si>
    <t>Pierson</t>
  </si>
  <si>
    <t>M L Pierson</t>
  </si>
  <si>
    <t>20Powell Road</t>
  </si>
  <si>
    <t>CICHONOWICZ, TODD</t>
  </si>
  <si>
    <t>500 CHESTER ROAD SPRINGFIELD VT 05156</t>
  </si>
  <si>
    <t>000YGD-1</t>
  </si>
  <si>
    <t>Springfield Town (Windsor)</t>
  </si>
  <si>
    <t>TODD CICHONOWICZ</t>
  </si>
  <si>
    <t>SPRINGFIELD</t>
  </si>
  <si>
    <t>000NMY-2</t>
  </si>
  <si>
    <t>2-Home Yard</t>
  </si>
  <si>
    <t>John Havenstein</t>
  </si>
  <si>
    <t>1576 Ferry Road</t>
  </si>
  <si>
    <t>LADDS, LAURA</t>
  </si>
  <si>
    <t>11 VILLAGE VIEW ROAD WEST DANVILLE VT 05873</t>
  </si>
  <si>
    <t>000YGK-1</t>
  </si>
  <si>
    <t>Ladds- Home Yard</t>
  </si>
  <si>
    <t>LAURA LADDS</t>
  </si>
  <si>
    <t>11 VILLAGE VIEW ROAD</t>
  </si>
  <si>
    <t>WEST DANVILLE</t>
  </si>
  <si>
    <t>WHITING, CHRISTOPHER</t>
  </si>
  <si>
    <t>4328 PINE HILL ROAD NEWPORT VT 05855</t>
  </si>
  <si>
    <t>000YH1-1</t>
  </si>
  <si>
    <t>CHRISTOPHER WHITING</t>
  </si>
  <si>
    <t>4328 PINE HILL ROAD</t>
  </si>
  <si>
    <t>00097Z-3</t>
  </si>
  <si>
    <t>Harriott Shea</t>
  </si>
  <si>
    <t>260 Old Trail Road</t>
  </si>
  <si>
    <t>000MXJ-2</t>
  </si>
  <si>
    <t>Julie Parent Patterson</t>
  </si>
  <si>
    <t>184 Steeple View Drive</t>
  </si>
  <si>
    <t>0007V0-12</t>
  </si>
  <si>
    <t>Jono Chapin</t>
  </si>
  <si>
    <t>402 Hewitt Road</t>
  </si>
  <si>
    <t>0008GQ-9</t>
  </si>
  <si>
    <t>Price</t>
  </si>
  <si>
    <t>Rear of Garden PVT Westford Rd</t>
  </si>
  <si>
    <t>VERMONT BEES LLC</t>
  </si>
  <si>
    <t>444 ZEPHYR ROAD WILLISTON VT 05495-1721</t>
  </si>
  <si>
    <t>000YHA-1</t>
  </si>
  <si>
    <t>Athleen Wagner</t>
  </si>
  <si>
    <t>1998 Upper French Hill Road</t>
  </si>
  <si>
    <t>000YHA-2</t>
  </si>
  <si>
    <t>Darrel Draper</t>
  </si>
  <si>
    <t>15 Reen Drive</t>
  </si>
  <si>
    <t>000YHA-3</t>
  </si>
  <si>
    <t>Stub Earl</t>
  </si>
  <si>
    <t>1876 Belvidere Road</t>
  </si>
  <si>
    <t>000YHA-4</t>
  </si>
  <si>
    <t>John Gordon</t>
  </si>
  <si>
    <t>170 Racine Road</t>
  </si>
  <si>
    <t>000YHA-5</t>
  </si>
  <si>
    <t>Tim Henderson</t>
  </si>
  <si>
    <t>57 Summit Way</t>
  </si>
  <si>
    <t>000YHA-6</t>
  </si>
  <si>
    <t>Tim Kranz</t>
  </si>
  <si>
    <t>961 Lake Road</t>
  </si>
  <si>
    <t>000866-5</t>
  </si>
  <si>
    <t>Ray Ward</t>
  </si>
  <si>
    <t>223 Miller Pond Rd</t>
  </si>
  <si>
    <t>Stilbroke Farm Family Market</t>
  </si>
  <si>
    <t>1313 LUCE ROAD PLAINFIELD VT 05667 - WASHINGTON</t>
  </si>
  <si>
    <t>000FPB-1</t>
  </si>
  <si>
    <t>Brenda George</t>
  </si>
  <si>
    <t>1313 Luce Road</t>
  </si>
  <si>
    <t>0008C6-2</t>
  </si>
  <si>
    <t>Pratt</t>
  </si>
  <si>
    <t>3258 Rd #8A</t>
  </si>
  <si>
    <t>0008C6-3</t>
  </si>
  <si>
    <t>Silverman</t>
  </si>
  <si>
    <t>320 Pratt Road</t>
  </si>
  <si>
    <t>0008GB-7</t>
  </si>
  <si>
    <t>Clare SChick</t>
  </si>
  <si>
    <t>116 Adams Rd</t>
  </si>
  <si>
    <t>FLOAT BRIDGE APIARY LLC</t>
  </si>
  <si>
    <t>619 FLOAT BRIDGE ROAD CASTLETON VT 05735</t>
  </si>
  <si>
    <t>000YJC-1</t>
  </si>
  <si>
    <t>Brian Tomasette</t>
  </si>
  <si>
    <t>619 FLOAT BRIDGE ROAD</t>
  </si>
  <si>
    <t>Northridge Highland Farm</t>
  </si>
  <si>
    <t>182 SHERMAN RD WAITSFIELD VT 05673</t>
  </si>
  <si>
    <t>000YJD-1</t>
  </si>
  <si>
    <t>Mooney home yard</t>
  </si>
  <si>
    <t>Reynold &amp; Hilary Mooney</t>
  </si>
  <si>
    <t>182 Sherman Road</t>
  </si>
  <si>
    <t>000V9X-3</t>
  </si>
  <si>
    <t>Dave Carpenter</t>
  </si>
  <si>
    <t>5292 VT Rt 22A</t>
  </si>
  <si>
    <t>BERRY, THOMAS</t>
  </si>
  <si>
    <t>76 OLD SAWMILL ROAD COLCHESTER VT 05446</t>
  </si>
  <si>
    <t>000YJN-1</t>
  </si>
  <si>
    <t>Berry-Home Yard</t>
  </si>
  <si>
    <t>Thomas &amp; Jeanette Berry</t>
  </si>
  <si>
    <t>76 Old Sawmill Road</t>
  </si>
  <si>
    <t>HOPPER, JESSICA</t>
  </si>
  <si>
    <t>42 NASON STREET SAINT ALBANS VT 05470</t>
  </si>
  <si>
    <t>000YJW-1</t>
  </si>
  <si>
    <t>Hopper-Home Yard</t>
  </si>
  <si>
    <t>Jessica and Ed Hopper</t>
  </si>
  <si>
    <t>42 NASON STREET</t>
  </si>
  <si>
    <t>000M7Z-2</t>
  </si>
  <si>
    <t>East Hill Tree Farm</t>
  </si>
  <si>
    <t>Nicko Rubin</t>
  </si>
  <si>
    <t>3499 East Hill Rd</t>
  </si>
  <si>
    <t>000W5X-3</t>
  </si>
  <si>
    <t>barbra Darling</t>
  </si>
  <si>
    <t>1045 Birch Hill Road</t>
  </si>
  <si>
    <t>000W5X-4</t>
  </si>
  <si>
    <t>Mona Sullivan</t>
  </si>
  <si>
    <t>160 Ferry Road</t>
  </si>
  <si>
    <t>00085P-5</t>
  </si>
  <si>
    <t>Minckler, Deborah- Chicken Run Apiary</t>
  </si>
  <si>
    <t>1402 WEST STREET FAIRFIELD VT 05455</t>
  </si>
  <si>
    <t>000VVH-1</t>
  </si>
  <si>
    <t>&lt;? small or not&gt;</t>
  </si>
  <si>
    <t>Minckler home yard</t>
  </si>
  <si>
    <t>Deborah Minckler</t>
  </si>
  <si>
    <t>1402 West Street</t>
  </si>
  <si>
    <t>Bent, Erin</t>
  </si>
  <si>
    <t>RT 17 STARKSBORO VT 05443</t>
  </si>
  <si>
    <t>000YKB-1</t>
  </si>
  <si>
    <t>Erin Bent home yard</t>
  </si>
  <si>
    <t>Erin Bent</t>
  </si>
  <si>
    <t>586 Vt Rt 17</t>
  </si>
  <si>
    <t>South Starkboro</t>
  </si>
  <si>
    <t>DESORDA, RICK &amp; SANDY</t>
  </si>
  <si>
    <t>147 HEMLOCK DRIVE BRISTOL VT 05443</t>
  </si>
  <si>
    <t>000YKV-1</t>
  </si>
  <si>
    <t>Desorda</t>
  </si>
  <si>
    <t>Richard Desorda</t>
  </si>
  <si>
    <t>147 HEMLOCK DRIVE</t>
  </si>
  <si>
    <t>BRISTOL</t>
  </si>
  <si>
    <t>MINOR, ELIZABETH</t>
  </si>
  <si>
    <t>170 PARK ST APT 2 BURLINGTON VT 05401</t>
  </si>
  <si>
    <t>000YKW-1</t>
  </si>
  <si>
    <t>LOVE BETH &amp; DOUG</t>
  </si>
  <si>
    <t>EMILY HOANG</t>
  </si>
  <si>
    <t>170 PARK STREET</t>
  </si>
  <si>
    <t>BURLINGTON</t>
  </si>
  <si>
    <t>0008DQ-6</t>
  </si>
  <si>
    <t>Larry Young</t>
  </si>
  <si>
    <t>211 Sanderson Hill Road</t>
  </si>
  <si>
    <t>CHERVIN, PAUL</t>
  </si>
  <si>
    <t>265 BURNT MOUNTAIN ROAD WARREN VT 05674</t>
  </si>
  <si>
    <t>000YMD-1</t>
  </si>
  <si>
    <t>CHERVIN-HOME YARD</t>
  </si>
  <si>
    <t>PAUL CHEVRIN</t>
  </si>
  <si>
    <t>265 BURNT MOUNTAIN ROAD</t>
  </si>
  <si>
    <t>Bowen, Rebecca</t>
  </si>
  <si>
    <t>9 ISABEL CIRCLE MONTPELIER VT 05602</t>
  </si>
  <si>
    <t>000VVG-1</t>
  </si>
  <si>
    <t>Bowen home yard</t>
  </si>
  <si>
    <t>Rebecca Bowen</t>
  </si>
  <si>
    <t>9 Isabel Circle</t>
  </si>
  <si>
    <t>WARD, DAVID</t>
  </si>
  <si>
    <t>PO BOX 781 BRATTLEBORO VT 05302</t>
  </si>
  <si>
    <t>000YN2-1</t>
  </si>
  <si>
    <t>Ward-Home Yard</t>
  </si>
  <si>
    <t>David Ward</t>
  </si>
  <si>
    <t>310 Cowpath Road</t>
  </si>
  <si>
    <t>MOOSE RIVER FARMSTEAD</t>
  </si>
  <si>
    <t>951 RTE 2 EAST ST JOHNSBURY VT 05819</t>
  </si>
  <si>
    <t>000YN3-1</t>
  </si>
  <si>
    <t>St. JOHNSBURY</t>
  </si>
  <si>
    <t>951 Rte 2 East</t>
  </si>
  <si>
    <t>Munkres, Susan</t>
  </si>
  <si>
    <t>129 CAROLINE ST BURLINGTON VT 05401</t>
  </si>
  <si>
    <t>000YN7-1</t>
  </si>
  <si>
    <t>Munkres home yard</t>
  </si>
  <si>
    <t>Susan Munkres</t>
  </si>
  <si>
    <t>129 Caroline St</t>
  </si>
  <si>
    <t>NUITE, ZYLA</t>
  </si>
  <si>
    <t>380 HOLMAN DR BROOKFIELD VT 05036</t>
  </si>
  <si>
    <t>000YNC-1</t>
  </si>
  <si>
    <t>Zyla Nuite-Home yard</t>
  </si>
  <si>
    <t>Zyla Nuite</t>
  </si>
  <si>
    <t>380 HOLMAN DR</t>
  </si>
  <si>
    <t>000KH4-2</t>
  </si>
  <si>
    <t>Intercale</t>
  </si>
  <si>
    <t>000JVN-4</t>
  </si>
  <si>
    <t>Richard Dundas</t>
  </si>
  <si>
    <t>109 Chandler Way</t>
  </si>
  <si>
    <t>000JVN-5</t>
  </si>
  <si>
    <t>Amara Farm</t>
  </si>
  <si>
    <t>1228 Skiparee Road</t>
  </si>
  <si>
    <t>000JVN-6</t>
  </si>
  <si>
    <t>Michael Darling</t>
  </si>
  <si>
    <t>370 Palmer Road</t>
  </si>
  <si>
    <t>000JVN-7</t>
  </si>
  <si>
    <t>NW Hill Road</t>
  </si>
  <si>
    <t>0008NN-7</t>
  </si>
  <si>
    <t>208 Vermont 7A</t>
  </si>
  <si>
    <t>HART, SHARON</t>
  </si>
  <si>
    <t>423 WATERMAN ROAD E DUMMERSTON VT 05346</t>
  </si>
  <si>
    <t>000YP3-1</t>
  </si>
  <si>
    <t>Hart-Home Yard</t>
  </si>
  <si>
    <t>Sharon Hart</t>
  </si>
  <si>
    <t>423 WATERMAN ROAD</t>
  </si>
  <si>
    <t>00073W-2</t>
  </si>
  <si>
    <t>Don Campbell</t>
  </si>
  <si>
    <t>HODGSON, SARAH</t>
  </si>
  <si>
    <t>34 DEWEY ROAD FAIRFAX VT 05454</t>
  </si>
  <si>
    <t>000YP7-1</t>
  </si>
  <si>
    <t>Hodgdon Home Yard</t>
  </si>
  <si>
    <t>Sarah and Matthew Hodgdon</t>
  </si>
  <si>
    <t>34 DEWEY ROAD</t>
  </si>
  <si>
    <t>0007D0-2</t>
  </si>
  <si>
    <t>Rainville home yard</t>
  </si>
  <si>
    <t>Raoger Rainville</t>
  </si>
  <si>
    <t>487 Line Road</t>
  </si>
  <si>
    <t>WITTORFF, KIM</t>
  </si>
  <si>
    <t>12 US ROUTE 2 GRAND ISLE VT 05458</t>
  </si>
  <si>
    <t>000YPB-1</t>
  </si>
  <si>
    <t>Queendom</t>
  </si>
  <si>
    <t>MARY ZAMPETI</t>
  </si>
  <si>
    <t>12 US ROUTE</t>
  </si>
  <si>
    <t>GRAND ISLE</t>
  </si>
  <si>
    <t>000XM3-4</t>
  </si>
  <si>
    <t>David Dragon</t>
  </si>
  <si>
    <t>1740 Rice Hill Road</t>
  </si>
  <si>
    <t>000XM3-5</t>
  </si>
  <si>
    <t>Corey McCuin</t>
  </si>
  <si>
    <t>118 Rollo Road</t>
  </si>
  <si>
    <t>KOELSCH, DON &amp; KATHY</t>
  </si>
  <si>
    <t>137 STRATTON ARLINGTON ROAD WEST WARDSBORO VT 05360</t>
  </si>
  <si>
    <t>000YPD-1</t>
  </si>
  <si>
    <t>Koelsch-Home Yard</t>
  </si>
  <si>
    <t>Don &amp; Kathy Koelsch</t>
  </si>
  <si>
    <t>137 STRATTON ARLINGTON ROAD</t>
  </si>
  <si>
    <t>WEST WARDSBORO</t>
  </si>
  <si>
    <t>0008ZN-5</t>
  </si>
  <si>
    <t>CLARK YARD</t>
  </si>
  <si>
    <t>CHRIS CLARK</t>
  </si>
  <si>
    <t>853 VT RT 30</t>
  </si>
  <si>
    <t>BROOKS, MIKE</t>
  </si>
  <si>
    <t>65 ROCKYLEDGE CT VERNON VT 05354</t>
  </si>
  <si>
    <t>000YPF-1</t>
  </si>
  <si>
    <t>Brooks-Home Yard</t>
  </si>
  <si>
    <t>Mike Brooks</t>
  </si>
  <si>
    <t>65 ROCKYLEDGE CT</t>
  </si>
  <si>
    <t>HOLCOMB, ERIK</t>
  </si>
  <si>
    <t>33 S MAIN ST 1 CAMBRIDGE VT 05444</t>
  </si>
  <si>
    <t>000YPJ-1</t>
  </si>
  <si>
    <t>Holcomb-Home Yard</t>
  </si>
  <si>
    <t>Erik Holcomb</t>
  </si>
  <si>
    <t>33 S MAIN ST #1</t>
  </si>
  <si>
    <t>CAMBRIDGE</t>
  </si>
  <si>
    <t>RANDALL, SUSAN</t>
  </si>
  <si>
    <t>536 BREEZY HILL ROAD BARTON VT 05822</t>
  </si>
  <si>
    <t>000YPK-1</t>
  </si>
  <si>
    <t>Earle Randall</t>
  </si>
  <si>
    <t>536 BREEZY HILL ROAD</t>
  </si>
  <si>
    <t>BARTON</t>
  </si>
  <si>
    <t>000W2X-3</t>
  </si>
  <si>
    <t>Sweet Tree Farm</t>
  </si>
  <si>
    <t>1656 VT Rt 5</t>
  </si>
  <si>
    <t>OLD BEAR APIARY</t>
  </si>
  <si>
    <t>1026 LITTLE RIVER FARM ROAD STOWE VT 05672</t>
  </si>
  <si>
    <t>000YPM-1</t>
  </si>
  <si>
    <t>Old Bear Apiary</t>
  </si>
  <si>
    <t>1026 LITTLE RIVER FARM ROAD</t>
  </si>
  <si>
    <t>000YPM-2</t>
  </si>
  <si>
    <t>561 Lower Baird Road</t>
  </si>
  <si>
    <t>BIRGE, SUSAN</t>
  </si>
  <si>
    <t>2642 SEARLES ROAD NORTH TROY VT 05859</t>
  </si>
  <si>
    <t>000YPN-1</t>
  </si>
  <si>
    <t>&lt;Treated: unsure&gt;</t>
  </si>
  <si>
    <t>Susan Birge</t>
  </si>
  <si>
    <t>2642 SEARLES ROAD</t>
  </si>
  <si>
    <t>0007VM-3</t>
  </si>
  <si>
    <t>Turner home yard</t>
  </si>
  <si>
    <t>Turner farm</t>
  </si>
  <si>
    <t>Rt 100 Waitsfield</t>
  </si>
  <si>
    <t>0008B1-2</t>
  </si>
  <si>
    <t>Barrows home yard</t>
  </si>
  <si>
    <t>Tim Barrows</t>
  </si>
  <si>
    <t>3768 Basin Harbor Rd</t>
  </si>
  <si>
    <t>0008B2-7</t>
  </si>
  <si>
    <t>Fortin's apiaries</t>
  </si>
  <si>
    <t>Matthew Fortin</t>
  </si>
  <si>
    <t>495 Truck Route</t>
  </si>
  <si>
    <t>000VVN-3</t>
  </si>
  <si>
    <t>1 Bill home yard</t>
  </si>
  <si>
    <t>000VVN-4</t>
  </si>
  <si>
    <t>3 Siegler home yard</t>
  </si>
  <si>
    <t>Ted &amp; Cindy Siegler</t>
  </si>
  <si>
    <t>00098X-2</t>
  </si>
  <si>
    <t>Wortman home yard</t>
  </si>
  <si>
    <t>Jeremy Wortman</t>
  </si>
  <si>
    <t>32 Straton Rd</t>
  </si>
  <si>
    <t>00098X-3</t>
  </si>
  <si>
    <t>Stickney home yard</t>
  </si>
  <si>
    <t>Peter Stickney</t>
  </si>
  <si>
    <t>376 Corn Hill Rd</t>
  </si>
  <si>
    <t>000AW0-3</t>
  </si>
  <si>
    <t>&lt;Minimum&gt;</t>
  </si>
  <si>
    <t>3 Lynam home yard</t>
  </si>
  <si>
    <t>Lynam</t>
  </si>
  <si>
    <t>979 South Hill Rd</t>
  </si>
  <si>
    <t>000AW0-4</t>
  </si>
  <si>
    <t>&lt;None new&gt;</t>
  </si>
  <si>
    <t>4 Nickerson home yard</t>
  </si>
  <si>
    <t>Nickerson</t>
  </si>
  <si>
    <t>88 Wittier Road</t>
  </si>
  <si>
    <t>000AW0-5</t>
  </si>
  <si>
    <t>5 Killington Ski Resort</t>
  </si>
  <si>
    <t>Killington Ski Resort</t>
  </si>
  <si>
    <t>Skye Base Station</t>
  </si>
  <si>
    <t>Heron's Roost Farm</t>
  </si>
  <si>
    <t>1133 ATWOOD LN WOODSTOCK VT 05091</t>
  </si>
  <si>
    <t>000YPY-1</t>
  </si>
  <si>
    <t>Heron's Roost</t>
  </si>
  <si>
    <t>Anne Dean</t>
  </si>
  <si>
    <t>1133 Atwood Ln</t>
  </si>
  <si>
    <t>Shawville Honey</t>
  </si>
  <si>
    <t>1450 VT ROUTE 78 FRANKLIN VT 05457</t>
  </si>
  <si>
    <t>000YQ1-1</t>
  </si>
  <si>
    <t>David Benneig</t>
  </si>
  <si>
    <t>1450 VT Route 78</t>
  </si>
  <si>
    <t>Graf, Louise</t>
  </si>
  <si>
    <t>1060 BEAR NOTCH RD BRADFORD VT 05033</t>
  </si>
  <si>
    <t>000YQ2-1</t>
  </si>
  <si>
    <t>Graf home yard</t>
  </si>
  <si>
    <t>Luise Graf</t>
  </si>
  <si>
    <t>1060 Bear Notch Rd</t>
  </si>
  <si>
    <t>1 HIGH ST BRANDON VT 05733</t>
  </si>
  <si>
    <t>000YQ3-1</t>
  </si>
  <si>
    <t>Smela home yard</t>
  </si>
  <si>
    <t>David Gatz</t>
  </si>
  <si>
    <t>93 Wood Lane</t>
  </si>
  <si>
    <t>State Line Hill Farm</t>
  </si>
  <si>
    <t>601 STATE LINE RD NORTH BENNINGTON VT 05257</t>
  </si>
  <si>
    <t>000YQ4-1</t>
  </si>
  <si>
    <t>Carol Gamez</t>
  </si>
  <si>
    <t>601 State Line Rd</t>
  </si>
  <si>
    <t>Chaput, Tricia A</t>
  </si>
  <si>
    <t>13 WEST ST APT A BRISTOL VT 05443 - ADDISON</t>
  </si>
  <si>
    <t>000QCZ-1</t>
  </si>
  <si>
    <t>Chaput home yard</t>
  </si>
  <si>
    <t>David &amp; Veronica Estey</t>
  </si>
  <si>
    <t>415 Leavensworth Rd</t>
  </si>
  <si>
    <t>0008GW-4</t>
  </si>
  <si>
    <t>High Pond Rd</t>
  </si>
  <si>
    <t>Keven Birch</t>
  </si>
  <si>
    <t>Lorette, William (Haley's Honey Bees)</t>
  </si>
  <si>
    <t>11 SCAREY LANE NORTH BENNINGTON VT 05257</t>
  </si>
  <si>
    <t>000YQ5-1</t>
  </si>
  <si>
    <t>Lorette home yard</t>
  </si>
  <si>
    <t>William Lorette</t>
  </si>
  <si>
    <t>11 Scarey Lane</t>
  </si>
  <si>
    <t>Brown, Joshua</t>
  </si>
  <si>
    <t>15 CATHERINE ST BURLINGTON VT 05401</t>
  </si>
  <si>
    <t>000YQ6-1</t>
  </si>
  <si>
    <t>Brown home yard</t>
  </si>
  <si>
    <t>Joshua Brown</t>
  </si>
  <si>
    <t>15 Catherine St</t>
  </si>
  <si>
    <t>5 BROOKS AVENUE ESSEX JCT VT 05452</t>
  </si>
  <si>
    <t>000YQ7-1</t>
  </si>
  <si>
    <t>Foster home yard</t>
  </si>
  <si>
    <t>David Foster</t>
  </si>
  <si>
    <t>5 Brooks Avenue</t>
  </si>
  <si>
    <t>Essex Jct</t>
  </si>
  <si>
    <t>Precourt, Mary</t>
  </si>
  <si>
    <t>18 BAYFIELD DR SHELBURNE VT 05482 - CHITTENDEN</t>
  </si>
  <si>
    <t>000YQ8-1</t>
  </si>
  <si>
    <t>Precourt home yard</t>
  </si>
  <si>
    <t>Mary Precourt</t>
  </si>
  <si>
    <t>18 Bayfield Dr</t>
  </si>
  <si>
    <t>Fraser, Melanie</t>
  </si>
  <si>
    <t>2135 E WOODSTOCK RD WOODSTOCK VT 05091</t>
  </si>
  <si>
    <t>000YQ9-1</t>
  </si>
  <si>
    <t>Fraser home yard</t>
  </si>
  <si>
    <t>Melanie Fraser</t>
  </si>
  <si>
    <t>2154 E Woodstock Rd</t>
  </si>
  <si>
    <t>Langlois, Morgan</t>
  </si>
  <si>
    <t>382 NORTH RD EDEN MILLS VT 05653</t>
  </si>
  <si>
    <t>000YQA-1</t>
  </si>
  <si>
    <t>&lt;Recieved colony May '17 mite count then was 9&gt;</t>
  </si>
  <si>
    <t>Langlois home yard</t>
  </si>
  <si>
    <t>Morgan Langlois</t>
  </si>
  <si>
    <t>382 North Rd</t>
  </si>
  <si>
    <t>Eden Mills</t>
  </si>
  <si>
    <t>IRISH HILL FARM</t>
  </si>
  <si>
    <t>1597 BROOKFIELD ROAD BERLIN VT 05602</t>
  </si>
  <si>
    <t>000YQP-1</t>
  </si>
  <si>
    <t>Nancy Fitzgerald</t>
  </si>
  <si>
    <t>1597 BROOKFIELD ROAD</t>
  </si>
  <si>
    <t>000KMD-2</t>
  </si>
  <si>
    <t>Matt Kozlowski</t>
  </si>
  <si>
    <t>Oak Hill Road</t>
  </si>
  <si>
    <t>Fletcher Meadows Honey St. Albans</t>
  </si>
  <si>
    <t>18 TWIN CT ST ALBANS VT 05478</t>
  </si>
  <si>
    <t>000W19-1</t>
  </si>
  <si>
    <t>Bill Guyette</t>
  </si>
  <si>
    <t>18 Twin CT</t>
  </si>
  <si>
    <t>000W19-2</t>
  </si>
  <si>
    <t>Raymond Hafin</t>
  </si>
  <si>
    <t>Rte 104</t>
  </si>
  <si>
    <t>Fletcher Meadows Honey Jeffersonville</t>
  </si>
  <si>
    <t>2226 POND ROAD FLETCHER VT 05464</t>
  </si>
  <si>
    <t>000YQW-1</t>
  </si>
  <si>
    <t>Janice Girard</t>
  </si>
  <si>
    <t>2226 Pond Road</t>
  </si>
  <si>
    <t>000YQW-2</t>
  </si>
  <si>
    <t>Donald Guyette</t>
  </si>
  <si>
    <t>18 Twin Ct.</t>
  </si>
  <si>
    <t>CHEEVER, BRUCE</t>
  </si>
  <si>
    <t>1040 EAST STREET NEW HAVEN VT 05472</t>
  </si>
  <si>
    <t>000YQX-1</t>
  </si>
  <si>
    <t>Bruce/Karen Cheever</t>
  </si>
  <si>
    <t>1040 EAST STREET</t>
  </si>
  <si>
    <t>0007DJ-12</t>
  </si>
  <si>
    <t>&lt;10%, 29 mites&gt;</t>
  </si>
  <si>
    <t>Bassett home yard</t>
  </si>
  <si>
    <t>0007DJ-13</t>
  </si>
  <si>
    <t>&lt;4%, 11 mites, sugar shake&gt;</t>
  </si>
  <si>
    <t>Burlington Country Club</t>
  </si>
  <si>
    <t>568 SOUTH PROSPECT ST BURLINGTON VT 05401 - CHITTENDEN</t>
  </si>
  <si>
    <t>0002MQ-1</t>
  </si>
  <si>
    <t>BCC</t>
  </si>
  <si>
    <t>568 South Prospect ST</t>
  </si>
  <si>
    <t>00081M-3</t>
  </si>
  <si>
    <t>CAB W</t>
  </si>
  <si>
    <t>Tremblay</t>
  </si>
  <si>
    <t>808 Moretown Common Road</t>
  </si>
  <si>
    <t>MARTLEY, CHARLES</t>
  </si>
  <si>
    <t>573 RANKIN ROAD NORTH FAYSTON VT 05660</t>
  </si>
  <si>
    <t>000YQY-1</t>
  </si>
  <si>
    <t>Martley Home Yard</t>
  </si>
  <si>
    <t>Charles Martley</t>
  </si>
  <si>
    <t>573 RANKIN ROAD</t>
  </si>
  <si>
    <t>Luna Bleu Farm</t>
  </si>
  <si>
    <t>96 BOLES ROAD SOUTH ROYALTON VT 05068 - WINDSOR</t>
  </si>
  <si>
    <t>000DVZ-1</t>
  </si>
  <si>
    <t>Sanford-Home Yard</t>
  </si>
  <si>
    <t>Tim Sanford</t>
  </si>
  <si>
    <t>GROGAN, RICHARD</t>
  </si>
  <si>
    <t>368 WEBSTER ROAD HYDE PARK VT 05655</t>
  </si>
  <si>
    <t>000YQZ-1</t>
  </si>
  <si>
    <t>Grogan</t>
  </si>
  <si>
    <t>368 WEBSTER ROAD</t>
  </si>
  <si>
    <t>ROYCE, DONNA</t>
  </si>
  <si>
    <t>56 CHAPEL HILL ROAD NORWICH VT 05055</t>
  </si>
  <si>
    <t>000YV0-1</t>
  </si>
  <si>
    <t>Royce-Home Yard</t>
  </si>
  <si>
    <t>Donna Royce</t>
  </si>
  <si>
    <t>56 CHAPEL HILL ROAD</t>
  </si>
  <si>
    <t>FANO, ANN &amp; CAROL</t>
  </si>
  <si>
    <t>1385 MCKINSTRY HILL HYDE PARK VT 05655</t>
  </si>
  <si>
    <t>000YV1-1</t>
  </si>
  <si>
    <t>Ann &amp; Carol Fano</t>
  </si>
  <si>
    <t>1385 MCKINSTRY HILL</t>
  </si>
  <si>
    <t>BRAUCH, MARY</t>
  </si>
  <si>
    <t>382 SITE 1 ROAD LUDLOW VT 05149</t>
  </si>
  <si>
    <t>000YV2-1</t>
  </si>
  <si>
    <t>Brauch Home Yard</t>
  </si>
  <si>
    <t>Mary Brauch</t>
  </si>
  <si>
    <t>382 SITE 1 ROAD</t>
  </si>
  <si>
    <t>LINDENMEYR, REBECCA</t>
  </si>
  <si>
    <t>6608 ROUTE 116 SHELBURNE VT 05482</t>
  </si>
  <si>
    <t>000YV3-1</t>
  </si>
  <si>
    <t>Rebecca Lindenmeyr</t>
  </si>
  <si>
    <t>6608 ROUTE 116</t>
  </si>
  <si>
    <t>Davis, Wayne L.</t>
  </si>
  <si>
    <t>9 SHORT STREET BARRE VT 05641-3715 - WASHINGTON</t>
  </si>
  <si>
    <t>000JWZ-1</t>
  </si>
  <si>
    <t>Leo Martineau</t>
  </si>
  <si>
    <t>90 Spencer Road</t>
  </si>
  <si>
    <t>000V7P-3</t>
  </si>
  <si>
    <t>000V7P-4</t>
  </si>
  <si>
    <t>LaSante, Lauren</t>
  </si>
  <si>
    <t>23 NORTH ST MIDDLETOW VT 05701</t>
  </si>
  <si>
    <t>000YV4-1</t>
  </si>
  <si>
    <t>Lauren LaSante</t>
  </si>
  <si>
    <t>23 North St</t>
  </si>
  <si>
    <t>000QK8-2</t>
  </si>
  <si>
    <t>Norwich Farms</t>
  </si>
  <si>
    <t>VTC</t>
  </si>
  <si>
    <t>723 Turnpike road</t>
  </si>
  <si>
    <t>norwich</t>
  </si>
  <si>
    <t>TURNER, JEREMIAH</t>
  </si>
  <si>
    <t>2755 A LAKE STREET ADDISON VT 05491</t>
  </si>
  <si>
    <t>000YV7-1</t>
  </si>
  <si>
    <t>&lt;just got nuc&gt;</t>
  </si>
  <si>
    <t>Tanner-Home</t>
  </si>
  <si>
    <t>Michelle Johnson</t>
  </si>
  <si>
    <t>2755 A LAKE STREET</t>
  </si>
  <si>
    <t>000W16-2</t>
  </si>
  <si>
    <t>Tim Downs</t>
  </si>
  <si>
    <t>245 Hunt Street</t>
  </si>
  <si>
    <t>WRIGHT, DANIEL</t>
  </si>
  <si>
    <t>1168 SYMONDS MILL ROAD WOLCOTT VT 05680</t>
  </si>
  <si>
    <t>000YVC-1</t>
  </si>
  <si>
    <t>Lilly Bee</t>
  </si>
  <si>
    <t>Dan &amp; Tatiana Wright</t>
  </si>
  <si>
    <t>1168 SYMONDS MILL ROAD</t>
  </si>
  <si>
    <t>GAGNON, SANDRA</t>
  </si>
  <si>
    <t>1831 CORN HILL ROAD PITTSFORD VT 05763</t>
  </si>
  <si>
    <t>000YVH-1</t>
  </si>
  <si>
    <t>Gagnon Home</t>
  </si>
  <si>
    <t>Sandra Gagnon</t>
  </si>
  <si>
    <t>1831 CORN HILL ROAD</t>
  </si>
  <si>
    <t>000GAC-3</t>
  </si>
  <si>
    <t>Luce</t>
  </si>
  <si>
    <t>Kris Luce</t>
  </si>
  <si>
    <t>320 New Road</t>
  </si>
  <si>
    <t>ISLE LA MOTTE</t>
  </si>
  <si>
    <t>Arnold, Chris</t>
  </si>
  <si>
    <t>130 SKUNK HOLLOW RD JERICHO VT 05465</t>
  </si>
  <si>
    <t>000YVK-1</t>
  </si>
  <si>
    <t>Arnold home yard</t>
  </si>
  <si>
    <t>Chris Arnold</t>
  </si>
  <si>
    <t>130 Skunk Hollow Rd</t>
  </si>
  <si>
    <t>000QNG-2</t>
  </si>
  <si>
    <t>David Pride</t>
  </si>
  <si>
    <t>688 Main Street</t>
  </si>
  <si>
    <t>000W5X-5</t>
  </si>
  <si>
    <t>Fox Farm</t>
  </si>
  <si>
    <t>Ed Fox</t>
  </si>
  <si>
    <t>1099 Corn Hill Road</t>
  </si>
  <si>
    <t>000W5X-6</t>
  </si>
  <si>
    <t>Rochester Yard</t>
  </si>
  <si>
    <t>2139 Middle Hollow Road</t>
  </si>
  <si>
    <t>00075N-5</t>
  </si>
  <si>
    <t>Ackerman home yard</t>
  </si>
  <si>
    <t>109 West Cobble Hill</t>
  </si>
  <si>
    <t>WALLINGFORD CONSERVATION CMSN</t>
  </si>
  <si>
    <t>TOWN OF WALLINGFORD 78 SCHOOL ST WALLINGFORD VT 05773</t>
  </si>
  <si>
    <t>000YW4-1</t>
  </si>
  <si>
    <t>WALLINGFORD CONSERVATION</t>
  </si>
  <si>
    <t>TOWN OF WALLINGFORD</t>
  </si>
  <si>
    <t>75 SCHOOL ST</t>
  </si>
  <si>
    <t>WALLINGFORD</t>
  </si>
  <si>
    <t>Pine Ledge Farm</t>
  </si>
  <si>
    <t>406 POND ROAD VERNON VT 05354</t>
  </si>
  <si>
    <t>000KC4-1</t>
  </si>
  <si>
    <t>Jean Carr</t>
  </si>
  <si>
    <t>406 Pond Road</t>
  </si>
  <si>
    <t>00081Y-22</t>
  </si>
  <si>
    <t>Arthur Bourerice</t>
  </si>
  <si>
    <t>Sun Hill Farm</t>
  </si>
  <si>
    <t>49 DAKIN ST FERRISBURGH VT 05456</t>
  </si>
  <si>
    <t>000YWW-1</t>
  </si>
  <si>
    <t>&lt;New yard&gt;</t>
  </si>
  <si>
    <t>49 Dakin</t>
  </si>
  <si>
    <t>James DeRosia</t>
  </si>
  <si>
    <t>49 Dakin St</t>
  </si>
  <si>
    <t>000ADP-2</t>
  </si>
  <si>
    <t>Beckwith home yard</t>
  </si>
  <si>
    <t>Chad Beckwith</t>
  </si>
  <si>
    <t>421 Hathaway Rd</t>
  </si>
  <si>
    <t>00082N-3</t>
  </si>
  <si>
    <t>Brown</t>
  </si>
  <si>
    <t>202 Old Lake Rd</t>
  </si>
  <si>
    <t>OWL MOUNTAIN HOMESTEAD</t>
  </si>
  <si>
    <t>382 COLD SPRING ROAD WILLIAMSTOWN VT 05679</t>
  </si>
  <si>
    <t>000YWY-1</t>
  </si>
  <si>
    <t>LYDIA GABITOSI-JUSTIN FINSEN</t>
  </si>
  <si>
    <t>382 COLD SPRING ROAD</t>
  </si>
  <si>
    <t>000VX6-2</t>
  </si>
  <si>
    <t>WARNER HALCOT</t>
  </si>
  <si>
    <t>803 FERN LAKE ROAD</t>
  </si>
  <si>
    <t>LEICESTER</t>
  </si>
  <si>
    <t>24 EASTMAN RD HARTLAND VT 05048</t>
  </si>
  <si>
    <t>000YX8-1</t>
  </si>
  <si>
    <t>PASHO HOME YARD</t>
  </si>
  <si>
    <t>DEBORAH PASHO</t>
  </si>
  <si>
    <t>24 EASTMAN RD</t>
  </si>
  <si>
    <t>000N78-2</t>
  </si>
  <si>
    <t>Gus Osterberg</t>
  </si>
  <si>
    <t>0007ZQ-22</t>
  </si>
  <si>
    <t>LePage</t>
  </si>
  <si>
    <t>Alan LePage</t>
  </si>
  <si>
    <t>LePage Road</t>
  </si>
  <si>
    <t>0007ZQ-23</t>
  </si>
  <si>
    <t>Heyburn-Home Yard</t>
  </si>
  <si>
    <t>Franklin Heyburn</t>
  </si>
  <si>
    <t>841 West County Road</t>
  </si>
  <si>
    <t>0007ZQ-24</t>
  </si>
  <si>
    <t>Walker Hill</t>
  </si>
  <si>
    <t>Denis Bates</t>
  </si>
  <si>
    <t>Walker Hill Road</t>
  </si>
  <si>
    <t>0007ZQ-25</t>
  </si>
  <si>
    <t>Hoke</t>
  </si>
  <si>
    <t>David Hoke</t>
  </si>
  <si>
    <t>Chester Arthur Road</t>
  </si>
  <si>
    <t>00088H-58</t>
  </si>
  <si>
    <t>Jasa Family Farm</t>
  </si>
  <si>
    <t>Jasa Family</t>
  </si>
  <si>
    <t>Alderbrook Road</t>
  </si>
  <si>
    <t>00088H-59</t>
  </si>
  <si>
    <t>Pellerin</t>
  </si>
  <si>
    <t>John Pellerin</t>
  </si>
  <si>
    <t>300 River Road</t>
  </si>
  <si>
    <t>00088H-60</t>
  </si>
  <si>
    <t>Wagner</t>
  </si>
  <si>
    <t>Chris Wagner</t>
  </si>
  <si>
    <t>1350 Towle Neighborhood Road</t>
  </si>
  <si>
    <t>00088H-61</t>
  </si>
  <si>
    <t>Depatie</t>
  </si>
  <si>
    <t>Simon Depatie</t>
  </si>
  <si>
    <t>1760 Campagna Road</t>
  </si>
  <si>
    <t>00088H-62</t>
  </si>
  <si>
    <t>Buermann</t>
  </si>
  <si>
    <t>21 Richards Road</t>
  </si>
  <si>
    <t>00088H-63</t>
  </si>
  <si>
    <t>Pierce</t>
  </si>
  <si>
    <t>Chip Pierce</t>
  </si>
  <si>
    <t>Danderand Road</t>
  </si>
  <si>
    <t>00088H-64</t>
  </si>
  <si>
    <t>Guy Choiniere</t>
  </si>
  <si>
    <t>Gore Road</t>
  </si>
  <si>
    <t>HIghgate</t>
  </si>
  <si>
    <t>00088H-65</t>
  </si>
  <si>
    <t>Roland Rainville</t>
  </si>
  <si>
    <t>VT Rte 120</t>
  </si>
  <si>
    <t>00088H-66</t>
  </si>
  <si>
    <t>Machia</t>
  </si>
  <si>
    <t>Machia and Sons</t>
  </si>
  <si>
    <t>Machia Road</t>
  </si>
  <si>
    <t>East Highgate</t>
  </si>
  <si>
    <t>00088H-67</t>
  </si>
  <si>
    <t>Shawville</t>
  </si>
  <si>
    <t>Bruce King</t>
  </si>
  <si>
    <t>00088H-68</t>
  </si>
  <si>
    <t>Clark</t>
  </si>
  <si>
    <t>Doug Clark</t>
  </si>
  <si>
    <t>VT Rte 235</t>
  </si>
  <si>
    <t>00088H-69</t>
  </si>
  <si>
    <t>Douglas</t>
  </si>
  <si>
    <t>Bear Mountain Road</t>
  </si>
  <si>
    <t>00088H-70</t>
  </si>
  <si>
    <t>Vallaincourt Orchard</t>
  </si>
  <si>
    <t>Enosburg Road</t>
  </si>
  <si>
    <t>00088H-71</t>
  </si>
  <si>
    <t>Longmeadow</t>
  </si>
  <si>
    <t>uknown</t>
  </si>
  <si>
    <t>GrandIsle</t>
  </si>
  <si>
    <t>APPLEWOODS BEES</t>
  </si>
  <si>
    <t>619 WEST MOUNTAIN RD SHAFTSBURY VT 05262</t>
  </si>
  <si>
    <t>000YXK-1</t>
  </si>
  <si>
    <t>Applewoods</t>
  </si>
  <si>
    <t>Dana Wood</t>
  </si>
  <si>
    <t>619 WEST MOUNTAIN RD</t>
  </si>
  <si>
    <t>URBAN FAMILY APIARY</t>
  </si>
  <si>
    <t>21 HENDERSON TERRACE BURLINGTON VT 05401</t>
  </si>
  <si>
    <t>000YXM-1</t>
  </si>
  <si>
    <t>Urban Family Apiary</t>
  </si>
  <si>
    <t>Jack Visco</t>
  </si>
  <si>
    <t>21 HENDERSON TERRACE</t>
  </si>
  <si>
    <t>DAVIES, CHRISTINA</t>
  </si>
  <si>
    <t>167 TOWN HILL RD POULTNEY VT 05764</t>
  </si>
  <si>
    <t>000YY1-1</t>
  </si>
  <si>
    <t>C DAVIES HOME YARD</t>
  </si>
  <si>
    <t>CHRISTINA AND STEVE DAVIES</t>
  </si>
  <si>
    <t>167 TOWN HILL RD</t>
  </si>
  <si>
    <t>POULTNEY</t>
  </si>
  <si>
    <t>SMITH, CATHY</t>
  </si>
  <si>
    <t>PO BOX 946 1035 HOWARD HILL ROAD CHESTER VT 05143</t>
  </si>
  <si>
    <t>000YY2-1</t>
  </si>
  <si>
    <t>Home yard-Cathy Smith</t>
  </si>
  <si>
    <t>Cathy Smith</t>
  </si>
  <si>
    <t>1035 HOWARD HILL ROAD</t>
  </si>
  <si>
    <t>ANDOVER</t>
  </si>
  <si>
    <t>0008GW-5</t>
  </si>
  <si>
    <t>John Oscielowski</t>
  </si>
  <si>
    <t>2155 Whipple Hollow Road</t>
  </si>
  <si>
    <t>AVERY, ROBIN</t>
  </si>
  <si>
    <t>5136 LAKE MOREY ROAD FAIRLEE VT 05045</t>
  </si>
  <si>
    <t>000YY5-1</t>
  </si>
  <si>
    <t>Beenide 15</t>
  </si>
  <si>
    <t>Avery</t>
  </si>
  <si>
    <t>5136 LAKE MOREY ROAD</t>
  </si>
  <si>
    <t>FAIRLEE</t>
  </si>
  <si>
    <t>000V6Y-3</t>
  </si>
  <si>
    <t>2069 Findley Bridge Road</t>
  </si>
  <si>
    <t>abai</t>
  </si>
  <si>
    <t>WILDEY, ROBERT</t>
  </si>
  <si>
    <t>255 WILLIAMS HILL DRIVE CHARLOTTE VT 05445</t>
  </si>
  <si>
    <t>000YY7-1</t>
  </si>
  <si>
    <t>Wildey Home Yard</t>
  </si>
  <si>
    <t>Robert Wildey</t>
  </si>
  <si>
    <t>255 WILLIAMS HILL DRIVE</t>
  </si>
  <si>
    <t>000YY7-2</t>
  </si>
  <si>
    <t>Adam Crapy</t>
  </si>
  <si>
    <t>4903 Monkton Road</t>
  </si>
  <si>
    <t>CROCKER, RICHARD</t>
  </si>
  <si>
    <t>56 BURNETT ROAD PUTNEY VT 05346</t>
  </si>
  <si>
    <t>000YZA-1</t>
  </si>
  <si>
    <t>CROCKER-HOME YARD</t>
  </si>
  <si>
    <t>J CROCKER</t>
  </si>
  <si>
    <t>56 BURNETT ROAD</t>
  </si>
  <si>
    <t>HONEY BROOK FARM</t>
  </si>
  <si>
    <t>973 HONEY BROOK RD SHARON VT 05065</t>
  </si>
  <si>
    <t>000YZP-1</t>
  </si>
  <si>
    <t>Denk home yard</t>
  </si>
  <si>
    <t>Ashley Denk</t>
  </si>
  <si>
    <t>973 HONEY BROOK RD</t>
  </si>
  <si>
    <t>SHARON</t>
  </si>
  <si>
    <t>HOGAN, NEAL</t>
  </si>
  <si>
    <t>179 MORGAN ST BENNINGTON VT 05201</t>
  </si>
  <si>
    <t>000YZZ-1</t>
  </si>
  <si>
    <t>NEAL HOGAN HOME</t>
  </si>
  <si>
    <t>NEAL HOGAN</t>
  </si>
  <si>
    <t>179 MORGAN ST</t>
  </si>
  <si>
    <t>BENNINGTON</t>
  </si>
  <si>
    <t>YOUNG, PHIL</t>
  </si>
  <si>
    <t>233 OLD SHADY LANE MORRISTOWN VT 05661</t>
  </si>
  <si>
    <t>000Z0G-1</t>
  </si>
  <si>
    <t>Phil Young Home Yard</t>
  </si>
  <si>
    <t>MORRISTOWN</t>
  </si>
  <si>
    <t>233 OLD SHADY LANE</t>
  </si>
  <si>
    <t>000Z0G-2</t>
  </si>
  <si>
    <t>Dave Wilkins</t>
  </si>
  <si>
    <t>255 Tamarack Road</t>
  </si>
  <si>
    <t>O'Donnell, Kathryn</t>
  </si>
  <si>
    <t>47 GILBERT HILL RD FAIRFIELD VT 05455</t>
  </si>
  <si>
    <t>000Z0H-1</t>
  </si>
  <si>
    <t>O'Donnell home yard</t>
  </si>
  <si>
    <t>Kathryn O'Donnell/spouse</t>
  </si>
  <si>
    <t>47 Gilbert Hill Rd</t>
  </si>
  <si>
    <t>0007WA-38</t>
  </si>
  <si>
    <t>Walt Gladstone pumpkins NH</t>
  </si>
  <si>
    <t>waits river road</t>
  </si>
  <si>
    <t>NH</t>
  </si>
  <si>
    <t>piermont</t>
  </si>
  <si>
    <t>0007WA-39</t>
  </si>
  <si>
    <t>gladstone pumpkins</t>
  </si>
  <si>
    <t>Roaring brook road</t>
  </si>
  <si>
    <t>turn left on rt 5 after mailbox and red barn labeled 1991</t>
  </si>
  <si>
    <t>bradford</t>
  </si>
  <si>
    <t>WING FARM APIARY</t>
  </si>
  <si>
    <t>95 WING FARM ROAD ROCHESTER VT 05767</t>
  </si>
  <si>
    <t>000Z0Y-1</t>
  </si>
  <si>
    <t>Greg Whim</t>
  </si>
  <si>
    <t>Maple Hill Road</t>
  </si>
  <si>
    <t>000Z0Y-2</t>
  </si>
  <si>
    <t>Clyde Tuggle</t>
  </si>
  <si>
    <t>2302 Maple Hill</t>
  </si>
  <si>
    <t>Dalpe, Ssteven &amp; Amy</t>
  </si>
  <si>
    <t>335 ALEXANDER LANE IRASBURG VT 05845</t>
  </si>
  <si>
    <t>000Z10-1</t>
  </si>
  <si>
    <t>&lt;x&gt;</t>
  </si>
  <si>
    <t>Dalpe home yard</t>
  </si>
  <si>
    <t>Steven &amp; Amy Dalpe</t>
  </si>
  <si>
    <t>335 Alexander Lane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</si>
</sst>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2.0"/>
      <color rgb="FF000000"/>
      <name val="Calibri"/>
    </font>
    <font>
      <sz val="10.0"/>
      <color rgb="FF00000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22" xfId="0" applyAlignment="1" applyBorder="1" applyFont="1" applyNumberFormat="1">
      <alignment shrinkToFit="0" wrapText="1"/>
    </xf>
    <xf borderId="1" fillId="0" fontId="1" numFmtId="164" xfId="0" applyAlignment="1" applyBorder="1" applyFont="1" applyNumberFormat="1">
      <alignment readingOrder="0" shrinkToFit="0" wrapText="1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8.44"/>
    <col customWidth="1" min="2" max="2" width="30.78"/>
    <col customWidth="1" min="3" max="3" width="43.33"/>
    <col customWidth="1" min="4" max="4" width="5.67"/>
    <col customWidth="1" min="5" max="5" width="10.0"/>
    <col customWidth="1" min="6" max="6" width="12.78"/>
    <col customWidth="1" min="7" max="7" width="9.33"/>
    <col customWidth="1" min="8" max="8" width="10.0"/>
    <col customWidth="1" min="9" max="9" width="13.33"/>
    <col customWidth="1" min="10" max="10" width="14.0"/>
    <col customWidth="1" min="11" max="11" width="11.11"/>
    <col customWidth="1" min="12" max="12" width="17.22"/>
    <col customWidth="1" min="13" max="13" width="43.33"/>
    <col customWidth="1" min="14" max="14" width="10.11"/>
    <col customWidth="1" min="15" max="15" width="19.11"/>
    <col customWidth="1" min="16" max="16" width="28.78"/>
    <col customWidth="1" min="17" max="17" width="16.67"/>
    <col customWidth="1" min="18" max="18" width="18.0"/>
    <col customWidth="1" min="19" max="19" width="16.67"/>
    <col customWidth="1" min="20" max="20" width="8.78"/>
    <col customWidth="1" min="21" max="21" width="9.11"/>
    <col customWidth="1" min="22" max="22" width="6.0"/>
    <col customWidth="1" min="23" max="23" width="15.11"/>
    <col customWidth="1" min="24" max="24" width="16.0"/>
    <col customWidth="1" min="25" max="25" width="40.0"/>
    <col customWidth="1" min="26" max="26" width="39.44"/>
    <col customWidth="1" min="27" max="27" width="8.33"/>
    <col customWidth="1" min="28" max="28" width="19.11"/>
    <col customWidth="1" min="29" max="29" width="9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tr">
        <f>"0008QN"</f>
        <v>0008QN</v>
      </c>
      <c r="B2" s="1" t="s">
        <v>29</v>
      </c>
      <c r="C2" s="1" t="s">
        <v>30</v>
      </c>
      <c r="D2" s="1" t="str">
        <f>"8027632124"</f>
        <v>8027632124</v>
      </c>
      <c r="E2" s="1">
        <v>3285.0</v>
      </c>
      <c r="F2" s="1" t="s">
        <v>31</v>
      </c>
      <c r="G2" s="1" t="s">
        <v>32</v>
      </c>
      <c r="H2" s="1">
        <v>2.0</v>
      </c>
      <c r="I2" s="1"/>
      <c r="J2" s="1"/>
      <c r="K2" s="1"/>
      <c r="L2" s="1"/>
      <c r="M2" s="1" t="s">
        <v>33</v>
      </c>
      <c r="N2" s="1" t="s">
        <v>34</v>
      </c>
      <c r="O2" s="1" t="s">
        <v>35</v>
      </c>
      <c r="P2" s="1" t="s">
        <v>36</v>
      </c>
      <c r="Q2" s="3">
        <v>36892.0</v>
      </c>
      <c r="R2" s="1"/>
      <c r="S2" s="3">
        <v>37361.0</v>
      </c>
      <c r="T2" s="1" t="s">
        <v>37</v>
      </c>
      <c r="U2" s="1"/>
      <c r="V2" s="1" t="s">
        <v>38</v>
      </c>
      <c r="W2" s="1">
        <v>43.813774</v>
      </c>
      <c r="X2" s="1">
        <v>-72.5159509999999</v>
      </c>
      <c r="Y2" s="1" t="s">
        <v>39</v>
      </c>
      <c r="Z2" s="1"/>
      <c r="AA2" s="1" t="s">
        <v>40</v>
      </c>
      <c r="AB2" s="1" t="s">
        <v>41</v>
      </c>
      <c r="AC2" s="1">
        <v>5068.0</v>
      </c>
    </row>
    <row r="3">
      <c r="A3" s="1" t="str">
        <f t="shared" ref="A3:A4" si="1">"0008J3"</f>
        <v>0008J3</v>
      </c>
      <c r="B3" s="1" t="s">
        <v>42</v>
      </c>
      <c r="C3" s="1" t="s">
        <v>43</v>
      </c>
      <c r="D3" s="1" t="str">
        <f t="shared" ref="D3:D4" si="2">"8029332386"</f>
        <v>8029332386</v>
      </c>
      <c r="E3" s="1">
        <v>2775.0</v>
      </c>
      <c r="F3" s="1" t="s">
        <v>44</v>
      </c>
      <c r="G3" s="1" t="s">
        <v>45</v>
      </c>
      <c r="H3" s="1">
        <v>9.0</v>
      </c>
      <c r="I3" s="1"/>
      <c r="J3" s="1"/>
      <c r="K3" s="1"/>
      <c r="L3" s="1"/>
      <c r="M3" s="1" t="s">
        <v>46</v>
      </c>
      <c r="N3" s="1" t="s">
        <v>47</v>
      </c>
      <c r="O3" s="1" t="s">
        <v>48</v>
      </c>
      <c r="P3" s="1"/>
      <c r="Q3" s="3">
        <v>36892.0</v>
      </c>
      <c r="R3" s="1"/>
      <c r="S3" s="3">
        <v>34940.0</v>
      </c>
      <c r="T3" s="1" t="s">
        <v>37</v>
      </c>
      <c r="U3" s="1"/>
      <c r="V3" s="1" t="s">
        <v>38</v>
      </c>
      <c r="W3" s="1"/>
      <c r="X3" s="1"/>
      <c r="Y3" s="1" t="s">
        <v>49</v>
      </c>
      <c r="Z3" s="1"/>
      <c r="AA3" s="1" t="s">
        <v>40</v>
      </c>
      <c r="AB3" s="1" t="s">
        <v>50</v>
      </c>
      <c r="AC3" s="1"/>
    </row>
    <row r="4">
      <c r="A4" s="1" t="str">
        <f t="shared" si="1"/>
        <v>0008J3</v>
      </c>
      <c r="B4" s="1" t="s">
        <v>42</v>
      </c>
      <c r="C4" s="1" t="s">
        <v>43</v>
      </c>
      <c r="D4" s="1" t="str">
        <f t="shared" si="2"/>
        <v>8029332386</v>
      </c>
      <c r="E4" s="1">
        <v>2775.0</v>
      </c>
      <c r="F4" s="1" t="s">
        <v>44</v>
      </c>
      <c r="G4" s="1" t="s">
        <v>51</v>
      </c>
      <c r="H4" s="1">
        <v>6.0</v>
      </c>
      <c r="I4" s="1"/>
      <c r="J4" s="1"/>
      <c r="K4" s="1"/>
      <c r="L4" s="1"/>
      <c r="M4" s="1" t="s">
        <v>52</v>
      </c>
      <c r="N4" s="1" t="s">
        <v>47</v>
      </c>
      <c r="O4" s="1" t="s">
        <v>48</v>
      </c>
      <c r="P4" s="1"/>
      <c r="Q4" s="3">
        <v>36892.0</v>
      </c>
      <c r="R4" s="1"/>
      <c r="S4" s="3">
        <v>34940.0</v>
      </c>
      <c r="T4" s="1" t="s">
        <v>37</v>
      </c>
      <c r="U4" s="1"/>
      <c r="V4" s="1" t="s">
        <v>38</v>
      </c>
      <c r="W4" s="1"/>
      <c r="X4" s="1"/>
      <c r="Y4" s="1" t="s">
        <v>49</v>
      </c>
      <c r="Z4" s="1"/>
      <c r="AA4" s="1" t="s">
        <v>40</v>
      </c>
      <c r="AB4" s="1" t="s">
        <v>50</v>
      </c>
      <c r="AC4" s="1"/>
    </row>
    <row r="5">
      <c r="A5" s="1" t="str">
        <f>"0007YJ"</f>
        <v>0007YJ</v>
      </c>
      <c r="B5" s="1" t="s">
        <v>53</v>
      </c>
      <c r="C5" s="1" t="s">
        <v>54</v>
      </c>
      <c r="D5" s="1" t="str">
        <f>"8028995464"</f>
        <v>8028995464</v>
      </c>
      <c r="E5" s="1">
        <v>1334.0</v>
      </c>
      <c r="F5" s="1" t="s">
        <v>31</v>
      </c>
      <c r="G5" s="1" t="s">
        <v>55</v>
      </c>
      <c r="H5" s="1">
        <v>3.0</v>
      </c>
      <c r="I5" s="1"/>
      <c r="J5" s="1"/>
      <c r="K5" s="1"/>
      <c r="L5" s="1"/>
      <c r="M5" s="1" t="s">
        <v>56</v>
      </c>
      <c r="N5" s="1" t="s">
        <v>57</v>
      </c>
      <c r="O5" s="1" t="s">
        <v>58</v>
      </c>
      <c r="P5" s="1" t="s">
        <v>59</v>
      </c>
      <c r="Q5" s="3">
        <v>36892.0</v>
      </c>
      <c r="R5" s="1"/>
      <c r="S5" s="3">
        <v>42606.0</v>
      </c>
      <c r="T5" s="1" t="s">
        <v>37</v>
      </c>
      <c r="U5" s="1"/>
      <c r="V5" s="1" t="s">
        <v>38</v>
      </c>
      <c r="W5" s="1">
        <v>44.531071</v>
      </c>
      <c r="X5" s="1">
        <v>-72.937518</v>
      </c>
      <c r="Y5" s="1" t="s">
        <v>60</v>
      </c>
      <c r="Z5" s="1"/>
      <c r="AA5" s="1" t="s">
        <v>40</v>
      </c>
      <c r="AB5" s="1" t="s">
        <v>61</v>
      </c>
      <c r="AC5" s="1">
        <v>5489.0</v>
      </c>
    </row>
    <row r="6">
      <c r="A6" s="1" t="str">
        <f>"0007D8"</f>
        <v>0007D8</v>
      </c>
      <c r="B6" s="1" t="s">
        <v>62</v>
      </c>
      <c r="C6" s="1" t="s">
        <v>63</v>
      </c>
      <c r="D6" s="1" t="str">
        <f>"8023654755"</f>
        <v>8023654755</v>
      </c>
      <c r="E6" s="1">
        <v>2928.0</v>
      </c>
      <c r="F6" s="1" t="s">
        <v>44</v>
      </c>
      <c r="G6" s="1" t="s">
        <v>64</v>
      </c>
      <c r="H6" s="1">
        <v>1.0</v>
      </c>
      <c r="I6" s="1"/>
      <c r="J6" s="1"/>
      <c r="K6" s="1"/>
      <c r="L6" s="1"/>
      <c r="M6" s="1" t="s">
        <v>65</v>
      </c>
      <c r="N6" s="1" t="s">
        <v>66</v>
      </c>
      <c r="O6" s="1" t="s">
        <v>67</v>
      </c>
      <c r="P6" s="1"/>
      <c r="Q6" s="3">
        <v>36892.0</v>
      </c>
      <c r="R6" s="1"/>
      <c r="S6" s="3">
        <v>34905.0</v>
      </c>
      <c r="T6" s="1" t="s">
        <v>37</v>
      </c>
      <c r="U6" s="1"/>
      <c r="V6" s="1" t="s">
        <v>38</v>
      </c>
      <c r="W6" s="1"/>
      <c r="X6" s="1"/>
      <c r="Y6" s="1" t="s">
        <v>49</v>
      </c>
      <c r="Z6" s="1"/>
      <c r="AA6" s="1" t="s">
        <v>40</v>
      </c>
      <c r="AB6" s="1" t="s">
        <v>68</v>
      </c>
      <c r="AC6" s="1"/>
    </row>
    <row r="7">
      <c r="A7" s="1" t="str">
        <f>"0008MJ"</f>
        <v>0008MJ</v>
      </c>
      <c r="B7" s="1" t="s">
        <v>69</v>
      </c>
      <c r="C7" s="1" t="s">
        <v>70</v>
      </c>
      <c r="D7" s="1" t="str">
        <f>"8022583921"</f>
        <v>8022583921</v>
      </c>
      <c r="E7" s="1">
        <v>2913.0</v>
      </c>
      <c r="F7" s="1" t="s">
        <v>44</v>
      </c>
      <c r="G7" s="1" t="s">
        <v>71</v>
      </c>
      <c r="H7" s="1">
        <v>3.0</v>
      </c>
      <c r="I7" s="1"/>
      <c r="J7" s="1"/>
      <c r="K7" s="1"/>
      <c r="L7" s="1"/>
      <c r="M7" s="1" t="s">
        <v>72</v>
      </c>
      <c r="N7" s="1" t="s">
        <v>66</v>
      </c>
      <c r="O7" s="1" t="s">
        <v>73</v>
      </c>
      <c r="P7" s="1"/>
      <c r="Q7" s="3">
        <v>36892.0</v>
      </c>
      <c r="R7" s="1"/>
      <c r="S7" s="3">
        <v>37089.0</v>
      </c>
      <c r="T7" s="1" t="s">
        <v>37</v>
      </c>
      <c r="U7" s="1"/>
      <c r="V7" s="1" t="s">
        <v>38</v>
      </c>
      <c r="W7" s="1"/>
      <c r="X7" s="1"/>
      <c r="Y7" s="1" t="s">
        <v>49</v>
      </c>
      <c r="Z7" s="1"/>
      <c r="AA7" s="1" t="s">
        <v>40</v>
      </c>
      <c r="AB7" s="1" t="s">
        <v>74</v>
      </c>
      <c r="AC7" s="1"/>
    </row>
    <row r="8">
      <c r="A8" s="1" t="str">
        <f>"0008MH"</f>
        <v>0008MH</v>
      </c>
      <c r="B8" s="1" t="s">
        <v>75</v>
      </c>
      <c r="C8" s="1" t="s">
        <v>76</v>
      </c>
      <c r="D8" s="1" t="str">
        <f>"8024832863"</f>
        <v>8024832863</v>
      </c>
      <c r="E8" s="1">
        <v>2912.0</v>
      </c>
      <c r="F8" s="1" t="s">
        <v>44</v>
      </c>
      <c r="G8" s="1" t="s">
        <v>77</v>
      </c>
      <c r="H8" s="1">
        <v>7.0</v>
      </c>
      <c r="I8" s="1"/>
      <c r="J8" s="1"/>
      <c r="K8" s="1"/>
      <c r="L8" s="1"/>
      <c r="M8" s="1" t="s">
        <v>72</v>
      </c>
      <c r="N8" s="1" t="s">
        <v>78</v>
      </c>
      <c r="O8" s="1" t="s">
        <v>79</v>
      </c>
      <c r="P8" s="1"/>
      <c r="Q8" s="3">
        <v>36892.0</v>
      </c>
      <c r="R8" s="1"/>
      <c r="S8" s="3">
        <v>36588.0</v>
      </c>
      <c r="T8" s="1" t="s">
        <v>37</v>
      </c>
      <c r="U8" s="1"/>
      <c r="V8" s="1" t="s">
        <v>38</v>
      </c>
      <c r="W8" s="1"/>
      <c r="X8" s="1"/>
      <c r="Y8" s="1" t="s">
        <v>49</v>
      </c>
      <c r="Z8" s="1"/>
      <c r="AA8" s="1" t="s">
        <v>40</v>
      </c>
      <c r="AB8" s="1" t="s">
        <v>80</v>
      </c>
      <c r="AC8" s="1"/>
    </row>
    <row r="9">
      <c r="A9" s="1" t="str">
        <f t="shared" ref="A9:A10" si="3">"0008MG"</f>
        <v>0008MG</v>
      </c>
      <c r="B9" s="1" t="s">
        <v>81</v>
      </c>
      <c r="C9" s="1" t="s">
        <v>82</v>
      </c>
      <c r="D9" s="1" t="str">
        <f t="shared" ref="D9:D10" si="4">"8027632347"</f>
        <v>8027632347</v>
      </c>
      <c r="E9" s="1">
        <v>2911.0</v>
      </c>
      <c r="F9" s="1" t="s">
        <v>44</v>
      </c>
      <c r="G9" s="1" t="s">
        <v>83</v>
      </c>
      <c r="H9" s="1"/>
      <c r="I9" s="1"/>
      <c r="J9" s="1"/>
      <c r="K9" s="1"/>
      <c r="L9" s="1"/>
      <c r="M9" s="1" t="s">
        <v>84</v>
      </c>
      <c r="N9" s="1" t="s">
        <v>34</v>
      </c>
      <c r="O9" s="1" t="s">
        <v>85</v>
      </c>
      <c r="P9" s="1"/>
      <c r="Q9" s="3">
        <v>36892.0</v>
      </c>
      <c r="R9" s="1"/>
      <c r="S9" s="1"/>
      <c r="T9" s="1" t="s">
        <v>37</v>
      </c>
      <c r="U9" s="1"/>
      <c r="V9" s="1" t="s">
        <v>38</v>
      </c>
      <c r="W9" s="1"/>
      <c r="X9" s="1"/>
      <c r="Y9" s="1" t="s">
        <v>49</v>
      </c>
      <c r="Z9" s="1"/>
      <c r="AA9" s="1" t="s">
        <v>40</v>
      </c>
      <c r="AB9" s="1" t="s">
        <v>86</v>
      </c>
      <c r="AC9" s="1"/>
    </row>
    <row r="10">
      <c r="A10" s="1" t="str">
        <f t="shared" si="3"/>
        <v>0008MG</v>
      </c>
      <c r="B10" s="1" t="s">
        <v>81</v>
      </c>
      <c r="C10" s="1" t="s">
        <v>82</v>
      </c>
      <c r="D10" s="1" t="str">
        <f t="shared" si="4"/>
        <v>8027632347</v>
      </c>
      <c r="E10" s="1">
        <v>2911.0</v>
      </c>
      <c r="F10" s="1" t="s">
        <v>44</v>
      </c>
      <c r="G10" s="1" t="s">
        <v>87</v>
      </c>
      <c r="H10" s="1"/>
      <c r="I10" s="1"/>
      <c r="J10" s="1"/>
      <c r="K10" s="1"/>
      <c r="L10" s="1"/>
      <c r="M10" s="1" t="s">
        <v>72</v>
      </c>
      <c r="N10" s="1" t="s">
        <v>34</v>
      </c>
      <c r="O10" s="1" t="s">
        <v>88</v>
      </c>
      <c r="P10" s="1"/>
      <c r="Q10" s="3">
        <v>36892.0</v>
      </c>
      <c r="R10" s="1"/>
      <c r="S10" s="1"/>
      <c r="T10" s="1" t="s">
        <v>37</v>
      </c>
      <c r="U10" s="1"/>
      <c r="V10" s="1" t="s">
        <v>38</v>
      </c>
      <c r="W10" s="1"/>
      <c r="X10" s="1"/>
      <c r="Y10" s="1" t="s">
        <v>49</v>
      </c>
      <c r="Z10" s="1"/>
      <c r="AA10" s="1" t="s">
        <v>40</v>
      </c>
      <c r="AB10" s="1" t="s">
        <v>89</v>
      </c>
      <c r="AC10" s="1"/>
    </row>
    <row r="11">
      <c r="A11" s="1" t="str">
        <f>"0008MF"</f>
        <v>0008MF</v>
      </c>
      <c r="B11" s="1" t="s">
        <v>90</v>
      </c>
      <c r="C11" s="1" t="s">
        <v>91</v>
      </c>
      <c r="D11" s="1" t="str">
        <f>"6034325597"</f>
        <v>6034325597</v>
      </c>
      <c r="E11" s="1">
        <v>2910.0</v>
      </c>
      <c r="F11" s="1" t="s">
        <v>44</v>
      </c>
      <c r="G11" s="1" t="s">
        <v>92</v>
      </c>
      <c r="H11" s="1"/>
      <c r="I11" s="1"/>
      <c r="J11" s="1"/>
      <c r="K11" s="1"/>
      <c r="L11" s="1"/>
      <c r="M11" s="1" t="s">
        <v>93</v>
      </c>
      <c r="N11" s="1" t="s">
        <v>94</v>
      </c>
      <c r="O11" s="1" t="s">
        <v>95</v>
      </c>
      <c r="P11" s="1"/>
      <c r="Q11" s="3">
        <v>36892.0</v>
      </c>
      <c r="R11" s="1"/>
      <c r="S11" s="1"/>
      <c r="T11" s="1" t="s">
        <v>37</v>
      </c>
      <c r="U11" s="1"/>
      <c r="V11" s="1" t="s">
        <v>38</v>
      </c>
      <c r="W11" s="1"/>
      <c r="X11" s="1"/>
      <c r="Y11" s="1" t="s">
        <v>49</v>
      </c>
      <c r="Z11" s="1"/>
      <c r="AA11" s="1" t="s">
        <v>40</v>
      </c>
      <c r="AB11" s="1" t="s">
        <v>96</v>
      </c>
      <c r="AC11" s="1"/>
    </row>
    <row r="12">
      <c r="A12" s="1" t="str">
        <f>"0008MD"</f>
        <v>0008MD</v>
      </c>
      <c r="B12" s="1" t="s">
        <v>97</v>
      </c>
      <c r="C12" s="1" t="s">
        <v>98</v>
      </c>
      <c r="D12" s="1" t="str">
        <f>"8025241107"</f>
        <v>8025241107</v>
      </c>
      <c r="E12" s="1">
        <v>2909.0</v>
      </c>
      <c r="F12" s="1" t="s">
        <v>44</v>
      </c>
      <c r="G12" s="1" t="s">
        <v>99</v>
      </c>
      <c r="H12" s="1">
        <v>2.0</v>
      </c>
      <c r="I12" s="1"/>
      <c r="J12" s="1"/>
      <c r="K12" s="1"/>
      <c r="L12" s="1"/>
      <c r="M12" s="1" t="s">
        <v>72</v>
      </c>
      <c r="N12" s="1" t="s">
        <v>47</v>
      </c>
      <c r="O12" s="1" t="s">
        <v>100</v>
      </c>
      <c r="P12" s="1"/>
      <c r="Q12" s="3">
        <v>36892.0</v>
      </c>
      <c r="R12" s="1"/>
      <c r="S12" s="3">
        <v>37018.0</v>
      </c>
      <c r="T12" s="1" t="s">
        <v>37</v>
      </c>
      <c r="U12" s="1"/>
      <c r="V12" s="1" t="s">
        <v>38</v>
      </c>
      <c r="W12" s="1">
        <v>44.8019649</v>
      </c>
      <c r="X12" s="1">
        <v>-72.97761</v>
      </c>
      <c r="Y12" s="1" t="s">
        <v>101</v>
      </c>
      <c r="Z12" s="1"/>
      <c r="AA12" s="1" t="s">
        <v>40</v>
      </c>
      <c r="AB12" s="1" t="s">
        <v>102</v>
      </c>
      <c r="AC12" s="1">
        <v>5455.0</v>
      </c>
    </row>
    <row r="13">
      <c r="A13" s="1" t="str">
        <f>"0008MC"</f>
        <v>0008MC</v>
      </c>
      <c r="B13" s="1" t="s">
        <v>103</v>
      </c>
      <c r="C13" s="1" t="s">
        <v>104</v>
      </c>
      <c r="D13" s="1" t="str">
        <f>"8023724119"</f>
        <v>8023724119</v>
      </c>
      <c r="E13" s="1">
        <v>2908.0</v>
      </c>
      <c r="F13" s="1" t="s">
        <v>44</v>
      </c>
      <c r="G13" s="1" t="s">
        <v>105</v>
      </c>
      <c r="H13" s="1"/>
      <c r="I13" s="1"/>
      <c r="J13" s="1"/>
      <c r="K13" s="1"/>
      <c r="L13" s="1"/>
      <c r="M13" s="1" t="s">
        <v>106</v>
      </c>
      <c r="N13" s="1" t="s">
        <v>107</v>
      </c>
      <c r="O13" s="1" t="s">
        <v>108</v>
      </c>
      <c r="P13" s="1"/>
      <c r="Q13" s="3">
        <v>36892.0</v>
      </c>
      <c r="R13" s="1"/>
      <c r="S13" s="1"/>
      <c r="T13" s="1" t="s">
        <v>37</v>
      </c>
      <c r="U13" s="1"/>
      <c r="V13" s="1" t="s">
        <v>38</v>
      </c>
      <c r="W13" s="1"/>
      <c r="X13" s="1"/>
      <c r="Y13" s="1" t="s">
        <v>49</v>
      </c>
      <c r="Z13" s="1"/>
      <c r="AA13" s="1" t="s">
        <v>40</v>
      </c>
      <c r="AB13" s="1" t="s">
        <v>107</v>
      </c>
      <c r="AC13" s="1"/>
    </row>
    <row r="14">
      <c r="A14" s="1" t="str">
        <f>"0008M8"</f>
        <v>0008M8</v>
      </c>
      <c r="B14" s="1" t="s">
        <v>109</v>
      </c>
      <c r="C14" s="1" t="s">
        <v>110</v>
      </c>
      <c r="D14" s="1" t="str">
        <f>"8024633230"</f>
        <v>8024633230</v>
      </c>
      <c r="E14" s="1">
        <v>2900.0</v>
      </c>
      <c r="F14" s="1" t="s">
        <v>44</v>
      </c>
      <c r="G14" s="1" t="s">
        <v>111</v>
      </c>
      <c r="H14" s="1">
        <v>0.0</v>
      </c>
      <c r="I14" s="1"/>
      <c r="J14" s="1"/>
      <c r="K14" s="1"/>
      <c r="L14" s="1"/>
      <c r="M14" s="1" t="s">
        <v>112</v>
      </c>
      <c r="N14" s="1" t="s">
        <v>66</v>
      </c>
      <c r="O14" s="1" t="s">
        <v>113</v>
      </c>
      <c r="P14" s="1"/>
      <c r="Q14" s="3">
        <v>36892.0</v>
      </c>
      <c r="R14" s="1"/>
      <c r="S14" s="3">
        <v>37012.0</v>
      </c>
      <c r="T14" s="1" t="s">
        <v>37</v>
      </c>
      <c r="U14" s="1"/>
      <c r="V14" s="1" t="s">
        <v>38</v>
      </c>
      <c r="W14" s="1"/>
      <c r="X14" s="1"/>
      <c r="Y14" s="1" t="s">
        <v>49</v>
      </c>
      <c r="Z14" s="1"/>
      <c r="AA14" s="1" t="s">
        <v>40</v>
      </c>
      <c r="AB14" s="1" t="s">
        <v>114</v>
      </c>
      <c r="AC14" s="1"/>
    </row>
    <row r="15">
      <c r="A15" s="1" t="str">
        <f>"0008M7"</f>
        <v>0008M7</v>
      </c>
      <c r="B15" s="1" t="s">
        <v>115</v>
      </c>
      <c r="C15" s="1" t="s">
        <v>116</v>
      </c>
      <c r="D15" s="1" t="str">
        <f>"8024592837"</f>
        <v>8024592837</v>
      </c>
      <c r="E15" s="1">
        <v>2899.0</v>
      </c>
      <c r="F15" s="1" t="s">
        <v>117</v>
      </c>
      <c r="G15" s="1" t="s">
        <v>118</v>
      </c>
      <c r="H15" s="1">
        <v>5.0</v>
      </c>
      <c r="I15" s="2">
        <v>1.0</v>
      </c>
      <c r="J15" s="2" t="s">
        <v>119</v>
      </c>
      <c r="K15" s="2" t="s">
        <v>119</v>
      </c>
      <c r="L15" s="1"/>
      <c r="M15" s="1" t="s">
        <v>120</v>
      </c>
      <c r="N15" s="1" t="s">
        <v>78</v>
      </c>
      <c r="O15" s="1" t="s">
        <v>121</v>
      </c>
      <c r="P15" s="1" t="s">
        <v>122</v>
      </c>
      <c r="Q15" s="3">
        <v>36892.0</v>
      </c>
      <c r="R15" s="1"/>
      <c r="S15" s="3">
        <v>34918.0</v>
      </c>
      <c r="T15" s="1" t="s">
        <v>37</v>
      </c>
      <c r="U15" s="1"/>
      <c r="V15" s="1" t="s">
        <v>38</v>
      </c>
      <c r="W15" s="1">
        <v>43.6675149999999</v>
      </c>
      <c r="X15" s="1">
        <v>-73.0433878999999</v>
      </c>
      <c r="Y15" s="1" t="s">
        <v>123</v>
      </c>
      <c r="Z15" s="1"/>
      <c r="AA15" s="1" t="s">
        <v>40</v>
      </c>
      <c r="AB15" s="1" t="s">
        <v>124</v>
      </c>
      <c r="AC15" s="1">
        <v>5765.0</v>
      </c>
    </row>
    <row r="16">
      <c r="A16" s="1" t="str">
        <f>"0008M6"</f>
        <v>0008M6</v>
      </c>
      <c r="B16" s="1" t="s">
        <v>125</v>
      </c>
      <c r="C16" s="1" t="s">
        <v>126</v>
      </c>
      <c r="D16" s="1" t="str">
        <f>"8027488248"</f>
        <v>8027488248</v>
      </c>
      <c r="E16" s="1">
        <v>2898.0</v>
      </c>
      <c r="F16" s="1" t="s">
        <v>44</v>
      </c>
      <c r="G16" s="1" t="s">
        <v>127</v>
      </c>
      <c r="H16" s="1"/>
      <c r="I16" s="1"/>
      <c r="J16" s="1"/>
      <c r="K16" s="1"/>
      <c r="L16" s="1"/>
      <c r="M16" s="1" t="s">
        <v>72</v>
      </c>
      <c r="N16" s="1" t="s">
        <v>128</v>
      </c>
      <c r="O16" s="1" t="s">
        <v>129</v>
      </c>
      <c r="P16" s="1"/>
      <c r="Q16" s="3">
        <v>36892.0</v>
      </c>
      <c r="R16" s="1"/>
      <c r="S16" s="1"/>
      <c r="T16" s="1" t="s">
        <v>37</v>
      </c>
      <c r="U16" s="1"/>
      <c r="V16" s="1" t="s">
        <v>38</v>
      </c>
      <c r="W16" s="1"/>
      <c r="X16" s="1"/>
      <c r="Y16" s="1" t="s">
        <v>49</v>
      </c>
      <c r="Z16" s="1"/>
      <c r="AA16" s="1" t="s">
        <v>40</v>
      </c>
      <c r="AB16" s="1" t="s">
        <v>130</v>
      </c>
      <c r="AC16" s="1"/>
    </row>
    <row r="17">
      <c r="A17" s="1" t="str">
        <f>"0007QP"</f>
        <v>0007QP</v>
      </c>
      <c r="B17" s="1" t="s">
        <v>131</v>
      </c>
      <c r="C17" s="1" t="s">
        <v>132</v>
      </c>
      <c r="D17" s="1" t="str">
        <f>"8024857072"</f>
        <v>8024857072</v>
      </c>
      <c r="E17" s="1">
        <v>3720.0</v>
      </c>
      <c r="F17" s="1" t="s">
        <v>44</v>
      </c>
      <c r="G17" s="1" t="s">
        <v>133</v>
      </c>
      <c r="H17" s="1">
        <v>1.0</v>
      </c>
      <c r="I17" s="1"/>
      <c r="J17" s="1"/>
      <c r="K17" s="1"/>
      <c r="L17" s="1"/>
      <c r="M17" s="1" t="s">
        <v>134</v>
      </c>
      <c r="N17" s="1" t="s">
        <v>135</v>
      </c>
      <c r="O17" s="1" t="s">
        <v>136</v>
      </c>
      <c r="P17" s="1"/>
      <c r="Q17" s="3">
        <v>36892.0</v>
      </c>
      <c r="R17" s="1"/>
      <c r="S17" s="3">
        <v>38895.0</v>
      </c>
      <c r="T17" s="1" t="s">
        <v>37</v>
      </c>
      <c r="U17" s="1"/>
      <c r="V17" s="1" t="s">
        <v>38</v>
      </c>
      <c r="W17" s="1"/>
      <c r="X17" s="1"/>
      <c r="Y17" s="1" t="s">
        <v>49</v>
      </c>
      <c r="Z17" s="1"/>
      <c r="AA17" s="1" t="s">
        <v>40</v>
      </c>
      <c r="AB17" s="1" t="s">
        <v>137</v>
      </c>
      <c r="AC17" s="1"/>
    </row>
    <row r="18">
      <c r="A18" s="1" t="str">
        <f>"0008M4"</f>
        <v>0008M4</v>
      </c>
      <c r="B18" s="1" t="s">
        <v>138</v>
      </c>
      <c r="C18" s="1" t="s">
        <v>139</v>
      </c>
      <c r="D18" s="1" t="str">
        <f>"8027854186"</f>
        <v>8027854186</v>
      </c>
      <c r="E18" s="1">
        <v>2896.0</v>
      </c>
      <c r="F18" s="1" t="s">
        <v>117</v>
      </c>
      <c r="G18" s="1" t="s">
        <v>140</v>
      </c>
      <c r="H18" s="1">
        <v>2.0</v>
      </c>
      <c r="I18" s="2">
        <v>0.0</v>
      </c>
      <c r="J18" s="2">
        <v>0.0</v>
      </c>
      <c r="K18" s="2" t="s">
        <v>119</v>
      </c>
      <c r="L18" s="1"/>
      <c r="M18" s="1" t="s">
        <v>141</v>
      </c>
      <c r="N18" s="1" t="s">
        <v>142</v>
      </c>
      <c r="O18" s="1" t="s">
        <v>143</v>
      </c>
      <c r="P18" s="1" t="s">
        <v>144</v>
      </c>
      <c r="Q18" s="3">
        <v>36892.0</v>
      </c>
      <c r="R18" s="1"/>
      <c r="S18" s="3">
        <v>42929.0</v>
      </c>
      <c r="T18" s="1" t="s">
        <v>37</v>
      </c>
      <c r="U18" s="1"/>
      <c r="V18" s="1" t="s">
        <v>38</v>
      </c>
      <c r="W18" s="1">
        <v>43.8228275</v>
      </c>
      <c r="X18" s="1">
        <v>-72.2274555</v>
      </c>
      <c r="Y18" s="1" t="s">
        <v>145</v>
      </c>
      <c r="Z18" s="1"/>
      <c r="AA18" s="1" t="s">
        <v>40</v>
      </c>
      <c r="AB18" s="1" t="s">
        <v>146</v>
      </c>
      <c r="AC18" s="1">
        <v>5074.0</v>
      </c>
    </row>
    <row r="19">
      <c r="A19" s="1" t="str">
        <f>"0008M2"</f>
        <v>0008M2</v>
      </c>
      <c r="B19" s="1" t="s">
        <v>147</v>
      </c>
      <c r="C19" s="1" t="s">
        <v>148</v>
      </c>
      <c r="D19" s="1" t="str">
        <f>"8022346203"</f>
        <v>8022346203</v>
      </c>
      <c r="E19" s="1">
        <v>2894.0</v>
      </c>
      <c r="F19" s="1" t="s">
        <v>44</v>
      </c>
      <c r="G19" s="1" t="s">
        <v>149</v>
      </c>
      <c r="H19" s="1">
        <v>2.0</v>
      </c>
      <c r="I19" s="1"/>
      <c r="J19" s="1"/>
      <c r="K19" s="1"/>
      <c r="L19" s="1"/>
      <c r="M19" s="1" t="s">
        <v>72</v>
      </c>
      <c r="N19" s="1" t="s">
        <v>34</v>
      </c>
      <c r="O19" s="1" t="s">
        <v>150</v>
      </c>
      <c r="P19" s="1"/>
      <c r="Q19" s="3">
        <v>36892.0</v>
      </c>
      <c r="R19" s="1"/>
      <c r="S19" s="3">
        <v>35234.0</v>
      </c>
      <c r="T19" s="1" t="s">
        <v>37</v>
      </c>
      <c r="U19" s="1"/>
      <c r="V19" s="1" t="s">
        <v>38</v>
      </c>
      <c r="W19" s="1"/>
      <c r="X19" s="1"/>
      <c r="Y19" s="1" t="s">
        <v>49</v>
      </c>
      <c r="Z19" s="1"/>
      <c r="AA19" s="1" t="s">
        <v>40</v>
      </c>
      <c r="AB19" s="1" t="s">
        <v>151</v>
      </c>
      <c r="AC19" s="1"/>
    </row>
    <row r="20">
      <c r="A20" s="1" t="str">
        <f>"0008M3"</f>
        <v>0008M3</v>
      </c>
      <c r="B20" s="1" t="s">
        <v>152</v>
      </c>
      <c r="C20" s="1" t="s">
        <v>153</v>
      </c>
      <c r="D20" s="1" t="str">
        <f>"8028780465"</f>
        <v>8028780465</v>
      </c>
      <c r="E20" s="1">
        <v>2895.0</v>
      </c>
      <c r="F20" s="1" t="s">
        <v>44</v>
      </c>
      <c r="G20" s="1" t="s">
        <v>154</v>
      </c>
      <c r="H20" s="1"/>
      <c r="I20" s="1"/>
      <c r="J20" s="1"/>
      <c r="K20" s="1"/>
      <c r="L20" s="1"/>
      <c r="M20" s="1" t="s">
        <v>72</v>
      </c>
      <c r="N20" s="1" t="s">
        <v>57</v>
      </c>
      <c r="O20" s="1" t="s">
        <v>155</v>
      </c>
      <c r="P20" s="1"/>
      <c r="Q20" s="3">
        <v>36892.0</v>
      </c>
      <c r="R20" s="1"/>
      <c r="S20" s="1"/>
      <c r="T20" s="1" t="s">
        <v>37</v>
      </c>
      <c r="U20" s="1"/>
      <c r="V20" s="1" t="s">
        <v>38</v>
      </c>
      <c r="W20" s="1"/>
      <c r="X20" s="1"/>
      <c r="Y20" s="1" t="s">
        <v>49</v>
      </c>
      <c r="Z20" s="1"/>
      <c r="AA20" s="1" t="s">
        <v>40</v>
      </c>
      <c r="AB20" s="1" t="s">
        <v>156</v>
      </c>
      <c r="AC20" s="1"/>
    </row>
    <row r="21">
      <c r="A21" s="1" t="str">
        <f t="shared" ref="A21:A22" si="5">"0007WA"</f>
        <v>0007WA</v>
      </c>
      <c r="B21" s="1" t="s">
        <v>157</v>
      </c>
      <c r="C21" s="1" t="s">
        <v>158</v>
      </c>
      <c r="D21" s="1" t="str">
        <f t="shared" ref="D21:D22" si="6">"8029482057"</f>
        <v>8029482057</v>
      </c>
      <c r="E21" s="1">
        <v>1217.0</v>
      </c>
      <c r="F21" s="1" t="s">
        <v>31</v>
      </c>
      <c r="G21" s="1" t="s">
        <v>159</v>
      </c>
      <c r="H21" s="1">
        <v>15.0</v>
      </c>
      <c r="I21" s="1"/>
      <c r="J21" s="1"/>
      <c r="K21" s="1"/>
      <c r="L21" s="1"/>
      <c r="M21" s="1" t="s">
        <v>160</v>
      </c>
      <c r="N21" s="1" t="s">
        <v>161</v>
      </c>
      <c r="O21" s="1" t="s">
        <v>162</v>
      </c>
      <c r="P21" s="1" t="s">
        <v>163</v>
      </c>
      <c r="Q21" s="3">
        <v>36892.0</v>
      </c>
      <c r="R21" s="1"/>
      <c r="S21" s="3">
        <v>41932.0</v>
      </c>
      <c r="T21" s="1" t="s">
        <v>164</v>
      </c>
      <c r="U21" s="1"/>
      <c r="V21" s="1" t="s">
        <v>38</v>
      </c>
      <c r="W21" s="1">
        <v>43.9215714414597</v>
      </c>
      <c r="X21" s="1">
        <v>-73.2319074869155</v>
      </c>
      <c r="Y21" s="1" t="s">
        <v>165</v>
      </c>
      <c r="Z21" s="1"/>
      <c r="AA21" s="1" t="s">
        <v>40</v>
      </c>
      <c r="AB21" s="1" t="s">
        <v>166</v>
      </c>
      <c r="AC21" s="1">
        <v>0.0</v>
      </c>
    </row>
    <row r="22">
      <c r="A22" s="1" t="str">
        <f t="shared" si="5"/>
        <v>0007WA</v>
      </c>
      <c r="B22" s="1" t="s">
        <v>157</v>
      </c>
      <c r="C22" s="1" t="s">
        <v>158</v>
      </c>
      <c r="D22" s="1" t="str">
        <f t="shared" si="6"/>
        <v>8029482057</v>
      </c>
      <c r="E22" s="1">
        <v>1217.0</v>
      </c>
      <c r="F22" s="1" t="s">
        <v>31</v>
      </c>
      <c r="G22" s="1" t="s">
        <v>167</v>
      </c>
      <c r="H22" s="1">
        <v>24.0</v>
      </c>
      <c r="I22" s="1"/>
      <c r="J22" s="1"/>
      <c r="K22" s="1"/>
      <c r="L22" s="1"/>
      <c r="M22" s="1" t="s">
        <v>168</v>
      </c>
      <c r="N22" s="1" t="s">
        <v>161</v>
      </c>
      <c r="O22" s="1" t="s">
        <v>162</v>
      </c>
      <c r="P22" s="1" t="s">
        <v>169</v>
      </c>
      <c r="Q22" s="3">
        <v>36892.0</v>
      </c>
      <c r="R22" s="1"/>
      <c r="S22" s="3">
        <v>41932.0</v>
      </c>
      <c r="T22" s="1" t="s">
        <v>164</v>
      </c>
      <c r="U22" s="1"/>
      <c r="V22" s="1" t="s">
        <v>38</v>
      </c>
      <c r="W22" s="1">
        <v>43.946111</v>
      </c>
      <c r="X22" s="1">
        <v>-73.234444</v>
      </c>
      <c r="Y22" s="1" t="s">
        <v>170</v>
      </c>
      <c r="Z22" s="1"/>
      <c r="AA22" s="1" t="s">
        <v>40</v>
      </c>
      <c r="AB22" s="1" t="s">
        <v>166</v>
      </c>
      <c r="AC22" s="1">
        <v>0.0</v>
      </c>
    </row>
    <row r="23">
      <c r="A23" s="1" t="str">
        <f>"0008DG"</f>
        <v>0008DG</v>
      </c>
      <c r="B23" s="1" t="s">
        <v>171</v>
      </c>
      <c r="C23" s="1" t="s">
        <v>172</v>
      </c>
      <c r="D23" s="1"/>
      <c r="E23" s="1">
        <v>3864.0</v>
      </c>
      <c r="F23" s="1" t="s">
        <v>44</v>
      </c>
      <c r="G23" s="1" t="s">
        <v>173</v>
      </c>
      <c r="H23" s="1">
        <v>9.0</v>
      </c>
      <c r="I23" s="1"/>
      <c r="J23" s="1"/>
      <c r="K23" s="1"/>
      <c r="L23" s="1"/>
      <c r="M23" s="1" t="s">
        <v>174</v>
      </c>
      <c r="N23" s="1" t="s">
        <v>57</v>
      </c>
      <c r="O23" s="1" t="s">
        <v>175</v>
      </c>
      <c r="P23" s="1"/>
      <c r="Q23" s="3">
        <v>36892.0</v>
      </c>
      <c r="R23" s="1"/>
      <c r="S23" s="3">
        <v>41933.0</v>
      </c>
      <c r="T23" s="1" t="s">
        <v>37</v>
      </c>
      <c r="U23" s="1"/>
      <c r="V23" s="1" t="s">
        <v>38</v>
      </c>
      <c r="W23" s="1">
        <v>44.4929050729693</v>
      </c>
      <c r="X23" s="1">
        <v>-73.203796595335</v>
      </c>
      <c r="Y23" s="1" t="s">
        <v>174</v>
      </c>
      <c r="Z23" s="1"/>
      <c r="AA23" s="1" t="s">
        <v>40</v>
      </c>
      <c r="AB23" s="1" t="s">
        <v>176</v>
      </c>
      <c r="AC23" s="1">
        <v>5401.0</v>
      </c>
    </row>
    <row r="24">
      <c r="A24" s="1" t="str">
        <f>"0007J4"</f>
        <v>0007J4</v>
      </c>
      <c r="B24" s="1" t="s">
        <v>177</v>
      </c>
      <c r="C24" s="1" t="s">
        <v>178</v>
      </c>
      <c r="D24" s="1"/>
      <c r="E24" s="1">
        <v>2891.0</v>
      </c>
      <c r="F24" s="1" t="s">
        <v>44</v>
      </c>
      <c r="G24" s="1" t="s">
        <v>179</v>
      </c>
      <c r="H24" s="1">
        <v>1.0</v>
      </c>
      <c r="I24" s="1"/>
      <c r="J24" s="1"/>
      <c r="K24" s="1"/>
      <c r="L24" s="1"/>
      <c r="M24" s="1" t="s">
        <v>72</v>
      </c>
      <c r="N24" s="1" t="s">
        <v>161</v>
      </c>
      <c r="O24" s="1" t="s">
        <v>180</v>
      </c>
      <c r="P24" s="1"/>
      <c r="Q24" s="3">
        <v>36892.0</v>
      </c>
      <c r="R24" s="1"/>
      <c r="S24" s="3">
        <v>37452.0</v>
      </c>
      <c r="T24" s="1" t="s">
        <v>37</v>
      </c>
      <c r="U24" s="1"/>
      <c r="V24" s="1" t="s">
        <v>38</v>
      </c>
      <c r="W24" s="1"/>
      <c r="X24" s="1"/>
      <c r="Y24" s="1" t="s">
        <v>49</v>
      </c>
      <c r="Z24" s="1"/>
      <c r="AA24" s="1" t="s">
        <v>40</v>
      </c>
      <c r="AB24" s="1" t="s">
        <v>181</v>
      </c>
      <c r="AC24" s="1"/>
    </row>
    <row r="25">
      <c r="A25" s="1" t="str">
        <f>"0007NJ"</f>
        <v>0007NJ</v>
      </c>
      <c r="B25" s="1" t="s">
        <v>182</v>
      </c>
      <c r="C25" s="1" t="s">
        <v>183</v>
      </c>
      <c r="D25" s="1" t="str">
        <f>"8028772126"</f>
        <v>8028772126</v>
      </c>
      <c r="E25" s="1">
        <v>2890.0</v>
      </c>
      <c r="F25" s="1" t="s">
        <v>44</v>
      </c>
      <c r="G25" s="1" t="s">
        <v>184</v>
      </c>
      <c r="H25" s="1">
        <v>3.0</v>
      </c>
      <c r="I25" s="1"/>
      <c r="J25" s="1"/>
      <c r="K25" s="1"/>
      <c r="L25" s="1"/>
      <c r="M25" s="1" t="s">
        <v>72</v>
      </c>
      <c r="N25" s="1" t="s">
        <v>161</v>
      </c>
      <c r="O25" s="1" t="s">
        <v>185</v>
      </c>
      <c r="P25" s="1"/>
      <c r="Q25" s="3">
        <v>36892.0</v>
      </c>
      <c r="R25" s="1"/>
      <c r="S25" s="3">
        <v>34576.0</v>
      </c>
      <c r="T25" s="1" t="s">
        <v>37</v>
      </c>
      <c r="U25" s="1"/>
      <c r="V25" s="1" t="s">
        <v>38</v>
      </c>
      <c r="W25" s="1"/>
      <c r="X25" s="1"/>
      <c r="Y25" s="1" t="s">
        <v>49</v>
      </c>
      <c r="Z25" s="1"/>
      <c r="AA25" s="1" t="s">
        <v>40</v>
      </c>
      <c r="AB25" s="1" t="s">
        <v>186</v>
      </c>
      <c r="AC25" s="1"/>
    </row>
    <row r="26">
      <c r="A26" s="1" t="str">
        <f>"0007J6"</f>
        <v>0007J6</v>
      </c>
      <c r="B26" s="1" t="s">
        <v>187</v>
      </c>
      <c r="C26" s="1" t="s">
        <v>188</v>
      </c>
      <c r="D26" s="1" t="str">
        <f>"8024854589"</f>
        <v>8024854589</v>
      </c>
      <c r="E26" s="1">
        <v>3879.0</v>
      </c>
      <c r="F26" s="1" t="s">
        <v>44</v>
      </c>
      <c r="G26" s="1" t="s">
        <v>189</v>
      </c>
      <c r="H26" s="1">
        <v>1.0</v>
      </c>
      <c r="I26" s="1"/>
      <c r="J26" s="1"/>
      <c r="K26" s="1"/>
      <c r="L26" s="1"/>
      <c r="M26" s="1" t="s">
        <v>72</v>
      </c>
      <c r="N26" s="1" t="s">
        <v>135</v>
      </c>
      <c r="O26" s="1" t="s">
        <v>136</v>
      </c>
      <c r="P26" s="1"/>
      <c r="Q26" s="3">
        <v>36892.0</v>
      </c>
      <c r="R26" s="1"/>
      <c r="S26" s="1"/>
      <c r="T26" s="1" t="s">
        <v>37</v>
      </c>
      <c r="U26" s="1"/>
      <c r="V26" s="1" t="s">
        <v>38</v>
      </c>
      <c r="W26" s="1">
        <v>44.136067</v>
      </c>
      <c r="X26" s="1">
        <v>-72.690421</v>
      </c>
      <c r="Y26" s="1" t="s">
        <v>190</v>
      </c>
      <c r="Z26" s="1"/>
      <c r="AA26" s="1" t="s">
        <v>40</v>
      </c>
      <c r="AB26" s="1" t="s">
        <v>137</v>
      </c>
      <c r="AC26" s="1">
        <v>5663.0</v>
      </c>
    </row>
    <row r="27">
      <c r="A27" s="1" t="str">
        <f>"0007NH"</f>
        <v>0007NH</v>
      </c>
      <c r="B27" s="1" t="s">
        <v>191</v>
      </c>
      <c r="C27" s="1" t="s">
        <v>192</v>
      </c>
      <c r="D27" s="1"/>
      <c r="E27" s="1">
        <v>2889.0</v>
      </c>
      <c r="F27" s="1" t="s">
        <v>44</v>
      </c>
      <c r="G27" s="1" t="s">
        <v>193</v>
      </c>
      <c r="H27" s="1">
        <v>2.0</v>
      </c>
      <c r="I27" s="1"/>
      <c r="J27" s="1"/>
      <c r="K27" s="1"/>
      <c r="L27" s="1"/>
      <c r="M27" s="1" t="s">
        <v>33</v>
      </c>
      <c r="N27" s="1" t="s">
        <v>128</v>
      </c>
      <c r="O27" s="1" t="s">
        <v>194</v>
      </c>
      <c r="P27" s="1" t="s">
        <v>36</v>
      </c>
      <c r="Q27" s="3">
        <v>36892.0</v>
      </c>
      <c r="R27" s="1"/>
      <c r="S27" s="3">
        <v>37069.0</v>
      </c>
      <c r="T27" s="1" t="s">
        <v>37</v>
      </c>
      <c r="U27" s="1"/>
      <c r="V27" s="1" t="s">
        <v>38</v>
      </c>
      <c r="W27" s="1">
        <v>44.351664909851</v>
      </c>
      <c r="X27" s="1">
        <v>-72.0308572053909</v>
      </c>
      <c r="Y27" s="1" t="s">
        <v>195</v>
      </c>
      <c r="Z27" s="1"/>
      <c r="AA27" s="1" t="s">
        <v>40</v>
      </c>
      <c r="AB27" s="1" t="s">
        <v>196</v>
      </c>
      <c r="AC27" s="1">
        <v>5819.0</v>
      </c>
    </row>
    <row r="28">
      <c r="A28" s="1" t="str">
        <f t="shared" ref="A28:A29" si="7">"0008CC"</f>
        <v>0008CC</v>
      </c>
      <c r="B28" s="1" t="s">
        <v>197</v>
      </c>
      <c r="C28" s="1" t="s">
        <v>198</v>
      </c>
      <c r="D28" s="1" t="str">
        <f t="shared" ref="D28:D29" si="8">"8024823314"</f>
        <v>8024823314</v>
      </c>
      <c r="E28" s="1">
        <v>2888.0</v>
      </c>
      <c r="F28" s="1" t="s">
        <v>44</v>
      </c>
      <c r="G28" s="1" t="s">
        <v>199</v>
      </c>
      <c r="H28" s="1"/>
      <c r="I28" s="1"/>
      <c r="J28" s="1"/>
      <c r="K28" s="1"/>
      <c r="L28" s="1"/>
      <c r="M28" s="1" t="s">
        <v>200</v>
      </c>
      <c r="N28" s="1" t="s">
        <v>57</v>
      </c>
      <c r="O28" s="1" t="s">
        <v>201</v>
      </c>
      <c r="P28" s="1"/>
      <c r="Q28" s="3">
        <v>36892.0</v>
      </c>
      <c r="R28" s="1"/>
      <c r="S28" s="1"/>
      <c r="T28" s="1" t="s">
        <v>37</v>
      </c>
      <c r="U28" s="1"/>
      <c r="V28" s="1" t="s">
        <v>38</v>
      </c>
      <c r="W28" s="1"/>
      <c r="X28" s="1"/>
      <c r="Y28" s="1" t="s">
        <v>49</v>
      </c>
      <c r="Z28" s="1"/>
      <c r="AA28" s="1" t="s">
        <v>40</v>
      </c>
      <c r="AB28" s="1" t="s">
        <v>202</v>
      </c>
      <c r="AC28" s="1"/>
    </row>
    <row r="29">
      <c r="A29" s="1" t="str">
        <f t="shared" si="7"/>
        <v>0008CC</v>
      </c>
      <c r="B29" s="1" t="s">
        <v>197</v>
      </c>
      <c r="C29" s="1" t="s">
        <v>198</v>
      </c>
      <c r="D29" s="1" t="str">
        <f t="shared" si="8"/>
        <v>8024823314</v>
      </c>
      <c r="E29" s="1">
        <v>2888.0</v>
      </c>
      <c r="F29" s="1" t="s">
        <v>44</v>
      </c>
      <c r="G29" s="1" t="s">
        <v>203</v>
      </c>
      <c r="H29" s="1"/>
      <c r="I29" s="1"/>
      <c r="J29" s="1"/>
      <c r="K29" s="1"/>
      <c r="L29" s="1"/>
      <c r="M29" s="1" t="s">
        <v>72</v>
      </c>
      <c r="N29" s="1" t="s">
        <v>57</v>
      </c>
      <c r="O29" s="1" t="s">
        <v>204</v>
      </c>
      <c r="P29" s="1"/>
      <c r="Q29" s="3">
        <v>36892.0</v>
      </c>
      <c r="R29" s="1"/>
      <c r="S29" s="1"/>
      <c r="T29" s="1" t="s">
        <v>37</v>
      </c>
      <c r="U29" s="1"/>
      <c r="V29" s="1" t="s">
        <v>38</v>
      </c>
      <c r="W29" s="1"/>
      <c r="X29" s="1"/>
      <c r="Y29" s="1" t="s">
        <v>49</v>
      </c>
      <c r="Z29" s="1"/>
      <c r="AA29" s="1" t="s">
        <v>40</v>
      </c>
      <c r="AB29" s="1" t="s">
        <v>205</v>
      </c>
      <c r="AC29" s="1"/>
    </row>
    <row r="30">
      <c r="A30" s="1" t="str">
        <f>"0008QM"</f>
        <v>0008QM</v>
      </c>
      <c r="B30" s="1" t="s">
        <v>206</v>
      </c>
      <c r="C30" s="1" t="s">
        <v>207</v>
      </c>
      <c r="D30" s="1" t="str">
        <f>"8022962032"</f>
        <v>8022962032</v>
      </c>
      <c r="E30" s="1">
        <v>3985.0</v>
      </c>
      <c r="F30" s="1" t="s">
        <v>44</v>
      </c>
      <c r="G30" s="1" t="s">
        <v>208</v>
      </c>
      <c r="H30" s="1">
        <v>2.0</v>
      </c>
      <c r="I30" s="1"/>
      <c r="J30" s="1"/>
      <c r="K30" s="1"/>
      <c r="L30" s="1"/>
      <c r="M30" s="1" t="s">
        <v>72</v>
      </c>
      <c r="N30" s="1" t="s">
        <v>34</v>
      </c>
      <c r="O30" s="1" t="s">
        <v>85</v>
      </c>
      <c r="P30" s="1"/>
      <c r="Q30" s="3">
        <v>36892.0</v>
      </c>
      <c r="R30" s="1"/>
      <c r="S30" s="3">
        <v>39688.0</v>
      </c>
      <c r="T30" s="1" t="s">
        <v>37</v>
      </c>
      <c r="U30" s="1"/>
      <c r="V30" s="1" t="s">
        <v>38</v>
      </c>
      <c r="W30" s="1">
        <v>43.6203969</v>
      </c>
      <c r="X30" s="1">
        <v>-72.40814</v>
      </c>
      <c r="Y30" s="1" t="s">
        <v>209</v>
      </c>
      <c r="Z30" s="1"/>
      <c r="AA30" s="1" t="s">
        <v>40</v>
      </c>
      <c r="AB30" s="1" t="s">
        <v>86</v>
      </c>
      <c r="AC30" s="1">
        <v>5048.0</v>
      </c>
    </row>
    <row r="31">
      <c r="A31" s="1" t="str">
        <f>"0007Q0"</f>
        <v>0007Q0</v>
      </c>
      <c r="B31" s="1" t="s">
        <v>210</v>
      </c>
      <c r="C31" s="1" t="s">
        <v>211</v>
      </c>
      <c r="D31" s="1" t="str">
        <f>"8028887259"</f>
        <v>8028887259</v>
      </c>
      <c r="E31" s="1">
        <v>2886.0</v>
      </c>
      <c r="F31" s="1" t="s">
        <v>44</v>
      </c>
      <c r="G31" s="1" t="s">
        <v>212</v>
      </c>
      <c r="H31" s="1">
        <v>1.0</v>
      </c>
      <c r="I31" s="1"/>
      <c r="J31" s="1"/>
      <c r="K31" s="1"/>
      <c r="L31" s="1"/>
      <c r="M31" s="1" t="s">
        <v>72</v>
      </c>
      <c r="N31" s="1" t="s">
        <v>213</v>
      </c>
      <c r="O31" s="1" t="s">
        <v>214</v>
      </c>
      <c r="P31" s="1" t="s">
        <v>215</v>
      </c>
      <c r="Q31" s="3">
        <v>36892.0</v>
      </c>
      <c r="R31" s="1"/>
      <c r="S31" s="3">
        <v>39273.0</v>
      </c>
      <c r="T31" s="1" t="s">
        <v>37</v>
      </c>
      <c r="U31" s="1"/>
      <c r="V31" s="1" t="s">
        <v>38</v>
      </c>
      <c r="W31" s="1">
        <v>44.5638646408173</v>
      </c>
      <c r="X31" s="1">
        <v>-72.5930750370025</v>
      </c>
      <c r="Y31" s="1" t="s">
        <v>216</v>
      </c>
      <c r="Z31" s="1"/>
      <c r="AA31" s="1" t="s">
        <v>40</v>
      </c>
      <c r="AB31" s="1" t="s">
        <v>217</v>
      </c>
      <c r="AC31" s="1">
        <v>5661.0</v>
      </c>
    </row>
    <row r="32">
      <c r="A32" s="1" t="str">
        <f>"0008B5"</f>
        <v>0008B5</v>
      </c>
      <c r="B32" s="1" t="s">
        <v>218</v>
      </c>
      <c r="C32" s="1" t="s">
        <v>219</v>
      </c>
      <c r="D32" s="1" t="str">
        <f>"8024395635"</f>
        <v>8024395635</v>
      </c>
      <c r="E32" s="1">
        <v>2843.0</v>
      </c>
      <c r="F32" s="1" t="s">
        <v>44</v>
      </c>
      <c r="G32" s="1" t="s">
        <v>220</v>
      </c>
      <c r="H32" s="1">
        <v>7.0</v>
      </c>
      <c r="I32" s="1"/>
      <c r="J32" s="1"/>
      <c r="K32" s="1"/>
      <c r="L32" s="1"/>
      <c r="M32" s="1" t="s">
        <v>221</v>
      </c>
      <c r="N32" s="1" t="s">
        <v>142</v>
      </c>
      <c r="O32" s="1" t="s">
        <v>222</v>
      </c>
      <c r="P32" s="1"/>
      <c r="Q32" s="3">
        <v>36892.0</v>
      </c>
      <c r="R32" s="1"/>
      <c r="S32" s="3">
        <v>34529.0</v>
      </c>
      <c r="T32" s="1" t="s">
        <v>37</v>
      </c>
      <c r="U32" s="1"/>
      <c r="V32" s="1" t="s">
        <v>38</v>
      </c>
      <c r="W32" s="1"/>
      <c r="X32" s="1"/>
      <c r="Y32" s="1" t="s">
        <v>49</v>
      </c>
      <c r="Z32" s="1"/>
      <c r="AA32" s="1" t="s">
        <v>40</v>
      </c>
      <c r="AB32" s="1" t="s">
        <v>223</v>
      </c>
      <c r="AC32" s="1"/>
    </row>
    <row r="33">
      <c r="A33" s="1" t="str">
        <f>"0007GC"</f>
        <v>0007GC</v>
      </c>
      <c r="B33" s="1" t="s">
        <v>224</v>
      </c>
      <c r="C33" s="1" t="s">
        <v>225</v>
      </c>
      <c r="D33" s="1" t="str">
        <f>"8024395383"</f>
        <v>8024395383</v>
      </c>
      <c r="E33" s="1">
        <v>2885.0</v>
      </c>
      <c r="F33" s="1" t="s">
        <v>44</v>
      </c>
      <c r="G33" s="1" t="s">
        <v>226</v>
      </c>
      <c r="H33" s="1">
        <v>3.0</v>
      </c>
      <c r="I33" s="1"/>
      <c r="J33" s="1"/>
      <c r="K33" s="1"/>
      <c r="L33" s="1"/>
      <c r="M33" s="1" t="s">
        <v>72</v>
      </c>
      <c r="N33" s="1" t="s">
        <v>142</v>
      </c>
      <c r="O33" s="1" t="s">
        <v>227</v>
      </c>
      <c r="P33" s="1"/>
      <c r="Q33" s="3">
        <v>36892.0</v>
      </c>
      <c r="R33" s="1"/>
      <c r="S33" s="3">
        <v>34529.0</v>
      </c>
      <c r="T33" s="1" t="s">
        <v>37</v>
      </c>
      <c r="U33" s="1"/>
      <c r="V33" s="1" t="s">
        <v>38</v>
      </c>
      <c r="W33" s="1"/>
      <c r="X33" s="1"/>
      <c r="Y33" s="1" t="s">
        <v>49</v>
      </c>
      <c r="Z33" s="1"/>
      <c r="AA33" s="1" t="s">
        <v>40</v>
      </c>
      <c r="AB33" s="1" t="s">
        <v>228</v>
      </c>
      <c r="AC33" s="1"/>
    </row>
    <row r="34">
      <c r="A34" s="1" t="str">
        <f>"0008KZ"</f>
        <v>0008KZ</v>
      </c>
      <c r="B34" s="1" t="s">
        <v>229</v>
      </c>
      <c r="C34" s="1" t="s">
        <v>230</v>
      </c>
      <c r="D34" s="1" t="str">
        <f>"8025862059"</f>
        <v>8025862059</v>
      </c>
      <c r="E34" s="1">
        <v>3976.0</v>
      </c>
      <c r="F34" s="1" t="s">
        <v>31</v>
      </c>
      <c r="G34" s="1" t="s">
        <v>231</v>
      </c>
      <c r="H34" s="1">
        <v>10.0</v>
      </c>
      <c r="I34" s="1"/>
      <c r="J34" s="1"/>
      <c r="K34" s="1"/>
      <c r="L34" s="1"/>
      <c r="M34" s="1" t="s">
        <v>33</v>
      </c>
      <c r="N34" s="1" t="s">
        <v>94</v>
      </c>
      <c r="O34" s="1" t="s">
        <v>232</v>
      </c>
      <c r="P34" s="1" t="s">
        <v>36</v>
      </c>
      <c r="Q34" s="3">
        <v>36892.0</v>
      </c>
      <c r="R34" s="1"/>
      <c r="S34" s="1"/>
      <c r="T34" s="1" t="s">
        <v>37</v>
      </c>
      <c r="U34" s="1"/>
      <c r="V34" s="1" t="s">
        <v>38</v>
      </c>
      <c r="W34" s="1">
        <v>44.6398112548282</v>
      </c>
      <c r="X34" s="1">
        <v>-72.3195648193359</v>
      </c>
      <c r="Y34" s="1" t="s">
        <v>233</v>
      </c>
      <c r="Z34" s="1"/>
      <c r="AA34" s="1" t="s">
        <v>40</v>
      </c>
      <c r="AB34" s="1" t="s">
        <v>234</v>
      </c>
      <c r="AC34" s="1">
        <v>5827.0</v>
      </c>
    </row>
    <row r="35">
      <c r="A35" s="1" t="str">
        <f>"0007FB"</f>
        <v>0007FB</v>
      </c>
      <c r="B35" s="1" t="s">
        <v>235</v>
      </c>
      <c r="C35" s="1" t="s">
        <v>236</v>
      </c>
      <c r="D35" s="1" t="str">
        <f>"8027775454"</f>
        <v>8027775454</v>
      </c>
      <c r="E35" s="1">
        <v>4082.0</v>
      </c>
      <c r="F35" s="1" t="s">
        <v>44</v>
      </c>
      <c r="G35" s="1" t="s">
        <v>237</v>
      </c>
      <c r="H35" s="1"/>
      <c r="I35" s="1"/>
      <c r="J35" s="1"/>
      <c r="K35" s="1"/>
      <c r="L35" s="1"/>
      <c r="M35" s="1" t="s">
        <v>72</v>
      </c>
      <c r="N35" s="1" t="s">
        <v>57</v>
      </c>
      <c r="O35" s="1" t="s">
        <v>238</v>
      </c>
      <c r="P35" s="1"/>
      <c r="Q35" s="3">
        <v>36892.0</v>
      </c>
      <c r="R35" s="1"/>
      <c r="S35" s="1"/>
      <c r="T35" s="1" t="s">
        <v>37</v>
      </c>
      <c r="U35" s="1"/>
      <c r="V35" s="1" t="s">
        <v>38</v>
      </c>
      <c r="W35" s="1"/>
      <c r="X35" s="1"/>
      <c r="Y35" s="1" t="s">
        <v>49</v>
      </c>
      <c r="Z35" s="1"/>
      <c r="AA35" s="1" t="s">
        <v>40</v>
      </c>
      <c r="AB35" s="1" t="s">
        <v>239</v>
      </c>
      <c r="AC35" s="1"/>
    </row>
    <row r="36">
      <c r="A36" s="1" t="str">
        <f>"0008AQ"</f>
        <v>0008AQ</v>
      </c>
      <c r="B36" s="1" t="s">
        <v>240</v>
      </c>
      <c r="C36" s="1" t="s">
        <v>241</v>
      </c>
      <c r="D36" s="1" t="str">
        <f>"8027654566"</f>
        <v>8027654566</v>
      </c>
      <c r="E36" s="1">
        <v>3353.0</v>
      </c>
      <c r="F36" s="1" t="s">
        <v>44</v>
      </c>
      <c r="G36" s="1" t="s">
        <v>242</v>
      </c>
      <c r="H36" s="1">
        <v>1.0</v>
      </c>
      <c r="I36" s="1"/>
      <c r="J36" s="1"/>
      <c r="K36" s="1"/>
      <c r="L36" s="1"/>
      <c r="M36" s="1" t="s">
        <v>72</v>
      </c>
      <c r="N36" s="1" t="s">
        <v>142</v>
      </c>
      <c r="O36" s="1" t="s">
        <v>243</v>
      </c>
      <c r="P36" s="1" t="s">
        <v>244</v>
      </c>
      <c r="Q36" s="3">
        <v>36892.0</v>
      </c>
      <c r="R36" s="1"/>
      <c r="S36" s="3">
        <v>40024.0</v>
      </c>
      <c r="T36" s="1" t="s">
        <v>37</v>
      </c>
      <c r="U36" s="1"/>
      <c r="V36" s="1" t="s">
        <v>38</v>
      </c>
      <c r="W36" s="1">
        <v>43.8319416</v>
      </c>
      <c r="X36" s="1">
        <v>-72.3716762999999</v>
      </c>
      <c r="Y36" s="1" t="s">
        <v>245</v>
      </c>
      <c r="Z36" s="1"/>
      <c r="AA36" s="1" t="s">
        <v>40</v>
      </c>
      <c r="AB36" s="1" t="s">
        <v>246</v>
      </c>
      <c r="AC36" s="1">
        <v>5070.0</v>
      </c>
    </row>
    <row r="37">
      <c r="A37" s="1" t="str">
        <f>"0008KY"</f>
        <v>0008KY</v>
      </c>
      <c r="B37" s="1" t="s">
        <v>247</v>
      </c>
      <c r="C37" s="1" t="s">
        <v>248</v>
      </c>
      <c r="D37" s="1"/>
      <c r="E37" s="1">
        <v>2858.0</v>
      </c>
      <c r="F37" s="1" t="s">
        <v>44</v>
      </c>
      <c r="G37" s="1" t="s">
        <v>249</v>
      </c>
      <c r="H37" s="1">
        <v>1.0</v>
      </c>
      <c r="I37" s="1"/>
      <c r="J37" s="1"/>
      <c r="K37" s="1"/>
      <c r="L37" s="1"/>
      <c r="M37" s="1" t="s">
        <v>250</v>
      </c>
      <c r="N37" s="1" t="s">
        <v>78</v>
      </c>
      <c r="O37" s="1" t="s">
        <v>251</v>
      </c>
      <c r="P37" s="1"/>
      <c r="Q37" s="3">
        <v>36892.0</v>
      </c>
      <c r="R37" s="1"/>
      <c r="S37" s="3">
        <v>34186.0</v>
      </c>
      <c r="T37" s="1" t="s">
        <v>37</v>
      </c>
      <c r="U37" s="1"/>
      <c r="V37" s="1" t="s">
        <v>38</v>
      </c>
      <c r="W37" s="1"/>
      <c r="X37" s="1"/>
      <c r="Y37" s="1" t="s">
        <v>49</v>
      </c>
      <c r="Z37" s="1"/>
      <c r="AA37" s="1" t="s">
        <v>40</v>
      </c>
      <c r="AB37" s="1" t="s">
        <v>252</v>
      </c>
      <c r="AC37" s="1"/>
    </row>
    <row r="38">
      <c r="A38" s="1" t="str">
        <f>"0008KX"</f>
        <v>0008KX</v>
      </c>
      <c r="B38" s="1" t="s">
        <v>253</v>
      </c>
      <c r="C38" s="1" t="s">
        <v>254</v>
      </c>
      <c r="D38" s="1" t="str">
        <f>"8028931281"</f>
        <v>8028931281</v>
      </c>
      <c r="E38" s="1">
        <v>3033.0</v>
      </c>
      <c r="F38" s="1" t="s">
        <v>44</v>
      </c>
      <c r="G38" s="1" t="s">
        <v>255</v>
      </c>
      <c r="H38" s="1">
        <v>4.0</v>
      </c>
      <c r="I38" s="1"/>
      <c r="J38" s="1"/>
      <c r="K38" s="1"/>
      <c r="L38" s="1"/>
      <c r="M38" s="1" t="s">
        <v>72</v>
      </c>
      <c r="N38" s="1" t="s">
        <v>57</v>
      </c>
      <c r="O38" s="1" t="s">
        <v>256</v>
      </c>
      <c r="P38" s="1"/>
      <c r="Q38" s="3">
        <v>36892.0</v>
      </c>
      <c r="R38" s="1"/>
      <c r="S38" s="3">
        <v>37789.0</v>
      </c>
      <c r="T38" s="1" t="s">
        <v>37</v>
      </c>
      <c r="U38" s="1"/>
      <c r="V38" s="1" t="s">
        <v>38</v>
      </c>
      <c r="W38" s="1"/>
      <c r="X38" s="1"/>
      <c r="Y38" s="1" t="s">
        <v>49</v>
      </c>
      <c r="Z38" s="1"/>
      <c r="AA38" s="1" t="s">
        <v>40</v>
      </c>
      <c r="AB38" s="1" t="s">
        <v>257</v>
      </c>
      <c r="AC38" s="1"/>
    </row>
    <row r="39">
      <c r="A39" s="1" t="str">
        <f>"0008G8"</f>
        <v>0008G8</v>
      </c>
      <c r="B39" s="1" t="s">
        <v>258</v>
      </c>
      <c r="C39" s="1" t="s">
        <v>259</v>
      </c>
      <c r="D39" s="1"/>
      <c r="E39" s="1">
        <v>2884.0</v>
      </c>
      <c r="F39" s="1" t="s">
        <v>44</v>
      </c>
      <c r="G39" s="1" t="s">
        <v>260</v>
      </c>
      <c r="H39" s="1">
        <v>2.0</v>
      </c>
      <c r="I39" s="1"/>
      <c r="J39" s="1"/>
      <c r="K39" s="1"/>
      <c r="L39" s="1"/>
      <c r="M39" s="1" t="s">
        <v>72</v>
      </c>
      <c r="N39" s="1" t="s">
        <v>142</v>
      </c>
      <c r="O39" s="1" t="s">
        <v>227</v>
      </c>
      <c r="P39" s="1"/>
      <c r="Q39" s="3">
        <v>36892.0</v>
      </c>
      <c r="R39" s="1"/>
      <c r="S39" s="3">
        <v>34529.0</v>
      </c>
      <c r="T39" s="1" t="s">
        <v>37</v>
      </c>
      <c r="U39" s="1"/>
      <c r="V39" s="1" t="s">
        <v>38</v>
      </c>
      <c r="W39" s="1"/>
      <c r="X39" s="1"/>
      <c r="Y39" s="1" t="s">
        <v>49</v>
      </c>
      <c r="Z39" s="1"/>
      <c r="AA39" s="1" t="s">
        <v>40</v>
      </c>
      <c r="AB39" s="1" t="s">
        <v>228</v>
      </c>
      <c r="AC39" s="1"/>
    </row>
    <row r="40">
      <c r="A40" s="1" t="str">
        <f>"0008M1"</f>
        <v>0008M1</v>
      </c>
      <c r="B40" s="1" t="s">
        <v>261</v>
      </c>
      <c r="C40" s="1" t="s">
        <v>262</v>
      </c>
      <c r="D40" s="1" t="str">
        <f>"8029334252"</f>
        <v>8029334252</v>
      </c>
      <c r="E40" s="1">
        <v>2865.0</v>
      </c>
      <c r="F40" s="1" t="s">
        <v>31</v>
      </c>
      <c r="G40" s="1" t="s">
        <v>263</v>
      </c>
      <c r="H40" s="1">
        <v>2.0</v>
      </c>
      <c r="I40" s="1"/>
      <c r="J40" s="1"/>
      <c r="K40" s="1"/>
      <c r="L40" s="1"/>
      <c r="M40" s="1" t="s">
        <v>72</v>
      </c>
      <c r="N40" s="1" t="s">
        <v>47</v>
      </c>
      <c r="O40" s="1" t="s">
        <v>264</v>
      </c>
      <c r="P40" s="1" t="s">
        <v>265</v>
      </c>
      <c r="Q40" s="3">
        <v>36892.0</v>
      </c>
      <c r="R40" s="1"/>
      <c r="S40" s="3">
        <v>35362.0</v>
      </c>
      <c r="T40" s="1" t="s">
        <v>37</v>
      </c>
      <c r="U40" s="1"/>
      <c r="V40" s="1" t="s">
        <v>38</v>
      </c>
      <c r="W40" s="1">
        <v>44.989923856357</v>
      </c>
      <c r="X40" s="1">
        <v>-72.8139768496794</v>
      </c>
      <c r="Y40" s="1" t="s">
        <v>266</v>
      </c>
      <c r="Z40" s="1"/>
      <c r="AA40" s="1" t="s">
        <v>40</v>
      </c>
      <c r="AB40" s="1" t="s">
        <v>267</v>
      </c>
      <c r="AC40" s="1">
        <v>5450.0</v>
      </c>
    </row>
    <row r="41">
      <c r="A41" s="1" t="str">
        <f>"0008KW"</f>
        <v>0008KW</v>
      </c>
      <c r="B41" s="1" t="s">
        <v>268</v>
      </c>
      <c r="C41" s="1" t="s">
        <v>269</v>
      </c>
      <c r="D41" s="1" t="str">
        <f>"8022592406"</f>
        <v>8022592406</v>
      </c>
      <c r="E41" s="1">
        <v>2864.0</v>
      </c>
      <c r="F41" s="1" t="s">
        <v>117</v>
      </c>
      <c r="G41" s="1" t="s">
        <v>270</v>
      </c>
      <c r="H41" s="1">
        <v>4.0</v>
      </c>
      <c r="I41" s="2">
        <v>2.0</v>
      </c>
      <c r="J41" s="2">
        <v>2.0</v>
      </c>
      <c r="K41" s="2" t="s">
        <v>119</v>
      </c>
      <c r="L41" s="1"/>
      <c r="M41" s="1" t="s">
        <v>271</v>
      </c>
      <c r="N41" s="1" t="s">
        <v>78</v>
      </c>
      <c r="O41" s="1" t="s">
        <v>272</v>
      </c>
      <c r="P41" s="1" t="s">
        <v>273</v>
      </c>
      <c r="Q41" s="3">
        <v>36892.0</v>
      </c>
      <c r="R41" s="1"/>
      <c r="S41" s="3">
        <v>36831.0</v>
      </c>
      <c r="T41" s="1" t="s">
        <v>37</v>
      </c>
      <c r="U41" s="1"/>
      <c r="V41" s="1" t="s">
        <v>38</v>
      </c>
      <c r="W41" s="1">
        <v>43.449806</v>
      </c>
      <c r="X41" s="1">
        <v>-72.776016</v>
      </c>
      <c r="Y41" s="1" t="s">
        <v>274</v>
      </c>
      <c r="Z41" s="1"/>
      <c r="AA41" s="1" t="s">
        <v>40</v>
      </c>
      <c r="AB41" s="1" t="s">
        <v>275</v>
      </c>
      <c r="AC41" s="1">
        <v>5758.0</v>
      </c>
    </row>
    <row r="42">
      <c r="A42" s="1" t="str">
        <f>"00083X"</f>
        <v>00083X</v>
      </c>
      <c r="B42" s="1" t="s">
        <v>276</v>
      </c>
      <c r="C42" s="1" t="s">
        <v>277</v>
      </c>
      <c r="D42" s="1" t="str">
        <f>"8022233675"</f>
        <v>8022233675</v>
      </c>
      <c r="E42" s="1">
        <v>3988.0</v>
      </c>
      <c r="F42" s="1" t="s">
        <v>44</v>
      </c>
      <c r="G42" s="1" t="s">
        <v>278</v>
      </c>
      <c r="H42" s="1">
        <v>1.0</v>
      </c>
      <c r="I42" s="1"/>
      <c r="J42" s="1"/>
      <c r="K42" s="1"/>
      <c r="L42" s="1"/>
      <c r="M42" s="1" t="s">
        <v>33</v>
      </c>
      <c r="N42" s="1" t="s">
        <v>135</v>
      </c>
      <c r="O42" s="1" t="s">
        <v>279</v>
      </c>
      <c r="P42" s="1"/>
      <c r="Q42" s="3">
        <v>36892.0</v>
      </c>
      <c r="R42" s="1"/>
      <c r="S42" s="1"/>
      <c r="T42" s="1" t="s">
        <v>37</v>
      </c>
      <c r="U42" s="1"/>
      <c r="V42" s="1" t="s">
        <v>38</v>
      </c>
      <c r="W42" s="1">
        <v>44.2115105782916</v>
      </c>
      <c r="X42" s="1">
        <v>-72.5911116600036</v>
      </c>
      <c r="Y42" s="1" t="s">
        <v>280</v>
      </c>
      <c r="Z42" s="1"/>
      <c r="AA42" s="1" t="s">
        <v>40</v>
      </c>
      <c r="AB42" s="1" t="s">
        <v>281</v>
      </c>
      <c r="AC42" s="1">
        <v>5602.0</v>
      </c>
    </row>
    <row r="43">
      <c r="A43" s="1" t="str">
        <f>"0008KQ"</f>
        <v>0008KQ</v>
      </c>
      <c r="B43" s="1" t="s">
        <v>282</v>
      </c>
      <c r="C43" s="1" t="s">
        <v>283</v>
      </c>
      <c r="D43" s="1" t="str">
        <f>"8026263161"</f>
        <v>8026263161</v>
      </c>
      <c r="E43" s="1">
        <v>2861.0</v>
      </c>
      <c r="F43" s="1" t="s">
        <v>44</v>
      </c>
      <c r="G43" s="1" t="s">
        <v>284</v>
      </c>
      <c r="H43" s="1">
        <v>12.0</v>
      </c>
      <c r="I43" s="1"/>
      <c r="J43" s="1"/>
      <c r="K43" s="1"/>
      <c r="L43" s="1"/>
      <c r="M43" s="1" t="s">
        <v>285</v>
      </c>
      <c r="N43" s="1" t="s">
        <v>128</v>
      </c>
      <c r="O43" s="1" t="s">
        <v>286</v>
      </c>
      <c r="P43" s="1"/>
      <c r="Q43" s="3">
        <v>36892.0</v>
      </c>
      <c r="R43" s="1"/>
      <c r="S43" s="3">
        <v>37046.0</v>
      </c>
      <c r="T43" s="1" t="s">
        <v>37</v>
      </c>
      <c r="U43" s="1"/>
      <c r="V43" s="1" t="s">
        <v>38</v>
      </c>
      <c r="W43" s="1"/>
      <c r="X43" s="1"/>
      <c r="Y43" s="1" t="s">
        <v>49</v>
      </c>
      <c r="Z43" s="1"/>
      <c r="AA43" s="1" t="s">
        <v>40</v>
      </c>
      <c r="AB43" s="1" t="s">
        <v>287</v>
      </c>
      <c r="AC43" s="1"/>
    </row>
    <row r="44">
      <c r="A44" s="1" t="str">
        <f>"0007WQ"</f>
        <v>0007WQ</v>
      </c>
      <c r="B44" s="1" t="s">
        <v>288</v>
      </c>
      <c r="C44" s="1" t="s">
        <v>289</v>
      </c>
      <c r="D44" s="1" t="str">
        <f>"8026333020"</f>
        <v>8026333020</v>
      </c>
      <c r="E44" s="1">
        <v>3627.0</v>
      </c>
      <c r="F44" s="1" t="s">
        <v>44</v>
      </c>
      <c r="G44" s="1" t="s">
        <v>290</v>
      </c>
      <c r="H44" s="1"/>
      <c r="I44" s="1"/>
      <c r="J44" s="1"/>
      <c r="K44" s="1"/>
      <c r="L44" s="1"/>
      <c r="M44" s="1" t="s">
        <v>72</v>
      </c>
      <c r="N44" s="1" t="s">
        <v>128</v>
      </c>
      <c r="O44" s="1" t="s">
        <v>194</v>
      </c>
      <c r="P44" s="1"/>
      <c r="Q44" s="3">
        <v>36892.0</v>
      </c>
      <c r="R44" s="1"/>
      <c r="S44" s="1"/>
      <c r="T44" s="1" t="s">
        <v>37</v>
      </c>
      <c r="U44" s="1"/>
      <c r="V44" s="1" t="s">
        <v>38</v>
      </c>
      <c r="W44" s="1"/>
      <c r="X44" s="1"/>
      <c r="Y44" s="1" t="s">
        <v>49</v>
      </c>
      <c r="Z44" s="1"/>
      <c r="AA44" s="1" t="s">
        <v>40</v>
      </c>
      <c r="AB44" s="1" t="s">
        <v>291</v>
      </c>
      <c r="AC44" s="1"/>
    </row>
    <row r="45">
      <c r="A45" s="1" t="str">
        <f>"0008KN"</f>
        <v>0008KN</v>
      </c>
      <c r="B45" s="1" t="s">
        <v>292</v>
      </c>
      <c r="C45" s="1" t="s">
        <v>293</v>
      </c>
      <c r="D45" s="1" t="str">
        <f>"8026745187"</f>
        <v>8026745187</v>
      </c>
      <c r="E45" s="1">
        <v>2848.0</v>
      </c>
      <c r="F45" s="1" t="s">
        <v>44</v>
      </c>
      <c r="G45" s="1" t="s">
        <v>294</v>
      </c>
      <c r="H45" s="1"/>
      <c r="I45" s="1"/>
      <c r="J45" s="1"/>
      <c r="K45" s="1"/>
      <c r="L45" s="1"/>
      <c r="M45" s="1" t="s">
        <v>72</v>
      </c>
      <c r="N45" s="1" t="s">
        <v>34</v>
      </c>
      <c r="O45" s="1" t="s">
        <v>295</v>
      </c>
      <c r="P45" s="1"/>
      <c r="Q45" s="3">
        <v>36892.0</v>
      </c>
      <c r="R45" s="1"/>
      <c r="S45" s="1"/>
      <c r="T45" s="1" t="s">
        <v>37</v>
      </c>
      <c r="U45" s="1"/>
      <c r="V45" s="1" t="s">
        <v>38</v>
      </c>
      <c r="W45" s="1"/>
      <c r="X45" s="1"/>
      <c r="Y45" s="1" t="s">
        <v>49</v>
      </c>
      <c r="Z45" s="1"/>
      <c r="AA45" s="1" t="s">
        <v>40</v>
      </c>
      <c r="AB45" s="1" t="s">
        <v>34</v>
      </c>
      <c r="AC45" s="1"/>
    </row>
    <row r="46">
      <c r="A46" s="1" t="str">
        <f>"0008KM"</f>
        <v>0008KM</v>
      </c>
      <c r="B46" s="1" t="s">
        <v>296</v>
      </c>
      <c r="C46" s="1" t="s">
        <v>297</v>
      </c>
      <c r="D46" s="1" t="str">
        <f>"8023346823"</f>
        <v>8023346823</v>
      </c>
      <c r="E46" s="1">
        <v>2847.0</v>
      </c>
      <c r="F46" s="1" t="s">
        <v>117</v>
      </c>
      <c r="G46" s="1" t="s">
        <v>298</v>
      </c>
      <c r="H46" s="1">
        <v>2.0</v>
      </c>
      <c r="I46" s="2">
        <v>5.0</v>
      </c>
      <c r="J46" s="2">
        <v>5.0</v>
      </c>
      <c r="K46" s="2" t="s">
        <v>119</v>
      </c>
      <c r="L46" s="1"/>
      <c r="M46" s="1" t="s">
        <v>299</v>
      </c>
      <c r="N46" s="1" t="s">
        <v>94</v>
      </c>
      <c r="O46" s="1" t="s">
        <v>300</v>
      </c>
      <c r="P46" s="1" t="s">
        <v>301</v>
      </c>
      <c r="Q46" s="3">
        <v>36892.0</v>
      </c>
      <c r="R46" s="1"/>
      <c r="S46" s="1"/>
      <c r="T46" s="1" t="s">
        <v>37</v>
      </c>
      <c r="U46" s="1"/>
      <c r="V46" s="1" t="s">
        <v>38</v>
      </c>
      <c r="W46" s="1">
        <v>44.933931</v>
      </c>
      <c r="X46" s="1">
        <v>-72.2171051999999</v>
      </c>
      <c r="Y46" s="1" t="s">
        <v>302</v>
      </c>
      <c r="Z46" s="1"/>
      <c r="AA46" s="1" t="s">
        <v>40</v>
      </c>
      <c r="AB46" s="1" t="s">
        <v>303</v>
      </c>
      <c r="AC46" s="1">
        <v>5857.0</v>
      </c>
    </row>
    <row r="47">
      <c r="A47" s="1" t="str">
        <f>"0008KK"</f>
        <v>0008KK</v>
      </c>
      <c r="B47" s="1" t="s">
        <v>304</v>
      </c>
      <c r="C47" s="1" t="s">
        <v>305</v>
      </c>
      <c r="D47" s="1" t="str">
        <f>"8024536164"</f>
        <v>8024536164</v>
      </c>
      <c r="E47" s="1">
        <v>3579.0</v>
      </c>
      <c r="F47" s="1" t="s">
        <v>44</v>
      </c>
      <c r="G47" s="1" t="s">
        <v>306</v>
      </c>
      <c r="H47" s="1">
        <v>1.0</v>
      </c>
      <c r="I47" s="1"/>
      <c r="J47" s="1"/>
      <c r="K47" s="1"/>
      <c r="L47" s="1"/>
      <c r="M47" s="1" t="s">
        <v>72</v>
      </c>
      <c r="N47" s="1" t="s">
        <v>161</v>
      </c>
      <c r="O47" s="1" t="s">
        <v>307</v>
      </c>
      <c r="P47" s="1"/>
      <c r="Q47" s="3">
        <v>36892.0</v>
      </c>
      <c r="R47" s="1"/>
      <c r="S47" s="3">
        <v>38593.0</v>
      </c>
      <c r="T47" s="1" t="s">
        <v>37</v>
      </c>
      <c r="U47" s="1"/>
      <c r="V47" s="1" t="s">
        <v>38</v>
      </c>
      <c r="W47" s="1"/>
      <c r="X47" s="1"/>
      <c r="Y47" s="1" t="s">
        <v>49</v>
      </c>
      <c r="Z47" s="1"/>
      <c r="AA47" s="1" t="s">
        <v>40</v>
      </c>
      <c r="AB47" s="1" t="s">
        <v>308</v>
      </c>
      <c r="AC47" s="1"/>
    </row>
    <row r="48">
      <c r="A48" s="1" t="str">
        <f>"0008X7"</f>
        <v>0008X7</v>
      </c>
      <c r="B48" s="1" t="s">
        <v>309</v>
      </c>
      <c r="C48" s="1" t="s">
        <v>310</v>
      </c>
      <c r="D48" s="1" t="str">
        <f>"8024342690"</f>
        <v>8024342690</v>
      </c>
      <c r="E48" s="1">
        <v>3425.0</v>
      </c>
      <c r="F48" s="1" t="s">
        <v>44</v>
      </c>
      <c r="G48" s="1" t="s">
        <v>311</v>
      </c>
      <c r="H48" s="1">
        <v>1.0</v>
      </c>
      <c r="I48" s="1"/>
      <c r="J48" s="1"/>
      <c r="K48" s="1"/>
      <c r="L48" s="1"/>
      <c r="M48" s="1" t="s">
        <v>312</v>
      </c>
      <c r="N48" s="1" t="s">
        <v>57</v>
      </c>
      <c r="O48" s="1" t="s">
        <v>313</v>
      </c>
      <c r="P48" s="1"/>
      <c r="Q48" s="3">
        <v>36892.0</v>
      </c>
      <c r="R48" s="1"/>
      <c r="S48" s="3">
        <v>37452.0</v>
      </c>
      <c r="T48" s="1" t="s">
        <v>37</v>
      </c>
      <c r="U48" s="1"/>
      <c r="V48" s="1" t="s">
        <v>38</v>
      </c>
      <c r="W48" s="1"/>
      <c r="X48" s="1"/>
      <c r="Y48" s="1" t="s">
        <v>49</v>
      </c>
      <c r="Z48" s="1"/>
      <c r="AA48" s="1" t="s">
        <v>40</v>
      </c>
      <c r="AB48" s="1" t="s">
        <v>314</v>
      </c>
      <c r="AC48" s="1"/>
    </row>
    <row r="49">
      <c r="A49" s="1" t="str">
        <f>"0008CJ"</f>
        <v>0008CJ</v>
      </c>
      <c r="B49" s="1" t="s">
        <v>315</v>
      </c>
      <c r="C49" s="1" t="s">
        <v>316</v>
      </c>
      <c r="D49" s="1" t="str">
        <f>"8029332322"</f>
        <v>8029332322</v>
      </c>
      <c r="E49" s="1">
        <v>3707.0</v>
      </c>
      <c r="F49" s="1" t="s">
        <v>31</v>
      </c>
      <c r="G49" s="1" t="s">
        <v>317</v>
      </c>
      <c r="H49" s="1">
        <v>14.0</v>
      </c>
      <c r="I49" s="1"/>
      <c r="J49" s="1"/>
      <c r="K49" s="1"/>
      <c r="L49" s="1"/>
      <c r="M49" s="1" t="s">
        <v>72</v>
      </c>
      <c r="N49" s="1" t="s">
        <v>47</v>
      </c>
      <c r="O49" s="1" t="s">
        <v>264</v>
      </c>
      <c r="P49" s="1" t="s">
        <v>318</v>
      </c>
      <c r="Q49" s="3">
        <v>36892.0</v>
      </c>
      <c r="R49" s="1"/>
      <c r="S49" s="3">
        <v>39233.0</v>
      </c>
      <c r="T49" s="1" t="s">
        <v>37</v>
      </c>
      <c r="U49" s="1"/>
      <c r="V49" s="1" t="s">
        <v>38</v>
      </c>
      <c r="W49" s="1">
        <v>44.9837719999999</v>
      </c>
      <c r="X49" s="1">
        <v>-72.797775</v>
      </c>
      <c r="Y49" s="1" t="s">
        <v>319</v>
      </c>
      <c r="Z49" s="1"/>
      <c r="AA49" s="1" t="s">
        <v>40</v>
      </c>
      <c r="AB49" s="1" t="s">
        <v>320</v>
      </c>
      <c r="AC49" s="1">
        <v>5450.0</v>
      </c>
    </row>
    <row r="50">
      <c r="A50" s="1" t="str">
        <f>"0008KJ"</f>
        <v>0008KJ</v>
      </c>
      <c r="B50" s="1" t="s">
        <v>321</v>
      </c>
      <c r="C50" s="1" t="s">
        <v>322</v>
      </c>
      <c r="D50" s="1" t="str">
        <f>"8024573234"</f>
        <v>8024573234</v>
      </c>
      <c r="E50" s="1">
        <v>2845.0</v>
      </c>
      <c r="F50" s="1" t="s">
        <v>44</v>
      </c>
      <c r="G50" s="1" t="s">
        <v>323</v>
      </c>
      <c r="H50" s="1">
        <v>0.0</v>
      </c>
      <c r="I50" s="1"/>
      <c r="J50" s="1"/>
      <c r="K50" s="1"/>
      <c r="L50" s="1"/>
      <c r="M50" s="1" t="s">
        <v>33</v>
      </c>
      <c r="N50" s="1" t="s">
        <v>34</v>
      </c>
      <c r="O50" s="1" t="s">
        <v>324</v>
      </c>
      <c r="P50" s="1" t="s">
        <v>36</v>
      </c>
      <c r="Q50" s="3">
        <v>36892.0</v>
      </c>
      <c r="R50" s="1"/>
      <c r="S50" s="3">
        <v>42094.0</v>
      </c>
      <c r="T50" s="1" t="s">
        <v>37</v>
      </c>
      <c r="U50" s="1"/>
      <c r="V50" s="1" t="s">
        <v>38</v>
      </c>
      <c r="W50" s="1">
        <v>43.5974714044075</v>
      </c>
      <c r="X50" s="1">
        <v>-72.5251507759094</v>
      </c>
      <c r="Y50" s="1" t="s">
        <v>325</v>
      </c>
      <c r="Z50" s="1"/>
      <c r="AA50" s="1" t="s">
        <v>40</v>
      </c>
      <c r="AB50" s="1" t="s">
        <v>326</v>
      </c>
      <c r="AC50" s="1">
        <v>5091.0</v>
      </c>
    </row>
    <row r="51">
      <c r="A51" s="1" t="str">
        <f>"0008KH"</f>
        <v>0008KH</v>
      </c>
      <c r="B51" s="1" t="s">
        <v>327</v>
      </c>
      <c r="C51" s="1" t="s">
        <v>328</v>
      </c>
      <c r="D51" s="1" t="str">
        <f>"8027234378"</f>
        <v>8027234378</v>
      </c>
      <c r="E51" s="1">
        <v>2829.0</v>
      </c>
      <c r="F51" s="1" t="s">
        <v>44</v>
      </c>
      <c r="G51" s="1" t="s">
        <v>329</v>
      </c>
      <c r="H51" s="1"/>
      <c r="I51" s="1"/>
      <c r="J51" s="1"/>
      <c r="K51" s="1"/>
      <c r="L51" s="1"/>
      <c r="M51" s="1" t="s">
        <v>330</v>
      </c>
      <c r="N51" s="1" t="s">
        <v>331</v>
      </c>
      <c r="O51" s="1" t="s">
        <v>332</v>
      </c>
      <c r="P51" s="1"/>
      <c r="Q51" s="3">
        <v>36892.0</v>
      </c>
      <c r="R51" s="1"/>
      <c r="S51" s="1"/>
      <c r="T51" s="1" t="s">
        <v>37</v>
      </c>
      <c r="U51" s="1"/>
      <c r="V51" s="1" t="s">
        <v>38</v>
      </c>
      <c r="W51" s="1"/>
      <c r="X51" s="1"/>
      <c r="Y51" s="1" t="s">
        <v>49</v>
      </c>
      <c r="Z51" s="1"/>
      <c r="AA51" s="1" t="s">
        <v>40</v>
      </c>
      <c r="AB51" s="1" t="s">
        <v>333</v>
      </c>
      <c r="AC51" s="1"/>
    </row>
    <row r="52">
      <c r="A52" s="1" t="str">
        <f>"0008KG"</f>
        <v>0008KG</v>
      </c>
      <c r="B52" s="1" t="s">
        <v>334</v>
      </c>
      <c r="C52" s="1" t="s">
        <v>335</v>
      </c>
      <c r="D52" s="1" t="str">
        <f>"8026269670"</f>
        <v>8026269670</v>
      </c>
      <c r="E52" s="1">
        <v>2828.0</v>
      </c>
      <c r="F52" s="1" t="s">
        <v>44</v>
      </c>
      <c r="G52" s="1" t="s">
        <v>336</v>
      </c>
      <c r="H52" s="1"/>
      <c r="I52" s="1"/>
      <c r="J52" s="1"/>
      <c r="K52" s="1"/>
      <c r="L52" s="1"/>
      <c r="M52" s="1" t="s">
        <v>72</v>
      </c>
      <c r="N52" s="1" t="s">
        <v>128</v>
      </c>
      <c r="O52" s="1" t="s">
        <v>337</v>
      </c>
      <c r="P52" s="1"/>
      <c r="Q52" s="3">
        <v>36892.0</v>
      </c>
      <c r="R52" s="1"/>
      <c r="S52" s="1"/>
      <c r="T52" s="1" t="s">
        <v>37</v>
      </c>
      <c r="U52" s="1"/>
      <c r="V52" s="1" t="s">
        <v>38</v>
      </c>
      <c r="W52" s="1"/>
      <c r="X52" s="1"/>
      <c r="Y52" s="1" t="s">
        <v>49</v>
      </c>
      <c r="Z52" s="1"/>
      <c r="AA52" s="1" t="s">
        <v>40</v>
      </c>
      <c r="AB52" s="1" t="s">
        <v>338</v>
      </c>
      <c r="AC52" s="1"/>
    </row>
    <row r="53">
      <c r="A53" s="1" t="str">
        <f t="shared" ref="A53:A54" si="9">"0008KF"</f>
        <v>0008KF</v>
      </c>
      <c r="B53" s="1" t="s">
        <v>339</v>
      </c>
      <c r="C53" s="1" t="s">
        <v>340</v>
      </c>
      <c r="D53" s="1" t="str">
        <f t="shared" ref="D53:D54" si="10">"8027638789"</f>
        <v>8027638789</v>
      </c>
      <c r="E53" s="1">
        <v>2827.0</v>
      </c>
      <c r="F53" s="1" t="s">
        <v>44</v>
      </c>
      <c r="G53" s="1" t="s">
        <v>341</v>
      </c>
      <c r="H53" s="1"/>
      <c r="I53" s="1"/>
      <c r="J53" s="1"/>
      <c r="K53" s="1"/>
      <c r="L53" s="1"/>
      <c r="M53" s="1" t="s">
        <v>342</v>
      </c>
      <c r="N53" s="1" t="s">
        <v>135</v>
      </c>
      <c r="O53" s="1" t="s">
        <v>343</v>
      </c>
      <c r="P53" s="1"/>
      <c r="Q53" s="3">
        <v>36892.0</v>
      </c>
      <c r="R53" s="1"/>
      <c r="S53" s="1"/>
      <c r="T53" s="1" t="s">
        <v>37</v>
      </c>
      <c r="U53" s="1"/>
      <c r="V53" s="1" t="s">
        <v>38</v>
      </c>
      <c r="W53" s="1"/>
      <c r="X53" s="1"/>
      <c r="Y53" s="1" t="s">
        <v>49</v>
      </c>
      <c r="Z53" s="1"/>
      <c r="AA53" s="1" t="s">
        <v>40</v>
      </c>
      <c r="AB53" s="1" t="s">
        <v>343</v>
      </c>
      <c r="AC53" s="1"/>
    </row>
    <row r="54">
      <c r="A54" s="1" t="str">
        <f t="shared" si="9"/>
        <v>0008KF</v>
      </c>
      <c r="B54" s="1" t="s">
        <v>339</v>
      </c>
      <c r="C54" s="1" t="s">
        <v>340</v>
      </c>
      <c r="D54" s="1" t="str">
        <f t="shared" si="10"/>
        <v>8027638789</v>
      </c>
      <c r="E54" s="1">
        <v>2827.0</v>
      </c>
      <c r="F54" s="1" t="s">
        <v>44</v>
      </c>
      <c r="G54" s="1" t="s">
        <v>344</v>
      </c>
      <c r="H54" s="1"/>
      <c r="I54" s="1"/>
      <c r="J54" s="1"/>
      <c r="K54" s="1"/>
      <c r="L54" s="1"/>
      <c r="M54" s="1" t="s">
        <v>72</v>
      </c>
      <c r="N54" s="1" t="s">
        <v>34</v>
      </c>
      <c r="O54" s="1" t="s">
        <v>35</v>
      </c>
      <c r="P54" s="1"/>
      <c r="Q54" s="3">
        <v>36892.0</v>
      </c>
      <c r="R54" s="1"/>
      <c r="S54" s="1"/>
      <c r="T54" s="1" t="s">
        <v>37</v>
      </c>
      <c r="U54" s="1"/>
      <c r="V54" s="1" t="s">
        <v>38</v>
      </c>
      <c r="W54" s="1"/>
      <c r="X54" s="1"/>
      <c r="Y54" s="1" t="s">
        <v>49</v>
      </c>
      <c r="Z54" s="1"/>
      <c r="AA54" s="1" t="s">
        <v>40</v>
      </c>
      <c r="AB54" s="1" t="s">
        <v>345</v>
      </c>
      <c r="AC54" s="1"/>
    </row>
    <row r="55">
      <c r="A55" s="1" t="str">
        <f>"0008KD"</f>
        <v>0008KD</v>
      </c>
      <c r="B55" s="1" t="s">
        <v>346</v>
      </c>
      <c r="C55" s="1" t="s">
        <v>347</v>
      </c>
      <c r="D55" s="1" t="str">
        <f>"8027654500"</f>
        <v>8027654500</v>
      </c>
      <c r="E55" s="1">
        <v>2826.0</v>
      </c>
      <c r="F55" s="1" t="s">
        <v>44</v>
      </c>
      <c r="G55" s="1" t="s">
        <v>348</v>
      </c>
      <c r="H55" s="1">
        <v>1.0</v>
      </c>
      <c r="I55" s="1"/>
      <c r="J55" s="1"/>
      <c r="K55" s="1"/>
      <c r="L55" s="1"/>
      <c r="M55" s="1" t="s">
        <v>349</v>
      </c>
      <c r="N55" s="1" t="s">
        <v>142</v>
      </c>
      <c r="O55" s="1" t="s">
        <v>243</v>
      </c>
      <c r="P55" s="1"/>
      <c r="Q55" s="3">
        <v>36892.0</v>
      </c>
      <c r="R55" s="1"/>
      <c r="S55" s="3">
        <v>40024.0</v>
      </c>
      <c r="T55" s="1" t="s">
        <v>37</v>
      </c>
      <c r="U55" s="1"/>
      <c r="V55" s="1" t="s">
        <v>38</v>
      </c>
      <c r="W55" s="1"/>
      <c r="X55" s="1"/>
      <c r="Y55" s="1" t="s">
        <v>49</v>
      </c>
      <c r="Z55" s="1"/>
      <c r="AA55" s="1" t="s">
        <v>40</v>
      </c>
      <c r="AB55" s="1" t="s">
        <v>246</v>
      </c>
      <c r="AC55" s="1"/>
    </row>
    <row r="56">
      <c r="A56" s="1" t="str">
        <f>"0008KC"</f>
        <v>0008KC</v>
      </c>
      <c r="B56" s="1" t="s">
        <v>350</v>
      </c>
      <c r="C56" s="1" t="s">
        <v>351</v>
      </c>
      <c r="D56" s="1" t="str">
        <f>"8022763024"</f>
        <v>8022763024</v>
      </c>
      <c r="E56" s="1">
        <v>2825.0</v>
      </c>
      <c r="F56" s="1" t="s">
        <v>44</v>
      </c>
      <c r="G56" s="1" t="s">
        <v>352</v>
      </c>
      <c r="H56" s="1">
        <v>1.0</v>
      </c>
      <c r="I56" s="1"/>
      <c r="J56" s="1"/>
      <c r="K56" s="1"/>
      <c r="L56" s="1"/>
      <c r="M56" s="1" t="s">
        <v>72</v>
      </c>
      <c r="N56" s="1" t="s">
        <v>142</v>
      </c>
      <c r="O56" s="1" t="s">
        <v>353</v>
      </c>
      <c r="P56" s="1"/>
      <c r="Q56" s="3">
        <v>36892.0</v>
      </c>
      <c r="R56" s="1"/>
      <c r="S56" s="3">
        <v>37461.0</v>
      </c>
      <c r="T56" s="1" t="s">
        <v>37</v>
      </c>
      <c r="U56" s="1"/>
      <c r="V56" s="1" t="s">
        <v>38</v>
      </c>
      <c r="W56" s="1">
        <v>44.027733</v>
      </c>
      <c r="X56" s="1">
        <v>-72.5654979999999</v>
      </c>
      <c r="Y56" s="1" t="s">
        <v>354</v>
      </c>
      <c r="Z56" s="1"/>
      <c r="AA56" s="1" t="s">
        <v>40</v>
      </c>
      <c r="AB56" s="1" t="s">
        <v>355</v>
      </c>
      <c r="AC56" s="1">
        <v>5036.0</v>
      </c>
    </row>
    <row r="57">
      <c r="A57" s="1" t="str">
        <f>"0008KB"</f>
        <v>0008KB</v>
      </c>
      <c r="B57" s="1" t="s">
        <v>356</v>
      </c>
      <c r="C57" s="1" t="s">
        <v>357</v>
      </c>
      <c r="D57" s="1" t="str">
        <f>"8027299932"</f>
        <v>8027299932</v>
      </c>
      <c r="E57" s="1">
        <v>2824.0</v>
      </c>
      <c r="F57" s="1" t="s">
        <v>117</v>
      </c>
      <c r="G57" s="1" t="s">
        <v>358</v>
      </c>
      <c r="H57" s="1">
        <v>1.0</v>
      </c>
      <c r="I57" s="1"/>
      <c r="J57" s="1"/>
      <c r="K57" s="1"/>
      <c r="L57" s="1"/>
      <c r="M57" s="1" t="s">
        <v>33</v>
      </c>
      <c r="N57" s="1" t="s">
        <v>142</v>
      </c>
      <c r="O57" s="1" t="s">
        <v>359</v>
      </c>
      <c r="P57" s="1" t="s">
        <v>36</v>
      </c>
      <c r="Q57" s="3">
        <v>36892.0</v>
      </c>
      <c r="R57" s="1"/>
      <c r="S57" s="3">
        <v>42943.0</v>
      </c>
      <c r="T57" s="1" t="s">
        <v>37</v>
      </c>
      <c r="U57" s="1"/>
      <c r="V57" s="1" t="s">
        <v>38</v>
      </c>
      <c r="W57" s="1">
        <v>43.930099</v>
      </c>
      <c r="X57" s="1">
        <v>-72.6891019999999</v>
      </c>
      <c r="Y57" s="1" t="s">
        <v>360</v>
      </c>
      <c r="Z57" s="1"/>
      <c r="AA57" s="1" t="s">
        <v>40</v>
      </c>
      <c r="AB57" s="1" t="s">
        <v>361</v>
      </c>
      <c r="AC57" s="1">
        <v>5060.0</v>
      </c>
    </row>
    <row r="58">
      <c r="A58" s="1" t="str">
        <f>"0008KA"</f>
        <v>0008KA</v>
      </c>
      <c r="B58" s="1" t="s">
        <v>362</v>
      </c>
      <c r="C58" s="1" t="s">
        <v>363</v>
      </c>
      <c r="D58" s="1" t="str">
        <f>"8022534198"</f>
        <v>8022534198</v>
      </c>
      <c r="E58" s="1">
        <v>2822.0</v>
      </c>
      <c r="F58" s="1" t="s">
        <v>44</v>
      </c>
      <c r="G58" s="1" t="s">
        <v>364</v>
      </c>
      <c r="H58" s="1"/>
      <c r="I58" s="1"/>
      <c r="J58" s="1"/>
      <c r="K58" s="1"/>
      <c r="L58" s="1"/>
      <c r="M58" s="1" t="s">
        <v>72</v>
      </c>
      <c r="N58" s="1" t="s">
        <v>213</v>
      </c>
      <c r="O58" s="1" t="s">
        <v>365</v>
      </c>
      <c r="P58" s="1"/>
      <c r="Q58" s="3">
        <v>36892.0</v>
      </c>
      <c r="R58" s="1"/>
      <c r="S58" s="1"/>
      <c r="T58" s="1" t="s">
        <v>37</v>
      </c>
      <c r="U58" s="1"/>
      <c r="V58" s="1" t="s">
        <v>38</v>
      </c>
      <c r="W58" s="1"/>
      <c r="X58" s="1"/>
      <c r="Y58" s="1" t="s">
        <v>49</v>
      </c>
      <c r="Z58" s="1"/>
      <c r="AA58" s="1" t="s">
        <v>40</v>
      </c>
      <c r="AB58" s="1" t="s">
        <v>366</v>
      </c>
      <c r="AC58" s="1"/>
    </row>
    <row r="59">
      <c r="A59" s="1" t="str">
        <f>"0008K9"</f>
        <v>0008K9</v>
      </c>
      <c r="B59" s="1" t="s">
        <v>367</v>
      </c>
      <c r="C59" s="1" t="s">
        <v>368</v>
      </c>
      <c r="D59" s="1" t="str">
        <f>"8023253019"</f>
        <v>8023253019</v>
      </c>
      <c r="E59" s="1">
        <v>3008.0</v>
      </c>
      <c r="F59" s="1" t="s">
        <v>117</v>
      </c>
      <c r="G59" s="1" t="s">
        <v>369</v>
      </c>
      <c r="H59" s="1">
        <v>0.0</v>
      </c>
      <c r="I59" s="2" t="s">
        <v>119</v>
      </c>
      <c r="J59" s="2" t="s">
        <v>119</v>
      </c>
      <c r="K59" s="2" t="s">
        <v>119</v>
      </c>
      <c r="L59" s="1"/>
      <c r="M59" s="1" t="s">
        <v>370</v>
      </c>
      <c r="N59" s="1" t="s">
        <v>78</v>
      </c>
      <c r="O59" s="1" t="s">
        <v>371</v>
      </c>
      <c r="P59" s="1" t="s">
        <v>372</v>
      </c>
      <c r="Q59" s="3">
        <v>36892.0</v>
      </c>
      <c r="R59" s="1"/>
      <c r="S59" s="3">
        <v>37782.0</v>
      </c>
      <c r="T59" s="1" t="s">
        <v>37</v>
      </c>
      <c r="U59" s="1"/>
      <c r="V59" s="1" t="s">
        <v>38</v>
      </c>
      <c r="W59" s="1">
        <v>43.4057879751982</v>
      </c>
      <c r="X59" s="1">
        <v>-73.1529486179351</v>
      </c>
      <c r="Y59" s="1" t="s">
        <v>373</v>
      </c>
      <c r="Z59" s="1"/>
      <c r="AA59" s="1" t="s">
        <v>40</v>
      </c>
      <c r="AB59" s="1" t="s">
        <v>374</v>
      </c>
      <c r="AC59" s="1">
        <v>5774.0</v>
      </c>
    </row>
    <row r="60">
      <c r="A60" s="1" t="str">
        <f>"0008K8"</f>
        <v>0008K8</v>
      </c>
      <c r="B60" s="1" t="s">
        <v>375</v>
      </c>
      <c r="C60" s="1" t="s">
        <v>376</v>
      </c>
      <c r="D60" s="1" t="str">
        <f>"8028496051"</f>
        <v>8028496051</v>
      </c>
      <c r="E60" s="1">
        <v>2820.0</v>
      </c>
      <c r="F60" s="1" t="s">
        <v>31</v>
      </c>
      <c r="G60" s="1" t="s">
        <v>377</v>
      </c>
      <c r="H60" s="1">
        <v>3.0</v>
      </c>
      <c r="I60" s="1"/>
      <c r="J60" s="1"/>
      <c r="K60" s="1"/>
      <c r="L60" s="1"/>
      <c r="M60" s="1" t="s">
        <v>72</v>
      </c>
      <c r="N60" s="1" t="s">
        <v>47</v>
      </c>
      <c r="O60" s="1" t="s">
        <v>378</v>
      </c>
      <c r="P60" s="1" t="s">
        <v>379</v>
      </c>
      <c r="Q60" s="3">
        <v>36892.0</v>
      </c>
      <c r="R60" s="1"/>
      <c r="S60" s="1"/>
      <c r="T60" s="1" t="s">
        <v>37</v>
      </c>
      <c r="U60" s="1"/>
      <c r="V60" s="1" t="s">
        <v>38</v>
      </c>
      <c r="W60" s="1">
        <v>44.665636</v>
      </c>
      <c r="X60" s="1">
        <v>-73.0232859999999</v>
      </c>
      <c r="Y60" s="1" t="s">
        <v>380</v>
      </c>
      <c r="Z60" s="1"/>
      <c r="AA60" s="1" t="s">
        <v>40</v>
      </c>
      <c r="AB60" s="1" t="s">
        <v>381</v>
      </c>
      <c r="AC60" s="1">
        <v>5454.0</v>
      </c>
    </row>
    <row r="61">
      <c r="A61" s="1" t="str">
        <f>"0008K7"</f>
        <v>0008K7</v>
      </c>
      <c r="B61" s="1" t="s">
        <v>382</v>
      </c>
      <c r="C61" s="1" t="s">
        <v>383</v>
      </c>
      <c r="D61" s="1" t="str">
        <f>"8025332282"</f>
        <v>8025332282</v>
      </c>
      <c r="E61" s="1">
        <v>2819.0</v>
      </c>
      <c r="F61" s="1" t="s">
        <v>44</v>
      </c>
      <c r="G61" s="1" t="s">
        <v>384</v>
      </c>
      <c r="H61" s="1"/>
      <c r="I61" s="1"/>
      <c r="J61" s="1"/>
      <c r="K61" s="1"/>
      <c r="L61" s="1"/>
      <c r="M61" s="1" t="s">
        <v>72</v>
      </c>
      <c r="N61" s="1" t="s">
        <v>94</v>
      </c>
      <c r="O61" s="1" t="s">
        <v>232</v>
      </c>
      <c r="P61" s="1"/>
      <c r="Q61" s="3">
        <v>36892.0</v>
      </c>
      <c r="R61" s="1"/>
      <c r="S61" s="1"/>
      <c r="T61" s="1" t="s">
        <v>37</v>
      </c>
      <c r="U61" s="1"/>
      <c r="V61" s="1" t="s">
        <v>38</v>
      </c>
      <c r="W61" s="1"/>
      <c r="X61" s="1"/>
      <c r="Y61" s="1" t="s">
        <v>49</v>
      </c>
      <c r="Z61" s="1"/>
      <c r="AA61" s="1" t="s">
        <v>40</v>
      </c>
      <c r="AB61" s="1" t="s">
        <v>385</v>
      </c>
      <c r="AC61" s="1"/>
    </row>
    <row r="62">
      <c r="A62" s="1" t="str">
        <f>"000820"</f>
        <v>000820</v>
      </c>
      <c r="B62" s="1" t="s">
        <v>386</v>
      </c>
      <c r="C62" s="1" t="s">
        <v>387</v>
      </c>
      <c r="D62" s="1" t="str">
        <f>"8023657376"</f>
        <v>8023657376</v>
      </c>
      <c r="E62" s="1">
        <v>3523.0</v>
      </c>
      <c r="F62" s="1" t="s">
        <v>44</v>
      </c>
      <c r="G62" s="1" t="s">
        <v>388</v>
      </c>
      <c r="H62" s="1">
        <v>1.0</v>
      </c>
      <c r="I62" s="1"/>
      <c r="J62" s="1"/>
      <c r="K62" s="1"/>
      <c r="L62" s="1"/>
      <c r="M62" s="1" t="s">
        <v>72</v>
      </c>
      <c r="N62" s="1" t="s">
        <v>66</v>
      </c>
      <c r="O62" s="1" t="s">
        <v>389</v>
      </c>
      <c r="P62" s="1"/>
      <c r="Q62" s="3">
        <v>36892.0</v>
      </c>
      <c r="R62" s="1"/>
      <c r="S62" s="3">
        <v>38085.0</v>
      </c>
      <c r="T62" s="1" t="s">
        <v>37</v>
      </c>
      <c r="U62" s="1"/>
      <c r="V62" s="1" t="s">
        <v>38</v>
      </c>
      <c r="W62" s="1"/>
      <c r="X62" s="1"/>
      <c r="Y62" s="1" t="s">
        <v>49</v>
      </c>
      <c r="Z62" s="1"/>
      <c r="AA62" s="1" t="s">
        <v>40</v>
      </c>
      <c r="AB62" s="1" t="s">
        <v>390</v>
      </c>
      <c r="AC62" s="1"/>
    </row>
    <row r="63">
      <c r="A63" s="1" t="str">
        <f>"0008K5"</f>
        <v>0008K5</v>
      </c>
      <c r="B63" s="1" t="s">
        <v>391</v>
      </c>
      <c r="C63" s="1" t="s">
        <v>392</v>
      </c>
      <c r="D63" s="1" t="str">
        <f>"8024534182"</f>
        <v>8024534182</v>
      </c>
      <c r="E63" s="1">
        <v>2817.0</v>
      </c>
      <c r="F63" s="1" t="s">
        <v>44</v>
      </c>
      <c r="G63" s="1" t="s">
        <v>393</v>
      </c>
      <c r="H63" s="1"/>
      <c r="I63" s="1"/>
      <c r="J63" s="1"/>
      <c r="K63" s="1"/>
      <c r="L63" s="1"/>
      <c r="M63" s="1" t="s">
        <v>72</v>
      </c>
      <c r="N63" s="1" t="s">
        <v>161</v>
      </c>
      <c r="O63" s="1" t="s">
        <v>394</v>
      </c>
      <c r="P63" s="1"/>
      <c r="Q63" s="3">
        <v>36892.0</v>
      </c>
      <c r="R63" s="1"/>
      <c r="S63" s="1"/>
      <c r="T63" s="1" t="s">
        <v>37</v>
      </c>
      <c r="U63" s="1"/>
      <c r="V63" s="1" t="s">
        <v>38</v>
      </c>
      <c r="W63" s="1"/>
      <c r="X63" s="1"/>
      <c r="Y63" s="1" t="s">
        <v>49</v>
      </c>
      <c r="Z63" s="1"/>
      <c r="AA63" s="1" t="s">
        <v>40</v>
      </c>
      <c r="AB63" s="1" t="s">
        <v>395</v>
      </c>
      <c r="AC63" s="1"/>
    </row>
    <row r="64">
      <c r="A64" s="1" t="str">
        <f>"0008K3"</f>
        <v>0008K3</v>
      </c>
      <c r="B64" s="1" t="s">
        <v>396</v>
      </c>
      <c r="C64" s="1" t="s">
        <v>397</v>
      </c>
      <c r="D64" s="1" t="str">
        <f>"8024395646"</f>
        <v>8024395646</v>
      </c>
      <c r="E64" s="1">
        <v>2814.0</v>
      </c>
      <c r="F64" s="1" t="s">
        <v>44</v>
      </c>
      <c r="G64" s="1" t="s">
        <v>398</v>
      </c>
      <c r="H64" s="1">
        <v>1.0</v>
      </c>
      <c r="I64" s="1"/>
      <c r="J64" s="1"/>
      <c r="K64" s="1"/>
      <c r="L64" s="1"/>
      <c r="M64" s="1" t="s">
        <v>399</v>
      </c>
      <c r="N64" s="1" t="s">
        <v>142</v>
      </c>
      <c r="O64" s="1" t="s">
        <v>400</v>
      </c>
      <c r="P64" s="1"/>
      <c r="Q64" s="3">
        <v>36892.0</v>
      </c>
      <c r="R64" s="1"/>
      <c r="S64" s="3">
        <v>34529.0</v>
      </c>
      <c r="T64" s="1" t="s">
        <v>37</v>
      </c>
      <c r="U64" s="1"/>
      <c r="V64" s="1" t="s">
        <v>38</v>
      </c>
      <c r="W64" s="1"/>
      <c r="X64" s="1"/>
      <c r="Y64" s="1" t="s">
        <v>49</v>
      </c>
      <c r="Z64" s="1"/>
      <c r="AA64" s="1" t="s">
        <v>40</v>
      </c>
      <c r="AB64" s="1" t="s">
        <v>401</v>
      </c>
      <c r="AC64" s="1"/>
    </row>
    <row r="65">
      <c r="A65" s="1" t="str">
        <f>"0008MP"</f>
        <v>0008MP</v>
      </c>
      <c r="B65" s="1" t="s">
        <v>402</v>
      </c>
      <c r="C65" s="1" t="s">
        <v>403</v>
      </c>
      <c r="D65" s="1" t="str">
        <f>"8028932294"</f>
        <v>8028932294</v>
      </c>
      <c r="E65" s="1">
        <v>3152.0</v>
      </c>
      <c r="F65" s="1" t="s">
        <v>44</v>
      </c>
      <c r="G65" s="1" t="s">
        <v>404</v>
      </c>
      <c r="H65" s="1"/>
      <c r="I65" s="1"/>
      <c r="J65" s="1"/>
      <c r="K65" s="1"/>
      <c r="L65" s="1"/>
      <c r="M65" s="1" t="s">
        <v>72</v>
      </c>
      <c r="N65" s="1" t="s">
        <v>57</v>
      </c>
      <c r="O65" s="1" t="s">
        <v>256</v>
      </c>
      <c r="P65" s="1"/>
      <c r="Q65" s="3">
        <v>36892.0</v>
      </c>
      <c r="R65" s="1"/>
      <c r="S65" s="1"/>
      <c r="T65" s="1" t="s">
        <v>37</v>
      </c>
      <c r="U65" s="1"/>
      <c r="V65" s="1" t="s">
        <v>38</v>
      </c>
      <c r="W65" s="1"/>
      <c r="X65" s="1"/>
      <c r="Y65" s="1" t="s">
        <v>49</v>
      </c>
      <c r="Z65" s="1"/>
      <c r="AA65" s="1" t="s">
        <v>40</v>
      </c>
      <c r="AB65" s="1" t="s">
        <v>257</v>
      </c>
      <c r="AC65" s="1"/>
    </row>
    <row r="66">
      <c r="A66" s="1" t="str">
        <f>"000853"</f>
        <v>000853</v>
      </c>
      <c r="B66" s="1" t="s">
        <v>405</v>
      </c>
      <c r="C66" s="1" t="s">
        <v>406</v>
      </c>
      <c r="D66" s="1" t="str">
        <f>"8025632915"</f>
        <v>8025632915</v>
      </c>
      <c r="E66" s="1">
        <v>3052.0</v>
      </c>
      <c r="F66" s="1" t="s">
        <v>44</v>
      </c>
      <c r="G66" s="1" t="s">
        <v>407</v>
      </c>
      <c r="H66" s="1">
        <v>13.0</v>
      </c>
      <c r="I66" s="1"/>
      <c r="J66" s="1"/>
      <c r="K66" s="1"/>
      <c r="L66" s="1"/>
      <c r="M66" s="1" t="s">
        <v>408</v>
      </c>
      <c r="N66" s="1" t="s">
        <v>135</v>
      </c>
      <c r="O66" s="1" t="s">
        <v>409</v>
      </c>
      <c r="P66" s="1"/>
      <c r="Q66" s="3">
        <v>36892.0</v>
      </c>
      <c r="R66" s="1"/>
      <c r="S66" s="3">
        <v>36370.0</v>
      </c>
      <c r="T66" s="1" t="s">
        <v>37</v>
      </c>
      <c r="U66" s="1"/>
      <c r="V66" s="1" t="s">
        <v>38</v>
      </c>
      <c r="W66" s="1"/>
      <c r="X66" s="1"/>
      <c r="Y66" s="1" t="s">
        <v>49</v>
      </c>
      <c r="Z66" s="1"/>
      <c r="AA66" s="1" t="s">
        <v>40</v>
      </c>
      <c r="AB66" s="1" t="s">
        <v>410</v>
      </c>
      <c r="AC66" s="1"/>
    </row>
    <row r="67">
      <c r="A67" s="1" t="str">
        <f>"0007VV"</f>
        <v>0007VV</v>
      </c>
      <c r="B67" s="1" t="s">
        <v>411</v>
      </c>
      <c r="C67" s="1" t="s">
        <v>412</v>
      </c>
      <c r="D67" s="1" t="str">
        <f>"8028674098"</f>
        <v>8028674098</v>
      </c>
      <c r="E67" s="1">
        <v>3089.0</v>
      </c>
      <c r="F67" s="1" t="s">
        <v>44</v>
      </c>
      <c r="G67" s="1" t="s">
        <v>413</v>
      </c>
      <c r="H67" s="1">
        <v>3.0</v>
      </c>
      <c r="I67" s="1"/>
      <c r="J67" s="1"/>
      <c r="K67" s="1"/>
      <c r="L67" s="1"/>
      <c r="M67" s="1" t="s">
        <v>72</v>
      </c>
      <c r="N67" s="1" t="s">
        <v>414</v>
      </c>
      <c r="O67" s="1" t="s">
        <v>415</v>
      </c>
      <c r="P67" s="1"/>
      <c r="Q67" s="3">
        <v>36892.0</v>
      </c>
      <c r="R67" s="1"/>
      <c r="S67" s="3">
        <v>37029.0</v>
      </c>
      <c r="T67" s="1" t="s">
        <v>37</v>
      </c>
      <c r="U67" s="1"/>
      <c r="V67" s="1" t="s">
        <v>38</v>
      </c>
      <c r="W67" s="1"/>
      <c r="X67" s="1"/>
      <c r="Y67" s="1" t="s">
        <v>49</v>
      </c>
      <c r="Z67" s="1"/>
      <c r="AA67" s="1" t="s">
        <v>40</v>
      </c>
      <c r="AB67" s="1" t="s">
        <v>416</v>
      </c>
      <c r="AC67" s="1"/>
    </row>
    <row r="68">
      <c r="A68" s="1" t="str">
        <f>"000823"</f>
        <v>000823</v>
      </c>
      <c r="B68" s="1" t="s">
        <v>417</v>
      </c>
      <c r="C68" s="1" t="s">
        <v>418</v>
      </c>
      <c r="D68" s="1"/>
      <c r="E68" s="1">
        <v>3953.0</v>
      </c>
      <c r="F68" s="1" t="s">
        <v>44</v>
      </c>
      <c r="G68" s="1" t="s">
        <v>419</v>
      </c>
      <c r="H68" s="1">
        <v>1.0</v>
      </c>
      <c r="I68" s="1"/>
      <c r="J68" s="1"/>
      <c r="K68" s="1"/>
      <c r="L68" s="1"/>
      <c r="M68" s="1" t="s">
        <v>72</v>
      </c>
      <c r="N68" s="1" t="s">
        <v>78</v>
      </c>
      <c r="O68" s="1" t="s">
        <v>420</v>
      </c>
      <c r="P68" s="1"/>
      <c r="Q68" s="3">
        <v>36892.0</v>
      </c>
      <c r="R68" s="1"/>
      <c r="S68" s="3">
        <v>39631.0</v>
      </c>
      <c r="T68" s="1" t="s">
        <v>37</v>
      </c>
      <c r="U68" s="1"/>
      <c r="V68" s="1" t="s">
        <v>38</v>
      </c>
      <c r="W68" s="1"/>
      <c r="X68" s="1"/>
      <c r="Y68" s="1" t="s">
        <v>49</v>
      </c>
      <c r="Z68" s="1"/>
      <c r="AA68" s="1" t="s">
        <v>40</v>
      </c>
      <c r="AB68" s="1" t="s">
        <v>421</v>
      </c>
      <c r="AC68" s="1"/>
    </row>
    <row r="69">
      <c r="A69" s="1" t="str">
        <f>"0008K2"</f>
        <v>0008K2</v>
      </c>
      <c r="B69" s="1" t="s">
        <v>422</v>
      </c>
      <c r="C69" s="1" t="s">
        <v>423</v>
      </c>
      <c r="D69" s="1" t="str">
        <f>"8025372110"</f>
        <v>8025372110</v>
      </c>
      <c r="E69" s="1">
        <v>2813.0</v>
      </c>
      <c r="F69" s="1" t="s">
        <v>44</v>
      </c>
      <c r="G69" s="1" t="s">
        <v>424</v>
      </c>
      <c r="H69" s="1">
        <v>2.0</v>
      </c>
      <c r="I69" s="1"/>
      <c r="J69" s="1"/>
      <c r="K69" s="1"/>
      <c r="L69" s="1"/>
      <c r="M69" s="1" t="s">
        <v>425</v>
      </c>
      <c r="N69" s="1" t="s">
        <v>78</v>
      </c>
      <c r="O69" s="1" t="s">
        <v>426</v>
      </c>
      <c r="P69" s="1" t="s">
        <v>36</v>
      </c>
      <c r="Q69" s="3">
        <v>36892.0</v>
      </c>
      <c r="R69" s="1"/>
      <c r="S69" s="3">
        <v>39917.0</v>
      </c>
      <c r="T69" s="1" t="s">
        <v>37</v>
      </c>
      <c r="U69" s="1"/>
      <c r="V69" s="1" t="s">
        <v>38</v>
      </c>
      <c r="W69" s="1"/>
      <c r="X69" s="1"/>
      <c r="Y69" s="1" t="s">
        <v>49</v>
      </c>
      <c r="Z69" s="1"/>
      <c r="AA69" s="1" t="s">
        <v>40</v>
      </c>
      <c r="AB69" s="1" t="s">
        <v>427</v>
      </c>
      <c r="AC69" s="1">
        <v>5731.0</v>
      </c>
    </row>
    <row r="70">
      <c r="A70" s="1" t="str">
        <f>"0008K1"</f>
        <v>0008K1</v>
      </c>
      <c r="B70" s="1" t="s">
        <v>428</v>
      </c>
      <c r="C70" s="1" t="s">
        <v>429</v>
      </c>
      <c r="D70" s="1" t="str">
        <f>"8028992643"</f>
        <v>8028992643</v>
      </c>
      <c r="E70" s="1">
        <v>2812.0</v>
      </c>
      <c r="F70" s="1" t="s">
        <v>44</v>
      </c>
      <c r="G70" s="1" t="s">
        <v>430</v>
      </c>
      <c r="H70" s="1"/>
      <c r="I70" s="1"/>
      <c r="J70" s="1"/>
      <c r="K70" s="1"/>
      <c r="L70" s="1"/>
      <c r="M70" s="1" t="s">
        <v>72</v>
      </c>
      <c r="N70" s="1" t="s">
        <v>57</v>
      </c>
      <c r="O70" s="1" t="s">
        <v>58</v>
      </c>
      <c r="P70" s="1"/>
      <c r="Q70" s="3">
        <v>36892.0</v>
      </c>
      <c r="R70" s="1"/>
      <c r="S70" s="1"/>
      <c r="T70" s="1" t="s">
        <v>37</v>
      </c>
      <c r="U70" s="1"/>
      <c r="V70" s="1" t="s">
        <v>38</v>
      </c>
      <c r="W70" s="1"/>
      <c r="X70" s="1"/>
      <c r="Y70" s="1" t="s">
        <v>49</v>
      </c>
      <c r="Z70" s="1"/>
      <c r="AA70" s="1" t="s">
        <v>40</v>
      </c>
      <c r="AB70" s="1" t="s">
        <v>61</v>
      </c>
      <c r="AC70" s="1"/>
    </row>
    <row r="71">
      <c r="A71" s="1" t="str">
        <f>"0008K0"</f>
        <v>0008K0</v>
      </c>
      <c r="B71" s="1" t="s">
        <v>431</v>
      </c>
      <c r="C71" s="1" t="s">
        <v>432</v>
      </c>
      <c r="D71" s="1" t="str">
        <f>"8023253482"</f>
        <v>8023253482</v>
      </c>
      <c r="E71" s="1">
        <v>2811.0</v>
      </c>
      <c r="F71" s="1" t="s">
        <v>44</v>
      </c>
      <c r="G71" s="1" t="s">
        <v>433</v>
      </c>
      <c r="H71" s="1"/>
      <c r="I71" s="1"/>
      <c r="J71" s="1"/>
      <c r="K71" s="1"/>
      <c r="L71" s="1"/>
      <c r="M71" s="1" t="s">
        <v>72</v>
      </c>
      <c r="N71" s="1" t="s">
        <v>78</v>
      </c>
      <c r="O71" s="1" t="s">
        <v>434</v>
      </c>
      <c r="P71" s="1"/>
      <c r="Q71" s="3">
        <v>36892.0</v>
      </c>
      <c r="R71" s="1"/>
      <c r="S71" s="1"/>
      <c r="T71" s="1" t="s">
        <v>37</v>
      </c>
      <c r="U71" s="1"/>
      <c r="V71" s="1" t="s">
        <v>38</v>
      </c>
      <c r="W71" s="1"/>
      <c r="X71" s="1"/>
      <c r="Y71" s="1" t="s">
        <v>49</v>
      </c>
      <c r="Z71" s="1"/>
      <c r="AA71" s="1" t="s">
        <v>40</v>
      </c>
      <c r="AB71" s="1" t="s">
        <v>435</v>
      </c>
      <c r="AC71" s="1"/>
    </row>
    <row r="72">
      <c r="A72" s="1" t="str">
        <f>"0008JZ"</f>
        <v>0008JZ</v>
      </c>
      <c r="B72" s="1" t="s">
        <v>436</v>
      </c>
      <c r="C72" s="1" t="s">
        <v>437</v>
      </c>
      <c r="D72" s="1" t="str">
        <f>"8024964909"</f>
        <v>8024964909</v>
      </c>
      <c r="E72" s="1">
        <v>2810.0</v>
      </c>
      <c r="F72" s="1" t="s">
        <v>44</v>
      </c>
      <c r="G72" s="1" t="s">
        <v>438</v>
      </c>
      <c r="H72" s="1">
        <v>1.0</v>
      </c>
      <c r="I72" s="1"/>
      <c r="J72" s="1"/>
      <c r="K72" s="1"/>
      <c r="L72" s="1"/>
      <c r="M72" s="1" t="s">
        <v>439</v>
      </c>
      <c r="N72" s="1" t="s">
        <v>135</v>
      </c>
      <c r="O72" s="1" t="s">
        <v>440</v>
      </c>
      <c r="P72" s="1"/>
      <c r="Q72" s="3">
        <v>36892.0</v>
      </c>
      <c r="R72" s="1"/>
      <c r="S72" s="3">
        <v>34873.0</v>
      </c>
      <c r="T72" s="1" t="s">
        <v>37</v>
      </c>
      <c r="U72" s="1"/>
      <c r="V72" s="1" t="s">
        <v>38</v>
      </c>
      <c r="W72" s="1"/>
      <c r="X72" s="1"/>
      <c r="Y72" s="1" t="s">
        <v>49</v>
      </c>
      <c r="Z72" s="1"/>
      <c r="AA72" s="1" t="s">
        <v>40</v>
      </c>
      <c r="AB72" s="1" t="s">
        <v>441</v>
      </c>
      <c r="AC72" s="1"/>
    </row>
    <row r="73">
      <c r="A73" s="1" t="str">
        <f>"0007G0"</f>
        <v>0007G0</v>
      </c>
      <c r="B73" s="1" t="s">
        <v>442</v>
      </c>
      <c r="C73" s="1" t="s">
        <v>443</v>
      </c>
      <c r="D73" s="1" t="str">
        <f>"8026737760"</f>
        <v>8026737760</v>
      </c>
      <c r="E73" s="1">
        <v>3570.0</v>
      </c>
      <c r="F73" s="1" t="s">
        <v>117</v>
      </c>
      <c r="G73" s="1" t="s">
        <v>444</v>
      </c>
      <c r="H73" s="2" t="s">
        <v>119</v>
      </c>
      <c r="I73" s="2" t="s">
        <v>119</v>
      </c>
      <c r="J73" s="2" t="s">
        <v>119</v>
      </c>
      <c r="K73" s="1"/>
      <c r="L73" s="1"/>
      <c r="M73" s="1" t="s">
        <v>445</v>
      </c>
      <c r="N73" s="1" t="s">
        <v>94</v>
      </c>
      <c r="O73" s="1" t="s">
        <v>446</v>
      </c>
      <c r="P73" s="1"/>
      <c r="Q73" s="3">
        <v>36892.0</v>
      </c>
      <c r="R73" s="1"/>
      <c r="S73" s="1"/>
      <c r="T73" s="1" t="s">
        <v>37</v>
      </c>
      <c r="U73" s="1"/>
      <c r="V73" s="1" t="s">
        <v>38</v>
      </c>
      <c r="W73" s="1"/>
      <c r="X73" s="1"/>
      <c r="Y73" s="1" t="s">
        <v>49</v>
      </c>
      <c r="Z73" s="1"/>
      <c r="AA73" s="1" t="s">
        <v>40</v>
      </c>
      <c r="AB73" s="1" t="s">
        <v>447</v>
      </c>
      <c r="AC73" s="1"/>
    </row>
    <row r="74">
      <c r="A74" s="1" t="str">
        <f>"0008JX"</f>
        <v>0008JX</v>
      </c>
      <c r="B74" s="1" t="s">
        <v>448</v>
      </c>
      <c r="C74" s="1" t="s">
        <v>449</v>
      </c>
      <c r="D74" s="1" t="str">
        <f>"6039689627"</f>
        <v>6039689627</v>
      </c>
      <c r="E74" s="1">
        <v>2805.0</v>
      </c>
      <c r="F74" s="1" t="s">
        <v>44</v>
      </c>
      <c r="G74" s="1" t="s">
        <v>450</v>
      </c>
      <c r="H74" s="1"/>
      <c r="I74" s="1"/>
      <c r="J74" s="1"/>
      <c r="K74" s="1"/>
      <c r="L74" s="1"/>
      <c r="M74" s="1" t="s">
        <v>451</v>
      </c>
      <c r="N74" s="1" t="s">
        <v>78</v>
      </c>
      <c r="O74" s="1" t="s">
        <v>452</v>
      </c>
      <c r="P74" s="1"/>
      <c r="Q74" s="3">
        <v>36892.0</v>
      </c>
      <c r="R74" s="1"/>
      <c r="S74" s="1"/>
      <c r="T74" s="1" t="s">
        <v>37</v>
      </c>
      <c r="U74" s="1"/>
      <c r="V74" s="1" t="s">
        <v>38</v>
      </c>
      <c r="W74" s="1"/>
      <c r="X74" s="1"/>
      <c r="Y74" s="1" t="s">
        <v>49</v>
      </c>
      <c r="Z74" s="1"/>
      <c r="AA74" s="1" t="s">
        <v>40</v>
      </c>
      <c r="AB74" s="1" t="s">
        <v>452</v>
      </c>
      <c r="AC74" s="1"/>
    </row>
    <row r="75">
      <c r="A75" s="1" t="str">
        <f>"0008JW"</f>
        <v>0008JW</v>
      </c>
      <c r="B75" s="1" t="s">
        <v>453</v>
      </c>
      <c r="C75" s="1" t="s">
        <v>454</v>
      </c>
      <c r="D75" s="1" t="str">
        <f>"8022267345"</f>
        <v>8022267345</v>
      </c>
      <c r="E75" s="1">
        <v>2804.0</v>
      </c>
      <c r="F75" s="1" t="s">
        <v>44</v>
      </c>
      <c r="G75" s="1" t="s">
        <v>455</v>
      </c>
      <c r="H75" s="1">
        <v>2.0</v>
      </c>
      <c r="I75" s="1"/>
      <c r="J75" s="1"/>
      <c r="K75" s="1"/>
      <c r="L75" s="1"/>
      <c r="M75" s="1" t="s">
        <v>456</v>
      </c>
      <c r="N75" s="1" t="s">
        <v>34</v>
      </c>
      <c r="O75" s="1" t="s">
        <v>457</v>
      </c>
      <c r="P75" s="1"/>
      <c r="Q75" s="3">
        <v>36892.0</v>
      </c>
      <c r="R75" s="1"/>
      <c r="S75" s="3">
        <v>34171.0</v>
      </c>
      <c r="T75" s="1" t="s">
        <v>37</v>
      </c>
      <c r="U75" s="1"/>
      <c r="V75" s="1" t="s">
        <v>38</v>
      </c>
      <c r="W75" s="1"/>
      <c r="X75" s="1"/>
      <c r="Y75" s="1" t="s">
        <v>49</v>
      </c>
      <c r="Z75" s="1"/>
      <c r="AA75" s="1" t="s">
        <v>40</v>
      </c>
      <c r="AB75" s="1" t="s">
        <v>458</v>
      </c>
      <c r="AC75" s="1"/>
    </row>
    <row r="76">
      <c r="A76" s="1" t="str">
        <f>"0008JV"</f>
        <v>0008JV</v>
      </c>
      <c r="B76" s="1" t="s">
        <v>459</v>
      </c>
      <c r="C76" s="1" t="s">
        <v>460</v>
      </c>
      <c r="D76" s="1" t="str">
        <f>"8026492200"</f>
        <v>8026492200</v>
      </c>
      <c r="E76" s="1">
        <v>2802.0</v>
      </c>
      <c r="F76" s="1" t="s">
        <v>117</v>
      </c>
      <c r="G76" s="1" t="s">
        <v>461</v>
      </c>
      <c r="H76" s="1">
        <v>1.0</v>
      </c>
      <c r="I76" s="2">
        <v>1.0</v>
      </c>
      <c r="J76" s="2">
        <v>0.0</v>
      </c>
      <c r="K76" s="2" t="s">
        <v>119</v>
      </c>
      <c r="L76" s="1"/>
      <c r="M76" s="1" t="s">
        <v>462</v>
      </c>
      <c r="N76" s="1" t="s">
        <v>34</v>
      </c>
      <c r="O76" s="1" t="s">
        <v>463</v>
      </c>
      <c r="P76" s="1" t="s">
        <v>464</v>
      </c>
      <c r="Q76" s="3">
        <v>36892.0</v>
      </c>
      <c r="R76" s="1"/>
      <c r="S76" s="3">
        <v>42894.0</v>
      </c>
      <c r="T76" s="1" t="s">
        <v>37</v>
      </c>
      <c r="U76" s="1"/>
      <c r="V76" s="1" t="s">
        <v>38</v>
      </c>
      <c r="W76" s="1">
        <v>43.6997132827681</v>
      </c>
      <c r="X76" s="1">
        <v>-72.3051023483276</v>
      </c>
      <c r="Y76" s="1" t="s">
        <v>465</v>
      </c>
      <c r="Z76" s="1"/>
      <c r="AA76" s="1" t="s">
        <v>40</v>
      </c>
      <c r="AB76" s="1" t="s">
        <v>466</v>
      </c>
      <c r="AC76" s="1">
        <v>5055.0</v>
      </c>
    </row>
    <row r="77">
      <c r="A77" s="1" t="str">
        <f>"0008JQ"</f>
        <v>0008JQ</v>
      </c>
      <c r="B77" s="1" t="s">
        <v>467</v>
      </c>
      <c r="C77" s="1" t="s">
        <v>468</v>
      </c>
      <c r="D77" s="1" t="str">
        <f>"8026450835"</f>
        <v>8026450835</v>
      </c>
      <c r="E77" s="1">
        <v>2800.0</v>
      </c>
      <c r="F77" s="1" t="s">
        <v>44</v>
      </c>
      <c r="G77" s="1" t="s">
        <v>469</v>
      </c>
      <c r="H77" s="1">
        <v>2.0</v>
      </c>
      <c r="I77" s="1"/>
      <c r="J77" s="1"/>
      <c r="K77" s="1"/>
      <c r="L77" s="1"/>
      <c r="M77" s="1" t="s">
        <v>470</v>
      </c>
      <c r="N77" s="1" t="s">
        <v>78</v>
      </c>
      <c r="O77" s="1" t="s">
        <v>434</v>
      </c>
      <c r="P77" s="1"/>
      <c r="Q77" s="3">
        <v>36892.0</v>
      </c>
      <c r="R77" s="1"/>
      <c r="S77" s="3">
        <v>34185.0</v>
      </c>
      <c r="T77" s="1" t="s">
        <v>37</v>
      </c>
      <c r="U77" s="1"/>
      <c r="V77" s="1" t="s">
        <v>38</v>
      </c>
      <c r="W77" s="1"/>
      <c r="X77" s="1"/>
      <c r="Y77" s="1" t="s">
        <v>49</v>
      </c>
      <c r="Z77" s="1"/>
      <c r="AA77" s="1" t="s">
        <v>40</v>
      </c>
      <c r="AB77" s="1" t="s">
        <v>435</v>
      </c>
      <c r="AC77" s="1"/>
    </row>
    <row r="78">
      <c r="A78" s="1" t="str">
        <f>"0008JP"</f>
        <v>0008JP</v>
      </c>
      <c r="B78" s="1" t="s">
        <v>471</v>
      </c>
      <c r="C78" s="1" t="s">
        <v>472</v>
      </c>
      <c r="D78" s="1" t="str">
        <f>"8027283616"</f>
        <v>8027283616</v>
      </c>
      <c r="E78" s="1">
        <v>2798.0</v>
      </c>
      <c r="F78" s="1" t="s">
        <v>44</v>
      </c>
      <c r="G78" s="1" t="s">
        <v>473</v>
      </c>
      <c r="H78" s="1"/>
      <c r="I78" s="1"/>
      <c r="J78" s="1"/>
      <c r="K78" s="1"/>
      <c r="L78" s="1"/>
      <c r="M78" s="1" t="s">
        <v>72</v>
      </c>
      <c r="N78" s="1" t="s">
        <v>142</v>
      </c>
      <c r="O78" s="1" t="s">
        <v>474</v>
      </c>
      <c r="P78" s="1"/>
      <c r="Q78" s="3">
        <v>36892.0</v>
      </c>
      <c r="R78" s="1"/>
      <c r="S78" s="1"/>
      <c r="T78" s="1" t="s">
        <v>37</v>
      </c>
      <c r="U78" s="1"/>
      <c r="V78" s="1" t="s">
        <v>38</v>
      </c>
      <c r="W78" s="1"/>
      <c r="X78" s="1"/>
      <c r="Y78" s="1" t="s">
        <v>49</v>
      </c>
      <c r="Z78" s="1"/>
      <c r="AA78" s="1" t="s">
        <v>40</v>
      </c>
      <c r="AB78" s="1" t="s">
        <v>475</v>
      </c>
      <c r="AC78" s="1"/>
    </row>
    <row r="79">
      <c r="A79" s="1" t="str">
        <f>"0008JN"</f>
        <v>0008JN</v>
      </c>
      <c r="B79" s="1" t="s">
        <v>476</v>
      </c>
      <c r="C79" s="1" t="s">
        <v>477</v>
      </c>
      <c r="D79" s="1" t="str">
        <f>"8024859490"</f>
        <v>8024859490</v>
      </c>
      <c r="E79" s="1">
        <v>3589.0</v>
      </c>
      <c r="F79" s="1" t="s">
        <v>44</v>
      </c>
      <c r="G79" s="1" t="s">
        <v>478</v>
      </c>
      <c r="H79" s="1">
        <v>2.0</v>
      </c>
      <c r="I79" s="1"/>
      <c r="J79" s="1"/>
      <c r="K79" s="1"/>
      <c r="L79" s="1"/>
      <c r="M79" s="1" t="s">
        <v>72</v>
      </c>
      <c r="N79" s="1" t="s">
        <v>135</v>
      </c>
      <c r="O79" s="1" t="s">
        <v>136</v>
      </c>
      <c r="P79" s="1"/>
      <c r="Q79" s="3">
        <v>36892.0</v>
      </c>
      <c r="R79" s="1"/>
      <c r="S79" s="3">
        <v>38548.0</v>
      </c>
      <c r="T79" s="1" t="s">
        <v>37</v>
      </c>
      <c r="U79" s="1"/>
      <c r="V79" s="1" t="s">
        <v>38</v>
      </c>
      <c r="W79" s="1"/>
      <c r="X79" s="1"/>
      <c r="Y79" s="1" t="s">
        <v>49</v>
      </c>
      <c r="Z79" s="1"/>
      <c r="AA79" s="1" t="s">
        <v>40</v>
      </c>
      <c r="AB79" s="1" t="s">
        <v>137</v>
      </c>
      <c r="AC79" s="1"/>
    </row>
    <row r="80">
      <c r="A80" s="1" t="str">
        <f>"0008JM"</f>
        <v>0008JM</v>
      </c>
      <c r="B80" s="1" t="s">
        <v>479</v>
      </c>
      <c r="C80" s="1" t="s">
        <v>480</v>
      </c>
      <c r="D80" s="1" t="str">
        <f>"8027638497"</f>
        <v>8027638497</v>
      </c>
      <c r="E80" s="1">
        <v>2796.0</v>
      </c>
      <c r="F80" s="1" t="s">
        <v>44</v>
      </c>
      <c r="G80" s="1" t="s">
        <v>481</v>
      </c>
      <c r="H80" s="1"/>
      <c r="I80" s="1"/>
      <c r="J80" s="1"/>
      <c r="K80" s="1"/>
      <c r="L80" s="1"/>
      <c r="M80" s="1" t="s">
        <v>482</v>
      </c>
      <c r="N80" s="1" t="s">
        <v>34</v>
      </c>
      <c r="O80" s="1" t="s">
        <v>35</v>
      </c>
      <c r="P80" s="1"/>
      <c r="Q80" s="3">
        <v>36892.0</v>
      </c>
      <c r="R80" s="1"/>
      <c r="S80" s="1"/>
      <c r="T80" s="1" t="s">
        <v>37</v>
      </c>
      <c r="U80" s="1"/>
      <c r="V80" s="1" t="s">
        <v>38</v>
      </c>
      <c r="W80" s="1"/>
      <c r="X80" s="1"/>
      <c r="Y80" s="1" t="s">
        <v>49</v>
      </c>
      <c r="Z80" s="1"/>
      <c r="AA80" s="1" t="s">
        <v>40</v>
      </c>
      <c r="AB80" s="1" t="s">
        <v>345</v>
      </c>
      <c r="AC80" s="1"/>
    </row>
    <row r="81">
      <c r="A81" s="1" t="str">
        <f t="shared" ref="A81:A82" si="11">"00081Z"</f>
        <v>00081Z</v>
      </c>
      <c r="B81" s="1" t="s">
        <v>483</v>
      </c>
      <c r="C81" s="1" t="s">
        <v>484</v>
      </c>
      <c r="D81" s="1" t="str">
        <f t="shared" ref="D81:D82" si="12">"8027446542"</f>
        <v>8027446542</v>
      </c>
      <c r="E81" s="1">
        <v>2643.0</v>
      </c>
      <c r="F81" s="1" t="s">
        <v>44</v>
      </c>
      <c r="G81" s="1" t="s">
        <v>485</v>
      </c>
      <c r="H81" s="1"/>
      <c r="I81" s="1"/>
      <c r="J81" s="1"/>
      <c r="K81" s="1"/>
      <c r="L81" s="1"/>
      <c r="M81" s="1" t="s">
        <v>486</v>
      </c>
      <c r="N81" s="1" t="s">
        <v>94</v>
      </c>
      <c r="O81" s="1" t="s">
        <v>95</v>
      </c>
      <c r="P81" s="1"/>
      <c r="Q81" s="3">
        <v>36892.0</v>
      </c>
      <c r="R81" s="1"/>
      <c r="S81" s="1"/>
      <c r="T81" s="1" t="s">
        <v>37</v>
      </c>
      <c r="U81" s="1"/>
      <c r="V81" s="1" t="s">
        <v>38</v>
      </c>
      <c r="W81" s="1"/>
      <c r="X81" s="1"/>
      <c r="Y81" s="1" t="s">
        <v>49</v>
      </c>
      <c r="Z81" s="1"/>
      <c r="AA81" s="1" t="s">
        <v>40</v>
      </c>
      <c r="AB81" s="1" t="s">
        <v>96</v>
      </c>
      <c r="AC81" s="1"/>
    </row>
    <row r="82">
      <c r="A82" s="1" t="str">
        <f t="shared" si="11"/>
        <v>00081Z</v>
      </c>
      <c r="B82" s="1" t="s">
        <v>483</v>
      </c>
      <c r="C82" s="1" t="s">
        <v>484</v>
      </c>
      <c r="D82" s="1" t="str">
        <f t="shared" si="12"/>
        <v>8027446542</v>
      </c>
      <c r="E82" s="1">
        <v>2643.0</v>
      </c>
      <c r="F82" s="1" t="s">
        <v>44</v>
      </c>
      <c r="G82" s="1" t="s">
        <v>487</v>
      </c>
      <c r="H82" s="1"/>
      <c r="I82" s="1"/>
      <c r="J82" s="1"/>
      <c r="K82" s="1"/>
      <c r="L82" s="1"/>
      <c r="M82" s="1" t="s">
        <v>488</v>
      </c>
      <c r="N82" s="1" t="s">
        <v>94</v>
      </c>
      <c r="O82" s="1" t="s">
        <v>489</v>
      </c>
      <c r="P82" s="1"/>
      <c r="Q82" s="3">
        <v>36892.0</v>
      </c>
      <c r="R82" s="1"/>
      <c r="S82" s="1"/>
      <c r="T82" s="1" t="s">
        <v>37</v>
      </c>
      <c r="U82" s="1"/>
      <c r="V82" s="1" t="s">
        <v>38</v>
      </c>
      <c r="W82" s="1"/>
      <c r="X82" s="1"/>
      <c r="Y82" s="1" t="s">
        <v>49</v>
      </c>
      <c r="Z82" s="1"/>
      <c r="AA82" s="1" t="s">
        <v>40</v>
      </c>
      <c r="AB82" s="1" t="s">
        <v>490</v>
      </c>
      <c r="AC82" s="1"/>
    </row>
    <row r="83">
      <c r="A83" s="1" t="str">
        <f>"0008JK"</f>
        <v>0008JK</v>
      </c>
      <c r="B83" s="1" t="s">
        <v>491</v>
      </c>
      <c r="C83" s="1" t="s">
        <v>492</v>
      </c>
      <c r="D83" s="1" t="str">
        <f>"8024673621"</f>
        <v>8024673621</v>
      </c>
      <c r="E83" s="1">
        <v>2795.0</v>
      </c>
      <c r="F83" s="1" t="s">
        <v>44</v>
      </c>
      <c r="G83" s="1" t="s">
        <v>493</v>
      </c>
      <c r="H83" s="1">
        <v>8.0</v>
      </c>
      <c r="I83" s="1"/>
      <c r="J83" s="1"/>
      <c r="K83" s="1"/>
      <c r="L83" s="1"/>
      <c r="M83" s="1" t="s">
        <v>72</v>
      </c>
      <c r="N83" s="1" t="s">
        <v>128</v>
      </c>
      <c r="O83" s="1" t="s">
        <v>286</v>
      </c>
      <c r="P83" s="1"/>
      <c r="Q83" s="3">
        <v>36892.0</v>
      </c>
      <c r="R83" s="1"/>
      <c r="S83" s="3">
        <v>35241.0</v>
      </c>
      <c r="T83" s="1" t="s">
        <v>37</v>
      </c>
      <c r="U83" s="1"/>
      <c r="V83" s="1" t="s">
        <v>38</v>
      </c>
      <c r="W83" s="1"/>
      <c r="X83" s="1"/>
      <c r="Y83" s="1" t="s">
        <v>49</v>
      </c>
      <c r="Z83" s="1"/>
      <c r="AA83" s="1" t="s">
        <v>40</v>
      </c>
      <c r="AB83" s="1" t="s">
        <v>287</v>
      </c>
      <c r="AC83" s="1"/>
    </row>
    <row r="84">
      <c r="A84" s="1" t="str">
        <f>"0008JJ"</f>
        <v>0008JJ</v>
      </c>
      <c r="B84" s="1" t="s">
        <v>494</v>
      </c>
      <c r="C84" s="1" t="s">
        <v>495</v>
      </c>
      <c r="D84" s="1" t="str">
        <f>"8028483751"</f>
        <v>8028483751</v>
      </c>
      <c r="E84" s="1">
        <v>2967.0</v>
      </c>
      <c r="F84" s="1" t="s">
        <v>44</v>
      </c>
      <c r="G84" s="1" t="s">
        <v>496</v>
      </c>
      <c r="H84" s="1">
        <v>2.0</v>
      </c>
      <c r="I84" s="1"/>
      <c r="J84" s="1"/>
      <c r="K84" s="1"/>
      <c r="L84" s="1"/>
      <c r="M84" s="1" t="s">
        <v>72</v>
      </c>
      <c r="N84" s="1" t="s">
        <v>47</v>
      </c>
      <c r="O84" s="1" t="s">
        <v>264</v>
      </c>
      <c r="P84" s="1"/>
      <c r="Q84" s="3">
        <v>36892.0</v>
      </c>
      <c r="R84" s="1"/>
      <c r="S84" s="3">
        <v>36685.0</v>
      </c>
      <c r="T84" s="1" t="s">
        <v>37</v>
      </c>
      <c r="U84" s="1"/>
      <c r="V84" s="1" t="s">
        <v>38</v>
      </c>
      <c r="W84" s="1">
        <v>44.9648474</v>
      </c>
      <c r="X84" s="1">
        <v>-72.7528392</v>
      </c>
      <c r="Y84" s="1" t="s">
        <v>497</v>
      </c>
      <c r="Z84" s="1"/>
      <c r="AA84" s="1" t="s">
        <v>40</v>
      </c>
      <c r="AB84" s="1" t="s">
        <v>498</v>
      </c>
      <c r="AC84" s="1">
        <v>5476.0</v>
      </c>
    </row>
    <row r="85">
      <c r="A85" s="1" t="str">
        <f>"0008AX"</f>
        <v>0008AX</v>
      </c>
      <c r="B85" s="1" t="s">
        <v>499</v>
      </c>
      <c r="C85" s="1" t="s">
        <v>500</v>
      </c>
      <c r="D85" s="1"/>
      <c r="E85" s="1">
        <v>3355.0</v>
      </c>
      <c r="F85" s="1" t="s">
        <v>44</v>
      </c>
      <c r="G85" s="1" t="s">
        <v>501</v>
      </c>
      <c r="H85" s="1">
        <v>0.0</v>
      </c>
      <c r="I85" s="1"/>
      <c r="J85" s="1"/>
      <c r="K85" s="1"/>
      <c r="L85" s="1"/>
      <c r="M85" s="1" t="s">
        <v>502</v>
      </c>
      <c r="N85" s="1" t="s">
        <v>57</v>
      </c>
      <c r="O85" s="1" t="s">
        <v>503</v>
      </c>
      <c r="P85" s="1"/>
      <c r="Q85" s="3">
        <v>36892.0</v>
      </c>
      <c r="R85" s="1"/>
      <c r="S85" s="3">
        <v>37831.0</v>
      </c>
      <c r="T85" s="1" t="s">
        <v>37</v>
      </c>
      <c r="U85" s="1"/>
      <c r="V85" s="1" t="s">
        <v>38</v>
      </c>
      <c r="W85" s="1"/>
      <c r="X85" s="1"/>
      <c r="Y85" s="1" t="s">
        <v>49</v>
      </c>
      <c r="Z85" s="1"/>
      <c r="AA85" s="1" t="s">
        <v>40</v>
      </c>
      <c r="AB85" s="1" t="s">
        <v>504</v>
      </c>
      <c r="AC85" s="1"/>
    </row>
    <row r="86">
      <c r="A86" s="1" t="str">
        <f>"0008J0"</f>
        <v>0008J0</v>
      </c>
      <c r="B86" s="1" t="s">
        <v>505</v>
      </c>
      <c r="C86" s="1" t="s">
        <v>506</v>
      </c>
      <c r="D86" s="1" t="str">
        <f>"8028784056"</f>
        <v>8028784056</v>
      </c>
      <c r="E86" s="1">
        <v>2771.0</v>
      </c>
      <c r="F86" s="1" t="s">
        <v>44</v>
      </c>
      <c r="G86" s="1" t="s">
        <v>507</v>
      </c>
      <c r="H86" s="1">
        <v>3.0</v>
      </c>
      <c r="I86" s="1"/>
      <c r="J86" s="1"/>
      <c r="K86" s="1"/>
      <c r="L86" s="1"/>
      <c r="M86" s="1" t="s">
        <v>508</v>
      </c>
      <c r="N86" s="1" t="s">
        <v>57</v>
      </c>
      <c r="O86" s="1" t="s">
        <v>509</v>
      </c>
      <c r="P86" s="1"/>
      <c r="Q86" s="3">
        <v>36892.0</v>
      </c>
      <c r="R86" s="1"/>
      <c r="S86" s="3">
        <v>40057.0</v>
      </c>
      <c r="T86" s="1" t="s">
        <v>37</v>
      </c>
      <c r="U86" s="1"/>
      <c r="V86" s="1" t="s">
        <v>38</v>
      </c>
      <c r="W86" s="1"/>
      <c r="X86" s="1"/>
      <c r="Y86" s="1" t="s">
        <v>49</v>
      </c>
      <c r="Z86" s="1"/>
      <c r="AA86" s="1" t="s">
        <v>40</v>
      </c>
      <c r="AB86" s="1" t="s">
        <v>331</v>
      </c>
      <c r="AC86" s="1"/>
    </row>
    <row r="87">
      <c r="A87" s="1" t="str">
        <f>"0008HZ"</f>
        <v>0008HZ</v>
      </c>
      <c r="B87" s="1" t="s">
        <v>510</v>
      </c>
      <c r="C87" s="1" t="s">
        <v>511</v>
      </c>
      <c r="D87" s="1" t="str">
        <f>"8027556248"</f>
        <v>8027556248</v>
      </c>
      <c r="E87" s="1">
        <v>2769.0</v>
      </c>
      <c r="F87" s="1" t="s">
        <v>44</v>
      </c>
      <c r="G87" s="1" t="s">
        <v>512</v>
      </c>
      <c r="H87" s="1">
        <v>3.0</v>
      </c>
      <c r="I87" s="1"/>
      <c r="J87" s="1"/>
      <c r="K87" s="1"/>
      <c r="L87" s="1"/>
      <c r="M87" s="1" t="s">
        <v>72</v>
      </c>
      <c r="N87" s="1" t="s">
        <v>94</v>
      </c>
      <c r="O87" s="1" t="s">
        <v>513</v>
      </c>
      <c r="P87" s="1"/>
      <c r="Q87" s="3">
        <v>36892.0</v>
      </c>
      <c r="R87" s="1"/>
      <c r="S87" s="3">
        <v>33829.0</v>
      </c>
      <c r="T87" s="1" t="s">
        <v>37</v>
      </c>
      <c r="U87" s="1"/>
      <c r="V87" s="1" t="s">
        <v>38</v>
      </c>
      <c r="W87" s="1"/>
      <c r="X87" s="1"/>
      <c r="Y87" s="1" t="s">
        <v>49</v>
      </c>
      <c r="Z87" s="1"/>
      <c r="AA87" s="1" t="s">
        <v>40</v>
      </c>
      <c r="AB87" s="1" t="s">
        <v>514</v>
      </c>
      <c r="AC87" s="1"/>
    </row>
    <row r="88">
      <c r="A88" s="1" t="str">
        <f>"0008HY"</f>
        <v>0008HY</v>
      </c>
      <c r="B88" s="1" t="s">
        <v>515</v>
      </c>
      <c r="C88" s="1" t="s">
        <v>516</v>
      </c>
      <c r="D88" s="1" t="str">
        <f>"8022542401"</f>
        <v>8022542401</v>
      </c>
      <c r="E88" s="1">
        <v>2768.0</v>
      </c>
      <c r="F88" s="1" t="s">
        <v>44</v>
      </c>
      <c r="G88" s="1" t="s">
        <v>517</v>
      </c>
      <c r="H88" s="1">
        <v>1.0</v>
      </c>
      <c r="I88" s="1"/>
      <c r="J88" s="1"/>
      <c r="K88" s="1"/>
      <c r="L88" s="1"/>
      <c r="M88" s="1" t="s">
        <v>72</v>
      </c>
      <c r="N88" s="1" t="s">
        <v>66</v>
      </c>
      <c r="O88" s="1" t="s">
        <v>73</v>
      </c>
      <c r="P88" s="1"/>
      <c r="Q88" s="3">
        <v>36892.0</v>
      </c>
      <c r="R88" s="1"/>
      <c r="S88" s="3">
        <v>33827.0</v>
      </c>
      <c r="T88" s="1" t="s">
        <v>37</v>
      </c>
      <c r="U88" s="1"/>
      <c r="V88" s="1" t="s">
        <v>38</v>
      </c>
      <c r="W88" s="1"/>
      <c r="X88" s="1"/>
      <c r="Y88" s="1" t="s">
        <v>49</v>
      </c>
      <c r="Z88" s="1"/>
      <c r="AA88" s="1" t="s">
        <v>40</v>
      </c>
      <c r="AB88" s="1" t="s">
        <v>74</v>
      </c>
      <c r="AC88" s="1"/>
    </row>
    <row r="89">
      <c r="A89" s="1" t="str">
        <f>"00082D"</f>
        <v>00082D</v>
      </c>
      <c r="B89" s="1" t="s">
        <v>518</v>
      </c>
      <c r="C89" s="1" t="s">
        <v>519</v>
      </c>
      <c r="D89" s="1"/>
      <c r="E89" s="1">
        <v>3408.0</v>
      </c>
      <c r="F89" s="1" t="s">
        <v>44</v>
      </c>
      <c r="G89" s="1" t="s">
        <v>520</v>
      </c>
      <c r="H89" s="1">
        <v>51.0</v>
      </c>
      <c r="I89" s="1"/>
      <c r="J89" s="1"/>
      <c r="K89" s="1"/>
      <c r="L89" s="1"/>
      <c r="M89" s="1" t="s">
        <v>521</v>
      </c>
      <c r="N89" s="1" t="s">
        <v>142</v>
      </c>
      <c r="O89" s="1" t="s">
        <v>227</v>
      </c>
      <c r="P89" s="1"/>
      <c r="Q89" s="3">
        <v>36892.0</v>
      </c>
      <c r="R89" s="1"/>
      <c r="S89" s="3">
        <v>40098.0</v>
      </c>
      <c r="T89" s="1" t="s">
        <v>37</v>
      </c>
      <c r="U89" s="1"/>
      <c r="V89" s="1" t="s">
        <v>38</v>
      </c>
      <c r="W89" s="1"/>
      <c r="X89" s="1"/>
      <c r="Y89" s="1" t="s">
        <v>49</v>
      </c>
      <c r="Z89" s="1"/>
      <c r="AA89" s="1" t="s">
        <v>40</v>
      </c>
      <c r="AB89" s="1" t="s">
        <v>228</v>
      </c>
      <c r="AC89" s="1"/>
    </row>
    <row r="90">
      <c r="A90" s="1" t="str">
        <f>"0008MX"</f>
        <v>0008MX</v>
      </c>
      <c r="B90" s="1" t="s">
        <v>522</v>
      </c>
      <c r="C90" s="1" t="s">
        <v>523</v>
      </c>
      <c r="D90" s="1" t="str">
        <f>"8026265915"</f>
        <v>8026265915</v>
      </c>
      <c r="E90" s="1">
        <v>3164.0</v>
      </c>
      <c r="F90" s="1" t="s">
        <v>44</v>
      </c>
      <c r="G90" s="1" t="s">
        <v>524</v>
      </c>
      <c r="H90" s="1">
        <v>4.0</v>
      </c>
      <c r="I90" s="1"/>
      <c r="J90" s="1"/>
      <c r="K90" s="1"/>
      <c r="L90" s="1"/>
      <c r="M90" s="1" t="s">
        <v>72</v>
      </c>
      <c r="N90" s="1" t="s">
        <v>128</v>
      </c>
      <c r="O90" s="1" t="s">
        <v>525</v>
      </c>
      <c r="P90" s="1"/>
      <c r="Q90" s="3">
        <v>36892.0</v>
      </c>
      <c r="R90" s="1"/>
      <c r="S90" s="3">
        <v>36355.0</v>
      </c>
      <c r="T90" s="1" t="s">
        <v>37</v>
      </c>
      <c r="U90" s="1"/>
      <c r="V90" s="1" t="s">
        <v>38</v>
      </c>
      <c r="W90" s="1"/>
      <c r="X90" s="1"/>
      <c r="Y90" s="1" t="s">
        <v>49</v>
      </c>
      <c r="Z90" s="1"/>
      <c r="AA90" s="1" t="s">
        <v>40</v>
      </c>
      <c r="AB90" s="1" t="s">
        <v>526</v>
      </c>
      <c r="AC90" s="1"/>
    </row>
    <row r="91">
      <c r="A91" s="1" t="str">
        <f t="shared" ref="A91:A92" si="13">"00070D"</f>
        <v>00070D</v>
      </c>
      <c r="B91" s="1" t="s">
        <v>527</v>
      </c>
      <c r="C91" s="1" t="s">
        <v>528</v>
      </c>
      <c r="D91" s="1" t="str">
        <f t="shared" ref="D91:D92" si="14">"8024923458"</f>
        <v>8024923458</v>
      </c>
      <c r="E91" s="1">
        <v>41.0</v>
      </c>
      <c r="F91" s="1" t="s">
        <v>31</v>
      </c>
      <c r="G91" s="1" t="s">
        <v>529</v>
      </c>
      <c r="H91" s="1">
        <v>6.0</v>
      </c>
      <c r="I91" s="1"/>
      <c r="J91" s="1"/>
      <c r="K91" s="1"/>
      <c r="L91" s="1"/>
      <c r="M91" s="1" t="s">
        <v>530</v>
      </c>
      <c r="N91" s="1" t="s">
        <v>161</v>
      </c>
      <c r="O91" s="1" t="s">
        <v>531</v>
      </c>
      <c r="P91" s="1"/>
      <c r="Q91" s="3">
        <v>36892.0</v>
      </c>
      <c r="R91" s="1"/>
      <c r="S91" s="3">
        <v>36094.0</v>
      </c>
      <c r="T91" s="1" t="s">
        <v>37</v>
      </c>
      <c r="U91" s="1"/>
      <c r="V91" s="1" t="s">
        <v>38</v>
      </c>
      <c r="W91" s="1"/>
      <c r="X91" s="1"/>
      <c r="Y91" s="1" t="s">
        <v>49</v>
      </c>
      <c r="Z91" s="1"/>
      <c r="AA91" s="1" t="s">
        <v>40</v>
      </c>
      <c r="AB91" s="1" t="s">
        <v>532</v>
      </c>
      <c r="AC91" s="1"/>
    </row>
    <row r="92">
      <c r="A92" s="1" t="str">
        <f t="shared" si="13"/>
        <v>00070D</v>
      </c>
      <c r="B92" s="1" t="s">
        <v>527</v>
      </c>
      <c r="C92" s="1" t="s">
        <v>528</v>
      </c>
      <c r="D92" s="1" t="str">
        <f t="shared" si="14"/>
        <v>8024923458</v>
      </c>
      <c r="E92" s="1">
        <v>41.0</v>
      </c>
      <c r="F92" s="1" t="s">
        <v>31</v>
      </c>
      <c r="G92" s="1" t="s">
        <v>533</v>
      </c>
      <c r="H92" s="1">
        <v>20.0</v>
      </c>
      <c r="I92" s="1"/>
      <c r="J92" s="1"/>
      <c r="K92" s="1"/>
      <c r="L92" s="1"/>
      <c r="M92" s="1" t="s">
        <v>534</v>
      </c>
      <c r="N92" s="1" t="s">
        <v>161</v>
      </c>
      <c r="O92" s="1" t="s">
        <v>531</v>
      </c>
      <c r="P92" s="1"/>
      <c r="Q92" s="3">
        <v>36892.0</v>
      </c>
      <c r="R92" s="1"/>
      <c r="S92" s="3">
        <v>41948.0</v>
      </c>
      <c r="T92" s="1" t="s">
        <v>37</v>
      </c>
      <c r="U92" s="1"/>
      <c r="V92" s="1" t="s">
        <v>38</v>
      </c>
      <c r="W92" s="1">
        <v>43.79889</v>
      </c>
      <c r="X92" s="1">
        <v>-73.32056</v>
      </c>
      <c r="Y92" s="1" t="s">
        <v>535</v>
      </c>
      <c r="Z92" s="1"/>
      <c r="AA92" s="1" t="s">
        <v>40</v>
      </c>
      <c r="AB92" s="1" t="s">
        <v>532</v>
      </c>
      <c r="AC92" s="1">
        <v>5760.0</v>
      </c>
    </row>
    <row r="93">
      <c r="A93" s="1" t="str">
        <f>"000499"</f>
        <v>000499</v>
      </c>
      <c r="B93" s="1" t="s">
        <v>536</v>
      </c>
      <c r="C93" s="1" t="s">
        <v>537</v>
      </c>
      <c r="D93" s="1" t="str">
        <f>"8028663342"</f>
        <v>8028663342</v>
      </c>
      <c r="E93" s="1">
        <v>1737.0</v>
      </c>
      <c r="F93" s="1" t="s">
        <v>44</v>
      </c>
      <c r="G93" s="1" t="s">
        <v>538</v>
      </c>
      <c r="H93" s="1">
        <v>6.0</v>
      </c>
      <c r="I93" s="1"/>
      <c r="J93" s="1"/>
      <c r="K93" s="1"/>
      <c r="L93" s="1"/>
      <c r="M93" s="1" t="s">
        <v>539</v>
      </c>
      <c r="N93" s="1" t="s">
        <v>142</v>
      </c>
      <c r="O93" s="1" t="s">
        <v>540</v>
      </c>
      <c r="P93" s="1"/>
      <c r="Q93" s="3">
        <v>36892.0</v>
      </c>
      <c r="R93" s="1"/>
      <c r="S93" s="3">
        <v>38190.0</v>
      </c>
      <c r="T93" s="1" t="s">
        <v>37</v>
      </c>
      <c r="U93" s="1"/>
      <c r="V93" s="1" t="s">
        <v>38</v>
      </c>
      <c r="W93" s="1"/>
      <c r="X93" s="1"/>
      <c r="Y93" s="1" t="s">
        <v>49</v>
      </c>
      <c r="Z93" s="1"/>
      <c r="AA93" s="1" t="s">
        <v>40</v>
      </c>
      <c r="AB93" s="1" t="s">
        <v>541</v>
      </c>
      <c r="AC93" s="1"/>
    </row>
    <row r="94">
      <c r="A94" s="1" t="str">
        <f>"000714"</f>
        <v>000714</v>
      </c>
      <c r="B94" s="1" t="s">
        <v>542</v>
      </c>
      <c r="C94" s="1" t="s">
        <v>543</v>
      </c>
      <c r="D94" s="1" t="str">
        <f>"8023654589"</f>
        <v>8023654589</v>
      </c>
      <c r="E94" s="1">
        <v>3845.0</v>
      </c>
      <c r="F94" s="1" t="s">
        <v>44</v>
      </c>
      <c r="G94" s="1" t="s">
        <v>544</v>
      </c>
      <c r="H94" s="1"/>
      <c r="I94" s="1"/>
      <c r="J94" s="1"/>
      <c r="K94" s="1"/>
      <c r="L94" s="1"/>
      <c r="M94" s="1" t="s">
        <v>72</v>
      </c>
      <c r="N94" s="1" t="s">
        <v>66</v>
      </c>
      <c r="O94" s="1" t="s">
        <v>67</v>
      </c>
      <c r="P94" s="1"/>
      <c r="Q94" s="3">
        <v>36892.0</v>
      </c>
      <c r="R94" s="1"/>
      <c r="S94" s="1"/>
      <c r="T94" s="1" t="s">
        <v>37</v>
      </c>
      <c r="U94" s="1"/>
      <c r="V94" s="1" t="s">
        <v>38</v>
      </c>
      <c r="W94" s="1"/>
      <c r="X94" s="1"/>
      <c r="Y94" s="1" t="s">
        <v>49</v>
      </c>
      <c r="Z94" s="1"/>
      <c r="AA94" s="1" t="s">
        <v>40</v>
      </c>
      <c r="AB94" s="1" t="s">
        <v>68</v>
      </c>
      <c r="AC94" s="1"/>
    </row>
    <row r="95">
      <c r="A95" s="1" t="str">
        <f>"0008DJ"</f>
        <v>0008DJ</v>
      </c>
      <c r="B95" s="1" t="s">
        <v>545</v>
      </c>
      <c r="C95" s="1" t="s">
        <v>546</v>
      </c>
      <c r="D95" s="1" t="str">
        <f>"8024827890"</f>
        <v>8024827890</v>
      </c>
      <c r="E95" s="1">
        <v>3205.0</v>
      </c>
      <c r="F95" s="1" t="s">
        <v>44</v>
      </c>
      <c r="G95" s="1" t="s">
        <v>547</v>
      </c>
      <c r="H95" s="1"/>
      <c r="I95" s="1"/>
      <c r="J95" s="1"/>
      <c r="K95" s="1"/>
      <c r="L95" s="1"/>
      <c r="M95" s="1" t="s">
        <v>72</v>
      </c>
      <c r="N95" s="1" t="s">
        <v>57</v>
      </c>
      <c r="O95" s="1" t="s">
        <v>204</v>
      </c>
      <c r="P95" s="1"/>
      <c r="Q95" s="3">
        <v>36892.0</v>
      </c>
      <c r="R95" s="1"/>
      <c r="S95" s="1"/>
      <c r="T95" s="1" t="s">
        <v>37</v>
      </c>
      <c r="U95" s="1"/>
      <c r="V95" s="1" t="s">
        <v>38</v>
      </c>
      <c r="W95" s="1"/>
      <c r="X95" s="1"/>
      <c r="Y95" s="1" t="s">
        <v>49</v>
      </c>
      <c r="Z95" s="1"/>
      <c r="AA95" s="1" t="s">
        <v>40</v>
      </c>
      <c r="AB95" s="1" t="s">
        <v>205</v>
      </c>
      <c r="AC95" s="1"/>
    </row>
    <row r="96">
      <c r="A96" s="1" t="str">
        <f>"0007XG"</f>
        <v>0007XG</v>
      </c>
      <c r="B96" s="1" t="s">
        <v>548</v>
      </c>
      <c r="C96" s="1" t="s">
        <v>549</v>
      </c>
      <c r="D96" s="1"/>
      <c r="E96" s="1">
        <v>2762.0</v>
      </c>
      <c r="F96" s="1" t="s">
        <v>44</v>
      </c>
      <c r="G96" s="1" t="s">
        <v>550</v>
      </c>
      <c r="H96" s="1">
        <v>1.0</v>
      </c>
      <c r="I96" s="1"/>
      <c r="J96" s="1"/>
      <c r="K96" s="1"/>
      <c r="L96" s="1"/>
      <c r="M96" s="1" t="s">
        <v>72</v>
      </c>
      <c r="N96" s="1" t="s">
        <v>34</v>
      </c>
      <c r="O96" s="1" t="s">
        <v>551</v>
      </c>
      <c r="P96" s="1"/>
      <c r="Q96" s="3">
        <v>36892.0</v>
      </c>
      <c r="R96" s="1"/>
      <c r="S96" s="3">
        <v>33801.0</v>
      </c>
      <c r="T96" s="1" t="s">
        <v>37</v>
      </c>
      <c r="U96" s="1"/>
      <c r="V96" s="1" t="s">
        <v>38</v>
      </c>
      <c r="W96" s="1"/>
      <c r="X96" s="1"/>
      <c r="Y96" s="1" t="s">
        <v>49</v>
      </c>
      <c r="Z96" s="1"/>
      <c r="AA96" s="1" t="s">
        <v>40</v>
      </c>
      <c r="AB96" s="1" t="s">
        <v>552</v>
      </c>
      <c r="AC96" s="1"/>
    </row>
    <row r="97">
      <c r="A97" s="1" t="str">
        <f>"0008HJ"</f>
        <v>0008HJ</v>
      </c>
      <c r="B97" s="1" t="s">
        <v>553</v>
      </c>
      <c r="C97" s="1" t="s">
        <v>554</v>
      </c>
      <c r="D97" s="1"/>
      <c r="E97" s="1">
        <v>2750.0</v>
      </c>
      <c r="F97" s="1" t="s">
        <v>44</v>
      </c>
      <c r="G97" s="1" t="s">
        <v>555</v>
      </c>
      <c r="H97" s="1">
        <v>1.0</v>
      </c>
      <c r="I97" s="1"/>
      <c r="J97" s="1"/>
      <c r="K97" s="1"/>
      <c r="L97" s="1"/>
      <c r="M97" s="1" t="s">
        <v>72</v>
      </c>
      <c r="N97" s="1" t="s">
        <v>213</v>
      </c>
      <c r="O97" s="1" t="s">
        <v>214</v>
      </c>
      <c r="P97" s="1"/>
      <c r="Q97" s="3">
        <v>36892.0</v>
      </c>
      <c r="R97" s="1"/>
      <c r="S97" s="3">
        <v>33787.0</v>
      </c>
      <c r="T97" s="1" t="s">
        <v>37</v>
      </c>
      <c r="U97" s="1"/>
      <c r="V97" s="1" t="s">
        <v>38</v>
      </c>
      <c r="W97" s="1"/>
      <c r="X97" s="1"/>
      <c r="Y97" s="1" t="s">
        <v>49</v>
      </c>
      <c r="Z97" s="1"/>
      <c r="AA97" s="1" t="s">
        <v>40</v>
      </c>
      <c r="AB97" s="1" t="s">
        <v>217</v>
      </c>
      <c r="AC97" s="1"/>
    </row>
    <row r="98">
      <c r="A98" s="1" t="str">
        <f>"0008DW"</f>
        <v>0008DW</v>
      </c>
      <c r="B98" s="1" t="s">
        <v>556</v>
      </c>
      <c r="C98" s="1" t="s">
        <v>557</v>
      </c>
      <c r="D98" s="1" t="str">
        <f>"8028782435"</f>
        <v>8028782435</v>
      </c>
      <c r="E98" s="1">
        <v>2761.0</v>
      </c>
      <c r="F98" s="1" t="s">
        <v>44</v>
      </c>
      <c r="G98" s="1" t="s">
        <v>558</v>
      </c>
      <c r="H98" s="1">
        <v>1.0</v>
      </c>
      <c r="I98" s="1"/>
      <c r="J98" s="1"/>
      <c r="K98" s="1"/>
      <c r="L98" s="1"/>
      <c r="M98" s="1" t="s">
        <v>72</v>
      </c>
      <c r="N98" s="1" t="s">
        <v>57</v>
      </c>
      <c r="O98" s="1" t="s">
        <v>559</v>
      </c>
      <c r="P98" s="1"/>
      <c r="Q98" s="3">
        <v>36892.0</v>
      </c>
      <c r="R98" s="1"/>
      <c r="S98" s="3">
        <v>33772.0</v>
      </c>
      <c r="T98" s="1" t="s">
        <v>37</v>
      </c>
      <c r="U98" s="1"/>
      <c r="V98" s="1" t="s">
        <v>38</v>
      </c>
      <c r="W98" s="1"/>
      <c r="X98" s="1"/>
      <c r="Y98" s="1" t="s">
        <v>49</v>
      </c>
      <c r="Z98" s="1"/>
      <c r="AA98" s="1" t="s">
        <v>40</v>
      </c>
      <c r="AB98" s="1" t="s">
        <v>560</v>
      </c>
      <c r="AC98" s="1"/>
    </row>
    <row r="99">
      <c r="A99" s="1" t="str">
        <f>"000775"</f>
        <v>000775</v>
      </c>
      <c r="B99" s="1" t="s">
        <v>561</v>
      </c>
      <c r="C99" s="1" t="s">
        <v>562</v>
      </c>
      <c r="D99" s="1" t="str">
        <f>"8028856143"</f>
        <v>8028856143</v>
      </c>
      <c r="E99" s="1">
        <v>3887.0</v>
      </c>
      <c r="F99" s="1" t="s">
        <v>44</v>
      </c>
      <c r="G99" s="1" t="s">
        <v>563</v>
      </c>
      <c r="H99" s="1">
        <v>2.0</v>
      </c>
      <c r="I99" s="1"/>
      <c r="J99" s="1"/>
      <c r="K99" s="1"/>
      <c r="L99" s="1"/>
      <c r="M99" s="1" t="s">
        <v>564</v>
      </c>
      <c r="N99" s="1" t="s">
        <v>34</v>
      </c>
      <c r="O99" s="1" t="s">
        <v>565</v>
      </c>
      <c r="P99" s="1"/>
      <c r="Q99" s="3">
        <v>36892.0</v>
      </c>
      <c r="R99" s="1"/>
      <c r="S99" s="3">
        <v>39686.0</v>
      </c>
      <c r="T99" s="1" t="s">
        <v>37</v>
      </c>
      <c r="U99" s="1"/>
      <c r="V99" s="1" t="s">
        <v>38</v>
      </c>
      <c r="W99" s="1"/>
      <c r="X99" s="1"/>
      <c r="Y99" s="1" t="s">
        <v>49</v>
      </c>
      <c r="Z99" s="1"/>
      <c r="AA99" s="1" t="s">
        <v>40</v>
      </c>
      <c r="AB99" s="1" t="s">
        <v>566</v>
      </c>
      <c r="AC99" s="1"/>
    </row>
    <row r="100">
      <c r="A100" s="1" t="str">
        <f t="shared" ref="A100:A101" si="15">"0007WB"</f>
        <v>0007WB</v>
      </c>
      <c r="B100" s="1" t="s">
        <v>567</v>
      </c>
      <c r="C100" s="1" t="s">
        <v>568</v>
      </c>
      <c r="D100" s="1" t="str">
        <f t="shared" ref="D100:D101" si="16">"8029895895"</f>
        <v>8029895895</v>
      </c>
      <c r="E100" s="1">
        <v>2046.0</v>
      </c>
      <c r="F100" s="1" t="s">
        <v>117</v>
      </c>
      <c r="G100" s="1" t="s">
        <v>569</v>
      </c>
      <c r="H100" s="1">
        <v>15.0</v>
      </c>
      <c r="I100" s="2" t="s">
        <v>119</v>
      </c>
      <c r="J100" s="2" t="s">
        <v>119</v>
      </c>
      <c r="K100" s="2" t="s">
        <v>119</v>
      </c>
      <c r="L100" s="1"/>
      <c r="M100" s="1" t="s">
        <v>570</v>
      </c>
      <c r="N100" s="1" t="s">
        <v>161</v>
      </c>
      <c r="O100" s="1" t="s">
        <v>571</v>
      </c>
      <c r="P100" s="1" t="s">
        <v>572</v>
      </c>
      <c r="Q100" s="3">
        <v>36892.0</v>
      </c>
      <c r="R100" s="1"/>
      <c r="S100" s="3">
        <v>38869.0</v>
      </c>
      <c r="T100" s="1" t="s">
        <v>37</v>
      </c>
      <c r="U100" s="1"/>
      <c r="V100" s="1" t="s">
        <v>38</v>
      </c>
      <c r="W100" s="1">
        <v>44.124604024089</v>
      </c>
      <c r="X100" s="1">
        <v>-73.0287831276655</v>
      </c>
      <c r="Y100" s="1" t="s">
        <v>49</v>
      </c>
      <c r="Z100" s="1"/>
      <c r="AA100" s="1" t="s">
        <v>40</v>
      </c>
      <c r="AB100" s="1" t="s">
        <v>573</v>
      </c>
      <c r="AC100" s="1">
        <v>5443.0</v>
      </c>
    </row>
    <row r="101">
      <c r="A101" s="1" t="str">
        <f t="shared" si="15"/>
        <v>0007WB</v>
      </c>
      <c r="B101" s="1" t="s">
        <v>567</v>
      </c>
      <c r="C101" s="1" t="s">
        <v>568</v>
      </c>
      <c r="D101" s="1" t="str">
        <f t="shared" si="16"/>
        <v>8029895895</v>
      </c>
      <c r="E101" s="1">
        <v>2046.0</v>
      </c>
      <c r="F101" s="1" t="s">
        <v>117</v>
      </c>
      <c r="G101" s="1" t="s">
        <v>574</v>
      </c>
      <c r="H101" s="1">
        <v>26.0</v>
      </c>
      <c r="I101" s="2" t="s">
        <v>119</v>
      </c>
      <c r="J101" s="2" t="s">
        <v>119</v>
      </c>
      <c r="K101" s="2" t="s">
        <v>119</v>
      </c>
      <c r="L101" s="1"/>
      <c r="M101" s="1" t="s">
        <v>575</v>
      </c>
      <c r="N101" s="1" t="s">
        <v>161</v>
      </c>
      <c r="O101" s="1" t="s">
        <v>576</v>
      </c>
      <c r="P101" s="1" t="s">
        <v>577</v>
      </c>
      <c r="Q101" s="3">
        <v>36892.0</v>
      </c>
      <c r="R101" s="1"/>
      <c r="S101" s="3">
        <v>40842.0</v>
      </c>
      <c r="T101" s="1" t="s">
        <v>37</v>
      </c>
      <c r="U101" s="1"/>
      <c r="V101" s="1" t="s">
        <v>38</v>
      </c>
      <c r="W101" s="1">
        <v>44.0868490742172</v>
      </c>
      <c r="X101" s="1">
        <v>-73.2758568227291</v>
      </c>
      <c r="Y101" s="1" t="s">
        <v>49</v>
      </c>
      <c r="Z101" s="1"/>
      <c r="AA101" s="1" t="s">
        <v>40</v>
      </c>
      <c r="AB101" s="1" t="s">
        <v>161</v>
      </c>
      <c r="AC101" s="1">
        <v>5491.0</v>
      </c>
    </row>
    <row r="102">
      <c r="A102" s="1" t="str">
        <f>"000857"</f>
        <v>000857</v>
      </c>
      <c r="B102" s="1" t="s">
        <v>578</v>
      </c>
      <c r="C102" s="1" t="s">
        <v>579</v>
      </c>
      <c r="D102" s="1" t="str">
        <f>"5185241195"</f>
        <v>5185241195</v>
      </c>
      <c r="E102" s="1">
        <v>3718.0</v>
      </c>
      <c r="F102" s="1" t="s">
        <v>44</v>
      </c>
      <c r="G102" s="1" t="s">
        <v>580</v>
      </c>
      <c r="H102" s="1"/>
      <c r="I102" s="1"/>
      <c r="J102" s="1"/>
      <c r="K102" s="1"/>
      <c r="L102" s="1"/>
      <c r="M102" s="1" t="s">
        <v>581</v>
      </c>
      <c r="N102" s="1" t="s">
        <v>47</v>
      </c>
      <c r="O102" s="1" t="s">
        <v>582</v>
      </c>
      <c r="P102" s="1"/>
      <c r="Q102" s="3">
        <v>36892.0</v>
      </c>
      <c r="R102" s="1"/>
      <c r="S102" s="1"/>
      <c r="T102" s="1" t="s">
        <v>37</v>
      </c>
      <c r="U102" s="1"/>
      <c r="V102" s="1" t="s">
        <v>38</v>
      </c>
      <c r="W102" s="1"/>
      <c r="X102" s="1"/>
      <c r="Y102" s="1" t="s">
        <v>49</v>
      </c>
      <c r="Z102" s="1"/>
      <c r="AA102" s="1" t="s">
        <v>40</v>
      </c>
      <c r="AB102" s="1" t="s">
        <v>583</v>
      </c>
      <c r="AC102" s="1"/>
    </row>
    <row r="103">
      <c r="A103" s="1" t="str">
        <f>"0007WB"</f>
        <v>0007WB</v>
      </c>
      <c r="B103" s="1" t="s">
        <v>567</v>
      </c>
      <c r="C103" s="1" t="s">
        <v>568</v>
      </c>
      <c r="D103" s="1" t="str">
        <f>"8029895895"</f>
        <v>8029895895</v>
      </c>
      <c r="E103" s="1">
        <v>2046.0</v>
      </c>
      <c r="F103" s="1" t="s">
        <v>117</v>
      </c>
      <c r="G103" s="1" t="s">
        <v>584</v>
      </c>
      <c r="H103" s="1">
        <v>132.0</v>
      </c>
      <c r="I103" s="2" t="s">
        <v>119</v>
      </c>
      <c r="J103" s="2" t="s">
        <v>119</v>
      </c>
      <c r="K103" s="2" t="s">
        <v>119</v>
      </c>
      <c r="L103" s="1"/>
      <c r="M103" s="1" t="s">
        <v>585</v>
      </c>
      <c r="N103" s="1" t="s">
        <v>161</v>
      </c>
      <c r="O103" s="1" t="s">
        <v>586</v>
      </c>
      <c r="P103" s="1" t="s">
        <v>587</v>
      </c>
      <c r="Q103" s="3">
        <v>36892.0</v>
      </c>
      <c r="R103" s="1"/>
      <c r="S103" s="3">
        <v>41932.0</v>
      </c>
      <c r="T103" s="1" t="s">
        <v>37</v>
      </c>
      <c r="U103" s="1"/>
      <c r="V103" s="1" t="s">
        <v>38</v>
      </c>
      <c r="W103" s="1">
        <v>43.976263486082</v>
      </c>
      <c r="X103" s="1">
        <v>-73.3910536766052</v>
      </c>
      <c r="Y103" s="1" t="s">
        <v>588</v>
      </c>
      <c r="Z103" s="1"/>
      <c r="AA103" s="1" t="s">
        <v>40</v>
      </c>
      <c r="AB103" s="1" t="s">
        <v>589</v>
      </c>
      <c r="AC103" s="1">
        <v>5000.0</v>
      </c>
    </row>
    <row r="104">
      <c r="A104" s="1" t="str">
        <f>"0008M9"</f>
        <v>0008M9</v>
      </c>
      <c r="B104" s="1" t="s">
        <v>590</v>
      </c>
      <c r="C104" s="1" t="s">
        <v>591</v>
      </c>
      <c r="D104" s="1" t="str">
        <f>"8023875512"</f>
        <v>8023875512</v>
      </c>
      <c r="E104" s="1">
        <v>2901.0</v>
      </c>
      <c r="F104" s="1" t="s">
        <v>44</v>
      </c>
      <c r="G104" s="1" t="s">
        <v>592</v>
      </c>
      <c r="H104" s="1">
        <v>2.0</v>
      </c>
      <c r="I104" s="1"/>
      <c r="J104" s="1"/>
      <c r="K104" s="1"/>
      <c r="L104" s="1"/>
      <c r="M104" s="1" t="s">
        <v>72</v>
      </c>
      <c r="N104" s="1" t="s">
        <v>66</v>
      </c>
      <c r="O104" s="1" t="s">
        <v>593</v>
      </c>
      <c r="P104" s="1"/>
      <c r="Q104" s="3">
        <v>36892.0</v>
      </c>
      <c r="R104" s="1"/>
      <c r="S104" s="3">
        <v>35177.0</v>
      </c>
      <c r="T104" s="1" t="s">
        <v>37</v>
      </c>
      <c r="U104" s="1"/>
      <c r="V104" s="1" t="s">
        <v>38</v>
      </c>
      <c r="W104" s="1"/>
      <c r="X104" s="1"/>
      <c r="Y104" s="1" t="s">
        <v>49</v>
      </c>
      <c r="Z104" s="1"/>
      <c r="AA104" s="1" t="s">
        <v>40</v>
      </c>
      <c r="AB104" s="1" t="s">
        <v>594</v>
      </c>
      <c r="AC104" s="1"/>
    </row>
    <row r="105">
      <c r="A105" s="1" t="str">
        <f>"000737"</f>
        <v>000737</v>
      </c>
      <c r="B105" s="1" t="s">
        <v>595</v>
      </c>
      <c r="C105" s="1" t="s">
        <v>596</v>
      </c>
      <c r="D105" s="1" t="str">
        <f>"8023264164"</f>
        <v>8023264164</v>
      </c>
      <c r="E105" s="1">
        <v>3626.0</v>
      </c>
      <c r="F105" s="1" t="s">
        <v>117</v>
      </c>
      <c r="G105" s="1" t="s">
        <v>597</v>
      </c>
      <c r="H105" s="1">
        <v>3.0</v>
      </c>
      <c r="I105" s="2" t="s">
        <v>119</v>
      </c>
      <c r="J105" s="2" t="s">
        <v>119</v>
      </c>
      <c r="K105" s="2" t="s">
        <v>119</v>
      </c>
      <c r="L105" s="1"/>
      <c r="M105" s="1" t="s">
        <v>598</v>
      </c>
      <c r="N105" s="1" t="s">
        <v>47</v>
      </c>
      <c r="O105" s="1" t="s">
        <v>599</v>
      </c>
      <c r="P105" s="1" t="s">
        <v>600</v>
      </c>
      <c r="Q105" s="3">
        <v>36892.0</v>
      </c>
      <c r="R105" s="1"/>
      <c r="S105" s="1"/>
      <c r="T105" s="1" t="s">
        <v>37</v>
      </c>
      <c r="U105" s="1"/>
      <c r="V105" s="1" t="s">
        <v>38</v>
      </c>
      <c r="W105" s="1">
        <v>44.82832</v>
      </c>
      <c r="X105" s="1">
        <v>-72.5860599999999</v>
      </c>
      <c r="Y105" s="1" t="s">
        <v>601</v>
      </c>
      <c r="Z105" s="1"/>
      <c r="AA105" s="1" t="s">
        <v>40</v>
      </c>
      <c r="AB105" s="1" t="s">
        <v>602</v>
      </c>
      <c r="AC105" s="1">
        <v>5471.0</v>
      </c>
    </row>
    <row r="106">
      <c r="A106" s="1" t="str">
        <f>"000941"</f>
        <v>000941</v>
      </c>
      <c r="B106" s="1" t="s">
        <v>603</v>
      </c>
      <c r="C106" s="1" t="s">
        <v>604</v>
      </c>
      <c r="D106" s="1" t="str">
        <f>"8024537996"</f>
        <v>8024537996</v>
      </c>
      <c r="E106" s="1">
        <v>3833.0</v>
      </c>
      <c r="F106" s="1" t="s">
        <v>31</v>
      </c>
      <c r="G106" s="1" t="s">
        <v>605</v>
      </c>
      <c r="H106" s="1">
        <v>4.0</v>
      </c>
      <c r="I106" s="1"/>
      <c r="J106" s="1"/>
      <c r="K106" s="1"/>
      <c r="L106" s="1"/>
      <c r="M106" s="1" t="s">
        <v>72</v>
      </c>
      <c r="N106" s="1" t="s">
        <v>161</v>
      </c>
      <c r="O106" s="1" t="s">
        <v>180</v>
      </c>
      <c r="P106" s="1" t="s">
        <v>606</v>
      </c>
      <c r="Q106" s="3">
        <v>36892.0</v>
      </c>
      <c r="R106" s="1"/>
      <c r="S106" s="3">
        <v>39645.0</v>
      </c>
      <c r="T106" s="1" t="s">
        <v>37</v>
      </c>
      <c r="U106" s="1"/>
      <c r="V106" s="1" t="s">
        <v>38</v>
      </c>
      <c r="W106" s="1"/>
      <c r="X106" s="1"/>
      <c r="Y106" s="1" t="s">
        <v>49</v>
      </c>
      <c r="Z106" s="1"/>
      <c r="AA106" s="1" t="s">
        <v>40</v>
      </c>
      <c r="AB106" s="1" t="s">
        <v>181</v>
      </c>
      <c r="AC106" s="1">
        <v>5487.0</v>
      </c>
    </row>
    <row r="107">
      <c r="A107" s="1" t="str">
        <f>"0008HQ"</f>
        <v>0008HQ</v>
      </c>
      <c r="B107" s="1" t="s">
        <v>607</v>
      </c>
      <c r="C107" s="1" t="s">
        <v>608</v>
      </c>
      <c r="D107" s="1" t="str">
        <f>"8026265144"</f>
        <v>8026265144</v>
      </c>
      <c r="E107" s="1">
        <v>2756.0</v>
      </c>
      <c r="F107" s="1" t="s">
        <v>44</v>
      </c>
      <c r="G107" s="1" t="s">
        <v>609</v>
      </c>
      <c r="H107" s="1">
        <v>0.0</v>
      </c>
      <c r="I107" s="1"/>
      <c r="J107" s="1"/>
      <c r="K107" s="1"/>
      <c r="L107" s="1"/>
      <c r="M107" s="1" t="s">
        <v>72</v>
      </c>
      <c r="N107" s="1" t="s">
        <v>128</v>
      </c>
      <c r="O107" s="1" t="s">
        <v>337</v>
      </c>
      <c r="P107" s="1"/>
      <c r="Q107" s="3">
        <v>36892.0</v>
      </c>
      <c r="R107" s="1"/>
      <c r="S107" s="1"/>
      <c r="T107" s="1" t="s">
        <v>37</v>
      </c>
      <c r="U107" s="1"/>
      <c r="V107" s="1" t="s">
        <v>38</v>
      </c>
      <c r="W107" s="1">
        <v>44.5383299999999</v>
      </c>
      <c r="X107" s="1">
        <v>-72.055161</v>
      </c>
      <c r="Y107" s="1" t="s">
        <v>610</v>
      </c>
      <c r="Z107" s="1"/>
      <c r="AA107" s="1" t="s">
        <v>40</v>
      </c>
      <c r="AB107" s="1" t="s">
        <v>338</v>
      </c>
      <c r="AC107" s="1">
        <v>5851.0</v>
      </c>
    </row>
    <row r="108">
      <c r="A108" s="1" t="str">
        <f>"00070A"</f>
        <v>00070A</v>
      </c>
      <c r="B108" s="1" t="s">
        <v>611</v>
      </c>
      <c r="C108" s="1" t="s">
        <v>612</v>
      </c>
      <c r="D108" s="1" t="str">
        <f>"5186422488"</f>
        <v>5186422488</v>
      </c>
      <c r="E108" s="1">
        <v>31.0</v>
      </c>
      <c r="F108" s="1" t="s">
        <v>44</v>
      </c>
      <c r="G108" s="1" t="s">
        <v>613</v>
      </c>
      <c r="H108" s="1">
        <v>25.0</v>
      </c>
      <c r="I108" s="1"/>
      <c r="J108" s="1"/>
      <c r="K108" s="1"/>
      <c r="L108" s="1"/>
      <c r="M108" s="1" t="s">
        <v>614</v>
      </c>
      <c r="N108" s="1" t="s">
        <v>78</v>
      </c>
      <c r="O108" s="1" t="s">
        <v>615</v>
      </c>
      <c r="P108" s="1"/>
      <c r="Q108" s="3">
        <v>36892.0</v>
      </c>
      <c r="R108" s="1"/>
      <c r="S108" s="3">
        <v>39022.0</v>
      </c>
      <c r="T108" s="1" t="s">
        <v>37</v>
      </c>
      <c r="U108" s="1"/>
      <c r="V108" s="1" t="s">
        <v>38</v>
      </c>
      <c r="W108" s="1"/>
      <c r="X108" s="1"/>
      <c r="Y108" s="1" t="s">
        <v>49</v>
      </c>
      <c r="Z108" s="1"/>
      <c r="AA108" s="1" t="s">
        <v>40</v>
      </c>
      <c r="AB108" s="1" t="s">
        <v>616</v>
      </c>
      <c r="AC108" s="1"/>
    </row>
    <row r="109">
      <c r="A109" s="1" t="str">
        <f>"0008HM"</f>
        <v>0008HM</v>
      </c>
      <c r="B109" s="1" t="s">
        <v>617</v>
      </c>
      <c r="C109" s="1" t="s">
        <v>618</v>
      </c>
      <c r="D109" s="1" t="str">
        <f>"8026442430"</f>
        <v>8026442430</v>
      </c>
      <c r="E109" s="1">
        <v>2753.0</v>
      </c>
      <c r="F109" s="1" t="s">
        <v>44</v>
      </c>
      <c r="G109" s="1" t="s">
        <v>619</v>
      </c>
      <c r="H109" s="1">
        <v>30.0</v>
      </c>
      <c r="I109" s="1"/>
      <c r="J109" s="1"/>
      <c r="K109" s="1"/>
      <c r="L109" s="1"/>
      <c r="M109" s="1" t="s">
        <v>425</v>
      </c>
      <c r="N109" s="1" t="s">
        <v>213</v>
      </c>
      <c r="O109" s="1" t="s">
        <v>620</v>
      </c>
      <c r="P109" s="1"/>
      <c r="Q109" s="3">
        <v>36892.0</v>
      </c>
      <c r="R109" s="1"/>
      <c r="S109" s="3">
        <v>36284.0</v>
      </c>
      <c r="T109" s="1" t="s">
        <v>37</v>
      </c>
      <c r="U109" s="1"/>
      <c r="V109" s="1" t="s">
        <v>38</v>
      </c>
      <c r="W109" s="1"/>
      <c r="X109" s="1"/>
      <c r="Y109" s="1" t="s">
        <v>49</v>
      </c>
      <c r="Z109" s="1"/>
      <c r="AA109" s="1" t="s">
        <v>40</v>
      </c>
      <c r="AB109" s="1" t="s">
        <v>621</v>
      </c>
      <c r="AC109" s="1"/>
    </row>
    <row r="110">
      <c r="A110" s="1" t="str">
        <f>"0008HK"</f>
        <v>0008HK</v>
      </c>
      <c r="B110" s="1" t="s">
        <v>622</v>
      </c>
      <c r="C110" s="1" t="s">
        <v>623</v>
      </c>
      <c r="D110" s="1"/>
      <c r="E110" s="1">
        <v>2751.0</v>
      </c>
      <c r="F110" s="1" t="s">
        <v>44</v>
      </c>
      <c r="G110" s="1" t="s">
        <v>624</v>
      </c>
      <c r="H110" s="1">
        <v>2.0</v>
      </c>
      <c r="I110" s="1"/>
      <c r="J110" s="1"/>
      <c r="K110" s="1"/>
      <c r="L110" s="1"/>
      <c r="M110" s="1" t="s">
        <v>72</v>
      </c>
      <c r="N110" s="1" t="s">
        <v>213</v>
      </c>
      <c r="O110" s="1" t="s">
        <v>625</v>
      </c>
      <c r="P110" s="1"/>
      <c r="Q110" s="3">
        <v>36892.0</v>
      </c>
      <c r="R110" s="1"/>
      <c r="S110" s="3">
        <v>33787.0</v>
      </c>
      <c r="T110" s="1" t="s">
        <v>37</v>
      </c>
      <c r="U110" s="1"/>
      <c r="V110" s="1" t="s">
        <v>38</v>
      </c>
      <c r="W110" s="1"/>
      <c r="X110" s="1"/>
      <c r="Y110" s="1" t="s">
        <v>49</v>
      </c>
      <c r="Z110" s="1"/>
      <c r="AA110" s="1" t="s">
        <v>40</v>
      </c>
      <c r="AB110" s="1" t="s">
        <v>626</v>
      </c>
      <c r="AC110" s="1"/>
    </row>
    <row r="111">
      <c r="A111" s="1" t="str">
        <f>"00075Y"</f>
        <v>00075Y</v>
      </c>
      <c r="B111" s="1" t="s">
        <v>627</v>
      </c>
      <c r="C111" s="1" t="s">
        <v>628</v>
      </c>
      <c r="D111" s="1" t="str">
        <f>"8024856440"</f>
        <v>8024856440</v>
      </c>
      <c r="E111" s="1">
        <v>3722.0</v>
      </c>
      <c r="F111" s="1" t="s">
        <v>44</v>
      </c>
      <c r="G111" s="1" t="s">
        <v>629</v>
      </c>
      <c r="H111" s="1">
        <v>1.0</v>
      </c>
      <c r="I111" s="1"/>
      <c r="J111" s="1"/>
      <c r="K111" s="1"/>
      <c r="L111" s="1"/>
      <c r="M111" s="1" t="s">
        <v>630</v>
      </c>
      <c r="N111" s="1" t="s">
        <v>135</v>
      </c>
      <c r="O111" s="1" t="s">
        <v>136</v>
      </c>
      <c r="P111" s="1"/>
      <c r="Q111" s="3">
        <v>36892.0</v>
      </c>
      <c r="R111" s="1"/>
      <c r="S111" s="3">
        <v>38895.0</v>
      </c>
      <c r="T111" s="1" t="s">
        <v>37</v>
      </c>
      <c r="U111" s="1"/>
      <c r="V111" s="1" t="s">
        <v>38</v>
      </c>
      <c r="W111" s="1"/>
      <c r="X111" s="1"/>
      <c r="Y111" s="1" t="s">
        <v>49</v>
      </c>
      <c r="Z111" s="1"/>
      <c r="AA111" s="1" t="s">
        <v>40</v>
      </c>
      <c r="AB111" s="1" t="s">
        <v>137</v>
      </c>
      <c r="AC111" s="1"/>
    </row>
    <row r="112">
      <c r="A112" s="1" t="str">
        <f>"0008HG"</f>
        <v>0008HG</v>
      </c>
      <c r="B112" s="1" t="s">
        <v>631</v>
      </c>
      <c r="C112" s="1" t="s">
        <v>632</v>
      </c>
      <c r="D112" s="1" t="str">
        <f>"8027593123"</f>
        <v>8027593123</v>
      </c>
      <c r="E112" s="1">
        <v>3640.0</v>
      </c>
      <c r="F112" s="1" t="s">
        <v>44</v>
      </c>
      <c r="G112" s="1" t="s">
        <v>633</v>
      </c>
      <c r="H112" s="1">
        <v>4.0</v>
      </c>
      <c r="I112" s="1"/>
      <c r="J112" s="1"/>
      <c r="K112" s="1"/>
      <c r="L112" s="1"/>
      <c r="M112" s="1" t="s">
        <v>72</v>
      </c>
      <c r="N112" s="1" t="s">
        <v>161</v>
      </c>
      <c r="O112" s="1" t="s">
        <v>576</v>
      </c>
      <c r="P112" s="1"/>
      <c r="Q112" s="3">
        <v>36892.0</v>
      </c>
      <c r="R112" s="1"/>
      <c r="S112" s="3">
        <v>39987.0</v>
      </c>
      <c r="T112" s="1" t="s">
        <v>37</v>
      </c>
      <c r="U112" s="1"/>
      <c r="V112" s="1" t="s">
        <v>38</v>
      </c>
      <c r="W112" s="1"/>
      <c r="X112" s="1"/>
      <c r="Y112" s="1" t="s">
        <v>49</v>
      </c>
      <c r="Z112" s="1"/>
      <c r="AA112" s="1" t="s">
        <v>40</v>
      </c>
      <c r="AB112" s="1" t="s">
        <v>161</v>
      </c>
      <c r="AC112" s="1"/>
    </row>
    <row r="113">
      <c r="A113" s="1" t="str">
        <f>"0008HD"</f>
        <v>0008HD</v>
      </c>
      <c r="B113" s="1" t="s">
        <v>634</v>
      </c>
      <c r="C113" s="1" t="s">
        <v>635</v>
      </c>
      <c r="D113" s="1"/>
      <c r="E113" s="1">
        <v>2746.0</v>
      </c>
      <c r="F113" s="1" t="s">
        <v>44</v>
      </c>
      <c r="G113" s="1" t="s">
        <v>636</v>
      </c>
      <c r="H113" s="1"/>
      <c r="I113" s="1"/>
      <c r="J113" s="1"/>
      <c r="K113" s="1"/>
      <c r="L113" s="1"/>
      <c r="M113" s="1" t="s">
        <v>72</v>
      </c>
      <c r="N113" s="1" t="s">
        <v>94</v>
      </c>
      <c r="O113" s="1" t="s">
        <v>637</v>
      </c>
      <c r="P113" s="1"/>
      <c r="Q113" s="3">
        <v>36892.0</v>
      </c>
      <c r="R113" s="1"/>
      <c r="S113" s="1"/>
      <c r="T113" s="1" t="s">
        <v>37</v>
      </c>
      <c r="U113" s="1"/>
      <c r="V113" s="1" t="s">
        <v>38</v>
      </c>
      <c r="W113" s="1"/>
      <c r="X113" s="1"/>
      <c r="Y113" s="1" t="s">
        <v>49</v>
      </c>
      <c r="Z113" s="1"/>
      <c r="AA113" s="1" t="s">
        <v>40</v>
      </c>
      <c r="AB113" s="1" t="s">
        <v>637</v>
      </c>
      <c r="AC113" s="1"/>
    </row>
    <row r="114">
      <c r="A114" s="1" t="str">
        <f>"0008HC"</f>
        <v>0008HC</v>
      </c>
      <c r="B114" s="1" t="s">
        <v>638</v>
      </c>
      <c r="C114" s="1" t="s">
        <v>639</v>
      </c>
      <c r="D114" s="1" t="str">
        <f>"8022966709"</f>
        <v>8022966709</v>
      </c>
      <c r="E114" s="1">
        <v>2745.0</v>
      </c>
      <c r="F114" s="1" t="s">
        <v>44</v>
      </c>
      <c r="G114" s="1" t="s">
        <v>640</v>
      </c>
      <c r="H114" s="1">
        <v>3.0</v>
      </c>
      <c r="I114" s="1"/>
      <c r="J114" s="1"/>
      <c r="K114" s="1"/>
      <c r="L114" s="1"/>
      <c r="M114" s="1" t="s">
        <v>72</v>
      </c>
      <c r="N114" s="1" t="s">
        <v>34</v>
      </c>
      <c r="O114" s="1" t="s">
        <v>85</v>
      </c>
      <c r="P114" s="1"/>
      <c r="Q114" s="3">
        <v>36892.0</v>
      </c>
      <c r="R114" s="1"/>
      <c r="S114" s="3">
        <v>35193.0</v>
      </c>
      <c r="T114" s="1" t="s">
        <v>37</v>
      </c>
      <c r="U114" s="1"/>
      <c r="V114" s="1" t="s">
        <v>38</v>
      </c>
      <c r="W114" s="1"/>
      <c r="X114" s="1"/>
      <c r="Y114" s="1" t="s">
        <v>49</v>
      </c>
      <c r="Z114" s="1"/>
      <c r="AA114" s="1" t="s">
        <v>40</v>
      </c>
      <c r="AB114" s="1" t="s">
        <v>86</v>
      </c>
      <c r="AC114" s="1"/>
    </row>
    <row r="115">
      <c r="A115" s="1" t="str">
        <f>"000775"</f>
        <v>000775</v>
      </c>
      <c r="B115" s="1" t="s">
        <v>561</v>
      </c>
      <c r="C115" s="1" t="s">
        <v>562</v>
      </c>
      <c r="D115" s="1" t="str">
        <f>"8028856143"</f>
        <v>8028856143</v>
      </c>
      <c r="E115" s="1">
        <v>3887.0</v>
      </c>
      <c r="F115" s="1" t="s">
        <v>44</v>
      </c>
      <c r="G115" s="1" t="s">
        <v>641</v>
      </c>
      <c r="H115" s="1">
        <v>2.0</v>
      </c>
      <c r="I115" s="1"/>
      <c r="J115" s="1"/>
      <c r="K115" s="1"/>
      <c r="L115" s="1"/>
      <c r="M115" s="1" t="s">
        <v>72</v>
      </c>
      <c r="N115" s="1" t="s">
        <v>34</v>
      </c>
      <c r="O115" s="1" t="s">
        <v>642</v>
      </c>
      <c r="P115" s="1"/>
      <c r="Q115" s="3">
        <v>36892.0</v>
      </c>
      <c r="R115" s="1"/>
      <c r="S115" s="3">
        <v>39686.0</v>
      </c>
      <c r="T115" s="1" t="s">
        <v>37</v>
      </c>
      <c r="U115" s="1"/>
      <c r="V115" s="1" t="s">
        <v>38</v>
      </c>
      <c r="W115" s="1"/>
      <c r="X115" s="1"/>
      <c r="Y115" s="1" t="s">
        <v>49</v>
      </c>
      <c r="Z115" s="1"/>
      <c r="AA115" s="1" t="s">
        <v>40</v>
      </c>
      <c r="AB115" s="1" t="s">
        <v>643</v>
      </c>
      <c r="AC115" s="1"/>
    </row>
    <row r="116">
      <c r="A116" s="1" t="str">
        <f>"0008HB"</f>
        <v>0008HB</v>
      </c>
      <c r="B116" s="1" t="s">
        <v>644</v>
      </c>
      <c r="C116" s="1" t="s">
        <v>645</v>
      </c>
      <c r="D116" s="1" t="str">
        <f>"8027632288"</f>
        <v>8027632288</v>
      </c>
      <c r="E116" s="1">
        <v>2743.0</v>
      </c>
      <c r="F116" s="1" t="s">
        <v>44</v>
      </c>
      <c r="G116" s="1" t="s">
        <v>646</v>
      </c>
      <c r="H116" s="1">
        <v>0.0</v>
      </c>
      <c r="I116" s="1"/>
      <c r="J116" s="1"/>
      <c r="K116" s="1"/>
      <c r="L116" s="1"/>
      <c r="M116" s="1" t="s">
        <v>647</v>
      </c>
      <c r="N116" s="1" t="s">
        <v>142</v>
      </c>
      <c r="O116" s="1" t="s">
        <v>648</v>
      </c>
      <c r="P116" s="1"/>
      <c r="Q116" s="3">
        <v>36892.0</v>
      </c>
      <c r="R116" s="1"/>
      <c r="S116" s="1"/>
      <c r="T116" s="1" t="s">
        <v>37</v>
      </c>
      <c r="U116" s="1"/>
      <c r="V116" s="1" t="s">
        <v>38</v>
      </c>
      <c r="W116" s="1">
        <v>43.867004</v>
      </c>
      <c r="X116" s="1">
        <v>-72.5392679999999</v>
      </c>
      <c r="Y116" s="1" t="s">
        <v>649</v>
      </c>
      <c r="Z116" s="1"/>
      <c r="AA116" s="1" t="s">
        <v>40</v>
      </c>
      <c r="AB116" s="1" t="s">
        <v>650</v>
      </c>
      <c r="AC116" s="1">
        <v>5077.0</v>
      </c>
    </row>
    <row r="117">
      <c r="A117" s="1" t="str">
        <f>"0008HA"</f>
        <v>0008HA</v>
      </c>
      <c r="B117" s="1" t="s">
        <v>651</v>
      </c>
      <c r="C117" s="1" t="s">
        <v>652</v>
      </c>
      <c r="D117" s="1" t="str">
        <f>"8024568165"</f>
        <v>8024568165</v>
      </c>
      <c r="E117" s="1">
        <v>2741.0</v>
      </c>
      <c r="F117" s="1" t="s">
        <v>44</v>
      </c>
      <c r="G117" s="1" t="s">
        <v>653</v>
      </c>
      <c r="H117" s="1">
        <v>1.0</v>
      </c>
      <c r="I117" s="1"/>
      <c r="J117" s="1"/>
      <c r="K117" s="1"/>
      <c r="L117" s="1"/>
      <c r="M117" s="1" t="s">
        <v>654</v>
      </c>
      <c r="N117" s="1" t="s">
        <v>135</v>
      </c>
      <c r="O117" s="1" t="s">
        <v>655</v>
      </c>
      <c r="P117" s="1"/>
      <c r="Q117" s="3">
        <v>36892.0</v>
      </c>
      <c r="R117" s="1"/>
      <c r="S117" s="3">
        <v>33791.0</v>
      </c>
      <c r="T117" s="1" t="s">
        <v>37</v>
      </c>
      <c r="U117" s="1"/>
      <c r="V117" s="1" t="s">
        <v>38</v>
      </c>
      <c r="W117" s="1"/>
      <c r="X117" s="1"/>
      <c r="Y117" s="1" t="s">
        <v>49</v>
      </c>
      <c r="Z117" s="1"/>
      <c r="AA117" s="1" t="s">
        <v>40</v>
      </c>
      <c r="AB117" s="1" t="s">
        <v>656</v>
      </c>
      <c r="AC117" s="1"/>
    </row>
    <row r="118">
      <c r="A118" s="1" t="str">
        <f>"0008H9"</f>
        <v>0008H9</v>
      </c>
      <c r="B118" s="1" t="s">
        <v>657</v>
      </c>
      <c r="C118" s="1" t="s">
        <v>658</v>
      </c>
      <c r="D118" s="1" t="str">
        <f>"8028246660"</f>
        <v>8028246660</v>
      </c>
      <c r="E118" s="1">
        <v>2740.0</v>
      </c>
      <c r="F118" s="1" t="s">
        <v>44</v>
      </c>
      <c r="G118" s="1" t="s">
        <v>659</v>
      </c>
      <c r="H118" s="1">
        <v>2.0</v>
      </c>
      <c r="I118" s="1"/>
      <c r="J118" s="1"/>
      <c r="K118" s="1"/>
      <c r="L118" s="1"/>
      <c r="M118" s="1" t="s">
        <v>72</v>
      </c>
      <c r="N118" s="1" t="s">
        <v>414</v>
      </c>
      <c r="O118" s="1" t="s">
        <v>660</v>
      </c>
      <c r="P118" s="1"/>
      <c r="Q118" s="3">
        <v>36892.0</v>
      </c>
      <c r="R118" s="1"/>
      <c r="S118" s="3">
        <v>36705.0</v>
      </c>
      <c r="T118" s="1" t="s">
        <v>37</v>
      </c>
      <c r="U118" s="1"/>
      <c r="V118" s="1" t="s">
        <v>38</v>
      </c>
      <c r="W118" s="1"/>
      <c r="X118" s="1"/>
      <c r="Y118" s="1" t="s">
        <v>49</v>
      </c>
      <c r="Z118" s="1"/>
      <c r="AA118" s="1" t="s">
        <v>40</v>
      </c>
      <c r="AB118" s="1" t="s">
        <v>661</v>
      </c>
      <c r="AC118" s="1"/>
    </row>
    <row r="119">
      <c r="A119" s="1" t="str">
        <f>"00079G"</f>
        <v>00079G</v>
      </c>
      <c r="B119" s="1" t="s">
        <v>662</v>
      </c>
      <c r="C119" s="1" t="s">
        <v>663</v>
      </c>
      <c r="D119" s="1" t="str">
        <f>"8023487360"</f>
        <v>8023487360</v>
      </c>
      <c r="E119" s="1">
        <v>2739.0</v>
      </c>
      <c r="F119" s="1" t="s">
        <v>44</v>
      </c>
      <c r="G119" s="1" t="s">
        <v>664</v>
      </c>
      <c r="H119" s="1">
        <v>2.0</v>
      </c>
      <c r="I119" s="1"/>
      <c r="J119" s="1"/>
      <c r="K119" s="1"/>
      <c r="L119" s="1"/>
      <c r="M119" s="1" t="s">
        <v>665</v>
      </c>
      <c r="N119" s="1" t="s">
        <v>66</v>
      </c>
      <c r="O119" s="1" t="s">
        <v>389</v>
      </c>
      <c r="P119" s="1"/>
      <c r="Q119" s="3">
        <v>36892.0</v>
      </c>
      <c r="R119" s="1"/>
      <c r="S119" s="3">
        <v>38243.0</v>
      </c>
      <c r="T119" s="1" t="s">
        <v>37</v>
      </c>
      <c r="U119" s="1"/>
      <c r="V119" s="1" t="s">
        <v>38</v>
      </c>
      <c r="W119" s="1"/>
      <c r="X119" s="1"/>
      <c r="Y119" s="1" t="s">
        <v>49</v>
      </c>
      <c r="Z119" s="1"/>
      <c r="AA119" s="1" t="s">
        <v>40</v>
      </c>
      <c r="AB119" s="1" t="s">
        <v>390</v>
      </c>
      <c r="AC119" s="1"/>
    </row>
    <row r="120">
      <c r="A120" s="1" t="str">
        <f>"00081N"</f>
        <v>00081N</v>
      </c>
      <c r="B120" s="1" t="s">
        <v>666</v>
      </c>
      <c r="C120" s="1" t="s">
        <v>667</v>
      </c>
      <c r="D120" s="1" t="str">
        <f>"8026448225"</f>
        <v>8026448225</v>
      </c>
      <c r="E120" s="1">
        <v>1506.0</v>
      </c>
      <c r="F120" s="1" t="s">
        <v>44</v>
      </c>
      <c r="G120" s="1" t="s">
        <v>668</v>
      </c>
      <c r="H120" s="1"/>
      <c r="I120" s="1"/>
      <c r="J120" s="1"/>
      <c r="K120" s="1"/>
      <c r="L120" s="1"/>
      <c r="M120" s="1" t="s">
        <v>669</v>
      </c>
      <c r="N120" s="1" t="s">
        <v>47</v>
      </c>
      <c r="O120" s="1" t="s">
        <v>670</v>
      </c>
      <c r="P120" s="1"/>
      <c r="Q120" s="3">
        <v>36892.0</v>
      </c>
      <c r="R120" s="1"/>
      <c r="S120" s="1"/>
      <c r="T120" s="1" t="s">
        <v>37</v>
      </c>
      <c r="U120" s="1"/>
      <c r="V120" s="1" t="s">
        <v>38</v>
      </c>
      <c r="W120" s="1"/>
      <c r="X120" s="1"/>
      <c r="Y120" s="1" t="s">
        <v>49</v>
      </c>
      <c r="Z120" s="1"/>
      <c r="AA120" s="1" t="s">
        <v>40</v>
      </c>
      <c r="AB120" s="1" t="s">
        <v>671</v>
      </c>
      <c r="AC120" s="1"/>
    </row>
    <row r="121">
      <c r="A121" s="1" t="str">
        <f>"0007PB"</f>
        <v>0007PB</v>
      </c>
      <c r="B121" s="1" t="s">
        <v>672</v>
      </c>
      <c r="C121" s="1" t="s">
        <v>673</v>
      </c>
      <c r="D121" s="1" t="str">
        <f>"8025271606"</f>
        <v>8025271606</v>
      </c>
      <c r="E121" s="1">
        <v>3692.0</v>
      </c>
      <c r="F121" s="1" t="s">
        <v>44</v>
      </c>
      <c r="G121" s="1" t="s">
        <v>674</v>
      </c>
      <c r="H121" s="1"/>
      <c r="I121" s="1"/>
      <c r="J121" s="1"/>
      <c r="K121" s="1"/>
      <c r="L121" s="1"/>
      <c r="M121" s="1" t="s">
        <v>72</v>
      </c>
      <c r="N121" s="1" t="s">
        <v>47</v>
      </c>
      <c r="O121" s="1" t="s">
        <v>582</v>
      </c>
      <c r="P121" s="1"/>
      <c r="Q121" s="3">
        <v>36892.0</v>
      </c>
      <c r="R121" s="1"/>
      <c r="S121" s="1"/>
      <c r="T121" s="1" t="s">
        <v>37</v>
      </c>
      <c r="U121" s="1"/>
      <c r="V121" s="1" t="s">
        <v>38</v>
      </c>
      <c r="W121" s="1"/>
      <c r="X121" s="1"/>
      <c r="Y121" s="1" t="s">
        <v>49</v>
      </c>
      <c r="Z121" s="1"/>
      <c r="AA121" s="1" t="s">
        <v>40</v>
      </c>
      <c r="AB121" s="1" t="s">
        <v>583</v>
      </c>
      <c r="AC121" s="1"/>
    </row>
    <row r="122">
      <c r="A122" s="1" t="str">
        <f>"0008P1"</f>
        <v>0008P1</v>
      </c>
      <c r="B122" s="1" t="s">
        <v>675</v>
      </c>
      <c r="C122" s="1" t="s">
        <v>676</v>
      </c>
      <c r="D122" s="1" t="str">
        <f>"8027582168"</f>
        <v>8027582168</v>
      </c>
      <c r="E122" s="1">
        <v>3212.0</v>
      </c>
      <c r="F122" s="1" t="s">
        <v>44</v>
      </c>
      <c r="G122" s="1" t="s">
        <v>677</v>
      </c>
      <c r="H122" s="1">
        <v>50.0</v>
      </c>
      <c r="I122" s="1"/>
      <c r="J122" s="1"/>
      <c r="K122" s="1"/>
      <c r="L122" s="1"/>
      <c r="M122" s="1" t="s">
        <v>33</v>
      </c>
      <c r="N122" s="1" t="s">
        <v>161</v>
      </c>
      <c r="O122" s="1" t="s">
        <v>586</v>
      </c>
      <c r="P122" s="1" t="s">
        <v>36</v>
      </c>
      <c r="Q122" s="3">
        <v>36892.0</v>
      </c>
      <c r="R122" s="1"/>
      <c r="S122" s="1"/>
      <c r="T122" s="1" t="s">
        <v>37</v>
      </c>
      <c r="U122" s="1"/>
      <c r="V122" s="1" t="s">
        <v>38</v>
      </c>
      <c r="W122" s="1"/>
      <c r="X122" s="1"/>
      <c r="Y122" s="1" t="s">
        <v>678</v>
      </c>
      <c r="Z122" s="1"/>
      <c r="AA122" s="1" t="s">
        <v>40</v>
      </c>
      <c r="AB122" s="1" t="s">
        <v>589</v>
      </c>
      <c r="AC122" s="1">
        <v>5734.0</v>
      </c>
    </row>
    <row r="123">
      <c r="A123" s="1" t="str">
        <f>"0008HX"</f>
        <v>0008HX</v>
      </c>
      <c r="B123" s="1" t="s">
        <v>679</v>
      </c>
      <c r="C123" s="1" t="s">
        <v>680</v>
      </c>
      <c r="D123" s="1"/>
      <c r="E123" s="1">
        <v>3197.0</v>
      </c>
      <c r="F123" s="1" t="s">
        <v>44</v>
      </c>
      <c r="G123" s="1" t="s">
        <v>681</v>
      </c>
      <c r="H123" s="1">
        <v>2.0</v>
      </c>
      <c r="I123" s="1"/>
      <c r="J123" s="1"/>
      <c r="K123" s="1"/>
      <c r="L123" s="1"/>
      <c r="M123" s="1" t="s">
        <v>72</v>
      </c>
      <c r="N123" s="1" t="s">
        <v>142</v>
      </c>
      <c r="O123" s="1" t="s">
        <v>143</v>
      </c>
      <c r="P123" s="1"/>
      <c r="Q123" s="3">
        <v>36892.0</v>
      </c>
      <c r="R123" s="1"/>
      <c r="S123" s="3">
        <v>39349.0</v>
      </c>
      <c r="T123" s="1" t="s">
        <v>37</v>
      </c>
      <c r="U123" s="1"/>
      <c r="V123" s="1" t="s">
        <v>38</v>
      </c>
      <c r="W123" s="1"/>
      <c r="X123" s="1"/>
      <c r="Y123" s="1" t="s">
        <v>49</v>
      </c>
      <c r="Z123" s="1"/>
      <c r="AA123" s="1" t="s">
        <v>40</v>
      </c>
      <c r="AB123" s="1" t="s">
        <v>146</v>
      </c>
      <c r="AC123" s="1"/>
    </row>
    <row r="124">
      <c r="A124" s="1" t="str">
        <f>"0008P0"</f>
        <v>0008P0</v>
      </c>
      <c r="B124" s="1" t="s">
        <v>682</v>
      </c>
      <c r="C124" s="1" t="s">
        <v>683</v>
      </c>
      <c r="D124" s="1" t="str">
        <f>"8026842525"</f>
        <v>8026842525</v>
      </c>
      <c r="E124" s="1">
        <v>3211.0</v>
      </c>
      <c r="F124" s="1" t="s">
        <v>44</v>
      </c>
      <c r="G124" s="1" t="s">
        <v>684</v>
      </c>
      <c r="H124" s="1">
        <v>1.0</v>
      </c>
      <c r="I124" s="1"/>
      <c r="J124" s="1"/>
      <c r="K124" s="1"/>
      <c r="L124" s="1"/>
      <c r="M124" s="1" t="s">
        <v>33</v>
      </c>
      <c r="N124" s="1" t="s">
        <v>128</v>
      </c>
      <c r="O124" s="1" t="s">
        <v>129</v>
      </c>
      <c r="P124" s="1" t="s">
        <v>36</v>
      </c>
      <c r="Q124" s="3">
        <v>36487.0</v>
      </c>
      <c r="R124" s="1"/>
      <c r="S124" s="1"/>
      <c r="T124" s="1" t="s">
        <v>37</v>
      </c>
      <c r="U124" s="1"/>
      <c r="V124" s="1" t="s">
        <v>38</v>
      </c>
      <c r="W124" s="1">
        <v>44.4438</v>
      </c>
      <c r="X124" s="1">
        <v>-72.140931</v>
      </c>
      <c r="Y124" s="1" t="s">
        <v>685</v>
      </c>
      <c r="Z124" s="1"/>
      <c r="AA124" s="1" t="s">
        <v>40</v>
      </c>
      <c r="AB124" s="1" t="s">
        <v>130</v>
      </c>
      <c r="AC124" s="1">
        <v>5828.0</v>
      </c>
    </row>
    <row r="125">
      <c r="A125" s="1" t="str">
        <f>"0007YP"</f>
        <v>0007YP</v>
      </c>
      <c r="B125" s="1" t="s">
        <v>686</v>
      </c>
      <c r="C125" s="1" t="s">
        <v>687</v>
      </c>
      <c r="D125" s="1" t="str">
        <f>"8024822664"</f>
        <v>8024822664</v>
      </c>
      <c r="E125" s="1">
        <v>1343.0</v>
      </c>
      <c r="F125" s="1" t="s">
        <v>117</v>
      </c>
      <c r="G125" s="1" t="s">
        <v>688</v>
      </c>
      <c r="H125" s="1">
        <v>15.0</v>
      </c>
      <c r="I125" s="2" t="s">
        <v>119</v>
      </c>
      <c r="J125" s="2">
        <v>12.0</v>
      </c>
      <c r="K125" s="2" t="s">
        <v>119</v>
      </c>
      <c r="L125" s="1"/>
      <c r="M125" s="1" t="s">
        <v>689</v>
      </c>
      <c r="N125" s="1" t="s">
        <v>57</v>
      </c>
      <c r="O125" s="1" t="s">
        <v>204</v>
      </c>
      <c r="P125" s="1" t="s">
        <v>690</v>
      </c>
      <c r="Q125" s="3">
        <v>36892.0</v>
      </c>
      <c r="R125" s="1"/>
      <c r="S125" s="3">
        <v>42584.0</v>
      </c>
      <c r="T125" s="1" t="s">
        <v>37</v>
      </c>
      <c r="U125" s="1"/>
      <c r="V125" s="1" t="s">
        <v>38</v>
      </c>
      <c r="W125" s="1"/>
      <c r="X125" s="1"/>
      <c r="Y125" s="1" t="s">
        <v>691</v>
      </c>
      <c r="Z125" s="1"/>
      <c r="AA125" s="1" t="s">
        <v>40</v>
      </c>
      <c r="AB125" s="1" t="s">
        <v>205</v>
      </c>
      <c r="AC125" s="1" t="s">
        <v>692</v>
      </c>
    </row>
    <row r="126">
      <c r="A126" s="1" t="str">
        <f>"0008H8"</f>
        <v>0008H8</v>
      </c>
      <c r="B126" s="1" t="s">
        <v>693</v>
      </c>
      <c r="C126" s="1" t="s">
        <v>694</v>
      </c>
      <c r="D126" s="1" t="str">
        <f>"8022345320"</f>
        <v>8022345320</v>
      </c>
      <c r="E126" s="1">
        <v>2738.0</v>
      </c>
      <c r="F126" s="1" t="s">
        <v>44</v>
      </c>
      <c r="G126" s="1" t="s">
        <v>695</v>
      </c>
      <c r="H126" s="1"/>
      <c r="I126" s="1"/>
      <c r="J126" s="1"/>
      <c r="K126" s="1"/>
      <c r="L126" s="1"/>
      <c r="M126" s="1" t="s">
        <v>72</v>
      </c>
      <c r="N126" s="1" t="s">
        <v>34</v>
      </c>
      <c r="O126" s="1" t="s">
        <v>551</v>
      </c>
      <c r="P126" s="1"/>
      <c r="Q126" s="3">
        <v>36892.0</v>
      </c>
      <c r="R126" s="1"/>
      <c r="S126" s="1"/>
      <c r="T126" s="1" t="s">
        <v>37</v>
      </c>
      <c r="U126" s="1"/>
      <c r="V126" s="1" t="s">
        <v>38</v>
      </c>
      <c r="W126" s="1"/>
      <c r="X126" s="1"/>
      <c r="Y126" s="1" t="s">
        <v>49</v>
      </c>
      <c r="Z126" s="1"/>
      <c r="AA126" s="1" t="s">
        <v>40</v>
      </c>
      <c r="AB126" s="1" t="s">
        <v>552</v>
      </c>
      <c r="AC126" s="1"/>
    </row>
    <row r="127">
      <c r="A127" s="1" t="str">
        <f t="shared" ref="A127:A128" si="17">"0008H1"</f>
        <v>0008H1</v>
      </c>
      <c r="B127" s="1" t="s">
        <v>696</v>
      </c>
      <c r="C127" s="1" t="s">
        <v>697</v>
      </c>
      <c r="D127" s="1" t="str">
        <f t="shared" ref="D127:D128" si="18">"8027756647"</f>
        <v>8027756647</v>
      </c>
      <c r="E127" s="1">
        <v>2731.0</v>
      </c>
      <c r="F127" s="1" t="s">
        <v>44</v>
      </c>
      <c r="G127" s="1" t="s">
        <v>698</v>
      </c>
      <c r="H127" s="1"/>
      <c r="I127" s="1"/>
      <c r="J127" s="1"/>
      <c r="K127" s="1"/>
      <c r="L127" s="1"/>
      <c r="M127" s="1" t="s">
        <v>699</v>
      </c>
      <c r="N127" s="1" t="s">
        <v>78</v>
      </c>
      <c r="O127" s="1" t="s">
        <v>452</v>
      </c>
      <c r="P127" s="1"/>
      <c r="Q127" s="3">
        <v>36892.0</v>
      </c>
      <c r="R127" s="1"/>
      <c r="S127" s="1"/>
      <c r="T127" s="1" t="s">
        <v>37</v>
      </c>
      <c r="U127" s="1"/>
      <c r="V127" s="1" t="s">
        <v>38</v>
      </c>
      <c r="W127" s="1"/>
      <c r="X127" s="1"/>
      <c r="Y127" s="1" t="s">
        <v>49</v>
      </c>
      <c r="Z127" s="1"/>
      <c r="AA127" s="1" t="s">
        <v>40</v>
      </c>
      <c r="AB127" s="1" t="s">
        <v>452</v>
      </c>
      <c r="AC127" s="1"/>
    </row>
    <row r="128">
      <c r="A128" s="1" t="str">
        <f t="shared" si="17"/>
        <v>0008H1</v>
      </c>
      <c r="B128" s="1" t="s">
        <v>696</v>
      </c>
      <c r="C128" s="1" t="s">
        <v>697</v>
      </c>
      <c r="D128" s="1" t="str">
        <f t="shared" si="18"/>
        <v>8027756647</v>
      </c>
      <c r="E128" s="1">
        <v>2731.0</v>
      </c>
      <c r="F128" s="1" t="s">
        <v>44</v>
      </c>
      <c r="G128" s="1" t="s">
        <v>700</v>
      </c>
      <c r="H128" s="1">
        <v>0.0</v>
      </c>
      <c r="I128" s="1"/>
      <c r="J128" s="1"/>
      <c r="K128" s="1"/>
      <c r="L128" s="1"/>
      <c r="M128" s="1" t="s">
        <v>701</v>
      </c>
      <c r="N128" s="1" t="s">
        <v>78</v>
      </c>
      <c r="O128" s="1" t="s">
        <v>702</v>
      </c>
      <c r="P128" s="1"/>
      <c r="Q128" s="3">
        <v>36892.0</v>
      </c>
      <c r="R128" s="1"/>
      <c r="S128" s="3">
        <v>37817.0</v>
      </c>
      <c r="T128" s="1" t="s">
        <v>37</v>
      </c>
      <c r="U128" s="1"/>
      <c r="V128" s="1" t="s">
        <v>38</v>
      </c>
      <c r="W128" s="1"/>
      <c r="X128" s="1"/>
      <c r="Y128" s="1" t="s">
        <v>49</v>
      </c>
      <c r="Z128" s="1"/>
      <c r="AA128" s="1" t="s">
        <v>40</v>
      </c>
      <c r="AB128" s="1" t="s">
        <v>702</v>
      </c>
      <c r="AC128" s="1"/>
    </row>
    <row r="129">
      <c r="A129" s="1" t="str">
        <f>"0008GZ"</f>
        <v>0008GZ</v>
      </c>
      <c r="B129" s="1" t="s">
        <v>703</v>
      </c>
      <c r="C129" s="1" t="s">
        <v>704</v>
      </c>
      <c r="D129" s="1"/>
      <c r="E129" s="1">
        <v>2729.0</v>
      </c>
      <c r="F129" s="1" t="s">
        <v>44</v>
      </c>
      <c r="G129" s="1" t="s">
        <v>705</v>
      </c>
      <c r="H129" s="1">
        <v>1.0</v>
      </c>
      <c r="I129" s="1"/>
      <c r="J129" s="1"/>
      <c r="K129" s="1"/>
      <c r="L129" s="1"/>
      <c r="M129" s="1" t="s">
        <v>706</v>
      </c>
      <c r="N129" s="1" t="s">
        <v>414</v>
      </c>
      <c r="O129" s="1" t="s">
        <v>415</v>
      </c>
      <c r="P129" s="1"/>
      <c r="Q129" s="3">
        <v>36892.0</v>
      </c>
      <c r="R129" s="1"/>
      <c r="S129" s="3">
        <v>33773.0</v>
      </c>
      <c r="T129" s="1" t="s">
        <v>37</v>
      </c>
      <c r="U129" s="1"/>
      <c r="V129" s="1" t="s">
        <v>38</v>
      </c>
      <c r="W129" s="1"/>
      <c r="X129" s="1"/>
      <c r="Y129" s="1" t="s">
        <v>49</v>
      </c>
      <c r="Z129" s="1"/>
      <c r="AA129" s="1" t="s">
        <v>40</v>
      </c>
      <c r="AB129" s="1" t="s">
        <v>416</v>
      </c>
      <c r="AC129" s="1"/>
    </row>
    <row r="130">
      <c r="A130" s="1" t="str">
        <f>"000852"</f>
        <v>000852</v>
      </c>
      <c r="B130" s="1" t="s">
        <v>707</v>
      </c>
      <c r="C130" s="1" t="s">
        <v>708</v>
      </c>
      <c r="D130" s="1" t="str">
        <f>"8027635282"</f>
        <v>8027635282</v>
      </c>
      <c r="E130" s="1">
        <v>3082.0</v>
      </c>
      <c r="F130" s="1" t="s">
        <v>44</v>
      </c>
      <c r="G130" s="1" t="s">
        <v>709</v>
      </c>
      <c r="H130" s="1">
        <v>4.0</v>
      </c>
      <c r="I130" s="1"/>
      <c r="J130" s="1"/>
      <c r="K130" s="1"/>
      <c r="L130" s="1"/>
      <c r="M130" s="1" t="s">
        <v>710</v>
      </c>
      <c r="N130" s="1" t="s">
        <v>34</v>
      </c>
      <c r="O130" s="1" t="s">
        <v>35</v>
      </c>
      <c r="P130" s="1"/>
      <c r="Q130" s="3">
        <v>36892.0</v>
      </c>
      <c r="R130" s="1"/>
      <c r="S130" s="3">
        <v>38561.0</v>
      </c>
      <c r="T130" s="1" t="s">
        <v>37</v>
      </c>
      <c r="U130" s="1"/>
      <c r="V130" s="1" t="s">
        <v>38</v>
      </c>
      <c r="W130" s="1"/>
      <c r="X130" s="1"/>
      <c r="Y130" s="1" t="s">
        <v>49</v>
      </c>
      <c r="Z130" s="1"/>
      <c r="AA130" s="1" t="s">
        <v>40</v>
      </c>
      <c r="AB130" s="1" t="s">
        <v>345</v>
      </c>
      <c r="AC130" s="1"/>
    </row>
    <row r="131">
      <c r="A131" s="1" t="str">
        <f>"0008GX"</f>
        <v>0008GX</v>
      </c>
      <c r="B131" s="1" t="s">
        <v>711</v>
      </c>
      <c r="C131" s="1" t="s">
        <v>712</v>
      </c>
      <c r="D131" s="1" t="str">
        <f>"8024534618"</f>
        <v>8024534618</v>
      </c>
      <c r="E131" s="1">
        <v>2727.0</v>
      </c>
      <c r="F131" s="1" t="s">
        <v>44</v>
      </c>
      <c r="G131" s="1" t="s">
        <v>713</v>
      </c>
      <c r="H131" s="1"/>
      <c r="I131" s="1"/>
      <c r="J131" s="1"/>
      <c r="K131" s="1"/>
      <c r="L131" s="1"/>
      <c r="M131" s="1" t="s">
        <v>425</v>
      </c>
      <c r="N131" s="1" t="s">
        <v>161</v>
      </c>
      <c r="O131" s="1" t="s">
        <v>571</v>
      </c>
      <c r="P131" s="1"/>
      <c r="Q131" s="3">
        <v>36892.0</v>
      </c>
      <c r="R131" s="1"/>
      <c r="S131" s="1"/>
      <c r="T131" s="1" t="s">
        <v>37</v>
      </c>
      <c r="U131" s="1"/>
      <c r="V131" s="1" t="s">
        <v>38</v>
      </c>
      <c r="W131" s="1"/>
      <c r="X131" s="1"/>
      <c r="Y131" s="1" t="s">
        <v>49</v>
      </c>
      <c r="Z131" s="1"/>
      <c r="AA131" s="1" t="s">
        <v>40</v>
      </c>
      <c r="AB131" s="1" t="s">
        <v>573</v>
      </c>
      <c r="AC131" s="1"/>
    </row>
    <row r="132">
      <c r="A132" s="1" t="str">
        <f>"00071C"</f>
        <v>00071C</v>
      </c>
      <c r="B132" s="1" t="s">
        <v>714</v>
      </c>
      <c r="C132" s="1" t="s">
        <v>715</v>
      </c>
      <c r="D132" s="1" t="str">
        <f>"8027593374"</f>
        <v>8027593374</v>
      </c>
      <c r="E132" s="1">
        <v>3750.0</v>
      </c>
      <c r="F132" s="1" t="s">
        <v>44</v>
      </c>
      <c r="G132" s="1" t="s">
        <v>716</v>
      </c>
      <c r="H132" s="1">
        <v>7.0</v>
      </c>
      <c r="I132" s="1"/>
      <c r="J132" s="1"/>
      <c r="K132" s="1"/>
      <c r="L132" s="1"/>
      <c r="M132" s="1" t="s">
        <v>72</v>
      </c>
      <c r="N132" s="1" t="s">
        <v>161</v>
      </c>
      <c r="O132" s="1" t="s">
        <v>576</v>
      </c>
      <c r="P132" s="1"/>
      <c r="Q132" s="3">
        <v>36892.0</v>
      </c>
      <c r="R132" s="1"/>
      <c r="S132" s="3">
        <v>39191.0</v>
      </c>
      <c r="T132" s="1" t="s">
        <v>37</v>
      </c>
      <c r="U132" s="1"/>
      <c r="V132" s="1" t="s">
        <v>38</v>
      </c>
      <c r="W132" s="1"/>
      <c r="X132" s="1"/>
      <c r="Y132" s="1" t="s">
        <v>49</v>
      </c>
      <c r="Z132" s="1"/>
      <c r="AA132" s="1" t="s">
        <v>40</v>
      </c>
      <c r="AB132" s="1" t="s">
        <v>161</v>
      </c>
      <c r="AC132" s="1"/>
    </row>
    <row r="133">
      <c r="A133" s="1" t="str">
        <f>"00091Y"</f>
        <v>00091Y</v>
      </c>
      <c r="B133" s="1" t="s">
        <v>717</v>
      </c>
      <c r="C133" s="1" t="s">
        <v>718</v>
      </c>
      <c r="D133" s="1" t="str">
        <f>"8024473877"</f>
        <v>8024473877</v>
      </c>
      <c r="E133" s="1">
        <v>3752.0</v>
      </c>
      <c r="F133" s="1" t="s">
        <v>44</v>
      </c>
      <c r="G133" s="1" t="s">
        <v>719</v>
      </c>
      <c r="H133" s="1"/>
      <c r="I133" s="1"/>
      <c r="J133" s="1"/>
      <c r="K133" s="1"/>
      <c r="L133" s="1"/>
      <c r="M133" s="1" t="s">
        <v>72</v>
      </c>
      <c r="N133" s="1" t="s">
        <v>414</v>
      </c>
      <c r="O133" s="1" t="s">
        <v>720</v>
      </c>
      <c r="P133" s="1"/>
      <c r="Q133" s="3">
        <v>36892.0</v>
      </c>
      <c r="R133" s="1"/>
      <c r="S133" s="1"/>
      <c r="T133" s="1" t="s">
        <v>37</v>
      </c>
      <c r="U133" s="1"/>
      <c r="V133" s="1" t="s">
        <v>38</v>
      </c>
      <c r="W133" s="1"/>
      <c r="X133" s="1"/>
      <c r="Y133" s="1" t="s">
        <v>49</v>
      </c>
      <c r="Z133" s="1"/>
      <c r="AA133" s="1" t="s">
        <v>40</v>
      </c>
      <c r="AB133" s="1" t="s">
        <v>414</v>
      </c>
      <c r="AC133" s="1"/>
    </row>
    <row r="134">
      <c r="A134" s="1" t="str">
        <f>"000701"</f>
        <v>000701</v>
      </c>
      <c r="B134" s="1" t="s">
        <v>721</v>
      </c>
      <c r="C134" s="1" t="s">
        <v>722</v>
      </c>
      <c r="D134" s="1" t="str">
        <f>"8023726105"</f>
        <v>8023726105</v>
      </c>
      <c r="E134" s="1">
        <v>4000.0</v>
      </c>
      <c r="F134" s="1" t="s">
        <v>44</v>
      </c>
      <c r="G134" s="1" t="s">
        <v>723</v>
      </c>
      <c r="H134" s="1">
        <v>3.0</v>
      </c>
      <c r="I134" s="1"/>
      <c r="J134" s="1"/>
      <c r="K134" s="1"/>
      <c r="L134" s="1"/>
      <c r="M134" s="1" t="s">
        <v>72</v>
      </c>
      <c r="N134" s="1" t="s">
        <v>107</v>
      </c>
      <c r="O134" s="1" t="s">
        <v>724</v>
      </c>
      <c r="P134" s="1"/>
      <c r="Q134" s="3">
        <v>36892.0</v>
      </c>
      <c r="R134" s="1"/>
      <c r="S134" s="3">
        <v>40464.0</v>
      </c>
      <c r="T134" s="1" t="s">
        <v>37</v>
      </c>
      <c r="U134" s="1"/>
      <c r="V134" s="1" t="s">
        <v>38</v>
      </c>
      <c r="W134" s="1"/>
      <c r="X134" s="1"/>
      <c r="Y134" s="1" t="s">
        <v>49</v>
      </c>
      <c r="Z134" s="1"/>
      <c r="AA134" s="1" t="s">
        <v>40</v>
      </c>
      <c r="AB134" s="1" t="s">
        <v>725</v>
      </c>
      <c r="AC134" s="1"/>
    </row>
    <row r="135">
      <c r="A135" s="1" t="str">
        <f>"00089D"</f>
        <v>00089D</v>
      </c>
      <c r="B135" s="1" t="s">
        <v>726</v>
      </c>
      <c r="C135" s="1" t="s">
        <v>727</v>
      </c>
      <c r="D135" s="1" t="str">
        <f>"8028893395"</f>
        <v>8028893395</v>
      </c>
      <c r="E135" s="1">
        <v>3223.0</v>
      </c>
      <c r="F135" s="1" t="s">
        <v>44</v>
      </c>
      <c r="G135" s="1" t="s">
        <v>728</v>
      </c>
      <c r="H135" s="1"/>
      <c r="I135" s="1"/>
      <c r="J135" s="1"/>
      <c r="K135" s="1"/>
      <c r="L135" s="1"/>
      <c r="M135" s="1" t="s">
        <v>72</v>
      </c>
      <c r="N135" s="1" t="s">
        <v>142</v>
      </c>
      <c r="O135" s="1" t="s">
        <v>648</v>
      </c>
      <c r="P135" s="1"/>
      <c r="Q135" s="3">
        <v>36892.0</v>
      </c>
      <c r="R135" s="1"/>
      <c r="S135" s="1"/>
      <c r="T135" s="1" t="s">
        <v>37</v>
      </c>
      <c r="U135" s="1"/>
      <c r="V135" s="1" t="s">
        <v>38</v>
      </c>
      <c r="W135" s="1"/>
      <c r="X135" s="1"/>
      <c r="Y135" s="1" t="s">
        <v>49</v>
      </c>
      <c r="Z135" s="1"/>
      <c r="AA135" s="1" t="s">
        <v>40</v>
      </c>
      <c r="AB135" s="1" t="s">
        <v>650</v>
      </c>
      <c r="AC135" s="1"/>
    </row>
    <row r="136">
      <c r="A136" s="1" t="str">
        <f>"00072D"</f>
        <v>00072D</v>
      </c>
      <c r="B136" s="1" t="s">
        <v>729</v>
      </c>
      <c r="C136" s="1" t="s">
        <v>730</v>
      </c>
      <c r="D136" s="1" t="str">
        <f>"8024471400"</f>
        <v>8024471400</v>
      </c>
      <c r="E136" s="1">
        <v>3107.0</v>
      </c>
      <c r="F136" s="1" t="s">
        <v>44</v>
      </c>
      <c r="G136" s="1" t="s">
        <v>731</v>
      </c>
      <c r="H136" s="1">
        <v>5.0</v>
      </c>
      <c r="I136" s="1"/>
      <c r="J136" s="1"/>
      <c r="K136" s="1"/>
      <c r="L136" s="1"/>
      <c r="M136" s="1" t="s">
        <v>72</v>
      </c>
      <c r="N136" s="1" t="s">
        <v>414</v>
      </c>
      <c r="O136" s="1" t="s">
        <v>720</v>
      </c>
      <c r="P136" s="1"/>
      <c r="Q136" s="3">
        <v>36892.0</v>
      </c>
      <c r="R136" s="1"/>
      <c r="S136" s="3">
        <v>38559.0</v>
      </c>
      <c r="T136" s="1" t="s">
        <v>37</v>
      </c>
      <c r="U136" s="1"/>
      <c r="V136" s="1" t="s">
        <v>38</v>
      </c>
      <c r="W136" s="1"/>
      <c r="X136" s="1"/>
      <c r="Y136" s="1" t="s">
        <v>49</v>
      </c>
      <c r="Z136" s="1"/>
      <c r="AA136" s="1" t="s">
        <v>40</v>
      </c>
      <c r="AB136" s="1" t="s">
        <v>414</v>
      </c>
      <c r="AC136" s="1"/>
    </row>
    <row r="137">
      <c r="A137" s="1" t="str">
        <f>"0007G1"</f>
        <v>0007G1</v>
      </c>
      <c r="B137" s="1" t="s">
        <v>732</v>
      </c>
      <c r="C137" s="1" t="s">
        <v>733</v>
      </c>
      <c r="D137" s="1" t="str">
        <f>"8027286521"</f>
        <v>8027286521</v>
      </c>
      <c r="E137" s="1">
        <v>3113.0</v>
      </c>
      <c r="F137" s="1" t="s">
        <v>44</v>
      </c>
      <c r="G137" s="1" t="s">
        <v>734</v>
      </c>
      <c r="H137" s="1">
        <v>0.0</v>
      </c>
      <c r="I137" s="2" t="s">
        <v>119</v>
      </c>
      <c r="J137" s="2" t="s">
        <v>119</v>
      </c>
      <c r="K137" s="2" t="s">
        <v>119</v>
      </c>
      <c r="L137" s="1"/>
      <c r="M137" s="1" t="s">
        <v>72</v>
      </c>
      <c r="N137" s="1" t="s">
        <v>142</v>
      </c>
      <c r="O137" s="1" t="s">
        <v>474</v>
      </c>
      <c r="P137" s="1"/>
      <c r="Q137" s="3">
        <v>36892.0</v>
      </c>
      <c r="R137" s="3">
        <v>42491.0</v>
      </c>
      <c r="S137" s="3">
        <v>42270.0</v>
      </c>
      <c r="T137" s="1" t="s">
        <v>37</v>
      </c>
      <c r="U137" s="1"/>
      <c r="V137" s="1" t="s">
        <v>38</v>
      </c>
      <c r="W137" s="1">
        <v>43.9363563</v>
      </c>
      <c r="X137" s="1">
        <v>-72.5885632</v>
      </c>
      <c r="Y137" s="1" t="s">
        <v>735</v>
      </c>
      <c r="Z137" s="1"/>
      <c r="AA137" s="1" t="s">
        <v>40</v>
      </c>
      <c r="AB137" s="1" t="s">
        <v>736</v>
      </c>
      <c r="AC137" s="1" t="s">
        <v>737</v>
      </c>
    </row>
    <row r="138">
      <c r="A138" s="1" t="str">
        <f>"0008ZQ"</f>
        <v>0008ZQ</v>
      </c>
      <c r="B138" s="1" t="s">
        <v>738</v>
      </c>
      <c r="C138" s="1" t="s">
        <v>739</v>
      </c>
      <c r="D138" s="1" t="str">
        <f>"8022346113"</f>
        <v>8022346113</v>
      </c>
      <c r="E138" s="1">
        <v>3547.0</v>
      </c>
      <c r="F138" s="1" t="s">
        <v>44</v>
      </c>
      <c r="G138" s="1" t="s">
        <v>740</v>
      </c>
      <c r="H138" s="1">
        <v>2.0</v>
      </c>
      <c r="I138" s="1"/>
      <c r="J138" s="1"/>
      <c r="K138" s="1"/>
      <c r="L138" s="1"/>
      <c r="M138" s="1" t="s">
        <v>741</v>
      </c>
      <c r="N138" s="1" t="s">
        <v>34</v>
      </c>
      <c r="O138" s="1" t="s">
        <v>150</v>
      </c>
      <c r="P138" s="1"/>
      <c r="Q138" s="3">
        <v>36892.0</v>
      </c>
      <c r="R138" s="1"/>
      <c r="S138" s="3">
        <v>38881.0</v>
      </c>
      <c r="T138" s="1" t="s">
        <v>37</v>
      </c>
      <c r="U138" s="1"/>
      <c r="V138" s="1" t="s">
        <v>38</v>
      </c>
      <c r="W138" s="1"/>
      <c r="X138" s="1"/>
      <c r="Y138" s="1" t="s">
        <v>49</v>
      </c>
      <c r="Z138" s="1"/>
      <c r="AA138" s="1" t="s">
        <v>40</v>
      </c>
      <c r="AB138" s="1" t="s">
        <v>151</v>
      </c>
      <c r="AC138" s="1"/>
    </row>
    <row r="139">
      <c r="A139" s="1" t="str">
        <f>"00086D"</f>
        <v>00086D</v>
      </c>
      <c r="B139" s="1" t="s">
        <v>742</v>
      </c>
      <c r="C139" s="1" t="s">
        <v>743</v>
      </c>
      <c r="D139" s="1" t="str">
        <f>"8028993219"</f>
        <v>8028993219</v>
      </c>
      <c r="E139" s="1">
        <v>3074.0</v>
      </c>
      <c r="F139" s="1" t="s">
        <v>44</v>
      </c>
      <c r="G139" s="1" t="s">
        <v>744</v>
      </c>
      <c r="H139" s="1"/>
      <c r="I139" s="1"/>
      <c r="J139" s="1"/>
      <c r="K139" s="1"/>
      <c r="L139" s="1"/>
      <c r="M139" s="1" t="s">
        <v>72</v>
      </c>
      <c r="N139" s="1" t="s">
        <v>57</v>
      </c>
      <c r="O139" s="1" t="s">
        <v>745</v>
      </c>
      <c r="P139" s="1"/>
      <c r="Q139" s="3">
        <v>36892.0</v>
      </c>
      <c r="R139" s="1"/>
      <c r="S139" s="1"/>
      <c r="T139" s="1" t="s">
        <v>37</v>
      </c>
      <c r="U139" s="1"/>
      <c r="V139" s="1" t="s">
        <v>38</v>
      </c>
      <c r="W139" s="1"/>
      <c r="X139" s="1"/>
      <c r="Y139" s="1" t="s">
        <v>49</v>
      </c>
      <c r="Z139" s="1"/>
      <c r="AA139" s="1" t="s">
        <v>40</v>
      </c>
      <c r="AB139" s="1" t="s">
        <v>746</v>
      </c>
      <c r="AC139" s="1"/>
    </row>
    <row r="140">
      <c r="A140" s="1" t="str">
        <f>"0008GV"</f>
        <v>0008GV</v>
      </c>
      <c r="B140" s="1" t="s">
        <v>747</v>
      </c>
      <c r="C140" s="1" t="s">
        <v>748</v>
      </c>
      <c r="D140" s="1" t="str">
        <f>"8028744441"</f>
        <v>8028744441</v>
      </c>
      <c r="E140" s="1">
        <v>2724.0</v>
      </c>
      <c r="F140" s="1" t="s">
        <v>117</v>
      </c>
      <c r="G140" s="1" t="s">
        <v>749</v>
      </c>
      <c r="H140" s="1">
        <v>1.0</v>
      </c>
      <c r="I140" s="2">
        <v>5.0</v>
      </c>
      <c r="J140" s="2">
        <v>3.0</v>
      </c>
      <c r="K140" s="2" t="s">
        <v>119</v>
      </c>
      <c r="L140" s="1"/>
      <c r="M140" s="1" t="s">
        <v>750</v>
      </c>
      <c r="N140" s="1" t="s">
        <v>66</v>
      </c>
      <c r="O140" s="1" t="s">
        <v>751</v>
      </c>
      <c r="P140" s="1" t="s">
        <v>752</v>
      </c>
      <c r="Q140" s="3">
        <v>36892.0</v>
      </c>
      <c r="R140" s="1"/>
      <c r="S140" s="1"/>
      <c r="T140" s="1" t="s">
        <v>37</v>
      </c>
      <c r="U140" s="1"/>
      <c r="V140" s="1" t="s">
        <v>38</v>
      </c>
      <c r="W140" s="1">
        <v>43.112919</v>
      </c>
      <c r="X140" s="1">
        <v>-72.7451929999999</v>
      </c>
      <c r="Y140" s="1" t="s">
        <v>753</v>
      </c>
      <c r="Z140" s="1"/>
      <c r="AA140" s="1" t="s">
        <v>40</v>
      </c>
      <c r="AB140" s="1" t="s">
        <v>754</v>
      </c>
      <c r="AC140" s="1">
        <v>5343.0</v>
      </c>
    </row>
    <row r="141">
      <c r="A141" s="1" t="str">
        <f>"0007P9"</f>
        <v>0007P9</v>
      </c>
      <c r="B141" s="1" t="s">
        <v>755</v>
      </c>
      <c r="C141" s="1" t="s">
        <v>756</v>
      </c>
      <c r="D141" s="1" t="str">
        <f>"8024548302"</f>
        <v>8024548302</v>
      </c>
      <c r="E141" s="1">
        <v>3149.0</v>
      </c>
      <c r="F141" s="1" t="s">
        <v>44</v>
      </c>
      <c r="G141" s="1" t="s">
        <v>757</v>
      </c>
      <c r="H141" s="1">
        <v>7.0</v>
      </c>
      <c r="I141" s="1"/>
      <c r="J141" s="1"/>
      <c r="K141" s="1"/>
      <c r="L141" s="1"/>
      <c r="M141" s="1" t="s">
        <v>72</v>
      </c>
      <c r="N141" s="1" t="s">
        <v>135</v>
      </c>
      <c r="O141" s="1" t="s">
        <v>758</v>
      </c>
      <c r="P141" s="1"/>
      <c r="Q141" s="3">
        <v>36892.0</v>
      </c>
      <c r="R141" s="1"/>
      <c r="S141" s="3">
        <v>36321.0</v>
      </c>
      <c r="T141" s="1" t="s">
        <v>37</v>
      </c>
      <c r="U141" s="1"/>
      <c r="V141" s="1" t="s">
        <v>38</v>
      </c>
      <c r="W141" s="1"/>
      <c r="X141" s="1"/>
      <c r="Y141" s="1" t="s">
        <v>49</v>
      </c>
      <c r="Z141" s="1"/>
      <c r="AA141" s="1" t="s">
        <v>40</v>
      </c>
      <c r="AB141" s="1" t="s">
        <v>759</v>
      </c>
      <c r="AC141" s="1"/>
    </row>
    <row r="142">
      <c r="A142" s="1" t="str">
        <f>"0008GP"</f>
        <v>0008GP</v>
      </c>
      <c r="B142" s="1" t="s">
        <v>760</v>
      </c>
      <c r="C142" s="1" t="s">
        <v>761</v>
      </c>
      <c r="D142" s="1" t="str">
        <f>"8028496013"</f>
        <v>8028496013</v>
      </c>
      <c r="E142" s="1">
        <v>2722.0</v>
      </c>
      <c r="F142" s="1" t="s">
        <v>44</v>
      </c>
      <c r="G142" s="1" t="s">
        <v>762</v>
      </c>
      <c r="H142" s="1">
        <v>1.0</v>
      </c>
      <c r="I142" s="1"/>
      <c r="J142" s="1"/>
      <c r="K142" s="1"/>
      <c r="L142" s="1"/>
      <c r="M142" s="1" t="s">
        <v>33</v>
      </c>
      <c r="N142" s="1" t="s">
        <v>47</v>
      </c>
      <c r="O142" s="1" t="s">
        <v>763</v>
      </c>
      <c r="P142" s="1"/>
      <c r="Q142" s="3">
        <v>36892.0</v>
      </c>
      <c r="R142" s="1"/>
      <c r="S142" s="3">
        <v>35283.0</v>
      </c>
      <c r="T142" s="1" t="s">
        <v>37</v>
      </c>
      <c r="U142" s="1"/>
      <c r="V142" s="1" t="s">
        <v>38</v>
      </c>
      <c r="W142" s="1"/>
      <c r="X142" s="1"/>
      <c r="Y142" s="1" t="s">
        <v>49</v>
      </c>
      <c r="Z142" s="1"/>
      <c r="AA142" s="1" t="s">
        <v>40</v>
      </c>
      <c r="AB142" s="1" t="s">
        <v>764</v>
      </c>
      <c r="AC142" s="1"/>
    </row>
    <row r="143">
      <c r="A143" s="1" t="str">
        <f>"0008GN"</f>
        <v>0008GN</v>
      </c>
      <c r="B143" s="1" t="s">
        <v>765</v>
      </c>
      <c r="C143" s="1" t="s">
        <v>766</v>
      </c>
      <c r="D143" s="1" t="str">
        <f>"8024752220"</f>
        <v>8024752220</v>
      </c>
      <c r="E143" s="1">
        <v>2721.0</v>
      </c>
      <c r="F143" s="1" t="s">
        <v>44</v>
      </c>
      <c r="G143" s="1" t="s">
        <v>767</v>
      </c>
      <c r="H143" s="1">
        <v>2.0</v>
      </c>
      <c r="I143" s="1"/>
      <c r="J143" s="1"/>
      <c r="K143" s="1"/>
      <c r="L143" s="1"/>
      <c r="M143" s="1" t="s">
        <v>768</v>
      </c>
      <c r="N143" s="1" t="s">
        <v>161</v>
      </c>
      <c r="O143" s="1" t="s">
        <v>769</v>
      </c>
      <c r="P143" s="1"/>
      <c r="Q143" s="3">
        <v>36892.0</v>
      </c>
      <c r="R143" s="1"/>
      <c r="S143" s="3">
        <v>39272.0</v>
      </c>
      <c r="T143" s="1" t="s">
        <v>37</v>
      </c>
      <c r="U143" s="1"/>
      <c r="V143" s="1" t="s">
        <v>38</v>
      </c>
      <c r="W143" s="1"/>
      <c r="X143" s="1"/>
      <c r="Y143" s="1" t="s">
        <v>49</v>
      </c>
      <c r="Z143" s="1"/>
      <c r="AA143" s="1" t="s">
        <v>40</v>
      </c>
      <c r="AB143" s="1" t="s">
        <v>770</v>
      </c>
      <c r="AC143" s="1"/>
    </row>
    <row r="144">
      <c r="A144" s="1" t="str">
        <f>"0007GB"</f>
        <v>0007GB</v>
      </c>
      <c r="B144" s="1" t="s">
        <v>771</v>
      </c>
      <c r="C144" s="1" t="s">
        <v>772</v>
      </c>
      <c r="D144" s="1" t="str">
        <f>"8022532539"</f>
        <v>8022532539</v>
      </c>
      <c r="E144" s="1">
        <v>2469.0</v>
      </c>
      <c r="F144" s="1" t="s">
        <v>44</v>
      </c>
      <c r="G144" s="1" t="s">
        <v>773</v>
      </c>
      <c r="H144" s="1">
        <v>7.0</v>
      </c>
      <c r="I144" s="1"/>
      <c r="J144" s="1"/>
      <c r="K144" s="1"/>
      <c r="L144" s="1"/>
      <c r="M144" s="1" t="s">
        <v>774</v>
      </c>
      <c r="N144" s="1" t="s">
        <v>135</v>
      </c>
      <c r="O144" s="1" t="s">
        <v>775</v>
      </c>
      <c r="P144" s="1"/>
      <c r="Q144" s="3">
        <v>36892.0</v>
      </c>
      <c r="R144" s="1"/>
      <c r="S144" s="3">
        <v>35690.0</v>
      </c>
      <c r="T144" s="1" t="s">
        <v>37</v>
      </c>
      <c r="U144" s="1"/>
      <c r="V144" s="1" t="s">
        <v>38</v>
      </c>
      <c r="W144" s="1"/>
      <c r="X144" s="1"/>
      <c r="Y144" s="1" t="s">
        <v>49</v>
      </c>
      <c r="Z144" s="1"/>
      <c r="AA144" s="1" t="s">
        <v>40</v>
      </c>
      <c r="AB144" s="1" t="s">
        <v>776</v>
      </c>
      <c r="AC144" s="1"/>
    </row>
    <row r="145">
      <c r="A145" s="1" t="str">
        <f>"0007J5"</f>
        <v>0007J5</v>
      </c>
      <c r="B145" s="1" t="s">
        <v>777</v>
      </c>
      <c r="C145" s="1" t="s">
        <v>778</v>
      </c>
      <c r="D145" s="1" t="str">
        <f>"8024634954"</f>
        <v>8024634954</v>
      </c>
      <c r="E145" s="1">
        <v>2327.0</v>
      </c>
      <c r="F145" s="1" t="s">
        <v>44</v>
      </c>
      <c r="G145" s="1" t="s">
        <v>779</v>
      </c>
      <c r="H145" s="1">
        <v>4.0</v>
      </c>
      <c r="I145" s="1"/>
      <c r="J145" s="1"/>
      <c r="K145" s="1"/>
      <c r="L145" s="1"/>
      <c r="M145" s="1" t="s">
        <v>134</v>
      </c>
      <c r="N145" s="1" t="s">
        <v>66</v>
      </c>
      <c r="O145" s="1" t="s">
        <v>113</v>
      </c>
      <c r="P145" s="1"/>
      <c r="Q145" s="3">
        <v>36892.0</v>
      </c>
      <c r="R145" s="1"/>
      <c r="S145" s="3">
        <v>37782.0</v>
      </c>
      <c r="T145" s="1" t="s">
        <v>37</v>
      </c>
      <c r="U145" s="1"/>
      <c r="V145" s="1" t="s">
        <v>38</v>
      </c>
      <c r="W145" s="1"/>
      <c r="X145" s="1"/>
      <c r="Y145" s="1" t="s">
        <v>49</v>
      </c>
      <c r="Z145" s="1"/>
      <c r="AA145" s="1" t="s">
        <v>40</v>
      </c>
      <c r="AB145" s="1" t="s">
        <v>114</v>
      </c>
      <c r="AC145" s="1"/>
    </row>
    <row r="146">
      <c r="A146" s="1" t="str">
        <f>"0008GM"</f>
        <v>0008GM</v>
      </c>
      <c r="B146" s="1" t="s">
        <v>780</v>
      </c>
      <c r="C146" s="1" t="s">
        <v>781</v>
      </c>
      <c r="D146" s="1" t="str">
        <f>"8027679234"</f>
        <v>8027679234</v>
      </c>
      <c r="E146" s="1">
        <v>2718.0</v>
      </c>
      <c r="F146" s="1" t="s">
        <v>44</v>
      </c>
      <c r="G146" s="1" t="s">
        <v>782</v>
      </c>
      <c r="H146" s="1"/>
      <c r="I146" s="1"/>
      <c r="J146" s="1"/>
      <c r="K146" s="1"/>
      <c r="L146" s="1"/>
      <c r="M146" s="1" t="s">
        <v>425</v>
      </c>
      <c r="N146" s="1" t="s">
        <v>161</v>
      </c>
      <c r="O146" s="1" t="s">
        <v>783</v>
      </c>
      <c r="P146" s="1"/>
      <c r="Q146" s="3">
        <v>36892.0</v>
      </c>
      <c r="R146" s="1"/>
      <c r="S146" s="1"/>
      <c r="T146" s="1" t="s">
        <v>37</v>
      </c>
      <c r="U146" s="1"/>
      <c r="V146" s="1" t="s">
        <v>38</v>
      </c>
      <c r="W146" s="1"/>
      <c r="X146" s="1"/>
      <c r="Y146" s="1" t="s">
        <v>49</v>
      </c>
      <c r="Z146" s="1"/>
      <c r="AA146" s="1" t="s">
        <v>40</v>
      </c>
      <c r="AB146" s="1" t="s">
        <v>784</v>
      </c>
      <c r="AC146" s="1"/>
    </row>
    <row r="147">
      <c r="A147" s="1" t="str">
        <f>"0008GK"</f>
        <v>0008GK</v>
      </c>
      <c r="B147" s="1" t="s">
        <v>785</v>
      </c>
      <c r="C147" s="1" t="s">
        <v>786</v>
      </c>
      <c r="D147" s="1" t="str">
        <f>"8023687557"</f>
        <v>8023687557</v>
      </c>
      <c r="E147" s="1">
        <v>2717.0</v>
      </c>
      <c r="F147" s="1" t="s">
        <v>44</v>
      </c>
      <c r="G147" s="1" t="s">
        <v>787</v>
      </c>
      <c r="H147" s="1"/>
      <c r="I147" s="1"/>
      <c r="J147" s="1"/>
      <c r="K147" s="1"/>
      <c r="L147" s="1"/>
      <c r="M147" s="1" t="s">
        <v>33</v>
      </c>
      <c r="N147" s="1" t="s">
        <v>66</v>
      </c>
      <c r="O147" s="1" t="s">
        <v>788</v>
      </c>
      <c r="P147" s="1"/>
      <c r="Q147" s="3">
        <v>36892.0</v>
      </c>
      <c r="R147" s="1"/>
      <c r="S147" s="1"/>
      <c r="T147" s="1" t="s">
        <v>37</v>
      </c>
      <c r="U147" s="1"/>
      <c r="V147" s="1" t="s">
        <v>38</v>
      </c>
      <c r="W147" s="1"/>
      <c r="X147" s="1"/>
      <c r="Y147" s="1" t="s">
        <v>49</v>
      </c>
      <c r="Z147" s="1"/>
      <c r="AA147" s="1" t="s">
        <v>40</v>
      </c>
      <c r="AB147" s="1" t="s">
        <v>789</v>
      </c>
      <c r="AC147" s="1"/>
    </row>
    <row r="148">
      <c r="A148" s="1" t="str">
        <f t="shared" ref="A148:A149" si="19">"000764"</f>
        <v>000764</v>
      </c>
      <c r="B148" s="1" t="s">
        <v>790</v>
      </c>
      <c r="C148" s="1" t="s">
        <v>791</v>
      </c>
      <c r="D148" s="1" t="str">
        <f t="shared" ref="D148:D149" si="20">"8028237955"</f>
        <v>8028237955</v>
      </c>
      <c r="E148" s="1">
        <v>2520.0</v>
      </c>
      <c r="F148" s="1" t="s">
        <v>117</v>
      </c>
      <c r="G148" s="1" t="s">
        <v>792</v>
      </c>
      <c r="H148" s="1">
        <v>3.0</v>
      </c>
      <c r="I148" s="2">
        <v>2.0</v>
      </c>
      <c r="J148" s="2">
        <v>2.0</v>
      </c>
      <c r="K148" s="2" t="s">
        <v>119</v>
      </c>
      <c r="L148" s="1"/>
      <c r="M148" s="1" t="s">
        <v>793</v>
      </c>
      <c r="N148" s="1" t="s">
        <v>414</v>
      </c>
      <c r="O148" s="1" t="s">
        <v>794</v>
      </c>
      <c r="P148" s="1" t="s">
        <v>795</v>
      </c>
      <c r="Q148" s="3">
        <v>40421.0</v>
      </c>
      <c r="R148" s="1"/>
      <c r="S148" s="1"/>
      <c r="T148" s="1" t="s">
        <v>37</v>
      </c>
      <c r="U148" s="1"/>
      <c r="V148" s="1" t="s">
        <v>38</v>
      </c>
      <c r="W148" s="1"/>
      <c r="X148" s="1"/>
      <c r="Y148" s="1" t="s">
        <v>796</v>
      </c>
      <c r="Z148" s="1"/>
      <c r="AA148" s="1" t="s">
        <v>40</v>
      </c>
      <c r="AB148" s="1" t="s">
        <v>797</v>
      </c>
      <c r="AC148" s="1">
        <v>5261.0</v>
      </c>
    </row>
    <row r="149">
      <c r="A149" s="1" t="str">
        <f t="shared" si="19"/>
        <v>000764</v>
      </c>
      <c r="B149" s="1" t="s">
        <v>790</v>
      </c>
      <c r="C149" s="1" t="s">
        <v>791</v>
      </c>
      <c r="D149" s="1" t="str">
        <f t="shared" si="20"/>
        <v>8028237955</v>
      </c>
      <c r="E149" s="1">
        <v>2520.0</v>
      </c>
      <c r="F149" s="1" t="s">
        <v>117</v>
      </c>
      <c r="G149" s="1" t="s">
        <v>798</v>
      </c>
      <c r="H149" s="1">
        <v>3.0</v>
      </c>
      <c r="I149" s="2">
        <v>2.0</v>
      </c>
      <c r="J149" s="2">
        <v>2.0</v>
      </c>
      <c r="K149" s="2" t="s">
        <v>119</v>
      </c>
      <c r="L149" s="1"/>
      <c r="M149" s="1" t="s">
        <v>799</v>
      </c>
      <c r="N149" s="1" t="s">
        <v>414</v>
      </c>
      <c r="O149" s="1" t="s">
        <v>794</v>
      </c>
      <c r="P149" s="1" t="s">
        <v>800</v>
      </c>
      <c r="Q149" s="3">
        <v>36892.0</v>
      </c>
      <c r="R149" s="1"/>
      <c r="S149" s="3">
        <v>37943.0</v>
      </c>
      <c r="T149" s="1" t="s">
        <v>37</v>
      </c>
      <c r="U149" s="1"/>
      <c r="V149" s="1" t="s">
        <v>38</v>
      </c>
      <c r="W149" s="1">
        <v>42.770966</v>
      </c>
      <c r="X149" s="1">
        <v>-73.224762</v>
      </c>
      <c r="Y149" s="1" t="s">
        <v>801</v>
      </c>
      <c r="Z149" s="1"/>
      <c r="AA149" s="1" t="s">
        <v>40</v>
      </c>
      <c r="AB149" s="1" t="s">
        <v>797</v>
      </c>
      <c r="AC149" s="1">
        <v>5261.0</v>
      </c>
    </row>
    <row r="150">
      <c r="A150" s="1" t="str">
        <f>"0008GJ"</f>
        <v>0008GJ</v>
      </c>
      <c r="B150" s="1" t="s">
        <v>802</v>
      </c>
      <c r="C150" s="1" t="s">
        <v>803</v>
      </c>
      <c r="D150" s="1" t="str">
        <f>"8022294534"</f>
        <v>8022294534</v>
      </c>
      <c r="E150" s="1">
        <v>2715.0</v>
      </c>
      <c r="F150" s="1" t="s">
        <v>44</v>
      </c>
      <c r="G150" s="1" t="s">
        <v>804</v>
      </c>
      <c r="H150" s="1"/>
      <c r="I150" s="1"/>
      <c r="J150" s="1"/>
      <c r="K150" s="1"/>
      <c r="L150" s="1"/>
      <c r="M150" s="1" t="s">
        <v>33</v>
      </c>
      <c r="N150" s="1" t="s">
        <v>135</v>
      </c>
      <c r="O150" s="1" t="s">
        <v>805</v>
      </c>
      <c r="P150" s="1"/>
      <c r="Q150" s="3">
        <v>36892.0</v>
      </c>
      <c r="R150" s="1"/>
      <c r="S150" s="1"/>
      <c r="T150" s="1" t="s">
        <v>37</v>
      </c>
      <c r="U150" s="1"/>
      <c r="V150" s="1" t="s">
        <v>38</v>
      </c>
      <c r="W150" s="1"/>
      <c r="X150" s="1"/>
      <c r="Y150" s="1" t="s">
        <v>49</v>
      </c>
      <c r="Z150" s="1"/>
      <c r="AA150" s="1" t="s">
        <v>40</v>
      </c>
      <c r="AB150" s="1" t="s">
        <v>806</v>
      </c>
      <c r="AC150" s="1"/>
    </row>
    <row r="151">
      <c r="A151" s="1" t="str">
        <f>"0008G6"</f>
        <v>0008G6</v>
      </c>
      <c r="B151" s="1" t="s">
        <v>807</v>
      </c>
      <c r="C151" s="1" t="s">
        <v>808</v>
      </c>
      <c r="D151" s="1" t="str">
        <f>"8025585094"</f>
        <v>8025585094</v>
      </c>
      <c r="E151" s="1">
        <v>3982.0</v>
      </c>
      <c r="F151" s="1" t="s">
        <v>31</v>
      </c>
      <c r="G151" s="1" t="s">
        <v>809</v>
      </c>
      <c r="H151" s="1">
        <v>5.0</v>
      </c>
      <c r="I151" s="1"/>
      <c r="J151" s="1"/>
      <c r="K151" s="1"/>
      <c r="L151" s="1"/>
      <c r="M151" s="1" t="s">
        <v>72</v>
      </c>
      <c r="N151" s="1" t="s">
        <v>78</v>
      </c>
      <c r="O151" s="1" t="s">
        <v>79</v>
      </c>
      <c r="P151" s="1" t="s">
        <v>810</v>
      </c>
      <c r="Q151" s="3">
        <v>36892.0</v>
      </c>
      <c r="R151" s="1"/>
      <c r="S151" s="3">
        <v>41858.0</v>
      </c>
      <c r="T151" s="1" t="s">
        <v>37</v>
      </c>
      <c r="U151" s="1"/>
      <c r="V151" s="1" t="s">
        <v>38</v>
      </c>
      <c r="W151" s="1">
        <v>43.6891323017782</v>
      </c>
      <c r="X151" s="1">
        <v>-72.9868984222412</v>
      </c>
      <c r="Y151" s="1" t="s">
        <v>811</v>
      </c>
      <c r="Z151" s="1"/>
      <c r="AA151" s="1" t="s">
        <v>40</v>
      </c>
      <c r="AB151" s="1" t="s">
        <v>80</v>
      </c>
      <c r="AC151" s="1">
        <v>5763.0</v>
      </c>
    </row>
    <row r="152">
      <c r="A152" s="1" t="str">
        <f>"00085P"</f>
        <v>00085P</v>
      </c>
      <c r="B152" s="1" t="s">
        <v>812</v>
      </c>
      <c r="C152" s="1" t="s">
        <v>813</v>
      </c>
      <c r="D152" s="1" t="str">
        <f>"8028993978"</f>
        <v>8028993978</v>
      </c>
      <c r="E152" s="1">
        <v>3071.0</v>
      </c>
      <c r="F152" s="1" t="s">
        <v>117</v>
      </c>
      <c r="G152" s="1" t="s">
        <v>814</v>
      </c>
      <c r="H152" s="1">
        <v>6.0</v>
      </c>
      <c r="I152" s="2" t="s">
        <v>119</v>
      </c>
      <c r="J152" s="2">
        <v>4.0</v>
      </c>
      <c r="K152" s="2" t="s">
        <v>119</v>
      </c>
      <c r="L152" s="1"/>
      <c r="M152" s="1">
        <v>1.0</v>
      </c>
      <c r="N152" s="1" t="s">
        <v>57</v>
      </c>
      <c r="O152" s="1" t="s">
        <v>58</v>
      </c>
      <c r="P152" s="1" t="s">
        <v>815</v>
      </c>
      <c r="Q152" s="3">
        <v>36892.0</v>
      </c>
      <c r="R152" s="1"/>
      <c r="S152" s="3">
        <v>39323.0</v>
      </c>
      <c r="T152" s="1" t="s">
        <v>37</v>
      </c>
      <c r="U152" s="1"/>
      <c r="V152" s="1" t="s">
        <v>38</v>
      </c>
      <c r="W152" s="1">
        <v>44.518161</v>
      </c>
      <c r="X152" s="1">
        <v>-72.9177819999999</v>
      </c>
      <c r="Y152" s="1" t="s">
        <v>816</v>
      </c>
      <c r="Z152" s="1"/>
      <c r="AA152" s="1" t="s">
        <v>40</v>
      </c>
      <c r="AB152" s="1" t="s">
        <v>61</v>
      </c>
      <c r="AC152" s="1">
        <v>5489.0</v>
      </c>
    </row>
    <row r="153">
      <c r="A153" s="1" t="str">
        <f t="shared" ref="A153:A155" si="21">"0008GC"</f>
        <v>0008GC</v>
      </c>
      <c r="B153" s="1" t="s">
        <v>817</v>
      </c>
      <c r="C153" s="1" t="s">
        <v>818</v>
      </c>
      <c r="D153" s="1" t="str">
        <f t="shared" ref="D153:D155" si="22">"8028937967"</f>
        <v>8028937967</v>
      </c>
      <c r="E153" s="1">
        <v>2708.0</v>
      </c>
      <c r="F153" s="1" t="s">
        <v>44</v>
      </c>
      <c r="G153" s="1" t="s">
        <v>819</v>
      </c>
      <c r="H153" s="1">
        <v>4.0</v>
      </c>
      <c r="I153" s="1"/>
      <c r="J153" s="1"/>
      <c r="K153" s="1"/>
      <c r="L153" s="1"/>
      <c r="M153" s="1" t="s">
        <v>820</v>
      </c>
      <c r="N153" s="1" t="s">
        <v>107</v>
      </c>
      <c r="O153" s="1" t="s">
        <v>821</v>
      </c>
      <c r="P153" s="1"/>
      <c r="Q153" s="3">
        <v>36892.0</v>
      </c>
      <c r="R153" s="1"/>
      <c r="S153" s="3">
        <v>33760.0</v>
      </c>
      <c r="T153" s="1" t="s">
        <v>37</v>
      </c>
      <c r="U153" s="1"/>
      <c r="V153" s="1" t="s">
        <v>38</v>
      </c>
      <c r="W153" s="1"/>
      <c r="X153" s="1"/>
      <c r="Y153" s="1" t="s">
        <v>49</v>
      </c>
      <c r="Z153" s="1"/>
      <c r="AA153" s="1" t="s">
        <v>40</v>
      </c>
      <c r="AB153" s="1" t="s">
        <v>822</v>
      </c>
      <c r="AC153" s="1"/>
    </row>
    <row r="154">
      <c r="A154" s="1" t="str">
        <f t="shared" si="21"/>
        <v>0008GC</v>
      </c>
      <c r="B154" s="1" t="s">
        <v>817</v>
      </c>
      <c r="C154" s="1" t="s">
        <v>818</v>
      </c>
      <c r="D154" s="1" t="str">
        <f t="shared" si="22"/>
        <v>8028937967</v>
      </c>
      <c r="E154" s="1">
        <v>2708.0</v>
      </c>
      <c r="F154" s="1" t="s">
        <v>44</v>
      </c>
      <c r="G154" s="1" t="s">
        <v>823</v>
      </c>
      <c r="H154" s="1">
        <v>3.0</v>
      </c>
      <c r="I154" s="1"/>
      <c r="J154" s="1"/>
      <c r="K154" s="1"/>
      <c r="L154" s="1"/>
      <c r="M154" s="1" t="s">
        <v>824</v>
      </c>
      <c r="N154" s="1" t="s">
        <v>57</v>
      </c>
      <c r="O154" s="1" t="s">
        <v>256</v>
      </c>
      <c r="P154" s="1"/>
      <c r="Q154" s="3">
        <v>36892.0</v>
      </c>
      <c r="R154" s="1"/>
      <c r="S154" s="3">
        <v>33760.0</v>
      </c>
      <c r="T154" s="1" t="s">
        <v>37</v>
      </c>
      <c r="U154" s="1"/>
      <c r="V154" s="1" t="s">
        <v>38</v>
      </c>
      <c r="W154" s="1"/>
      <c r="X154" s="1"/>
      <c r="Y154" s="1" t="s">
        <v>49</v>
      </c>
      <c r="Z154" s="1"/>
      <c r="AA154" s="1" t="s">
        <v>40</v>
      </c>
      <c r="AB154" s="1" t="s">
        <v>257</v>
      </c>
      <c r="AC154" s="1"/>
    </row>
    <row r="155">
      <c r="A155" s="1" t="str">
        <f t="shared" si="21"/>
        <v>0008GC</v>
      </c>
      <c r="B155" s="1" t="s">
        <v>817</v>
      </c>
      <c r="C155" s="1" t="s">
        <v>818</v>
      </c>
      <c r="D155" s="1" t="str">
        <f t="shared" si="22"/>
        <v>8028937967</v>
      </c>
      <c r="E155" s="1">
        <v>2708.0</v>
      </c>
      <c r="F155" s="1" t="s">
        <v>44</v>
      </c>
      <c r="G155" s="1" t="s">
        <v>825</v>
      </c>
      <c r="H155" s="1">
        <v>2.0</v>
      </c>
      <c r="I155" s="1"/>
      <c r="J155" s="1"/>
      <c r="K155" s="1"/>
      <c r="L155" s="1"/>
      <c r="M155" s="1" t="s">
        <v>33</v>
      </c>
      <c r="N155" s="1" t="s">
        <v>57</v>
      </c>
      <c r="O155" s="1" t="s">
        <v>256</v>
      </c>
      <c r="P155" s="1"/>
      <c r="Q155" s="3">
        <v>36892.0</v>
      </c>
      <c r="R155" s="1"/>
      <c r="S155" s="3">
        <v>33760.0</v>
      </c>
      <c r="T155" s="1" t="s">
        <v>37</v>
      </c>
      <c r="U155" s="1"/>
      <c r="V155" s="1" t="s">
        <v>38</v>
      </c>
      <c r="W155" s="1"/>
      <c r="X155" s="1"/>
      <c r="Y155" s="1" t="s">
        <v>49</v>
      </c>
      <c r="Z155" s="1"/>
      <c r="AA155" s="1" t="s">
        <v>40</v>
      </c>
      <c r="AB155" s="1" t="s">
        <v>257</v>
      </c>
      <c r="AC155" s="1"/>
    </row>
    <row r="156">
      <c r="A156" s="1" t="str">
        <f>"00077J"</f>
        <v>00077J</v>
      </c>
      <c r="B156" s="1" t="s">
        <v>826</v>
      </c>
      <c r="C156" s="1" t="s">
        <v>827</v>
      </c>
      <c r="D156" s="1" t="str">
        <f>"8024823185"</f>
        <v>8024823185</v>
      </c>
      <c r="E156" s="1">
        <v>2877.0</v>
      </c>
      <c r="F156" s="1" t="s">
        <v>117</v>
      </c>
      <c r="G156" s="1" t="s">
        <v>828</v>
      </c>
      <c r="H156" s="1">
        <v>2.0</v>
      </c>
      <c r="I156" s="2">
        <v>0.0</v>
      </c>
      <c r="J156" s="2">
        <v>0.0</v>
      </c>
      <c r="K156" s="2" t="s">
        <v>829</v>
      </c>
      <c r="L156" s="2" t="s">
        <v>830</v>
      </c>
      <c r="M156" s="1" t="s">
        <v>831</v>
      </c>
      <c r="N156" s="1" t="s">
        <v>57</v>
      </c>
      <c r="O156" s="1" t="s">
        <v>204</v>
      </c>
      <c r="P156" s="1" t="s">
        <v>832</v>
      </c>
      <c r="Q156" s="3">
        <v>36892.0</v>
      </c>
      <c r="R156" s="1"/>
      <c r="S156" s="3">
        <v>39275.0</v>
      </c>
      <c r="T156" s="1" t="s">
        <v>37</v>
      </c>
      <c r="U156" s="1"/>
      <c r="V156" s="1" t="s">
        <v>38</v>
      </c>
      <c r="W156" s="1">
        <v>44.3610459999999</v>
      </c>
      <c r="X156" s="1">
        <v>-73.0932459</v>
      </c>
      <c r="Y156" s="1" t="s">
        <v>833</v>
      </c>
      <c r="Z156" s="1"/>
      <c r="AA156" s="1" t="s">
        <v>40</v>
      </c>
      <c r="AB156" s="1" t="s">
        <v>205</v>
      </c>
      <c r="AC156" s="1">
        <v>5461.0</v>
      </c>
    </row>
    <row r="157">
      <c r="A157" s="1" t="str">
        <f>"0007GH"</f>
        <v>0007GH</v>
      </c>
      <c r="B157" s="1" t="s">
        <v>834</v>
      </c>
      <c r="C157" s="1" t="s">
        <v>835</v>
      </c>
      <c r="D157" s="1" t="str">
        <f>"8024343993"</f>
        <v>8024343993</v>
      </c>
      <c r="E157" s="1">
        <v>2512.0</v>
      </c>
      <c r="F157" s="1" t="s">
        <v>117</v>
      </c>
      <c r="G157" s="1" t="s">
        <v>836</v>
      </c>
      <c r="H157" s="1">
        <v>1.0</v>
      </c>
      <c r="I157" s="2">
        <v>1.0</v>
      </c>
      <c r="J157" s="2">
        <v>1.0</v>
      </c>
      <c r="K157" s="2" t="s">
        <v>119</v>
      </c>
      <c r="L157" s="1"/>
      <c r="M157" s="1" t="s">
        <v>837</v>
      </c>
      <c r="N157" s="1" t="s">
        <v>57</v>
      </c>
      <c r="O157" s="1" t="s">
        <v>201</v>
      </c>
      <c r="P157" s="1" t="s">
        <v>838</v>
      </c>
      <c r="Q157" s="3">
        <v>36892.0</v>
      </c>
      <c r="R157" s="1"/>
      <c r="S157" s="1"/>
      <c r="T157" s="1" t="s">
        <v>37</v>
      </c>
      <c r="U157" s="1"/>
      <c r="V157" s="1" t="s">
        <v>38</v>
      </c>
      <c r="W157" s="1">
        <v>44.363323</v>
      </c>
      <c r="X157" s="1">
        <v>-72.9926679999999</v>
      </c>
      <c r="Y157" s="1" t="s">
        <v>839</v>
      </c>
      <c r="Z157" s="1"/>
      <c r="AA157" s="1" t="s">
        <v>40</v>
      </c>
      <c r="AB157" s="1" t="s">
        <v>202</v>
      </c>
      <c r="AC157" s="1">
        <v>5477.0</v>
      </c>
    </row>
    <row r="158">
      <c r="A158" s="1" t="str">
        <f>"0007K7"</f>
        <v>0007K7</v>
      </c>
      <c r="B158" s="1" t="s">
        <v>840</v>
      </c>
      <c r="C158" s="1" t="s">
        <v>841</v>
      </c>
      <c r="D158" s="1" t="str">
        <f>"8026853280"</f>
        <v>8026853280</v>
      </c>
      <c r="E158" s="1">
        <v>3679.0</v>
      </c>
      <c r="F158" s="1" t="s">
        <v>44</v>
      </c>
      <c r="G158" s="1" t="s">
        <v>842</v>
      </c>
      <c r="H158" s="1">
        <v>2.0</v>
      </c>
      <c r="I158" s="2" t="s">
        <v>119</v>
      </c>
      <c r="J158" s="2">
        <v>2.0</v>
      </c>
      <c r="K158" s="2" t="s">
        <v>119</v>
      </c>
      <c r="L158" s="2" t="s">
        <v>843</v>
      </c>
      <c r="M158" s="1" t="s">
        <v>72</v>
      </c>
      <c r="N158" s="1" t="s">
        <v>142</v>
      </c>
      <c r="O158" s="1" t="s">
        <v>844</v>
      </c>
      <c r="P158" s="1" t="s">
        <v>845</v>
      </c>
      <c r="Q158" s="3">
        <v>36892.0</v>
      </c>
      <c r="R158" s="1"/>
      <c r="S158" s="3">
        <v>39282.0</v>
      </c>
      <c r="T158" s="1" t="s">
        <v>37</v>
      </c>
      <c r="U158" s="1"/>
      <c r="V158" s="1" t="s">
        <v>38</v>
      </c>
      <c r="W158" s="1">
        <v>43.977871</v>
      </c>
      <c r="X158" s="1">
        <v>-72.4099039999999</v>
      </c>
      <c r="Y158" s="1" t="s">
        <v>846</v>
      </c>
      <c r="Z158" s="1"/>
      <c r="AA158" s="1" t="s">
        <v>40</v>
      </c>
      <c r="AB158" s="1" t="s">
        <v>847</v>
      </c>
      <c r="AC158" s="1">
        <v>5038.0</v>
      </c>
    </row>
    <row r="159">
      <c r="A159" s="1" t="str">
        <f>"0007XF"</f>
        <v>0007XF</v>
      </c>
      <c r="B159" s="1" t="s">
        <v>848</v>
      </c>
      <c r="C159" s="1" t="s">
        <v>849</v>
      </c>
      <c r="D159" s="1" t="str">
        <f>"8027739366"</f>
        <v>8027739366</v>
      </c>
      <c r="E159" s="1">
        <v>2506.0</v>
      </c>
      <c r="F159" s="1" t="s">
        <v>44</v>
      </c>
      <c r="G159" s="1" t="s">
        <v>850</v>
      </c>
      <c r="H159" s="1">
        <v>4.0</v>
      </c>
      <c r="I159" s="1"/>
      <c r="J159" s="1"/>
      <c r="K159" s="1"/>
      <c r="L159" s="1"/>
      <c r="M159" s="1" t="s">
        <v>851</v>
      </c>
      <c r="N159" s="1" t="s">
        <v>78</v>
      </c>
      <c r="O159" s="1" t="s">
        <v>702</v>
      </c>
      <c r="P159" s="1"/>
      <c r="Q159" s="3">
        <v>36892.0</v>
      </c>
      <c r="R159" s="1"/>
      <c r="S159" s="3">
        <v>32317.0</v>
      </c>
      <c r="T159" s="1" t="s">
        <v>37</v>
      </c>
      <c r="U159" s="1"/>
      <c r="V159" s="1" t="s">
        <v>38</v>
      </c>
      <c r="W159" s="1"/>
      <c r="X159" s="1"/>
      <c r="Y159" s="1" t="s">
        <v>49</v>
      </c>
      <c r="Z159" s="1"/>
      <c r="AA159" s="1" t="s">
        <v>40</v>
      </c>
      <c r="AB159" s="1" t="s">
        <v>702</v>
      </c>
      <c r="AC159" s="1"/>
    </row>
    <row r="160">
      <c r="A160" s="1" t="str">
        <f>"000702"</f>
        <v>000702</v>
      </c>
      <c r="B160" s="1" t="s">
        <v>852</v>
      </c>
      <c r="C160" s="1" t="s">
        <v>853</v>
      </c>
      <c r="D160" s="1" t="str">
        <f>"8024685099"</f>
        <v>8024685099</v>
      </c>
      <c r="E160" s="1">
        <v>15.0</v>
      </c>
      <c r="F160" s="1" t="s">
        <v>44</v>
      </c>
      <c r="G160" s="1" t="s">
        <v>854</v>
      </c>
      <c r="H160" s="1">
        <v>4.0</v>
      </c>
      <c r="I160" s="1"/>
      <c r="J160" s="1"/>
      <c r="K160" s="1"/>
      <c r="L160" s="1"/>
      <c r="M160" s="1" t="s">
        <v>72</v>
      </c>
      <c r="N160" s="1" t="s">
        <v>78</v>
      </c>
      <c r="O160" s="1" t="s">
        <v>855</v>
      </c>
      <c r="P160" s="1"/>
      <c r="Q160" s="3">
        <v>36892.0</v>
      </c>
      <c r="R160" s="1"/>
      <c r="S160" s="3">
        <v>32307.0</v>
      </c>
      <c r="T160" s="1" t="s">
        <v>37</v>
      </c>
      <c r="U160" s="1"/>
      <c r="V160" s="1" t="s">
        <v>38</v>
      </c>
      <c r="W160" s="1"/>
      <c r="X160" s="1"/>
      <c r="Y160" s="1" t="s">
        <v>856</v>
      </c>
      <c r="Z160" s="1"/>
      <c r="AA160" s="1" t="s">
        <v>40</v>
      </c>
      <c r="AB160" s="1" t="s">
        <v>857</v>
      </c>
      <c r="AC160" s="1">
        <v>5735.0</v>
      </c>
    </row>
    <row r="161">
      <c r="A161" s="1" t="str">
        <f>"000807"</f>
        <v>000807</v>
      </c>
      <c r="B161" s="1" t="s">
        <v>858</v>
      </c>
      <c r="C161" s="1" t="s">
        <v>859</v>
      </c>
      <c r="D161" s="1" t="str">
        <f>"8025374568"</f>
        <v>8025374568</v>
      </c>
      <c r="E161" s="1">
        <v>2503.0</v>
      </c>
      <c r="F161" s="1" t="s">
        <v>44</v>
      </c>
      <c r="G161" s="1" t="s">
        <v>860</v>
      </c>
      <c r="H161" s="1">
        <v>1.0</v>
      </c>
      <c r="I161" s="1"/>
      <c r="J161" s="1"/>
      <c r="K161" s="1"/>
      <c r="L161" s="1"/>
      <c r="M161" s="1" t="s">
        <v>861</v>
      </c>
      <c r="N161" s="1" t="s">
        <v>78</v>
      </c>
      <c r="O161" s="1" t="s">
        <v>426</v>
      </c>
      <c r="P161" s="1"/>
      <c r="Q161" s="3">
        <v>36892.0</v>
      </c>
      <c r="R161" s="1"/>
      <c r="S161" s="3">
        <v>32646.0</v>
      </c>
      <c r="T161" s="1" t="s">
        <v>37</v>
      </c>
      <c r="U161" s="1"/>
      <c r="V161" s="1" t="s">
        <v>38</v>
      </c>
      <c r="W161" s="1"/>
      <c r="X161" s="1"/>
      <c r="Y161" s="1" t="s">
        <v>49</v>
      </c>
      <c r="Z161" s="1"/>
      <c r="AA161" s="1" t="s">
        <v>40</v>
      </c>
      <c r="AB161" s="1" t="s">
        <v>427</v>
      </c>
      <c r="AC161" s="1"/>
    </row>
    <row r="162">
      <c r="A162" s="1" t="str">
        <f>"000878"</f>
        <v>000878</v>
      </c>
      <c r="B162" s="1" t="s">
        <v>862</v>
      </c>
      <c r="C162" s="1" t="s">
        <v>863</v>
      </c>
      <c r="D162" s="1" t="str">
        <f>"8024592991"</f>
        <v>8024592991</v>
      </c>
      <c r="E162" s="1">
        <v>2501.0</v>
      </c>
      <c r="F162" s="1" t="s">
        <v>44</v>
      </c>
      <c r="G162" s="1" t="s">
        <v>864</v>
      </c>
      <c r="H162" s="1">
        <v>2.0</v>
      </c>
      <c r="I162" s="1"/>
      <c r="J162" s="1"/>
      <c r="K162" s="1"/>
      <c r="L162" s="1"/>
      <c r="M162" s="1" t="s">
        <v>865</v>
      </c>
      <c r="N162" s="1" t="s">
        <v>78</v>
      </c>
      <c r="O162" s="1" t="s">
        <v>121</v>
      </c>
      <c r="P162" s="1"/>
      <c r="Q162" s="3">
        <v>36892.0</v>
      </c>
      <c r="R162" s="1"/>
      <c r="S162" s="3">
        <v>32331.0</v>
      </c>
      <c r="T162" s="1" t="s">
        <v>37</v>
      </c>
      <c r="U162" s="1"/>
      <c r="V162" s="1" t="s">
        <v>38</v>
      </c>
      <c r="W162" s="1"/>
      <c r="X162" s="1"/>
      <c r="Y162" s="1" t="s">
        <v>49</v>
      </c>
      <c r="Z162" s="1"/>
      <c r="AA162" s="1" t="s">
        <v>40</v>
      </c>
      <c r="AB162" s="1" t="s">
        <v>124</v>
      </c>
      <c r="AC162" s="1"/>
    </row>
    <row r="163">
      <c r="A163" s="1" t="str">
        <f>"00070Y"</f>
        <v>00070Y</v>
      </c>
      <c r="B163" s="1" t="s">
        <v>866</v>
      </c>
      <c r="C163" s="1" t="s">
        <v>867</v>
      </c>
      <c r="D163" s="1" t="str">
        <f>"8027736799"</f>
        <v>8027736799</v>
      </c>
      <c r="E163" s="1">
        <v>69.0</v>
      </c>
      <c r="F163" s="1" t="s">
        <v>44</v>
      </c>
      <c r="G163" s="1" t="s">
        <v>868</v>
      </c>
      <c r="H163" s="1">
        <v>2.0</v>
      </c>
      <c r="I163" s="1"/>
      <c r="J163" s="1"/>
      <c r="K163" s="1"/>
      <c r="L163" s="1"/>
      <c r="M163" s="1" t="s">
        <v>72</v>
      </c>
      <c r="N163" s="1" t="s">
        <v>78</v>
      </c>
      <c r="O163" s="1" t="s">
        <v>869</v>
      </c>
      <c r="P163" s="1"/>
      <c r="Q163" s="3">
        <v>36892.0</v>
      </c>
      <c r="R163" s="1"/>
      <c r="S163" s="3">
        <v>32363.0</v>
      </c>
      <c r="T163" s="1" t="s">
        <v>37</v>
      </c>
      <c r="U163" s="1"/>
      <c r="V163" s="1" t="s">
        <v>38</v>
      </c>
      <c r="W163" s="1"/>
      <c r="X163" s="1"/>
      <c r="Y163" s="1" t="s">
        <v>49</v>
      </c>
      <c r="Z163" s="1"/>
      <c r="AA163" s="1" t="s">
        <v>40</v>
      </c>
      <c r="AB163" s="1" t="s">
        <v>870</v>
      </c>
      <c r="AC163" s="1"/>
    </row>
    <row r="164">
      <c r="A164" s="1" t="str">
        <f>"0007JY"</f>
        <v>0007JY</v>
      </c>
      <c r="B164" s="1" t="s">
        <v>871</v>
      </c>
      <c r="C164" s="1" t="s">
        <v>872</v>
      </c>
      <c r="D164" s="1" t="str">
        <f>"8022732186"</f>
        <v>8022732186</v>
      </c>
      <c r="E164" s="1">
        <v>848.0</v>
      </c>
      <c r="F164" s="1" t="s">
        <v>44</v>
      </c>
      <c r="G164" s="1" t="s">
        <v>873</v>
      </c>
      <c r="H164" s="1">
        <v>11.0</v>
      </c>
      <c r="I164" s="1"/>
      <c r="J164" s="1"/>
      <c r="K164" s="1"/>
      <c r="L164" s="1"/>
      <c r="M164" s="1" t="s">
        <v>874</v>
      </c>
      <c r="N164" s="1" t="s">
        <v>161</v>
      </c>
      <c r="O164" s="1" t="s">
        <v>576</v>
      </c>
      <c r="P164" s="1"/>
      <c r="Q164" s="3">
        <v>36892.0</v>
      </c>
      <c r="R164" s="1"/>
      <c r="S164" s="3">
        <v>42205.0</v>
      </c>
      <c r="T164" s="1" t="s">
        <v>37</v>
      </c>
      <c r="U164" s="1"/>
      <c r="V164" s="1" t="s">
        <v>38</v>
      </c>
      <c r="W164" s="1">
        <v>44.047778</v>
      </c>
      <c r="X164" s="1">
        <v>-73.3297719999999</v>
      </c>
      <c r="Y164" s="1" t="s">
        <v>875</v>
      </c>
      <c r="Z164" s="1"/>
      <c r="AA164" s="1" t="s">
        <v>40</v>
      </c>
      <c r="AB164" s="1" t="s">
        <v>161</v>
      </c>
      <c r="AC164" s="1">
        <v>5491.0</v>
      </c>
    </row>
    <row r="165">
      <c r="A165" s="1" t="str">
        <f>"000940"</f>
        <v>000940</v>
      </c>
      <c r="B165" s="1" t="s">
        <v>876</v>
      </c>
      <c r="C165" s="1" t="s">
        <v>877</v>
      </c>
      <c r="D165" s="1" t="str">
        <f>"8028995832"</f>
        <v>8028995832</v>
      </c>
      <c r="E165" s="1">
        <v>3828.0</v>
      </c>
      <c r="F165" s="1" t="s">
        <v>44</v>
      </c>
      <c r="G165" s="1" t="s">
        <v>878</v>
      </c>
      <c r="H165" s="1">
        <v>2.0</v>
      </c>
      <c r="I165" s="1"/>
      <c r="J165" s="1"/>
      <c r="K165" s="1"/>
      <c r="L165" s="1"/>
      <c r="M165" s="1" t="s">
        <v>879</v>
      </c>
      <c r="N165" s="1" t="s">
        <v>57</v>
      </c>
      <c r="O165" s="1" t="s">
        <v>58</v>
      </c>
      <c r="P165" s="1"/>
      <c r="Q165" s="3">
        <v>36892.0</v>
      </c>
      <c r="R165" s="1"/>
      <c r="S165" s="3">
        <v>39281.0</v>
      </c>
      <c r="T165" s="1" t="s">
        <v>37</v>
      </c>
      <c r="U165" s="1"/>
      <c r="V165" s="1" t="s">
        <v>38</v>
      </c>
      <c r="W165" s="1"/>
      <c r="X165" s="1"/>
      <c r="Y165" s="1" t="s">
        <v>49</v>
      </c>
      <c r="Z165" s="1"/>
      <c r="AA165" s="1" t="s">
        <v>40</v>
      </c>
      <c r="AB165" s="1" t="s">
        <v>61</v>
      </c>
      <c r="AC165" s="1"/>
    </row>
    <row r="166">
      <c r="A166" s="1" t="str">
        <f>"0007KC"</f>
        <v>0007KC</v>
      </c>
      <c r="B166" s="1" t="s">
        <v>880</v>
      </c>
      <c r="C166" s="1" t="s">
        <v>881</v>
      </c>
      <c r="D166" s="1" t="str">
        <f>"8028886958"</f>
        <v>8028886958</v>
      </c>
      <c r="E166" s="1">
        <v>3678.0</v>
      </c>
      <c r="F166" s="1" t="s">
        <v>44</v>
      </c>
      <c r="G166" s="1" t="s">
        <v>882</v>
      </c>
      <c r="H166" s="1"/>
      <c r="I166" s="1"/>
      <c r="J166" s="1"/>
      <c r="K166" s="1"/>
      <c r="L166" s="1"/>
      <c r="M166" s="1" t="s">
        <v>72</v>
      </c>
      <c r="N166" s="1" t="s">
        <v>213</v>
      </c>
      <c r="O166" s="1" t="s">
        <v>214</v>
      </c>
      <c r="P166" s="1"/>
      <c r="Q166" s="3">
        <v>36892.0</v>
      </c>
      <c r="R166" s="1"/>
      <c r="S166" s="1"/>
      <c r="T166" s="1" t="s">
        <v>37</v>
      </c>
      <c r="U166" s="1"/>
      <c r="V166" s="1" t="s">
        <v>38</v>
      </c>
      <c r="W166" s="1"/>
      <c r="X166" s="1"/>
      <c r="Y166" s="1" t="s">
        <v>49</v>
      </c>
      <c r="Z166" s="1"/>
      <c r="AA166" s="1" t="s">
        <v>40</v>
      </c>
      <c r="AB166" s="1" t="s">
        <v>217</v>
      </c>
      <c r="AC166" s="1"/>
    </row>
    <row r="167">
      <c r="A167" s="1" t="str">
        <f>"0007KF"</f>
        <v>0007KF</v>
      </c>
      <c r="B167" s="1" t="s">
        <v>883</v>
      </c>
      <c r="C167" s="1" t="s">
        <v>884</v>
      </c>
      <c r="D167" s="1" t="str">
        <f>"8024362868"</f>
        <v>8024362868</v>
      </c>
      <c r="E167" s="1">
        <v>2490.0</v>
      </c>
      <c r="F167" s="1" t="s">
        <v>44</v>
      </c>
      <c r="G167" s="1" t="s">
        <v>885</v>
      </c>
      <c r="H167" s="1"/>
      <c r="I167" s="1"/>
      <c r="J167" s="1"/>
      <c r="K167" s="1"/>
      <c r="L167" s="1"/>
      <c r="M167" s="1" t="s">
        <v>886</v>
      </c>
      <c r="N167" s="1" t="s">
        <v>128</v>
      </c>
      <c r="O167" s="1" t="s">
        <v>887</v>
      </c>
      <c r="P167" s="1"/>
      <c r="Q167" s="3">
        <v>36892.0</v>
      </c>
      <c r="R167" s="1"/>
      <c r="S167" s="1"/>
      <c r="T167" s="1" t="s">
        <v>37</v>
      </c>
      <c r="U167" s="1"/>
      <c r="V167" s="1" t="s">
        <v>38</v>
      </c>
      <c r="W167" s="1"/>
      <c r="X167" s="1"/>
      <c r="Y167" s="1" t="s">
        <v>49</v>
      </c>
      <c r="Z167" s="1"/>
      <c r="AA167" s="1" t="s">
        <v>40</v>
      </c>
      <c r="AB167" s="1" t="s">
        <v>888</v>
      </c>
      <c r="AC167" s="1"/>
    </row>
    <row r="168">
      <c r="A168" s="1" t="str">
        <f>"0007KG"</f>
        <v>0007KG</v>
      </c>
      <c r="B168" s="1" t="s">
        <v>889</v>
      </c>
      <c r="C168" s="1" t="s">
        <v>890</v>
      </c>
      <c r="D168" s="1" t="str">
        <f>"8028621567"</f>
        <v>8028621567</v>
      </c>
      <c r="E168" s="1">
        <v>2489.0</v>
      </c>
      <c r="F168" s="1" t="s">
        <v>44</v>
      </c>
      <c r="G168" s="1" t="s">
        <v>891</v>
      </c>
      <c r="H168" s="1">
        <v>1.0</v>
      </c>
      <c r="I168" s="1"/>
      <c r="J168" s="1"/>
      <c r="K168" s="1"/>
      <c r="L168" s="1"/>
      <c r="M168" s="1" t="s">
        <v>892</v>
      </c>
      <c r="N168" s="1" t="s">
        <v>57</v>
      </c>
      <c r="O168" s="1" t="s">
        <v>175</v>
      </c>
      <c r="P168" s="1"/>
      <c r="Q168" s="3">
        <v>36892.0</v>
      </c>
      <c r="R168" s="1"/>
      <c r="S168" s="3">
        <v>32986.0</v>
      </c>
      <c r="T168" s="1" t="s">
        <v>37</v>
      </c>
      <c r="U168" s="1"/>
      <c r="V168" s="1" t="s">
        <v>38</v>
      </c>
      <c r="W168" s="1"/>
      <c r="X168" s="1"/>
      <c r="Y168" s="1" t="s">
        <v>49</v>
      </c>
      <c r="Z168" s="1"/>
      <c r="AA168" s="1" t="s">
        <v>40</v>
      </c>
      <c r="AB168" s="1" t="s">
        <v>176</v>
      </c>
      <c r="AC168" s="1"/>
    </row>
    <row r="169">
      <c r="A169" s="1" t="str">
        <f>"0007W6"</f>
        <v>0007W6</v>
      </c>
      <c r="B169" s="1" t="s">
        <v>893</v>
      </c>
      <c r="C169" s="1" t="s">
        <v>894</v>
      </c>
      <c r="D169" s="1" t="str">
        <f>"8023874710"</f>
        <v>8023874710</v>
      </c>
      <c r="E169" s="1">
        <v>2936.0</v>
      </c>
      <c r="F169" s="1" t="s">
        <v>44</v>
      </c>
      <c r="G169" s="1" t="s">
        <v>895</v>
      </c>
      <c r="H169" s="1">
        <v>2.0</v>
      </c>
      <c r="I169" s="1"/>
      <c r="J169" s="1"/>
      <c r="K169" s="1"/>
      <c r="L169" s="1"/>
      <c r="M169" s="1" t="s">
        <v>72</v>
      </c>
      <c r="N169" s="1" t="s">
        <v>66</v>
      </c>
      <c r="O169" s="1" t="s">
        <v>593</v>
      </c>
      <c r="P169" s="1"/>
      <c r="Q169" s="3">
        <v>36892.0</v>
      </c>
      <c r="R169" s="1"/>
      <c r="S169" s="3">
        <v>35177.0</v>
      </c>
      <c r="T169" s="1" t="s">
        <v>37</v>
      </c>
      <c r="U169" s="1"/>
      <c r="V169" s="1" t="s">
        <v>38</v>
      </c>
      <c r="W169" s="1"/>
      <c r="X169" s="1"/>
      <c r="Y169" s="1" t="s">
        <v>49</v>
      </c>
      <c r="Z169" s="1"/>
      <c r="AA169" s="1" t="s">
        <v>40</v>
      </c>
      <c r="AB169" s="1" t="s">
        <v>594</v>
      </c>
      <c r="AC169" s="1"/>
    </row>
    <row r="170">
      <c r="A170" s="1" t="str">
        <f t="shared" ref="A170:A175" si="23">"0007HY"</f>
        <v>0007HY</v>
      </c>
      <c r="B170" s="1" t="s">
        <v>896</v>
      </c>
      <c r="C170" s="1" t="s">
        <v>897</v>
      </c>
      <c r="D170" s="1" t="str">
        <f t="shared" ref="D170:D175" si="24">"8028966060"</f>
        <v>8028966060</v>
      </c>
      <c r="E170" s="1">
        <v>797.0</v>
      </c>
      <c r="F170" s="1" t="s">
        <v>117</v>
      </c>
      <c r="G170" s="1" t="s">
        <v>898</v>
      </c>
      <c r="H170" s="1">
        <v>0.0</v>
      </c>
      <c r="I170" s="2" t="s">
        <v>119</v>
      </c>
      <c r="J170" s="2" t="s">
        <v>119</v>
      </c>
      <c r="K170" s="2" t="s">
        <v>119</v>
      </c>
      <c r="L170" s="2"/>
      <c r="M170" s="1" t="s">
        <v>899</v>
      </c>
      <c r="N170" s="1" t="s">
        <v>66</v>
      </c>
      <c r="O170" s="1" t="s">
        <v>900</v>
      </c>
      <c r="P170" s="1"/>
      <c r="Q170" s="3">
        <v>36892.0</v>
      </c>
      <c r="R170" s="1"/>
      <c r="S170" s="3">
        <v>32696.0</v>
      </c>
      <c r="T170" s="1" t="s">
        <v>37</v>
      </c>
      <c r="U170" s="1"/>
      <c r="V170" s="1" t="s">
        <v>38</v>
      </c>
      <c r="W170" s="1"/>
      <c r="X170" s="1"/>
      <c r="Y170" s="1" t="s">
        <v>49</v>
      </c>
      <c r="Z170" s="1"/>
      <c r="AA170" s="1" t="s">
        <v>40</v>
      </c>
      <c r="AB170" s="1" t="s">
        <v>901</v>
      </c>
      <c r="AC170" s="1">
        <v>5148.0</v>
      </c>
    </row>
    <row r="171">
      <c r="A171" s="1" t="str">
        <f t="shared" si="23"/>
        <v>0007HY</v>
      </c>
      <c r="B171" s="1" t="s">
        <v>896</v>
      </c>
      <c r="C171" s="1" t="s">
        <v>897</v>
      </c>
      <c r="D171" s="1" t="str">
        <f t="shared" si="24"/>
        <v>8028966060</v>
      </c>
      <c r="E171" s="1">
        <v>797.0</v>
      </c>
      <c r="F171" s="1" t="s">
        <v>117</v>
      </c>
      <c r="G171" s="1" t="s">
        <v>902</v>
      </c>
      <c r="H171" s="1">
        <v>0.0</v>
      </c>
      <c r="I171" s="2" t="s">
        <v>119</v>
      </c>
      <c r="J171" s="2" t="s">
        <v>119</v>
      </c>
      <c r="K171" s="2" t="s">
        <v>119</v>
      </c>
      <c r="L171" s="2"/>
      <c r="M171" s="1" t="s">
        <v>903</v>
      </c>
      <c r="N171" s="1" t="s">
        <v>78</v>
      </c>
      <c r="O171" s="1" t="s">
        <v>434</v>
      </c>
      <c r="P171" s="1"/>
      <c r="Q171" s="3">
        <v>36892.0</v>
      </c>
      <c r="R171" s="1"/>
      <c r="S171" s="3">
        <v>36062.0</v>
      </c>
      <c r="T171" s="1" t="s">
        <v>37</v>
      </c>
      <c r="U171" s="1"/>
      <c r="V171" s="1" t="s">
        <v>38</v>
      </c>
      <c r="W171" s="1"/>
      <c r="X171" s="1"/>
      <c r="Y171" s="1" t="s">
        <v>49</v>
      </c>
      <c r="Z171" s="1"/>
      <c r="AA171" s="1" t="s">
        <v>40</v>
      </c>
      <c r="AB171" s="1" t="s">
        <v>435</v>
      </c>
      <c r="AC171" s="1">
        <v>5761.0</v>
      </c>
    </row>
    <row r="172">
      <c r="A172" s="1" t="str">
        <f t="shared" si="23"/>
        <v>0007HY</v>
      </c>
      <c r="B172" s="1" t="s">
        <v>896</v>
      </c>
      <c r="C172" s="1" t="s">
        <v>897</v>
      </c>
      <c r="D172" s="1" t="str">
        <f t="shared" si="24"/>
        <v>8028966060</v>
      </c>
      <c r="E172" s="1">
        <v>797.0</v>
      </c>
      <c r="F172" s="1" t="s">
        <v>117</v>
      </c>
      <c r="G172" s="1" t="s">
        <v>904</v>
      </c>
      <c r="H172" s="1"/>
      <c r="I172" s="2">
        <v>0.0</v>
      </c>
      <c r="J172" s="2" t="s">
        <v>119</v>
      </c>
      <c r="K172" s="2" t="s">
        <v>119</v>
      </c>
      <c r="L172" s="2"/>
      <c r="M172" s="1" t="s">
        <v>905</v>
      </c>
      <c r="N172" s="1" t="s">
        <v>66</v>
      </c>
      <c r="O172" s="1" t="s">
        <v>751</v>
      </c>
      <c r="P172" s="1"/>
      <c r="Q172" s="3">
        <v>36892.0</v>
      </c>
      <c r="R172" s="1"/>
      <c r="S172" s="1"/>
      <c r="T172" s="1" t="s">
        <v>37</v>
      </c>
      <c r="U172" s="1"/>
      <c r="V172" s="1" t="s">
        <v>38</v>
      </c>
      <c r="W172" s="1"/>
      <c r="X172" s="1"/>
      <c r="Y172" s="1" t="s">
        <v>49</v>
      </c>
      <c r="Z172" s="1"/>
      <c r="AA172" s="1" t="s">
        <v>40</v>
      </c>
      <c r="AB172" s="1" t="s">
        <v>754</v>
      </c>
      <c r="AC172" s="1"/>
    </row>
    <row r="173">
      <c r="A173" s="1" t="str">
        <f t="shared" si="23"/>
        <v>0007HY</v>
      </c>
      <c r="B173" s="1" t="s">
        <v>896</v>
      </c>
      <c r="C173" s="1" t="s">
        <v>897</v>
      </c>
      <c r="D173" s="1" t="str">
        <f t="shared" si="24"/>
        <v>8028966060</v>
      </c>
      <c r="E173" s="1">
        <v>797.0</v>
      </c>
      <c r="F173" s="1" t="s">
        <v>117</v>
      </c>
      <c r="G173" s="1" t="s">
        <v>906</v>
      </c>
      <c r="H173" s="1">
        <v>0.0</v>
      </c>
      <c r="I173" s="2" t="s">
        <v>119</v>
      </c>
      <c r="J173" s="2" t="s">
        <v>119</v>
      </c>
      <c r="K173" s="2" t="s">
        <v>119</v>
      </c>
      <c r="L173" s="2"/>
      <c r="M173" s="1" t="s">
        <v>907</v>
      </c>
      <c r="N173" s="1" t="s">
        <v>66</v>
      </c>
      <c r="O173" s="1" t="s">
        <v>908</v>
      </c>
      <c r="P173" s="1"/>
      <c r="Q173" s="3">
        <v>36892.0</v>
      </c>
      <c r="R173" s="1"/>
      <c r="S173" s="3">
        <v>32707.0</v>
      </c>
      <c r="T173" s="1" t="s">
        <v>37</v>
      </c>
      <c r="U173" s="1"/>
      <c r="V173" s="1" t="s">
        <v>38</v>
      </c>
      <c r="W173" s="1"/>
      <c r="X173" s="1"/>
      <c r="Y173" s="1" t="s">
        <v>49</v>
      </c>
      <c r="Z173" s="1"/>
      <c r="AA173" s="1" t="s">
        <v>40</v>
      </c>
      <c r="AB173" s="1" t="s">
        <v>909</v>
      </c>
      <c r="AC173" s="1">
        <v>5355.0</v>
      </c>
    </row>
    <row r="174">
      <c r="A174" s="1" t="str">
        <f t="shared" si="23"/>
        <v>0007HY</v>
      </c>
      <c r="B174" s="1" t="s">
        <v>896</v>
      </c>
      <c r="C174" s="1" t="s">
        <v>897</v>
      </c>
      <c r="D174" s="1" t="str">
        <f t="shared" si="24"/>
        <v>8028966060</v>
      </c>
      <c r="E174" s="1">
        <v>797.0</v>
      </c>
      <c r="F174" s="1" t="s">
        <v>117</v>
      </c>
      <c r="G174" s="1" t="s">
        <v>910</v>
      </c>
      <c r="H174" s="1">
        <v>0.0</v>
      </c>
      <c r="I174" s="2" t="s">
        <v>119</v>
      </c>
      <c r="J174" s="2" t="s">
        <v>119</v>
      </c>
      <c r="K174" s="2" t="s">
        <v>119</v>
      </c>
      <c r="L174" s="2"/>
      <c r="M174" s="1" t="s">
        <v>911</v>
      </c>
      <c r="N174" s="1" t="s">
        <v>66</v>
      </c>
      <c r="O174" s="1" t="s">
        <v>67</v>
      </c>
      <c r="P174" s="1"/>
      <c r="Q174" s="3">
        <v>36892.0</v>
      </c>
      <c r="R174" s="1"/>
      <c r="S174" s="3">
        <v>32687.0</v>
      </c>
      <c r="T174" s="1" t="s">
        <v>37</v>
      </c>
      <c r="U174" s="1"/>
      <c r="V174" s="1" t="s">
        <v>38</v>
      </c>
      <c r="W174" s="1"/>
      <c r="X174" s="1"/>
      <c r="Y174" s="1" t="s">
        <v>49</v>
      </c>
      <c r="Z174" s="1"/>
      <c r="AA174" s="1" t="s">
        <v>40</v>
      </c>
      <c r="AB174" s="1" t="s">
        <v>68</v>
      </c>
      <c r="AC174" s="1">
        <v>5353.0</v>
      </c>
    </row>
    <row r="175">
      <c r="A175" s="1" t="str">
        <f t="shared" si="23"/>
        <v>0007HY</v>
      </c>
      <c r="B175" s="1" t="s">
        <v>896</v>
      </c>
      <c r="C175" s="1" t="s">
        <v>897</v>
      </c>
      <c r="D175" s="1" t="str">
        <f t="shared" si="24"/>
        <v>8028966060</v>
      </c>
      <c r="E175" s="1">
        <v>797.0</v>
      </c>
      <c r="F175" s="1" t="s">
        <v>117</v>
      </c>
      <c r="G175" s="1" t="s">
        <v>912</v>
      </c>
      <c r="H175" s="1">
        <v>0.0</v>
      </c>
      <c r="I175" s="2" t="s">
        <v>119</v>
      </c>
      <c r="J175" s="2" t="s">
        <v>119</v>
      </c>
      <c r="K175" s="2" t="s">
        <v>119</v>
      </c>
      <c r="L175" s="2"/>
      <c r="M175" s="1" t="s">
        <v>913</v>
      </c>
      <c r="N175" s="1" t="s">
        <v>66</v>
      </c>
      <c r="O175" s="1" t="s">
        <v>908</v>
      </c>
      <c r="P175" s="1"/>
      <c r="Q175" s="3">
        <v>36892.0</v>
      </c>
      <c r="R175" s="1"/>
      <c r="S175" s="3">
        <v>32707.0</v>
      </c>
      <c r="T175" s="1" t="s">
        <v>37</v>
      </c>
      <c r="U175" s="1"/>
      <c r="V175" s="1" t="s">
        <v>38</v>
      </c>
      <c r="W175" s="1"/>
      <c r="X175" s="1"/>
      <c r="Y175" s="1" t="s">
        <v>49</v>
      </c>
      <c r="Z175" s="1"/>
      <c r="AA175" s="1" t="s">
        <v>40</v>
      </c>
      <c r="AB175" s="1" t="s">
        <v>909</v>
      </c>
      <c r="AC175" s="1">
        <v>5355.0</v>
      </c>
    </row>
    <row r="176">
      <c r="A176" s="1" t="str">
        <f>"0008HF"</f>
        <v>0008HF</v>
      </c>
      <c r="B176" s="1" t="s">
        <v>914</v>
      </c>
      <c r="C176" s="1" t="s">
        <v>915</v>
      </c>
      <c r="D176" s="1" t="str">
        <f>"8028816042"</f>
        <v>8028816042</v>
      </c>
      <c r="E176" s="1">
        <v>2747.0</v>
      </c>
      <c r="F176" s="1" t="s">
        <v>44</v>
      </c>
      <c r="G176" s="1" t="s">
        <v>916</v>
      </c>
      <c r="H176" s="1">
        <v>4.0</v>
      </c>
      <c r="I176" s="2" t="s">
        <v>119</v>
      </c>
      <c r="J176" s="2" t="s">
        <v>119</v>
      </c>
      <c r="K176" s="2" t="s">
        <v>119</v>
      </c>
      <c r="L176" s="1"/>
      <c r="M176" s="1" t="s">
        <v>917</v>
      </c>
      <c r="N176" s="1" t="s">
        <v>57</v>
      </c>
      <c r="O176" s="1" t="s">
        <v>155</v>
      </c>
      <c r="P176" s="1" t="s">
        <v>918</v>
      </c>
      <c r="Q176" s="3">
        <v>36892.0</v>
      </c>
      <c r="R176" s="1"/>
      <c r="S176" s="3">
        <v>42604.0</v>
      </c>
      <c r="T176" s="1" t="s">
        <v>37</v>
      </c>
      <c r="U176" s="1"/>
      <c r="V176" s="1" t="s">
        <v>38</v>
      </c>
      <c r="W176" s="1">
        <v>44.6296089999999</v>
      </c>
      <c r="X176" s="1">
        <v>-72.971558</v>
      </c>
      <c r="Y176" s="1" t="s">
        <v>919</v>
      </c>
      <c r="Z176" s="1"/>
      <c r="AA176" s="1" t="s">
        <v>40</v>
      </c>
      <c r="AB176" s="1" t="s">
        <v>156</v>
      </c>
      <c r="AC176" s="1">
        <v>5494.0</v>
      </c>
    </row>
    <row r="177">
      <c r="A177" s="1" t="str">
        <f>"0007CC"</f>
        <v>0007CC</v>
      </c>
      <c r="B177" s="1" t="s">
        <v>920</v>
      </c>
      <c r="C177" s="1" t="s">
        <v>921</v>
      </c>
      <c r="D177" s="1" t="str">
        <f>"8028855458"</f>
        <v>8028855458</v>
      </c>
      <c r="E177" s="1">
        <v>618.0</v>
      </c>
      <c r="F177" s="1" t="s">
        <v>44</v>
      </c>
      <c r="G177" s="1" t="s">
        <v>922</v>
      </c>
      <c r="H177" s="1">
        <v>1.0</v>
      </c>
      <c r="I177" s="1"/>
      <c r="J177" s="1"/>
      <c r="K177" s="1"/>
      <c r="L177" s="1"/>
      <c r="M177" s="1" t="s">
        <v>923</v>
      </c>
      <c r="N177" s="1" t="s">
        <v>34</v>
      </c>
      <c r="O177" s="1" t="s">
        <v>642</v>
      </c>
      <c r="P177" s="1"/>
      <c r="Q177" s="3">
        <v>36892.0</v>
      </c>
      <c r="R177" s="1"/>
      <c r="S177" s="3">
        <v>32357.0</v>
      </c>
      <c r="T177" s="1" t="s">
        <v>37</v>
      </c>
      <c r="U177" s="1"/>
      <c r="V177" s="1" t="s">
        <v>38</v>
      </c>
      <c r="W177" s="1"/>
      <c r="X177" s="1"/>
      <c r="Y177" s="1" t="s">
        <v>49</v>
      </c>
      <c r="Z177" s="1"/>
      <c r="AA177" s="1" t="s">
        <v>40</v>
      </c>
      <c r="AB177" s="1" t="s">
        <v>643</v>
      </c>
      <c r="AC177" s="1"/>
    </row>
    <row r="178">
      <c r="A178" s="1" t="str">
        <f>"0007N8"</f>
        <v>0007N8</v>
      </c>
      <c r="B178" s="1" t="s">
        <v>924</v>
      </c>
      <c r="C178" s="1" t="s">
        <v>925</v>
      </c>
      <c r="D178" s="1" t="str">
        <f>"8028273298"</f>
        <v>8028273298</v>
      </c>
      <c r="E178" s="1">
        <v>2483.0</v>
      </c>
      <c r="F178" s="1" t="s">
        <v>44</v>
      </c>
      <c r="G178" s="1" t="s">
        <v>926</v>
      </c>
      <c r="H178" s="1"/>
      <c r="I178" s="1"/>
      <c r="J178" s="1"/>
      <c r="K178" s="1"/>
      <c r="L178" s="1"/>
      <c r="M178" s="1" t="s">
        <v>927</v>
      </c>
      <c r="N178" s="1" t="s">
        <v>47</v>
      </c>
      <c r="O178" s="1" t="s">
        <v>928</v>
      </c>
      <c r="P178" s="1"/>
      <c r="Q178" s="3">
        <v>36892.0</v>
      </c>
      <c r="R178" s="1"/>
      <c r="S178" s="1"/>
      <c r="T178" s="1" t="s">
        <v>37</v>
      </c>
      <c r="U178" s="1"/>
      <c r="V178" s="1" t="s">
        <v>38</v>
      </c>
      <c r="W178" s="1"/>
      <c r="X178" s="1"/>
      <c r="Y178" s="1" t="s">
        <v>49</v>
      </c>
      <c r="Z178" s="1"/>
      <c r="AA178" s="1" t="s">
        <v>40</v>
      </c>
      <c r="AB178" s="1" t="s">
        <v>929</v>
      </c>
      <c r="AC178" s="1"/>
    </row>
    <row r="179">
      <c r="A179" s="1" t="str">
        <f>"00073Q"</f>
        <v>00073Q</v>
      </c>
      <c r="B179" s="1" t="s">
        <v>930</v>
      </c>
      <c r="C179" s="1" t="s">
        <v>931</v>
      </c>
      <c r="D179" s="1" t="str">
        <f>"8022732911"</f>
        <v>8022732911</v>
      </c>
      <c r="E179" s="1">
        <v>4011.0</v>
      </c>
      <c r="F179" s="1" t="s">
        <v>44</v>
      </c>
      <c r="G179" s="1" t="s">
        <v>932</v>
      </c>
      <c r="H179" s="1"/>
      <c r="I179" s="1"/>
      <c r="J179" s="1"/>
      <c r="K179" s="1"/>
      <c r="L179" s="1"/>
      <c r="M179" s="1" t="s">
        <v>72</v>
      </c>
      <c r="N179" s="1" t="s">
        <v>78</v>
      </c>
      <c r="O179" s="1" t="s">
        <v>855</v>
      </c>
      <c r="P179" s="1"/>
      <c r="Q179" s="3">
        <v>36892.0</v>
      </c>
      <c r="R179" s="1"/>
      <c r="S179" s="1"/>
      <c r="T179" s="1" t="s">
        <v>37</v>
      </c>
      <c r="U179" s="1"/>
      <c r="V179" s="1" t="s">
        <v>38</v>
      </c>
      <c r="W179" s="1"/>
      <c r="X179" s="1"/>
      <c r="Y179" s="1" t="s">
        <v>49</v>
      </c>
      <c r="Z179" s="1"/>
      <c r="AA179" s="1" t="s">
        <v>40</v>
      </c>
      <c r="AB179" s="1" t="s">
        <v>857</v>
      </c>
      <c r="AC179" s="1"/>
    </row>
    <row r="180">
      <c r="A180" s="1" t="str">
        <f>"00075F"</f>
        <v>00075F</v>
      </c>
      <c r="B180" s="1" t="s">
        <v>933</v>
      </c>
      <c r="C180" s="1" t="s">
        <v>934</v>
      </c>
      <c r="D180" s="1"/>
      <c r="E180" s="1">
        <v>2480.0</v>
      </c>
      <c r="F180" s="1" t="s">
        <v>44</v>
      </c>
      <c r="G180" s="1" t="s">
        <v>935</v>
      </c>
      <c r="H180" s="1"/>
      <c r="I180" s="1"/>
      <c r="J180" s="1"/>
      <c r="K180" s="1"/>
      <c r="L180" s="1"/>
      <c r="M180" s="1" t="s">
        <v>936</v>
      </c>
      <c r="N180" s="1" t="s">
        <v>57</v>
      </c>
      <c r="O180" s="1" t="s">
        <v>559</v>
      </c>
      <c r="P180" s="1"/>
      <c r="Q180" s="3">
        <v>36892.0</v>
      </c>
      <c r="R180" s="1"/>
      <c r="S180" s="1"/>
      <c r="T180" s="1" t="s">
        <v>37</v>
      </c>
      <c r="U180" s="1"/>
      <c r="V180" s="1" t="s">
        <v>38</v>
      </c>
      <c r="W180" s="1"/>
      <c r="X180" s="1"/>
      <c r="Y180" s="1" t="s">
        <v>49</v>
      </c>
      <c r="Z180" s="1"/>
      <c r="AA180" s="1" t="s">
        <v>40</v>
      </c>
      <c r="AB180" s="1" t="s">
        <v>560</v>
      </c>
      <c r="AC180" s="1"/>
    </row>
    <row r="181">
      <c r="A181" s="1" t="str">
        <f>"00074C"</f>
        <v>00074C</v>
      </c>
      <c r="B181" s="1" t="s">
        <v>937</v>
      </c>
      <c r="C181" s="1" t="s">
        <v>938</v>
      </c>
      <c r="D181" s="1"/>
      <c r="E181" s="1">
        <v>2479.0</v>
      </c>
      <c r="F181" s="1" t="s">
        <v>44</v>
      </c>
      <c r="G181" s="1" t="s">
        <v>939</v>
      </c>
      <c r="H181" s="1">
        <v>2.0</v>
      </c>
      <c r="I181" s="1"/>
      <c r="J181" s="1"/>
      <c r="K181" s="1"/>
      <c r="L181" s="1"/>
      <c r="M181" s="1" t="s">
        <v>940</v>
      </c>
      <c r="N181" s="1" t="s">
        <v>57</v>
      </c>
      <c r="O181" s="1" t="s">
        <v>559</v>
      </c>
      <c r="P181" s="1"/>
      <c r="Q181" s="3">
        <v>36892.0</v>
      </c>
      <c r="R181" s="1"/>
      <c r="S181" s="3">
        <v>34838.0</v>
      </c>
      <c r="T181" s="1" t="s">
        <v>37</v>
      </c>
      <c r="U181" s="1"/>
      <c r="V181" s="1" t="s">
        <v>38</v>
      </c>
      <c r="W181" s="1"/>
      <c r="X181" s="1"/>
      <c r="Y181" s="1" t="s">
        <v>49</v>
      </c>
      <c r="Z181" s="1"/>
      <c r="AA181" s="1" t="s">
        <v>40</v>
      </c>
      <c r="AB181" s="1" t="s">
        <v>560</v>
      </c>
      <c r="AC181" s="1"/>
    </row>
    <row r="182">
      <c r="A182" s="1" t="str">
        <f>"0007WB"</f>
        <v>0007WB</v>
      </c>
      <c r="B182" s="1" t="s">
        <v>567</v>
      </c>
      <c r="C182" s="1" t="s">
        <v>568</v>
      </c>
      <c r="D182" s="1" t="str">
        <f>"8029895895"</f>
        <v>8029895895</v>
      </c>
      <c r="E182" s="1">
        <v>2046.0</v>
      </c>
      <c r="F182" s="1" t="s">
        <v>117</v>
      </c>
      <c r="G182" s="1" t="s">
        <v>941</v>
      </c>
      <c r="H182" s="1">
        <v>44.0</v>
      </c>
      <c r="I182" s="2" t="s">
        <v>119</v>
      </c>
      <c r="J182" s="2" t="s">
        <v>119</v>
      </c>
      <c r="K182" s="2" t="s">
        <v>119</v>
      </c>
      <c r="L182" s="1"/>
      <c r="M182" s="1" t="s">
        <v>942</v>
      </c>
      <c r="N182" s="1" t="s">
        <v>161</v>
      </c>
      <c r="O182" s="1" t="s">
        <v>943</v>
      </c>
      <c r="P182" s="1" t="s">
        <v>944</v>
      </c>
      <c r="Q182" s="3">
        <v>36892.0</v>
      </c>
      <c r="R182" s="1"/>
      <c r="S182" s="3">
        <v>41569.0</v>
      </c>
      <c r="T182" s="1" t="s">
        <v>37</v>
      </c>
      <c r="U182" s="1"/>
      <c r="V182" s="1" t="s">
        <v>38</v>
      </c>
      <c r="W182" s="1">
        <v>43.96933</v>
      </c>
      <c r="X182" s="1">
        <v>-73.16218</v>
      </c>
      <c r="Y182" s="1" t="s">
        <v>49</v>
      </c>
      <c r="Z182" s="1"/>
      <c r="AA182" s="1" t="s">
        <v>40</v>
      </c>
      <c r="AB182" s="1" t="s">
        <v>945</v>
      </c>
      <c r="AC182" s="1">
        <v>5753.0</v>
      </c>
    </row>
    <row r="183">
      <c r="A183" s="1" t="str">
        <f>"0007WY"</f>
        <v>0007WY</v>
      </c>
      <c r="B183" s="1" t="s">
        <v>946</v>
      </c>
      <c r="C183" s="1" t="s">
        <v>947</v>
      </c>
      <c r="D183" s="1" t="str">
        <f>"8022234945"</f>
        <v>8022234945</v>
      </c>
      <c r="E183" s="1">
        <v>3878.0</v>
      </c>
      <c r="F183" s="1" t="s">
        <v>44</v>
      </c>
      <c r="G183" s="1" t="s">
        <v>948</v>
      </c>
      <c r="H183" s="1">
        <v>1.0</v>
      </c>
      <c r="I183" s="1"/>
      <c r="J183" s="1"/>
      <c r="K183" s="1"/>
      <c r="L183" s="1"/>
      <c r="M183" s="1" t="s">
        <v>72</v>
      </c>
      <c r="N183" s="1" t="s">
        <v>135</v>
      </c>
      <c r="O183" s="1" t="s">
        <v>805</v>
      </c>
      <c r="P183" s="1"/>
      <c r="Q183" s="3">
        <v>36892.0</v>
      </c>
      <c r="R183" s="1"/>
      <c r="S183" s="3">
        <v>39531.0</v>
      </c>
      <c r="T183" s="1" t="s">
        <v>37</v>
      </c>
      <c r="U183" s="1"/>
      <c r="V183" s="1" t="s">
        <v>38</v>
      </c>
      <c r="W183" s="1"/>
      <c r="X183" s="1"/>
      <c r="Y183" s="1" t="s">
        <v>49</v>
      </c>
      <c r="Z183" s="1"/>
      <c r="AA183" s="1" t="s">
        <v>40</v>
      </c>
      <c r="AB183" s="1" t="s">
        <v>806</v>
      </c>
      <c r="AC183" s="1"/>
    </row>
    <row r="184">
      <c r="A184" s="1" t="str">
        <f>"0007XW"</f>
        <v>0007XW</v>
      </c>
      <c r="B184" s="1" t="s">
        <v>949</v>
      </c>
      <c r="C184" s="1" t="s">
        <v>950</v>
      </c>
      <c r="D184" s="1"/>
      <c r="E184" s="1">
        <v>2599.0</v>
      </c>
      <c r="F184" s="1" t="s">
        <v>44</v>
      </c>
      <c r="G184" s="1" t="s">
        <v>951</v>
      </c>
      <c r="H184" s="1"/>
      <c r="I184" s="1"/>
      <c r="J184" s="1"/>
      <c r="K184" s="1"/>
      <c r="L184" s="1"/>
      <c r="M184" s="1" t="s">
        <v>952</v>
      </c>
      <c r="N184" s="1" t="s">
        <v>34</v>
      </c>
      <c r="O184" s="1" t="s">
        <v>953</v>
      </c>
      <c r="P184" s="1"/>
      <c r="Q184" s="3">
        <v>36892.0</v>
      </c>
      <c r="R184" s="1"/>
      <c r="S184" s="1"/>
      <c r="T184" s="1" t="s">
        <v>37</v>
      </c>
      <c r="U184" s="1"/>
      <c r="V184" s="1" t="s">
        <v>38</v>
      </c>
      <c r="W184" s="1"/>
      <c r="X184" s="1"/>
      <c r="Y184" s="1" t="s">
        <v>49</v>
      </c>
      <c r="Z184" s="1"/>
      <c r="AA184" s="1" t="s">
        <v>40</v>
      </c>
      <c r="AB184" s="1" t="s">
        <v>954</v>
      </c>
      <c r="AC184" s="1"/>
    </row>
    <row r="185">
      <c r="A185" s="1" t="str">
        <f>"0007AD"</f>
        <v>0007AD</v>
      </c>
      <c r="B185" s="1" t="s">
        <v>955</v>
      </c>
      <c r="C185" s="1" t="s">
        <v>956</v>
      </c>
      <c r="D185" s="1" t="str">
        <f>"8026722011"</f>
        <v>8026722011</v>
      </c>
      <c r="E185" s="1">
        <v>3347.0</v>
      </c>
      <c r="F185" s="1" t="s">
        <v>44</v>
      </c>
      <c r="G185" s="1" t="s">
        <v>957</v>
      </c>
      <c r="H185" s="1">
        <v>2.0</v>
      </c>
      <c r="I185" s="1"/>
      <c r="J185" s="1"/>
      <c r="K185" s="1"/>
      <c r="L185" s="1"/>
      <c r="M185" s="1" t="s">
        <v>72</v>
      </c>
      <c r="N185" s="1" t="s">
        <v>34</v>
      </c>
      <c r="O185" s="1" t="s">
        <v>958</v>
      </c>
      <c r="P185" s="1"/>
      <c r="Q185" s="3">
        <v>36892.0</v>
      </c>
      <c r="R185" s="1"/>
      <c r="S185" s="3">
        <v>37070.0</v>
      </c>
      <c r="T185" s="1" t="s">
        <v>37</v>
      </c>
      <c r="U185" s="1"/>
      <c r="V185" s="1" t="s">
        <v>38</v>
      </c>
      <c r="W185" s="1"/>
      <c r="X185" s="1"/>
      <c r="Y185" s="1" t="s">
        <v>49</v>
      </c>
      <c r="Z185" s="1"/>
      <c r="AA185" s="1" t="s">
        <v>40</v>
      </c>
      <c r="AB185" s="1" t="s">
        <v>959</v>
      </c>
      <c r="AC185" s="1"/>
    </row>
    <row r="186">
      <c r="A186" s="1" t="str">
        <f>"0007Y8"</f>
        <v>0007Y8</v>
      </c>
      <c r="B186" s="1" t="s">
        <v>960</v>
      </c>
      <c r="C186" s="1" t="s">
        <v>961</v>
      </c>
      <c r="D186" s="1" t="str">
        <f>"8024536135"</f>
        <v>8024536135</v>
      </c>
      <c r="E186" s="1">
        <v>2830.0</v>
      </c>
      <c r="F186" s="1" t="s">
        <v>44</v>
      </c>
      <c r="G186" s="1" t="s">
        <v>962</v>
      </c>
      <c r="H186" s="1">
        <v>3.0</v>
      </c>
      <c r="I186" s="1"/>
      <c r="J186" s="1"/>
      <c r="K186" s="1"/>
      <c r="L186" s="1"/>
      <c r="M186" s="1" t="s">
        <v>963</v>
      </c>
      <c r="N186" s="1" t="s">
        <v>161</v>
      </c>
      <c r="O186" s="1" t="s">
        <v>943</v>
      </c>
      <c r="P186" s="1"/>
      <c r="Q186" s="3">
        <v>36892.0</v>
      </c>
      <c r="R186" s="1"/>
      <c r="S186" s="3">
        <v>35989.0</v>
      </c>
      <c r="T186" s="1" t="s">
        <v>37</v>
      </c>
      <c r="U186" s="1"/>
      <c r="V186" s="1" t="s">
        <v>38</v>
      </c>
      <c r="W186" s="1"/>
      <c r="X186" s="1"/>
      <c r="Y186" s="1" t="s">
        <v>49</v>
      </c>
      <c r="Z186" s="1"/>
      <c r="AA186" s="1" t="s">
        <v>40</v>
      </c>
      <c r="AB186" s="1" t="s">
        <v>945</v>
      </c>
      <c r="AC186" s="1"/>
    </row>
    <row r="187">
      <c r="A187" s="1" t="str">
        <f>"0007KJ"</f>
        <v>0007KJ</v>
      </c>
      <c r="B187" s="1" t="s">
        <v>964</v>
      </c>
      <c r="C187" s="1" t="s">
        <v>965</v>
      </c>
      <c r="D187" s="1" t="str">
        <f>"8024342462"</f>
        <v>8024342462</v>
      </c>
      <c r="E187" s="1">
        <v>2990.0</v>
      </c>
      <c r="F187" s="1" t="s">
        <v>44</v>
      </c>
      <c r="G187" s="1" t="s">
        <v>966</v>
      </c>
      <c r="H187" s="1">
        <v>3.0</v>
      </c>
      <c r="I187" s="1"/>
      <c r="J187" s="1"/>
      <c r="K187" s="1"/>
      <c r="L187" s="1"/>
      <c r="M187" s="1" t="s">
        <v>33</v>
      </c>
      <c r="N187" s="1" t="s">
        <v>161</v>
      </c>
      <c r="O187" s="1" t="s">
        <v>180</v>
      </c>
      <c r="P187" s="1" t="s">
        <v>36</v>
      </c>
      <c r="Q187" s="3">
        <v>36892.0</v>
      </c>
      <c r="R187" s="1"/>
      <c r="S187" s="3">
        <v>37452.0</v>
      </c>
      <c r="T187" s="1" t="s">
        <v>37</v>
      </c>
      <c r="U187" s="1"/>
      <c r="V187" s="1" t="s">
        <v>38</v>
      </c>
      <c r="W187" s="1">
        <v>44.281139</v>
      </c>
      <c r="X187" s="1">
        <v>-72.993584</v>
      </c>
      <c r="Y187" s="1" t="s">
        <v>967</v>
      </c>
      <c r="Z187" s="1"/>
      <c r="AA187" s="1" t="s">
        <v>40</v>
      </c>
      <c r="AB187" s="1" t="s">
        <v>181</v>
      </c>
      <c r="AC187" s="1">
        <v>5487.0</v>
      </c>
    </row>
    <row r="188">
      <c r="A188" s="1" t="str">
        <f>"0007ZW"</f>
        <v>0007ZW</v>
      </c>
      <c r="B188" s="1" t="s">
        <v>968</v>
      </c>
      <c r="C188" s="1" t="s">
        <v>969</v>
      </c>
      <c r="D188" s="1"/>
      <c r="E188" s="1">
        <v>2368.0</v>
      </c>
      <c r="F188" s="1" t="s">
        <v>44</v>
      </c>
      <c r="G188" s="1" t="s">
        <v>970</v>
      </c>
      <c r="H188" s="1"/>
      <c r="I188" s="1"/>
      <c r="J188" s="1"/>
      <c r="K188" s="1"/>
      <c r="L188" s="1"/>
      <c r="M188" s="1" t="s">
        <v>971</v>
      </c>
      <c r="N188" s="1" t="s">
        <v>47</v>
      </c>
      <c r="O188" s="1" t="s">
        <v>48</v>
      </c>
      <c r="P188" s="1"/>
      <c r="Q188" s="3">
        <v>36892.0</v>
      </c>
      <c r="R188" s="1"/>
      <c r="S188" s="1"/>
      <c r="T188" s="1" t="s">
        <v>37</v>
      </c>
      <c r="U188" s="1"/>
      <c r="V188" s="1" t="s">
        <v>38</v>
      </c>
      <c r="W188" s="1"/>
      <c r="X188" s="1"/>
      <c r="Y188" s="1" t="s">
        <v>49</v>
      </c>
      <c r="Z188" s="1"/>
      <c r="AA188" s="1" t="s">
        <v>40</v>
      </c>
      <c r="AB188" s="1" t="s">
        <v>50</v>
      </c>
      <c r="AC188" s="1"/>
    </row>
    <row r="189">
      <c r="A189" s="1" t="str">
        <f>"000871"</f>
        <v>000871</v>
      </c>
      <c r="B189" s="1" t="s">
        <v>972</v>
      </c>
      <c r="C189" s="1" t="s">
        <v>973</v>
      </c>
      <c r="D189" s="1" t="str">
        <f>"8027632439"</f>
        <v>8027632439</v>
      </c>
      <c r="E189" s="1">
        <v>2992.0</v>
      </c>
      <c r="F189" s="1" t="s">
        <v>117</v>
      </c>
      <c r="G189" s="1" t="s">
        <v>974</v>
      </c>
      <c r="H189" s="1">
        <v>9.0</v>
      </c>
      <c r="I189" s="1"/>
      <c r="J189" s="1"/>
      <c r="K189" s="1"/>
      <c r="L189" s="1"/>
      <c r="M189" s="1" t="s">
        <v>975</v>
      </c>
      <c r="N189" s="1" t="s">
        <v>142</v>
      </c>
      <c r="O189" s="1" t="s">
        <v>474</v>
      </c>
      <c r="P189" s="1"/>
      <c r="Q189" s="3">
        <v>36892.0</v>
      </c>
      <c r="R189" s="1"/>
      <c r="S189" s="3">
        <v>38855.0</v>
      </c>
      <c r="T189" s="1" t="s">
        <v>37</v>
      </c>
      <c r="U189" s="1"/>
      <c r="V189" s="1" t="s">
        <v>38</v>
      </c>
      <c r="W189" s="1"/>
      <c r="X189" s="1"/>
      <c r="Y189" s="1" t="s">
        <v>49</v>
      </c>
      <c r="Z189" s="1"/>
      <c r="AA189" s="1" t="s">
        <v>40</v>
      </c>
      <c r="AB189" s="1" t="s">
        <v>475</v>
      </c>
      <c r="AC189" s="1"/>
    </row>
    <row r="190">
      <c r="A190" s="1" t="str">
        <f>"000725"</f>
        <v>000725</v>
      </c>
      <c r="B190" s="1" t="s">
        <v>976</v>
      </c>
      <c r="C190" s="1" t="s">
        <v>977</v>
      </c>
      <c r="D190" s="1"/>
      <c r="E190" s="1">
        <v>2366.0</v>
      </c>
      <c r="F190" s="1" t="s">
        <v>44</v>
      </c>
      <c r="G190" s="1" t="s">
        <v>978</v>
      </c>
      <c r="H190" s="1"/>
      <c r="I190" s="1"/>
      <c r="J190" s="1"/>
      <c r="K190" s="1"/>
      <c r="L190" s="1"/>
      <c r="M190" s="1" t="s">
        <v>979</v>
      </c>
      <c r="N190" s="1" t="s">
        <v>47</v>
      </c>
      <c r="O190" s="1" t="s">
        <v>980</v>
      </c>
      <c r="P190" s="1"/>
      <c r="Q190" s="3">
        <v>36892.0</v>
      </c>
      <c r="R190" s="1"/>
      <c r="S190" s="1"/>
      <c r="T190" s="1" t="s">
        <v>37</v>
      </c>
      <c r="U190" s="1"/>
      <c r="V190" s="1" t="s">
        <v>38</v>
      </c>
      <c r="W190" s="1"/>
      <c r="X190" s="1"/>
      <c r="Y190" s="1" t="s">
        <v>49</v>
      </c>
      <c r="Z190" s="1"/>
      <c r="AA190" s="1" t="s">
        <v>40</v>
      </c>
      <c r="AB190" s="1" t="s">
        <v>981</v>
      </c>
      <c r="AC190" s="1"/>
    </row>
    <row r="191">
      <c r="A191" s="1" t="str">
        <f>"0008FK"</f>
        <v>0008FK</v>
      </c>
      <c r="B191" s="1" t="s">
        <v>982</v>
      </c>
      <c r="C191" s="1" t="s">
        <v>983</v>
      </c>
      <c r="D191" s="1" t="str">
        <f>"8026726188"</f>
        <v>8026726188</v>
      </c>
      <c r="E191" s="1">
        <v>2960.0</v>
      </c>
      <c r="F191" s="1" t="s">
        <v>44</v>
      </c>
      <c r="G191" s="1" t="s">
        <v>984</v>
      </c>
      <c r="H191" s="1">
        <v>4.0</v>
      </c>
      <c r="I191" s="1"/>
      <c r="J191" s="1"/>
      <c r="K191" s="1"/>
      <c r="L191" s="1"/>
      <c r="M191" s="1" t="s">
        <v>72</v>
      </c>
      <c r="N191" s="1" t="s">
        <v>34</v>
      </c>
      <c r="O191" s="1" t="s">
        <v>985</v>
      </c>
      <c r="P191" s="1"/>
      <c r="Q191" s="3">
        <v>36892.0</v>
      </c>
      <c r="R191" s="1"/>
      <c r="S191" s="3">
        <v>37165.0</v>
      </c>
      <c r="T191" s="1" t="s">
        <v>37</v>
      </c>
      <c r="U191" s="1"/>
      <c r="V191" s="1" t="s">
        <v>38</v>
      </c>
      <c r="W191" s="1">
        <v>43.6030159</v>
      </c>
      <c r="X191" s="1">
        <v>-72.698822</v>
      </c>
      <c r="Y191" s="1" t="s">
        <v>986</v>
      </c>
      <c r="Z191" s="1"/>
      <c r="AA191" s="1" t="s">
        <v>40</v>
      </c>
      <c r="AB191" s="1" t="s">
        <v>987</v>
      </c>
      <c r="AC191" s="1">
        <v>5035.0</v>
      </c>
    </row>
    <row r="192">
      <c r="A192" s="1" t="str">
        <f>"0008AN"</f>
        <v>0008AN</v>
      </c>
      <c r="B192" s="1" t="s">
        <v>988</v>
      </c>
      <c r="C192" s="1" t="s">
        <v>989</v>
      </c>
      <c r="D192" s="1" t="str">
        <f>"8025254044"</f>
        <v>8025254044</v>
      </c>
      <c r="E192" s="1">
        <v>3266.0</v>
      </c>
      <c r="F192" s="1" t="s">
        <v>117</v>
      </c>
      <c r="G192" s="1" t="s">
        <v>990</v>
      </c>
      <c r="H192" s="1">
        <v>11.0</v>
      </c>
      <c r="I192" s="2">
        <v>10.0</v>
      </c>
      <c r="J192" s="2">
        <v>10.0</v>
      </c>
      <c r="K192" s="2" t="s">
        <v>119</v>
      </c>
      <c r="L192" s="1"/>
      <c r="M192" s="1" t="s">
        <v>991</v>
      </c>
      <c r="N192" s="1" t="s">
        <v>94</v>
      </c>
      <c r="O192" s="1" t="s">
        <v>992</v>
      </c>
      <c r="P192" s="1" t="s">
        <v>988</v>
      </c>
      <c r="Q192" s="3">
        <v>36892.0</v>
      </c>
      <c r="R192" s="1"/>
      <c r="S192" s="3">
        <v>37032.0</v>
      </c>
      <c r="T192" s="1" t="s">
        <v>37</v>
      </c>
      <c r="U192" s="1"/>
      <c r="V192" s="1" t="s">
        <v>38</v>
      </c>
      <c r="W192" s="1">
        <v>44.71819</v>
      </c>
      <c r="X192" s="1">
        <v>-72.1997749999999</v>
      </c>
      <c r="Y192" s="1" t="s">
        <v>993</v>
      </c>
      <c r="Z192" s="1"/>
      <c r="AA192" s="1" t="s">
        <v>40</v>
      </c>
      <c r="AB192" s="1" t="s">
        <v>994</v>
      </c>
      <c r="AC192" s="1">
        <v>5839.0</v>
      </c>
    </row>
    <row r="193">
      <c r="A193" s="1" t="str">
        <f>"00087X"</f>
        <v>00087X</v>
      </c>
      <c r="B193" s="1" t="s">
        <v>995</v>
      </c>
      <c r="C193" s="1" t="s">
        <v>996</v>
      </c>
      <c r="D193" s="1" t="str">
        <f>"8028274436"</f>
        <v>8028274436</v>
      </c>
      <c r="E193" s="1">
        <v>2360.0</v>
      </c>
      <c r="F193" s="1" t="s">
        <v>44</v>
      </c>
      <c r="G193" s="1" t="s">
        <v>997</v>
      </c>
      <c r="H193" s="1">
        <v>7.0</v>
      </c>
      <c r="I193" s="1"/>
      <c r="J193" s="1"/>
      <c r="K193" s="1"/>
      <c r="L193" s="1"/>
      <c r="M193" s="1" t="s">
        <v>72</v>
      </c>
      <c r="N193" s="1" t="s">
        <v>47</v>
      </c>
      <c r="O193" s="1" t="s">
        <v>100</v>
      </c>
      <c r="P193" s="1"/>
      <c r="Q193" s="3">
        <v>36892.0</v>
      </c>
      <c r="R193" s="1"/>
      <c r="S193" s="3">
        <v>35990.0</v>
      </c>
      <c r="T193" s="1" t="s">
        <v>37</v>
      </c>
      <c r="U193" s="1"/>
      <c r="V193" s="1" t="s">
        <v>38</v>
      </c>
      <c r="W193" s="1"/>
      <c r="X193" s="1"/>
      <c r="Y193" s="1" t="s">
        <v>49</v>
      </c>
      <c r="Z193" s="1"/>
      <c r="AA193" s="1" t="s">
        <v>40</v>
      </c>
      <c r="AB193" s="1" t="s">
        <v>102</v>
      </c>
      <c r="AC193" s="1"/>
    </row>
    <row r="194">
      <c r="A194" s="1" t="str">
        <f>"0008V6"</f>
        <v>0008V6</v>
      </c>
      <c r="B194" s="1" t="s">
        <v>998</v>
      </c>
      <c r="C194" s="1" t="s">
        <v>999</v>
      </c>
      <c r="D194" s="1" t="str">
        <f>"8029482156"</f>
        <v>8029482156</v>
      </c>
      <c r="E194" s="1">
        <v>3307.0</v>
      </c>
      <c r="F194" s="1" t="s">
        <v>117</v>
      </c>
      <c r="G194" s="1" t="s">
        <v>1000</v>
      </c>
      <c r="H194" s="1">
        <v>3.0</v>
      </c>
      <c r="I194" s="2">
        <v>0.0</v>
      </c>
      <c r="J194" s="2">
        <v>0.0</v>
      </c>
      <c r="K194" s="2" t="s">
        <v>119</v>
      </c>
      <c r="L194" s="2" t="s">
        <v>1001</v>
      </c>
      <c r="M194" s="1" t="s">
        <v>1002</v>
      </c>
      <c r="N194" s="1" t="s">
        <v>161</v>
      </c>
      <c r="O194" s="1" t="s">
        <v>531</v>
      </c>
      <c r="P194" s="1" t="s">
        <v>1003</v>
      </c>
      <c r="Q194" s="3">
        <v>36892.0</v>
      </c>
      <c r="R194" s="1"/>
      <c r="S194" s="3">
        <v>38441.0</v>
      </c>
      <c r="T194" s="1" t="s">
        <v>37</v>
      </c>
      <c r="U194" s="1"/>
      <c r="V194" s="1" t="s">
        <v>38</v>
      </c>
      <c r="W194" s="1">
        <v>43.8488425307947</v>
      </c>
      <c r="X194" s="1">
        <v>-73.2472765445709</v>
      </c>
      <c r="Y194" s="1" t="s">
        <v>1004</v>
      </c>
      <c r="Z194" s="1"/>
      <c r="AA194" s="1" t="s">
        <v>40</v>
      </c>
      <c r="AB194" s="1" t="s">
        <v>532</v>
      </c>
      <c r="AC194" s="1">
        <v>5760.0</v>
      </c>
    </row>
    <row r="195">
      <c r="A195" s="1" t="str">
        <f>"00071H"</f>
        <v>00071H</v>
      </c>
      <c r="B195" s="1" t="s">
        <v>1005</v>
      </c>
      <c r="C195" s="1" t="s">
        <v>1006</v>
      </c>
      <c r="D195" s="1" t="str">
        <f>"8024396478"</f>
        <v>8024396478</v>
      </c>
      <c r="E195" s="1">
        <v>2358.0</v>
      </c>
      <c r="F195" s="1" t="s">
        <v>44</v>
      </c>
      <c r="G195" s="1" t="s">
        <v>1007</v>
      </c>
      <c r="H195" s="1">
        <v>2.0</v>
      </c>
      <c r="I195" s="1"/>
      <c r="J195" s="1"/>
      <c r="K195" s="1"/>
      <c r="L195" s="1"/>
      <c r="M195" s="1" t="s">
        <v>72</v>
      </c>
      <c r="N195" s="1" t="s">
        <v>142</v>
      </c>
      <c r="O195" s="1" t="s">
        <v>400</v>
      </c>
      <c r="P195" s="1"/>
      <c r="Q195" s="3">
        <v>36892.0</v>
      </c>
      <c r="R195" s="1"/>
      <c r="S195" s="3">
        <v>38874.0</v>
      </c>
      <c r="T195" s="1" t="s">
        <v>37</v>
      </c>
      <c r="U195" s="1"/>
      <c r="V195" s="1" t="s">
        <v>38</v>
      </c>
      <c r="W195" s="1"/>
      <c r="X195" s="1"/>
      <c r="Y195" s="1" t="s">
        <v>49</v>
      </c>
      <c r="Z195" s="1"/>
      <c r="AA195" s="1" t="s">
        <v>40</v>
      </c>
      <c r="AB195" s="1" t="s">
        <v>401</v>
      </c>
      <c r="AC195" s="1"/>
    </row>
    <row r="196">
      <c r="A196" s="1" t="str">
        <f>"00083A"</f>
        <v>00083A</v>
      </c>
      <c r="B196" s="1" t="s">
        <v>1008</v>
      </c>
      <c r="C196" s="1" t="s">
        <v>1009</v>
      </c>
      <c r="D196" s="1" t="str">
        <f>"8028787405"</f>
        <v>8028787405</v>
      </c>
      <c r="E196" s="1">
        <v>3443.0</v>
      </c>
      <c r="F196" s="1" t="s">
        <v>44</v>
      </c>
      <c r="G196" s="1" t="s">
        <v>1010</v>
      </c>
      <c r="H196" s="1">
        <v>1.0</v>
      </c>
      <c r="I196" s="1"/>
      <c r="J196" s="1"/>
      <c r="K196" s="1"/>
      <c r="L196" s="1"/>
      <c r="M196" s="1" t="s">
        <v>33</v>
      </c>
      <c r="N196" s="1" t="s">
        <v>57</v>
      </c>
      <c r="O196" s="1" t="s">
        <v>155</v>
      </c>
      <c r="P196" s="1" t="s">
        <v>36</v>
      </c>
      <c r="Q196" s="3">
        <v>36892.0</v>
      </c>
      <c r="R196" s="1"/>
      <c r="S196" s="1"/>
      <c r="T196" s="1" t="s">
        <v>37</v>
      </c>
      <c r="U196" s="1"/>
      <c r="V196" s="1" t="s">
        <v>38</v>
      </c>
      <c r="W196" s="1">
        <v>44.632321</v>
      </c>
      <c r="X196" s="1">
        <v>-72.966723</v>
      </c>
      <c r="Y196" s="1" t="s">
        <v>1011</v>
      </c>
      <c r="Z196" s="1"/>
      <c r="AA196" s="1" t="s">
        <v>40</v>
      </c>
      <c r="AB196" s="1" t="s">
        <v>156</v>
      </c>
      <c r="AC196" s="1">
        <v>5494.0</v>
      </c>
    </row>
    <row r="197">
      <c r="A197" s="1" t="str">
        <f>"00082M"</f>
        <v>00082M</v>
      </c>
      <c r="B197" s="1" t="s">
        <v>1012</v>
      </c>
      <c r="C197" s="1" t="s">
        <v>1013</v>
      </c>
      <c r="D197" s="1"/>
      <c r="E197" s="1">
        <v>2356.0</v>
      </c>
      <c r="F197" s="1" t="s">
        <v>44</v>
      </c>
      <c r="G197" s="1" t="s">
        <v>1014</v>
      </c>
      <c r="H197" s="1">
        <v>5.0</v>
      </c>
      <c r="I197" s="1"/>
      <c r="J197" s="1"/>
      <c r="K197" s="1"/>
      <c r="L197" s="1"/>
      <c r="M197" s="1" t="s">
        <v>72</v>
      </c>
      <c r="N197" s="1" t="s">
        <v>331</v>
      </c>
      <c r="O197" s="1" t="s">
        <v>1015</v>
      </c>
      <c r="P197" s="1"/>
      <c r="Q197" s="3">
        <v>36892.0</v>
      </c>
      <c r="R197" s="1"/>
      <c r="S197" s="3">
        <v>32707.0</v>
      </c>
      <c r="T197" s="1" t="s">
        <v>37</v>
      </c>
      <c r="U197" s="1"/>
      <c r="V197" s="1" t="s">
        <v>38</v>
      </c>
      <c r="W197" s="1"/>
      <c r="X197" s="1"/>
      <c r="Y197" s="1" t="s">
        <v>49</v>
      </c>
      <c r="Z197" s="1"/>
      <c r="AA197" s="1" t="s">
        <v>40</v>
      </c>
      <c r="AB197" s="1" t="s">
        <v>1016</v>
      </c>
      <c r="AC197" s="1"/>
    </row>
    <row r="198">
      <c r="A198" s="1" t="str">
        <f>"0007G0"</f>
        <v>0007G0</v>
      </c>
      <c r="B198" s="1" t="s">
        <v>442</v>
      </c>
      <c r="C198" s="1" t="s">
        <v>443</v>
      </c>
      <c r="D198" s="1" t="str">
        <f>"8026737760"</f>
        <v>8026737760</v>
      </c>
      <c r="E198" s="1">
        <v>3570.0</v>
      </c>
      <c r="F198" s="1" t="s">
        <v>117</v>
      </c>
      <c r="G198" s="1" t="s">
        <v>1017</v>
      </c>
      <c r="H198" s="1">
        <v>0.0</v>
      </c>
      <c r="I198" s="2" t="s">
        <v>119</v>
      </c>
      <c r="J198" s="2" t="s">
        <v>119</v>
      </c>
      <c r="K198" s="2" t="s">
        <v>119</v>
      </c>
      <c r="L198" s="1"/>
      <c r="M198" s="1" t="s">
        <v>1018</v>
      </c>
      <c r="N198" s="1" t="s">
        <v>94</v>
      </c>
      <c r="O198" s="1" t="s">
        <v>1019</v>
      </c>
      <c r="P198" s="1" t="s">
        <v>1020</v>
      </c>
      <c r="Q198" s="3">
        <v>36892.0</v>
      </c>
      <c r="R198" s="1"/>
      <c r="S198" s="1"/>
      <c r="T198" s="1" t="s">
        <v>37</v>
      </c>
      <c r="U198" s="1"/>
      <c r="V198" s="1" t="s">
        <v>38</v>
      </c>
      <c r="W198" s="1">
        <v>44.8917047</v>
      </c>
      <c r="X198" s="1">
        <v>-72.1496277</v>
      </c>
      <c r="Y198" s="1" t="s">
        <v>1021</v>
      </c>
      <c r="Z198" s="1"/>
      <c r="AA198" s="1" t="s">
        <v>40</v>
      </c>
      <c r="AB198" s="1" t="s">
        <v>1022</v>
      </c>
      <c r="AC198" s="1">
        <v>5855.0</v>
      </c>
    </row>
    <row r="199">
      <c r="A199" s="1" t="str">
        <f>"0008GD"</f>
        <v>0008GD</v>
      </c>
      <c r="B199" s="1" t="s">
        <v>1023</v>
      </c>
      <c r="C199" s="1" t="s">
        <v>1024</v>
      </c>
      <c r="D199" s="1" t="str">
        <f>"8026853855"</f>
        <v>8026853855</v>
      </c>
      <c r="E199" s="1">
        <v>3696.0</v>
      </c>
      <c r="F199" s="1" t="s">
        <v>44</v>
      </c>
      <c r="G199" s="1" t="s">
        <v>1025</v>
      </c>
      <c r="H199" s="1">
        <v>1.0</v>
      </c>
      <c r="I199" s="1"/>
      <c r="J199" s="1"/>
      <c r="K199" s="1"/>
      <c r="L199" s="1"/>
      <c r="M199" s="1" t="s">
        <v>72</v>
      </c>
      <c r="N199" s="1" t="s">
        <v>142</v>
      </c>
      <c r="O199" s="1" t="s">
        <v>1026</v>
      </c>
      <c r="P199" s="1"/>
      <c r="Q199" s="3">
        <v>36892.0</v>
      </c>
      <c r="R199" s="1"/>
      <c r="S199" s="3">
        <v>39644.0</v>
      </c>
      <c r="T199" s="1" t="s">
        <v>37</v>
      </c>
      <c r="U199" s="1"/>
      <c r="V199" s="1" t="s">
        <v>38</v>
      </c>
      <c r="W199" s="1"/>
      <c r="X199" s="1"/>
      <c r="Y199" s="1" t="s">
        <v>49</v>
      </c>
      <c r="Z199" s="1"/>
      <c r="AA199" s="1" t="s">
        <v>40</v>
      </c>
      <c r="AB199" s="1" t="s">
        <v>135</v>
      </c>
      <c r="AC199" s="1"/>
    </row>
    <row r="200">
      <c r="A200" s="1" t="str">
        <f>"0008FD"</f>
        <v>0008FD</v>
      </c>
      <c r="B200" s="1" t="s">
        <v>1027</v>
      </c>
      <c r="C200" s="1" t="s">
        <v>1028</v>
      </c>
      <c r="D200" s="1" t="str">
        <f>"8026852157"</f>
        <v>8026852157</v>
      </c>
      <c r="E200" s="1">
        <v>3714.0</v>
      </c>
      <c r="F200" s="1" t="s">
        <v>117</v>
      </c>
      <c r="G200" s="1" t="s">
        <v>1029</v>
      </c>
      <c r="H200" s="1">
        <v>2.0</v>
      </c>
      <c r="I200" s="2" t="s">
        <v>119</v>
      </c>
      <c r="J200" s="2" t="s">
        <v>119</v>
      </c>
      <c r="K200" s="2" t="s">
        <v>119</v>
      </c>
      <c r="L200" s="1"/>
      <c r="M200" s="1" t="s">
        <v>1030</v>
      </c>
      <c r="N200" s="1" t="s">
        <v>142</v>
      </c>
      <c r="O200" s="1" t="s">
        <v>844</v>
      </c>
      <c r="P200" s="1" t="s">
        <v>1031</v>
      </c>
      <c r="Q200" s="3">
        <v>36892.0</v>
      </c>
      <c r="R200" s="1"/>
      <c r="S200" s="3">
        <v>39282.0</v>
      </c>
      <c r="T200" s="1" t="s">
        <v>37</v>
      </c>
      <c r="U200" s="1"/>
      <c r="V200" s="1" t="s">
        <v>38</v>
      </c>
      <c r="W200" s="1">
        <v>43.970009</v>
      </c>
      <c r="X200" s="1">
        <v>-72.417053</v>
      </c>
      <c r="Y200" s="1" t="s">
        <v>1032</v>
      </c>
      <c r="Z200" s="1"/>
      <c r="AA200" s="1" t="s">
        <v>40</v>
      </c>
      <c r="AB200" s="1" t="s">
        <v>847</v>
      </c>
      <c r="AC200" s="1">
        <v>5038.0</v>
      </c>
    </row>
    <row r="201">
      <c r="A201" s="1" t="str">
        <f>"00082G"</f>
        <v>00082G</v>
      </c>
      <c r="B201" s="1" t="s">
        <v>1033</v>
      </c>
      <c r="C201" s="1" t="s">
        <v>1034</v>
      </c>
      <c r="D201" s="1" t="str">
        <f>"8028635385"</f>
        <v>8028635385</v>
      </c>
      <c r="E201" s="1">
        <v>2342.0</v>
      </c>
      <c r="F201" s="1" t="s">
        <v>44</v>
      </c>
      <c r="G201" s="1" t="s">
        <v>1035</v>
      </c>
      <c r="H201" s="1">
        <v>1.0</v>
      </c>
      <c r="I201" s="1"/>
      <c r="J201" s="1"/>
      <c r="K201" s="1"/>
      <c r="L201" s="1"/>
      <c r="M201" s="1" t="s">
        <v>1036</v>
      </c>
      <c r="N201" s="1" t="s">
        <v>57</v>
      </c>
      <c r="O201" s="1" t="s">
        <v>175</v>
      </c>
      <c r="P201" s="1"/>
      <c r="Q201" s="3">
        <v>36892.0</v>
      </c>
      <c r="R201" s="1"/>
      <c r="S201" s="3">
        <v>32374.0</v>
      </c>
      <c r="T201" s="1" t="s">
        <v>37</v>
      </c>
      <c r="U201" s="1"/>
      <c r="V201" s="1" t="s">
        <v>38</v>
      </c>
      <c r="W201" s="1"/>
      <c r="X201" s="1"/>
      <c r="Y201" s="1" t="s">
        <v>49</v>
      </c>
      <c r="Z201" s="1"/>
      <c r="AA201" s="1" t="s">
        <v>40</v>
      </c>
      <c r="AB201" s="1" t="s">
        <v>176</v>
      </c>
      <c r="AC201" s="1"/>
    </row>
    <row r="202">
      <c r="A202" s="1" t="str">
        <f>"0008MN"</f>
        <v>0008MN</v>
      </c>
      <c r="B202" s="1" t="s">
        <v>1037</v>
      </c>
      <c r="C202" s="1" t="s">
        <v>1038</v>
      </c>
      <c r="D202" s="1" t="str">
        <f>"8023725825"</f>
        <v>8023725825</v>
      </c>
      <c r="E202" s="1">
        <v>3057.0</v>
      </c>
      <c r="F202" s="1" t="s">
        <v>44</v>
      </c>
      <c r="G202" s="1" t="s">
        <v>1039</v>
      </c>
      <c r="H202" s="1">
        <v>2.0</v>
      </c>
      <c r="I202" s="1"/>
      <c r="J202" s="1"/>
      <c r="K202" s="1"/>
      <c r="L202" s="1"/>
      <c r="M202" s="1" t="s">
        <v>1040</v>
      </c>
      <c r="N202" s="1" t="s">
        <v>107</v>
      </c>
      <c r="O202" s="1" t="s">
        <v>108</v>
      </c>
      <c r="P202" s="1"/>
      <c r="Q202" s="3">
        <v>36892.0</v>
      </c>
      <c r="R202" s="1"/>
      <c r="S202" s="3">
        <v>35975.0</v>
      </c>
      <c r="T202" s="1" t="s">
        <v>37</v>
      </c>
      <c r="U202" s="1"/>
      <c r="V202" s="1" t="s">
        <v>38</v>
      </c>
      <c r="W202" s="1"/>
      <c r="X202" s="1"/>
      <c r="Y202" s="1" t="s">
        <v>49</v>
      </c>
      <c r="Z202" s="1"/>
      <c r="AA202" s="1" t="s">
        <v>40</v>
      </c>
      <c r="AB202" s="1" t="s">
        <v>107</v>
      </c>
      <c r="AC202" s="1"/>
    </row>
    <row r="203">
      <c r="A203" s="1" t="str">
        <f>"000859"</f>
        <v>000859</v>
      </c>
      <c r="B203" s="1" t="s">
        <v>1041</v>
      </c>
      <c r="C203" s="1" t="s">
        <v>1042</v>
      </c>
      <c r="D203" s="1" t="str">
        <f>"8027654296"</f>
        <v>8027654296</v>
      </c>
      <c r="E203" s="1">
        <v>3995.0</v>
      </c>
      <c r="F203" s="1" t="s">
        <v>44</v>
      </c>
      <c r="G203" s="1" t="s">
        <v>1043</v>
      </c>
      <c r="H203" s="1">
        <v>1.0</v>
      </c>
      <c r="I203" s="1"/>
      <c r="J203" s="1"/>
      <c r="K203" s="1"/>
      <c r="L203" s="1"/>
      <c r="M203" s="1" t="s">
        <v>72</v>
      </c>
      <c r="N203" s="1" t="s">
        <v>142</v>
      </c>
      <c r="O203" s="1" t="s">
        <v>243</v>
      </c>
      <c r="P203" s="1"/>
      <c r="Q203" s="3">
        <v>36892.0</v>
      </c>
      <c r="R203" s="1"/>
      <c r="S203" s="3">
        <v>40024.0</v>
      </c>
      <c r="T203" s="1" t="s">
        <v>37</v>
      </c>
      <c r="U203" s="1"/>
      <c r="V203" s="1" t="s">
        <v>38</v>
      </c>
      <c r="W203" s="1"/>
      <c r="X203" s="1"/>
      <c r="Y203" s="1" t="s">
        <v>49</v>
      </c>
      <c r="Z203" s="1"/>
      <c r="AA203" s="1" t="s">
        <v>40</v>
      </c>
      <c r="AB203" s="1" t="s">
        <v>246</v>
      </c>
      <c r="AC203" s="1"/>
    </row>
    <row r="204">
      <c r="A204" s="1" t="str">
        <f>"0008FM"</f>
        <v>0008FM</v>
      </c>
      <c r="B204" s="1" t="s">
        <v>1044</v>
      </c>
      <c r="C204" s="1" t="s">
        <v>1045</v>
      </c>
      <c r="D204" s="1"/>
      <c r="E204" s="1">
        <v>2339.0</v>
      </c>
      <c r="F204" s="1" t="s">
        <v>44</v>
      </c>
      <c r="G204" s="1" t="s">
        <v>1046</v>
      </c>
      <c r="H204" s="1"/>
      <c r="I204" s="1"/>
      <c r="J204" s="1"/>
      <c r="K204" s="1"/>
      <c r="L204" s="1"/>
      <c r="M204" s="1" t="s">
        <v>1047</v>
      </c>
      <c r="N204" s="1" t="s">
        <v>128</v>
      </c>
      <c r="O204" s="1" t="s">
        <v>1048</v>
      </c>
      <c r="P204" s="1"/>
      <c r="Q204" s="3">
        <v>36892.0</v>
      </c>
      <c r="R204" s="1"/>
      <c r="S204" s="1"/>
      <c r="T204" s="1" t="s">
        <v>37</v>
      </c>
      <c r="U204" s="1"/>
      <c r="V204" s="1" t="s">
        <v>38</v>
      </c>
      <c r="W204" s="1"/>
      <c r="X204" s="1"/>
      <c r="Y204" s="1" t="s">
        <v>49</v>
      </c>
      <c r="Z204" s="1"/>
      <c r="AA204" s="1" t="s">
        <v>40</v>
      </c>
      <c r="AB204" s="1" t="s">
        <v>1049</v>
      </c>
      <c r="AC204" s="1"/>
    </row>
    <row r="205">
      <c r="A205" s="1" t="str">
        <f>"0008FX"</f>
        <v>0008FX</v>
      </c>
      <c r="B205" s="1" t="s">
        <v>1050</v>
      </c>
      <c r="C205" s="1" t="s">
        <v>1051</v>
      </c>
      <c r="D205" s="1" t="str">
        <f>"8028977221"</f>
        <v>8028977221</v>
      </c>
      <c r="E205" s="1">
        <v>2336.0</v>
      </c>
      <c r="F205" s="1" t="s">
        <v>44</v>
      </c>
      <c r="G205" s="1" t="s">
        <v>1052</v>
      </c>
      <c r="H205" s="1">
        <v>2.0</v>
      </c>
      <c r="I205" s="1"/>
      <c r="J205" s="1"/>
      <c r="K205" s="1"/>
      <c r="L205" s="1"/>
      <c r="M205" s="1" t="s">
        <v>72</v>
      </c>
      <c r="N205" s="1" t="s">
        <v>161</v>
      </c>
      <c r="O205" s="1" t="s">
        <v>1053</v>
      </c>
      <c r="P205" s="1"/>
      <c r="Q205" s="3">
        <v>36892.0</v>
      </c>
      <c r="R205" s="1"/>
      <c r="S205" s="3">
        <v>36699.0</v>
      </c>
      <c r="T205" s="1" t="s">
        <v>37</v>
      </c>
      <c r="U205" s="1"/>
      <c r="V205" s="1" t="s">
        <v>38</v>
      </c>
      <c r="W205" s="1"/>
      <c r="X205" s="1"/>
      <c r="Y205" s="1" t="s">
        <v>49</v>
      </c>
      <c r="Z205" s="1"/>
      <c r="AA205" s="1" t="s">
        <v>40</v>
      </c>
      <c r="AB205" s="1" t="s">
        <v>1054</v>
      </c>
      <c r="AC205" s="1"/>
    </row>
    <row r="206">
      <c r="A206" s="1" t="str">
        <f>"0007YG"</f>
        <v>0007YG</v>
      </c>
      <c r="B206" s="1" t="s">
        <v>1055</v>
      </c>
      <c r="C206" s="1" t="s">
        <v>1056</v>
      </c>
      <c r="D206" s="1"/>
      <c r="E206" s="1">
        <v>2335.0</v>
      </c>
      <c r="F206" s="1" t="s">
        <v>44</v>
      </c>
      <c r="G206" s="1" t="s">
        <v>1057</v>
      </c>
      <c r="H206" s="1"/>
      <c r="I206" s="1"/>
      <c r="J206" s="1"/>
      <c r="K206" s="1"/>
      <c r="L206" s="1"/>
      <c r="M206" s="1" t="s">
        <v>72</v>
      </c>
      <c r="N206" s="1" t="s">
        <v>94</v>
      </c>
      <c r="O206" s="1" t="s">
        <v>1058</v>
      </c>
      <c r="P206" s="1"/>
      <c r="Q206" s="3">
        <v>36892.0</v>
      </c>
      <c r="R206" s="1"/>
      <c r="S206" s="1"/>
      <c r="T206" s="1" t="s">
        <v>37</v>
      </c>
      <c r="U206" s="1"/>
      <c r="V206" s="1" t="s">
        <v>38</v>
      </c>
      <c r="W206" s="1"/>
      <c r="X206" s="1"/>
      <c r="Y206" s="1" t="s">
        <v>49</v>
      </c>
      <c r="Z206" s="1"/>
      <c r="AA206" s="1" t="s">
        <v>40</v>
      </c>
      <c r="AB206" s="1" t="s">
        <v>1059</v>
      </c>
      <c r="AC206" s="1"/>
    </row>
    <row r="207">
      <c r="A207" s="1" t="str">
        <f>"00090Z"</f>
        <v>00090Z</v>
      </c>
      <c r="B207" s="1" t="s">
        <v>1060</v>
      </c>
      <c r="C207" s="1" t="s">
        <v>1061</v>
      </c>
      <c r="D207" s="1" t="str">
        <f>"8022351042"</f>
        <v>8022351042</v>
      </c>
      <c r="E207" s="1">
        <v>3613.0</v>
      </c>
      <c r="F207" s="1" t="s">
        <v>44</v>
      </c>
      <c r="G207" s="1" t="s">
        <v>1062</v>
      </c>
      <c r="H207" s="1">
        <v>2.0</v>
      </c>
      <c r="I207" s="1"/>
      <c r="J207" s="1"/>
      <c r="K207" s="1"/>
      <c r="L207" s="1"/>
      <c r="M207" s="1" t="s">
        <v>1063</v>
      </c>
      <c r="N207" s="1" t="s">
        <v>78</v>
      </c>
      <c r="O207" s="1" t="s">
        <v>420</v>
      </c>
      <c r="P207" s="1"/>
      <c r="Q207" s="3">
        <v>36892.0</v>
      </c>
      <c r="R207" s="1"/>
      <c r="S207" s="3">
        <v>38540.0</v>
      </c>
      <c r="T207" s="1" t="s">
        <v>37</v>
      </c>
      <c r="U207" s="1"/>
      <c r="V207" s="1" t="s">
        <v>38</v>
      </c>
      <c r="W207" s="1"/>
      <c r="X207" s="1"/>
      <c r="Y207" s="1" t="s">
        <v>49</v>
      </c>
      <c r="Z207" s="1"/>
      <c r="AA207" s="1" t="s">
        <v>40</v>
      </c>
      <c r="AB207" s="1" t="s">
        <v>421</v>
      </c>
      <c r="AC207" s="1"/>
    </row>
    <row r="208">
      <c r="A208" s="1" t="str">
        <f>"0007ZQ"</f>
        <v>0007ZQ</v>
      </c>
      <c r="B208" s="1" t="s">
        <v>1064</v>
      </c>
      <c r="C208" s="1" t="s">
        <v>1065</v>
      </c>
      <c r="D208" s="1" t="str">
        <f>"8022256051"</f>
        <v>8022256051</v>
      </c>
      <c r="E208" s="1">
        <v>1395.0</v>
      </c>
      <c r="F208" s="1" t="s">
        <v>117</v>
      </c>
      <c r="G208" s="1" t="s">
        <v>1066</v>
      </c>
      <c r="H208" s="1">
        <v>24.0</v>
      </c>
      <c r="I208" s="2" t="s">
        <v>119</v>
      </c>
      <c r="J208" s="2" t="s">
        <v>119</v>
      </c>
      <c r="K208" s="2" t="s">
        <v>119</v>
      </c>
      <c r="L208" s="1"/>
      <c r="M208" s="1" t="s">
        <v>1067</v>
      </c>
      <c r="N208" s="1" t="s">
        <v>57</v>
      </c>
      <c r="O208" s="1" t="s">
        <v>238</v>
      </c>
      <c r="P208" s="1" t="s">
        <v>1068</v>
      </c>
      <c r="Q208" s="3">
        <v>36892.0</v>
      </c>
      <c r="R208" s="1"/>
      <c r="S208" s="3">
        <v>40107.0</v>
      </c>
      <c r="T208" s="1" t="s">
        <v>37</v>
      </c>
      <c r="U208" s="1"/>
      <c r="V208" s="1" t="s">
        <v>38</v>
      </c>
      <c r="W208" s="1">
        <v>44.4079459</v>
      </c>
      <c r="X208" s="1">
        <v>-73.1706879999999</v>
      </c>
      <c r="Y208" s="1" t="s">
        <v>1069</v>
      </c>
      <c r="Z208" s="1"/>
      <c r="AA208" s="1" t="s">
        <v>40</v>
      </c>
      <c r="AB208" s="1" t="s">
        <v>239</v>
      </c>
      <c r="AC208" s="1">
        <v>5482.0</v>
      </c>
    </row>
    <row r="209">
      <c r="A209" s="1" t="str">
        <f>"0007QV"</f>
        <v>0007QV</v>
      </c>
      <c r="B209" s="1" t="s">
        <v>1070</v>
      </c>
      <c r="C209" s="1" t="s">
        <v>1071</v>
      </c>
      <c r="D209" s="1" t="str">
        <f>"8024263564"</f>
        <v>8024263564</v>
      </c>
      <c r="E209" s="1">
        <v>1120.0</v>
      </c>
      <c r="F209" s="1" t="s">
        <v>44</v>
      </c>
      <c r="G209" s="1" t="s">
        <v>1072</v>
      </c>
      <c r="H209" s="1">
        <v>2.0</v>
      </c>
      <c r="I209" s="1"/>
      <c r="J209" s="1"/>
      <c r="K209" s="1"/>
      <c r="L209" s="1"/>
      <c r="M209" s="1" t="s">
        <v>72</v>
      </c>
      <c r="N209" s="1" t="s">
        <v>135</v>
      </c>
      <c r="O209" s="1" t="s">
        <v>1073</v>
      </c>
      <c r="P209" s="1"/>
      <c r="Q209" s="3">
        <v>36892.0</v>
      </c>
      <c r="R209" s="1"/>
      <c r="S209" s="3">
        <v>37028.0</v>
      </c>
      <c r="T209" s="1" t="s">
        <v>37</v>
      </c>
      <c r="U209" s="1"/>
      <c r="V209" s="1" t="s">
        <v>38</v>
      </c>
      <c r="W209" s="1">
        <v>44.36734</v>
      </c>
      <c r="X209" s="1">
        <v>-72.375696</v>
      </c>
      <c r="Y209" s="1" t="s">
        <v>1074</v>
      </c>
      <c r="Z209" s="1"/>
      <c r="AA209" s="1" t="s">
        <v>40</v>
      </c>
      <c r="AB209" s="1" t="s">
        <v>1075</v>
      </c>
      <c r="AC209" s="1">
        <v>5658.0</v>
      </c>
    </row>
    <row r="210">
      <c r="A210" s="1" t="str">
        <f>"00071J"</f>
        <v>00071J</v>
      </c>
      <c r="B210" s="1" t="s">
        <v>1076</v>
      </c>
      <c r="C210" s="1" t="s">
        <v>1077</v>
      </c>
      <c r="D210" s="1" t="str">
        <f>"8024725943"</f>
        <v>8024725943</v>
      </c>
      <c r="E210" s="1">
        <v>2323.0</v>
      </c>
      <c r="F210" s="1" t="s">
        <v>44</v>
      </c>
      <c r="G210" s="1" t="s">
        <v>1078</v>
      </c>
      <c r="H210" s="1"/>
      <c r="I210" s="1"/>
      <c r="J210" s="1"/>
      <c r="K210" s="1"/>
      <c r="L210" s="1"/>
      <c r="M210" s="1" t="s">
        <v>72</v>
      </c>
      <c r="N210" s="1" t="s">
        <v>128</v>
      </c>
      <c r="O210" s="1" t="s">
        <v>1079</v>
      </c>
      <c r="P210" s="1"/>
      <c r="Q210" s="3">
        <v>36892.0</v>
      </c>
      <c r="R210" s="1"/>
      <c r="S210" s="1"/>
      <c r="T210" s="1" t="s">
        <v>37</v>
      </c>
      <c r="U210" s="1"/>
      <c r="V210" s="1" t="s">
        <v>38</v>
      </c>
      <c r="W210" s="1"/>
      <c r="X210" s="1"/>
      <c r="Y210" s="1" t="s">
        <v>49</v>
      </c>
      <c r="Z210" s="1"/>
      <c r="AA210" s="1" t="s">
        <v>40</v>
      </c>
      <c r="AB210" s="1" t="s">
        <v>1080</v>
      </c>
      <c r="AC210" s="1"/>
    </row>
    <row r="211">
      <c r="A211" s="1" t="str">
        <f>"0007MX"</f>
        <v>0007MX</v>
      </c>
      <c r="B211" s="1" t="s">
        <v>1081</v>
      </c>
      <c r="C211" s="1" t="s">
        <v>1082</v>
      </c>
      <c r="D211" s="1" t="str">
        <f>"8026745280"</f>
        <v>8026745280</v>
      </c>
      <c r="E211" s="1">
        <v>972.0</v>
      </c>
      <c r="F211" s="1" t="s">
        <v>44</v>
      </c>
      <c r="G211" s="1" t="s">
        <v>1083</v>
      </c>
      <c r="H211" s="1">
        <v>1.0</v>
      </c>
      <c r="I211" s="1"/>
      <c r="J211" s="1"/>
      <c r="K211" s="1"/>
      <c r="L211" s="1"/>
      <c r="M211" s="1" t="s">
        <v>1084</v>
      </c>
      <c r="N211" s="1" t="s">
        <v>34</v>
      </c>
      <c r="O211" s="1" t="s">
        <v>1085</v>
      </c>
      <c r="P211" s="1"/>
      <c r="Q211" s="3">
        <v>36892.0</v>
      </c>
      <c r="R211" s="1"/>
      <c r="S211" s="3">
        <v>36007.0</v>
      </c>
      <c r="T211" s="1" t="s">
        <v>37</v>
      </c>
      <c r="U211" s="1"/>
      <c r="V211" s="1" t="s">
        <v>38</v>
      </c>
      <c r="W211" s="1"/>
      <c r="X211" s="1"/>
      <c r="Y211" s="1" t="s">
        <v>49</v>
      </c>
      <c r="Z211" s="1"/>
      <c r="AA211" s="1" t="s">
        <v>40</v>
      </c>
      <c r="AB211" s="1" t="s">
        <v>1086</v>
      </c>
      <c r="AC211" s="1"/>
    </row>
    <row r="212">
      <c r="A212" s="1" t="str">
        <f>"000715"</f>
        <v>000715</v>
      </c>
      <c r="B212" s="1" t="s">
        <v>1087</v>
      </c>
      <c r="C212" s="1" t="s">
        <v>1088</v>
      </c>
      <c r="D212" s="1" t="str">
        <f>"8022956350"</f>
        <v>8022956350</v>
      </c>
      <c r="E212" s="1">
        <v>3732.0</v>
      </c>
      <c r="F212" s="1" t="s">
        <v>117</v>
      </c>
      <c r="G212" s="1" t="s">
        <v>1089</v>
      </c>
      <c r="H212" s="1">
        <v>2.0</v>
      </c>
      <c r="I212" s="2">
        <v>0.0</v>
      </c>
      <c r="J212" s="2">
        <v>0.0</v>
      </c>
      <c r="K212" s="2" t="s">
        <v>119</v>
      </c>
      <c r="L212" s="1"/>
      <c r="M212" s="1" t="s">
        <v>1090</v>
      </c>
      <c r="N212" s="1" t="s">
        <v>34</v>
      </c>
      <c r="O212" s="1" t="s">
        <v>953</v>
      </c>
      <c r="P212" s="1" t="s">
        <v>1091</v>
      </c>
      <c r="Q212" s="3">
        <v>36892.0</v>
      </c>
      <c r="R212" s="1"/>
      <c r="S212" s="3">
        <v>42908.0</v>
      </c>
      <c r="T212" s="1" t="s">
        <v>37</v>
      </c>
      <c r="U212" s="1"/>
      <c r="V212" s="1" t="s">
        <v>38</v>
      </c>
      <c r="W212" s="1">
        <v>43.676414</v>
      </c>
      <c r="X212" s="1">
        <v>-72.345909</v>
      </c>
      <c r="Y212" s="1" t="s">
        <v>1092</v>
      </c>
      <c r="Z212" s="1"/>
      <c r="AA212" s="1" t="s">
        <v>40</v>
      </c>
      <c r="AB212" s="1" t="s">
        <v>954</v>
      </c>
      <c r="AC212" s="1">
        <v>5001.0</v>
      </c>
    </row>
    <row r="213">
      <c r="A213" s="1" t="str">
        <f>"00088J"</f>
        <v>00088J</v>
      </c>
      <c r="B213" s="1" t="s">
        <v>1093</v>
      </c>
      <c r="C213" s="1" t="s">
        <v>1094</v>
      </c>
      <c r="D213" s="1" t="str">
        <f>"8026442436"</f>
        <v>8026442436</v>
      </c>
      <c r="E213" s="1">
        <v>2319.0</v>
      </c>
      <c r="F213" s="1" t="s">
        <v>44</v>
      </c>
      <c r="G213" s="1" t="s">
        <v>1095</v>
      </c>
      <c r="H213" s="1">
        <v>7.0</v>
      </c>
      <c r="I213" s="1"/>
      <c r="J213" s="1"/>
      <c r="K213" s="1"/>
      <c r="L213" s="1"/>
      <c r="M213" s="1" t="s">
        <v>1096</v>
      </c>
      <c r="N213" s="1" t="s">
        <v>57</v>
      </c>
      <c r="O213" s="1" t="s">
        <v>256</v>
      </c>
      <c r="P213" s="1"/>
      <c r="Q213" s="3">
        <v>36892.0</v>
      </c>
      <c r="R213" s="1"/>
      <c r="S213" s="3">
        <v>32626.0</v>
      </c>
      <c r="T213" s="1" t="s">
        <v>37</v>
      </c>
      <c r="U213" s="1"/>
      <c r="V213" s="1" t="s">
        <v>38</v>
      </c>
      <c r="W213" s="1"/>
      <c r="X213" s="1"/>
      <c r="Y213" s="1" t="s">
        <v>49</v>
      </c>
      <c r="Z213" s="1"/>
      <c r="AA213" s="1" t="s">
        <v>40</v>
      </c>
      <c r="AB213" s="1" t="s">
        <v>257</v>
      </c>
      <c r="AC213" s="1"/>
    </row>
    <row r="214">
      <c r="A214" s="1" t="str">
        <f>"0007WA"</f>
        <v>0007WA</v>
      </c>
      <c r="B214" s="1" t="s">
        <v>157</v>
      </c>
      <c r="C214" s="1" t="s">
        <v>158</v>
      </c>
      <c r="D214" s="1" t="str">
        <f>"8029482057"</f>
        <v>8029482057</v>
      </c>
      <c r="E214" s="1">
        <v>1217.0</v>
      </c>
      <c r="F214" s="1" t="s">
        <v>31</v>
      </c>
      <c r="G214" s="1" t="s">
        <v>1097</v>
      </c>
      <c r="H214" s="1">
        <v>0.0</v>
      </c>
      <c r="I214" s="1"/>
      <c r="J214" s="1"/>
      <c r="K214" s="1"/>
      <c r="L214" s="1"/>
      <c r="M214" s="1" t="s">
        <v>1098</v>
      </c>
      <c r="N214" s="1" t="s">
        <v>161</v>
      </c>
      <c r="O214" s="1" t="s">
        <v>1053</v>
      </c>
      <c r="P214" s="1" t="s">
        <v>1099</v>
      </c>
      <c r="Q214" s="3">
        <v>36892.0</v>
      </c>
      <c r="R214" s="1"/>
      <c r="S214" s="3">
        <v>41547.0</v>
      </c>
      <c r="T214" s="1" t="s">
        <v>164</v>
      </c>
      <c r="U214" s="1"/>
      <c r="V214" s="1" t="s">
        <v>38</v>
      </c>
      <c r="W214" s="1"/>
      <c r="X214" s="1"/>
      <c r="Y214" s="1" t="s">
        <v>49</v>
      </c>
      <c r="Z214" s="1"/>
      <c r="AA214" s="1" t="s">
        <v>40</v>
      </c>
      <c r="AB214" s="1" t="s">
        <v>1054</v>
      </c>
      <c r="AC214" s="1">
        <v>0.0</v>
      </c>
    </row>
    <row r="215">
      <c r="A215" s="1" t="str">
        <f>"0008FF"</f>
        <v>0008FF</v>
      </c>
      <c r="B215" s="1" t="s">
        <v>1100</v>
      </c>
      <c r="C215" s="1" t="s">
        <v>1101</v>
      </c>
      <c r="D215" s="1" t="str">
        <f>"8028496138"</f>
        <v>8028496138</v>
      </c>
      <c r="E215" s="1">
        <v>2317.0</v>
      </c>
      <c r="F215" s="1" t="s">
        <v>44</v>
      </c>
      <c r="G215" s="1" t="s">
        <v>1102</v>
      </c>
      <c r="H215" s="1"/>
      <c r="I215" s="1"/>
      <c r="J215" s="1"/>
      <c r="K215" s="1"/>
      <c r="L215" s="1"/>
      <c r="M215" s="1" t="s">
        <v>1103</v>
      </c>
      <c r="N215" s="1" t="s">
        <v>47</v>
      </c>
      <c r="O215" s="1" t="s">
        <v>100</v>
      </c>
      <c r="P215" s="1"/>
      <c r="Q215" s="3">
        <v>36892.0</v>
      </c>
      <c r="R215" s="1"/>
      <c r="S215" s="1"/>
      <c r="T215" s="1" t="s">
        <v>37</v>
      </c>
      <c r="U215" s="1"/>
      <c r="V215" s="1" t="s">
        <v>38</v>
      </c>
      <c r="W215" s="1"/>
      <c r="X215" s="1"/>
      <c r="Y215" s="1" t="s">
        <v>49</v>
      </c>
      <c r="Z215" s="1"/>
      <c r="AA215" s="1" t="s">
        <v>40</v>
      </c>
      <c r="AB215" s="1" t="s">
        <v>102</v>
      </c>
      <c r="AC215" s="1"/>
    </row>
    <row r="216">
      <c r="A216" s="1" t="str">
        <f>"0007X5"</f>
        <v>0007X5</v>
      </c>
      <c r="B216" s="1" t="s">
        <v>1104</v>
      </c>
      <c r="C216" s="1" t="s">
        <v>1105</v>
      </c>
      <c r="D216" s="1" t="str">
        <f>"8024547157"</f>
        <v>8024547157</v>
      </c>
      <c r="E216" s="1">
        <v>2316.0</v>
      </c>
      <c r="F216" s="1" t="s">
        <v>44</v>
      </c>
      <c r="G216" s="1" t="s">
        <v>1106</v>
      </c>
      <c r="H216" s="1">
        <v>2.0</v>
      </c>
      <c r="I216" s="1"/>
      <c r="J216" s="1"/>
      <c r="K216" s="1"/>
      <c r="L216" s="1"/>
      <c r="M216" s="1" t="s">
        <v>1107</v>
      </c>
      <c r="N216" s="1" t="s">
        <v>135</v>
      </c>
      <c r="O216" s="1" t="s">
        <v>758</v>
      </c>
      <c r="P216" s="1"/>
      <c r="Q216" s="3">
        <v>36892.0</v>
      </c>
      <c r="R216" s="1"/>
      <c r="S216" s="3">
        <v>32300.0</v>
      </c>
      <c r="T216" s="1" t="s">
        <v>37</v>
      </c>
      <c r="U216" s="1"/>
      <c r="V216" s="1" t="s">
        <v>38</v>
      </c>
      <c r="W216" s="1"/>
      <c r="X216" s="1"/>
      <c r="Y216" s="1" t="s">
        <v>49</v>
      </c>
      <c r="Z216" s="1"/>
      <c r="AA216" s="1" t="s">
        <v>40</v>
      </c>
      <c r="AB216" s="1" t="s">
        <v>759</v>
      </c>
      <c r="AC216" s="1"/>
    </row>
    <row r="217">
      <c r="A217" s="1" t="str">
        <f>"00081Y"</f>
        <v>00081Y</v>
      </c>
      <c r="B217" s="1" t="s">
        <v>1108</v>
      </c>
      <c r="C217" s="1" t="s">
        <v>1109</v>
      </c>
      <c r="D217" s="1" t="str">
        <f>"8025242433"</f>
        <v>8025242433</v>
      </c>
      <c r="E217" s="1">
        <v>1523.0</v>
      </c>
      <c r="F217" s="1" t="s">
        <v>117</v>
      </c>
      <c r="G217" s="1" t="s">
        <v>1110</v>
      </c>
      <c r="H217" s="1">
        <v>25.0</v>
      </c>
      <c r="I217" s="2" t="s">
        <v>119</v>
      </c>
      <c r="J217" s="2" t="s">
        <v>119</v>
      </c>
      <c r="K217" s="2" t="s">
        <v>119</v>
      </c>
      <c r="L217" s="1"/>
      <c r="M217" s="1" t="s">
        <v>1111</v>
      </c>
      <c r="N217" s="1" t="s">
        <v>47</v>
      </c>
      <c r="O217" s="1" t="s">
        <v>1112</v>
      </c>
      <c r="P217" s="1" t="s">
        <v>1113</v>
      </c>
      <c r="Q217" s="3">
        <v>36892.0</v>
      </c>
      <c r="R217" s="1"/>
      <c r="S217" s="3">
        <v>41941.0</v>
      </c>
      <c r="T217" s="1" t="s">
        <v>37</v>
      </c>
      <c r="U217" s="1"/>
      <c r="V217" s="1" t="s">
        <v>38</v>
      </c>
      <c r="W217" s="1">
        <v>44.89383</v>
      </c>
      <c r="X217" s="1">
        <v>-73.0823199999999</v>
      </c>
      <c r="Y217" s="1" t="s">
        <v>1114</v>
      </c>
      <c r="Z217" s="1"/>
      <c r="AA217" s="1" t="s">
        <v>40</v>
      </c>
      <c r="AB217" s="1" t="s">
        <v>1115</v>
      </c>
      <c r="AC217" s="1">
        <v>0.0</v>
      </c>
    </row>
    <row r="218">
      <c r="A218" s="1" t="str">
        <f>"000806"</f>
        <v>000806</v>
      </c>
      <c r="B218" s="1" t="s">
        <v>1116</v>
      </c>
      <c r="C218" s="1" t="s">
        <v>1117</v>
      </c>
      <c r="D218" s="1"/>
      <c r="E218" s="1">
        <v>2297.0</v>
      </c>
      <c r="F218" s="1" t="s">
        <v>44</v>
      </c>
      <c r="G218" s="1" t="s">
        <v>1118</v>
      </c>
      <c r="H218" s="1"/>
      <c r="I218" s="1"/>
      <c r="J218" s="1"/>
      <c r="K218" s="1"/>
      <c r="L218" s="1"/>
      <c r="M218" s="1" t="s">
        <v>1119</v>
      </c>
      <c r="N218" s="1" t="s">
        <v>34</v>
      </c>
      <c r="O218" s="1" t="s">
        <v>295</v>
      </c>
      <c r="P218" s="1"/>
      <c r="Q218" s="3">
        <v>36892.0</v>
      </c>
      <c r="R218" s="1"/>
      <c r="S218" s="1"/>
      <c r="T218" s="1" t="s">
        <v>37</v>
      </c>
      <c r="U218" s="1"/>
      <c r="V218" s="1" t="s">
        <v>38</v>
      </c>
      <c r="W218" s="1"/>
      <c r="X218" s="1"/>
      <c r="Y218" s="1" t="s">
        <v>49</v>
      </c>
      <c r="Z218" s="1"/>
      <c r="AA218" s="1" t="s">
        <v>40</v>
      </c>
      <c r="AB218" s="1" t="s">
        <v>34</v>
      </c>
      <c r="AC218" s="1"/>
    </row>
    <row r="219">
      <c r="A219" s="1" t="str">
        <f>"000970"</f>
        <v>000970</v>
      </c>
      <c r="B219" s="1" t="s">
        <v>1120</v>
      </c>
      <c r="C219" s="1" t="s">
        <v>1121</v>
      </c>
      <c r="D219" s="1" t="str">
        <f>"8024467041"</f>
        <v>8024467041</v>
      </c>
      <c r="E219" s="1">
        <v>3968.0</v>
      </c>
      <c r="F219" s="1" t="s">
        <v>117</v>
      </c>
      <c r="G219" s="1" t="s">
        <v>1122</v>
      </c>
      <c r="H219" s="1">
        <v>3.0</v>
      </c>
      <c r="I219" s="2">
        <v>1.0</v>
      </c>
      <c r="J219" s="2">
        <v>1.0</v>
      </c>
      <c r="K219" s="2" t="s">
        <v>119</v>
      </c>
      <c r="L219" s="1"/>
      <c r="M219" s="1" t="s">
        <v>1123</v>
      </c>
      <c r="N219" s="1" t="s">
        <v>78</v>
      </c>
      <c r="O219" s="1" t="s">
        <v>1124</v>
      </c>
      <c r="P219" s="1" t="s">
        <v>1125</v>
      </c>
      <c r="Q219" s="3">
        <v>36892.0</v>
      </c>
      <c r="R219" s="1"/>
      <c r="S219" s="1"/>
      <c r="T219" s="1" t="s">
        <v>37</v>
      </c>
      <c r="U219" s="1"/>
      <c r="V219" s="1" t="s">
        <v>38</v>
      </c>
      <c r="W219" s="1">
        <v>43.480293</v>
      </c>
      <c r="X219" s="1">
        <v>-72.9736859999999</v>
      </c>
      <c r="Y219" s="1" t="s">
        <v>1126</v>
      </c>
      <c r="Z219" s="1"/>
      <c r="AA219" s="1" t="s">
        <v>40</v>
      </c>
      <c r="AB219" s="1" t="s">
        <v>1127</v>
      </c>
      <c r="AC219" s="1">
        <v>5773.0</v>
      </c>
    </row>
    <row r="220">
      <c r="A220" s="1" t="str">
        <f>"00072Z"</f>
        <v>00072Z</v>
      </c>
      <c r="B220" s="1" t="s">
        <v>1128</v>
      </c>
      <c r="C220" s="1" t="s">
        <v>1129</v>
      </c>
      <c r="D220" s="1" t="str">
        <f>"8022592594"</f>
        <v>8022592594</v>
      </c>
      <c r="E220" s="1">
        <v>193.0</v>
      </c>
      <c r="F220" s="1" t="s">
        <v>44</v>
      </c>
      <c r="G220" s="1" t="s">
        <v>1130</v>
      </c>
      <c r="H220" s="1">
        <v>1.0</v>
      </c>
      <c r="I220" s="1"/>
      <c r="J220" s="1"/>
      <c r="K220" s="1"/>
      <c r="L220" s="1"/>
      <c r="M220" s="1" t="s">
        <v>1131</v>
      </c>
      <c r="N220" s="1" t="s">
        <v>78</v>
      </c>
      <c r="O220" s="1" t="s">
        <v>272</v>
      </c>
      <c r="P220" s="1"/>
      <c r="Q220" s="3">
        <v>36892.0</v>
      </c>
      <c r="R220" s="1"/>
      <c r="S220" s="3">
        <v>36720.0</v>
      </c>
      <c r="T220" s="1" t="s">
        <v>37</v>
      </c>
      <c r="U220" s="1"/>
      <c r="V220" s="1" t="s">
        <v>38</v>
      </c>
      <c r="W220" s="1"/>
      <c r="X220" s="1"/>
      <c r="Y220" s="1" t="s">
        <v>49</v>
      </c>
      <c r="Z220" s="1"/>
      <c r="AA220" s="1" t="s">
        <v>40</v>
      </c>
      <c r="AB220" s="1" t="s">
        <v>275</v>
      </c>
      <c r="AC220" s="1"/>
    </row>
    <row r="221">
      <c r="A221" s="1" t="str">
        <f>"0007GP"</f>
        <v>0007GP</v>
      </c>
      <c r="B221" s="1" t="s">
        <v>1132</v>
      </c>
      <c r="C221" s="1" t="s">
        <v>1133</v>
      </c>
      <c r="D221" s="1"/>
      <c r="E221" s="1">
        <v>2531.0</v>
      </c>
      <c r="F221" s="1" t="s">
        <v>44</v>
      </c>
      <c r="G221" s="1" t="s">
        <v>1134</v>
      </c>
      <c r="H221" s="1">
        <v>1.0</v>
      </c>
      <c r="I221" s="1"/>
      <c r="J221" s="1"/>
      <c r="K221" s="1"/>
      <c r="L221" s="1"/>
      <c r="M221" s="1" t="s">
        <v>1135</v>
      </c>
      <c r="N221" s="1" t="s">
        <v>66</v>
      </c>
      <c r="O221" s="1" t="s">
        <v>1136</v>
      </c>
      <c r="P221" s="1"/>
      <c r="Q221" s="3">
        <v>36892.0</v>
      </c>
      <c r="R221" s="1"/>
      <c r="S221" s="3">
        <v>32743.0</v>
      </c>
      <c r="T221" s="1" t="s">
        <v>37</v>
      </c>
      <c r="U221" s="1"/>
      <c r="V221" s="1" t="s">
        <v>38</v>
      </c>
      <c r="W221" s="1"/>
      <c r="X221" s="1"/>
      <c r="Y221" s="1" t="s">
        <v>49</v>
      </c>
      <c r="Z221" s="1"/>
      <c r="AA221" s="1" t="s">
        <v>40</v>
      </c>
      <c r="AB221" s="1" t="s">
        <v>1137</v>
      </c>
      <c r="AC221" s="1"/>
    </row>
    <row r="222">
      <c r="A222" s="1" t="str">
        <f>"000840"</f>
        <v>000840</v>
      </c>
      <c r="B222" s="1" t="s">
        <v>1138</v>
      </c>
      <c r="C222" s="1" t="s">
        <v>1139</v>
      </c>
      <c r="D222" s="1" t="str">
        <f>"8022234342"</f>
        <v>8022234342</v>
      </c>
      <c r="E222" s="1">
        <v>3866.0</v>
      </c>
      <c r="F222" s="1" t="s">
        <v>117</v>
      </c>
      <c r="G222" s="1" t="s">
        <v>1140</v>
      </c>
      <c r="H222" s="1">
        <v>0.0</v>
      </c>
      <c r="I222" s="1"/>
      <c r="J222" s="1"/>
      <c r="K222" s="1"/>
      <c r="L222" s="1"/>
      <c r="M222" s="1" t="s">
        <v>1141</v>
      </c>
      <c r="N222" s="1" t="s">
        <v>135</v>
      </c>
      <c r="O222" s="1" t="s">
        <v>1142</v>
      </c>
      <c r="P222" s="1" t="s">
        <v>1143</v>
      </c>
      <c r="Q222" s="3">
        <v>36892.0</v>
      </c>
      <c r="R222" s="1"/>
      <c r="S222" s="3">
        <v>42080.0</v>
      </c>
      <c r="T222" s="1" t="s">
        <v>37</v>
      </c>
      <c r="U222" s="1"/>
      <c r="V222" s="1" t="s">
        <v>38</v>
      </c>
      <c r="W222" s="1">
        <v>44.26678</v>
      </c>
      <c r="X222" s="1">
        <v>-72.5845299999999</v>
      </c>
      <c r="Y222" s="1" t="s">
        <v>1144</v>
      </c>
      <c r="Z222" s="1"/>
      <c r="AA222" s="1" t="s">
        <v>40</v>
      </c>
      <c r="AB222" s="1" t="s">
        <v>1145</v>
      </c>
      <c r="AC222" s="1">
        <v>5602.0</v>
      </c>
    </row>
    <row r="223">
      <c r="A223" s="1" t="str">
        <f>"000825"</f>
        <v>000825</v>
      </c>
      <c r="B223" s="1" t="s">
        <v>1146</v>
      </c>
      <c r="C223" s="1" t="s">
        <v>1147</v>
      </c>
      <c r="D223" s="1" t="str">
        <f>"8027632208"</f>
        <v>8027632208</v>
      </c>
      <c r="E223" s="1">
        <v>2290.0</v>
      </c>
      <c r="F223" s="1" t="s">
        <v>31</v>
      </c>
      <c r="G223" s="1" t="s">
        <v>1148</v>
      </c>
      <c r="H223" s="1">
        <v>3.0</v>
      </c>
      <c r="I223" s="1"/>
      <c r="J223" s="1"/>
      <c r="K223" s="1"/>
      <c r="L223" s="1"/>
      <c r="M223" s="1" t="s">
        <v>72</v>
      </c>
      <c r="N223" s="1" t="s">
        <v>34</v>
      </c>
      <c r="O223" s="1" t="s">
        <v>88</v>
      </c>
      <c r="P223" s="1" t="s">
        <v>1149</v>
      </c>
      <c r="Q223" s="3">
        <v>36892.0</v>
      </c>
      <c r="R223" s="1"/>
      <c r="S223" s="3">
        <v>40737.0</v>
      </c>
      <c r="T223" s="1" t="s">
        <v>37</v>
      </c>
      <c r="U223" s="1"/>
      <c r="V223" s="1" t="s">
        <v>38</v>
      </c>
      <c r="W223" s="1">
        <v>43.7665536733816</v>
      </c>
      <c r="X223" s="1">
        <v>-72.4904054403305</v>
      </c>
      <c r="Y223" s="1" t="s">
        <v>1150</v>
      </c>
      <c r="Z223" s="1"/>
      <c r="AA223" s="1" t="s">
        <v>40</v>
      </c>
      <c r="AB223" s="1" t="s">
        <v>89</v>
      </c>
      <c r="AC223" s="1">
        <v>5065.0</v>
      </c>
    </row>
    <row r="224">
      <c r="A224" s="1" t="str">
        <f>"0008NW"</f>
        <v>0008NW</v>
      </c>
      <c r="B224" s="1" t="s">
        <v>1151</v>
      </c>
      <c r="C224" s="1" t="s">
        <v>1152</v>
      </c>
      <c r="D224" s="1" t="str">
        <f>"8026448273"</f>
        <v>8026448273</v>
      </c>
      <c r="E224" s="1">
        <v>3200.0</v>
      </c>
      <c r="F224" s="1" t="s">
        <v>44</v>
      </c>
      <c r="G224" s="1" t="s">
        <v>1153</v>
      </c>
      <c r="H224" s="1">
        <v>2.0</v>
      </c>
      <c r="I224" s="1"/>
      <c r="J224" s="1"/>
      <c r="K224" s="1"/>
      <c r="L224" s="1"/>
      <c r="M224" s="1" t="s">
        <v>72</v>
      </c>
      <c r="N224" s="1" t="s">
        <v>213</v>
      </c>
      <c r="O224" s="1" t="s">
        <v>1154</v>
      </c>
      <c r="P224" s="1"/>
      <c r="Q224" s="3">
        <v>36892.0</v>
      </c>
      <c r="R224" s="1"/>
      <c r="S224" s="3">
        <v>36444.0</v>
      </c>
      <c r="T224" s="1" t="s">
        <v>37</v>
      </c>
      <c r="U224" s="1"/>
      <c r="V224" s="1" t="s">
        <v>38</v>
      </c>
      <c r="W224" s="1"/>
      <c r="X224" s="1"/>
      <c r="Y224" s="1" t="s">
        <v>49</v>
      </c>
      <c r="Z224" s="1"/>
      <c r="AA224" s="1" t="s">
        <v>40</v>
      </c>
      <c r="AB224" s="1" t="s">
        <v>1155</v>
      </c>
      <c r="AC224" s="1"/>
    </row>
    <row r="225">
      <c r="A225" s="1" t="str">
        <f>"0007NF"</f>
        <v>0007NF</v>
      </c>
      <c r="B225" s="1" t="s">
        <v>1156</v>
      </c>
      <c r="C225" s="1" t="s">
        <v>1157</v>
      </c>
      <c r="D225" s="1" t="str">
        <f>"8024426661"</f>
        <v>8024426661</v>
      </c>
      <c r="E225" s="1">
        <v>2286.0</v>
      </c>
      <c r="F225" s="1" t="s">
        <v>44</v>
      </c>
      <c r="G225" s="1" t="s">
        <v>1158</v>
      </c>
      <c r="H225" s="1">
        <v>3.0</v>
      </c>
      <c r="I225" s="1"/>
      <c r="J225" s="1"/>
      <c r="K225" s="1"/>
      <c r="L225" s="1"/>
      <c r="M225" s="1" t="s">
        <v>1159</v>
      </c>
      <c r="N225" s="1" t="s">
        <v>414</v>
      </c>
      <c r="O225" s="1" t="s">
        <v>1160</v>
      </c>
      <c r="P225" s="1"/>
      <c r="Q225" s="3">
        <v>36892.0</v>
      </c>
      <c r="R225" s="1"/>
      <c r="S225" s="3">
        <v>32696.0</v>
      </c>
      <c r="T225" s="1" t="s">
        <v>37</v>
      </c>
      <c r="U225" s="1"/>
      <c r="V225" s="1" t="s">
        <v>38</v>
      </c>
      <c r="W225" s="1"/>
      <c r="X225" s="1"/>
      <c r="Y225" s="1" t="s">
        <v>49</v>
      </c>
      <c r="Z225" s="1"/>
      <c r="AA225" s="1" t="s">
        <v>40</v>
      </c>
      <c r="AB225" s="1" t="s">
        <v>1161</v>
      </c>
      <c r="AC225" s="1"/>
    </row>
    <row r="226">
      <c r="A226" s="1" t="str">
        <f>"0007KM"</f>
        <v>0007KM</v>
      </c>
      <c r="B226" s="1" t="s">
        <v>1162</v>
      </c>
      <c r="C226" s="1" t="s">
        <v>1163</v>
      </c>
      <c r="D226" s="1" t="str">
        <f>"8028245023"</f>
        <v>8028245023</v>
      </c>
      <c r="E226" s="1">
        <v>2515.0</v>
      </c>
      <c r="F226" s="1" t="s">
        <v>44</v>
      </c>
      <c r="G226" s="1" t="s">
        <v>1164</v>
      </c>
      <c r="H226" s="1">
        <v>3.0</v>
      </c>
      <c r="I226" s="1"/>
      <c r="J226" s="1"/>
      <c r="K226" s="1"/>
      <c r="L226" s="1"/>
      <c r="M226" s="1" t="s">
        <v>1165</v>
      </c>
      <c r="N226" s="1" t="s">
        <v>414</v>
      </c>
      <c r="O226" s="1" t="s">
        <v>1166</v>
      </c>
      <c r="P226" s="1"/>
      <c r="Q226" s="3">
        <v>36892.0</v>
      </c>
      <c r="R226" s="1"/>
      <c r="S226" s="3">
        <v>32378.0</v>
      </c>
      <c r="T226" s="1" t="s">
        <v>37</v>
      </c>
      <c r="U226" s="1"/>
      <c r="V226" s="1" t="s">
        <v>38</v>
      </c>
      <c r="W226" s="1"/>
      <c r="X226" s="1"/>
      <c r="Y226" s="1" t="s">
        <v>49</v>
      </c>
      <c r="Z226" s="1"/>
      <c r="AA226" s="1" t="s">
        <v>40</v>
      </c>
      <c r="AB226" s="1" t="s">
        <v>1167</v>
      </c>
      <c r="AC226" s="1"/>
    </row>
    <row r="227">
      <c r="A227" s="1" t="str">
        <f>"000883"</f>
        <v>000883</v>
      </c>
      <c r="B227" s="1" t="s">
        <v>1168</v>
      </c>
      <c r="C227" s="1" t="s">
        <v>1169</v>
      </c>
      <c r="D227" s="1" t="str">
        <f>"8022639364"</f>
        <v>8022639364</v>
      </c>
      <c r="E227" s="1">
        <v>2951.0</v>
      </c>
      <c r="F227" s="1" t="s">
        <v>44</v>
      </c>
      <c r="G227" s="1" t="s">
        <v>1170</v>
      </c>
      <c r="H227" s="1">
        <v>1.0</v>
      </c>
      <c r="I227" s="1"/>
      <c r="J227" s="1"/>
      <c r="K227" s="1"/>
      <c r="L227" s="1"/>
      <c r="M227" s="1" t="s">
        <v>72</v>
      </c>
      <c r="N227" s="1" t="s">
        <v>34</v>
      </c>
      <c r="O227" s="1" t="s">
        <v>1085</v>
      </c>
      <c r="P227" s="1"/>
      <c r="Q227" s="3">
        <v>36892.0</v>
      </c>
      <c r="R227" s="1"/>
      <c r="S227" s="3">
        <v>36718.0</v>
      </c>
      <c r="T227" s="1" t="s">
        <v>37</v>
      </c>
      <c r="U227" s="1"/>
      <c r="V227" s="1" t="s">
        <v>38</v>
      </c>
      <c r="W227" s="1"/>
      <c r="X227" s="1"/>
      <c r="Y227" s="1" t="s">
        <v>49</v>
      </c>
      <c r="Z227" s="1"/>
      <c r="AA227" s="1" t="s">
        <v>40</v>
      </c>
      <c r="AB227" s="1" t="s">
        <v>1086</v>
      </c>
      <c r="AC227" s="1"/>
    </row>
    <row r="228">
      <c r="A228" s="1" t="str">
        <f>"0007MH"</f>
        <v>0007MH</v>
      </c>
      <c r="B228" s="1" t="s">
        <v>1171</v>
      </c>
      <c r="C228" s="1" t="s">
        <v>1172</v>
      </c>
      <c r="D228" s="1" t="str">
        <f>"8024923194"</f>
        <v>8024923194</v>
      </c>
      <c r="E228" s="1">
        <v>3006.0</v>
      </c>
      <c r="F228" s="1" t="s">
        <v>31</v>
      </c>
      <c r="G228" s="1" t="s">
        <v>1173</v>
      </c>
      <c r="H228" s="1">
        <v>2.0</v>
      </c>
      <c r="I228" s="1"/>
      <c r="J228" s="1"/>
      <c r="K228" s="1"/>
      <c r="L228" s="1"/>
      <c r="M228" s="1" t="s">
        <v>33</v>
      </c>
      <c r="N228" s="1" t="s">
        <v>78</v>
      </c>
      <c r="O228" s="1" t="s">
        <v>1124</v>
      </c>
      <c r="P228" s="1" t="s">
        <v>36</v>
      </c>
      <c r="Q228" s="3">
        <v>36892.0</v>
      </c>
      <c r="R228" s="1"/>
      <c r="S228" s="3">
        <v>42177.0</v>
      </c>
      <c r="T228" s="1" t="s">
        <v>37</v>
      </c>
      <c r="U228" s="1"/>
      <c r="V228" s="1" t="s">
        <v>38</v>
      </c>
      <c r="W228" s="1">
        <v>43.4786894037156</v>
      </c>
      <c r="X228" s="1">
        <v>-72.8786069154739</v>
      </c>
      <c r="Y228" s="1" t="s">
        <v>1174</v>
      </c>
      <c r="Z228" s="1"/>
      <c r="AA228" s="1" t="s">
        <v>40</v>
      </c>
      <c r="AB228" s="1" t="s">
        <v>1175</v>
      </c>
      <c r="AC228" s="1">
        <v>5738.0</v>
      </c>
    </row>
    <row r="229">
      <c r="A229" s="1" t="str">
        <f>"0008FN"</f>
        <v>0008FN</v>
      </c>
      <c r="B229" s="1" t="s">
        <v>1176</v>
      </c>
      <c r="C229" s="1" t="s">
        <v>1177</v>
      </c>
      <c r="D229" s="1" t="str">
        <f>"8028926645"</f>
        <v>8028926645</v>
      </c>
      <c r="E229" s="1">
        <v>2273.0</v>
      </c>
      <c r="F229" s="1" t="s">
        <v>44</v>
      </c>
      <c r="G229" s="1" t="s">
        <v>1178</v>
      </c>
      <c r="H229" s="1">
        <v>2.0</v>
      </c>
      <c r="I229" s="1"/>
      <c r="J229" s="1"/>
      <c r="K229" s="1"/>
      <c r="L229" s="1"/>
      <c r="M229" s="1" t="s">
        <v>1179</v>
      </c>
      <c r="N229" s="1" t="s">
        <v>331</v>
      </c>
      <c r="O229" s="1" t="s">
        <v>1015</v>
      </c>
      <c r="P229" s="1"/>
      <c r="Q229" s="3">
        <v>36892.0</v>
      </c>
      <c r="R229" s="1"/>
      <c r="S229" s="3">
        <v>32707.0</v>
      </c>
      <c r="T229" s="1" t="s">
        <v>37</v>
      </c>
      <c r="U229" s="1"/>
      <c r="V229" s="1" t="s">
        <v>38</v>
      </c>
      <c r="W229" s="1"/>
      <c r="X229" s="1"/>
      <c r="Y229" s="1" t="s">
        <v>49</v>
      </c>
      <c r="Z229" s="1"/>
      <c r="AA229" s="1" t="s">
        <v>40</v>
      </c>
      <c r="AB229" s="1" t="s">
        <v>1016</v>
      </c>
      <c r="AC229" s="1"/>
    </row>
    <row r="230">
      <c r="A230" s="1" t="str">
        <f>"0008AW"</f>
        <v>0008AW</v>
      </c>
      <c r="B230" s="1" t="s">
        <v>1180</v>
      </c>
      <c r="C230" s="1" t="s">
        <v>1181</v>
      </c>
      <c r="D230" s="1" t="str">
        <f>"8024673668"</f>
        <v>8024673668</v>
      </c>
      <c r="E230" s="1">
        <v>2272.0</v>
      </c>
      <c r="F230" s="1" t="s">
        <v>44</v>
      </c>
      <c r="G230" s="1" t="s">
        <v>1182</v>
      </c>
      <c r="H230" s="1">
        <v>0.0</v>
      </c>
      <c r="I230" s="1"/>
      <c r="J230" s="1"/>
      <c r="K230" s="1"/>
      <c r="L230" s="1"/>
      <c r="M230" s="1" t="s">
        <v>72</v>
      </c>
      <c r="N230" s="1" t="s">
        <v>128</v>
      </c>
      <c r="O230" s="1" t="s">
        <v>286</v>
      </c>
      <c r="P230" s="1"/>
      <c r="Q230" s="3">
        <v>36892.0</v>
      </c>
      <c r="R230" s="1"/>
      <c r="S230" s="1"/>
      <c r="T230" s="1" t="s">
        <v>37</v>
      </c>
      <c r="U230" s="1"/>
      <c r="V230" s="1" t="s">
        <v>38</v>
      </c>
      <c r="W230" s="1">
        <v>44.651546</v>
      </c>
      <c r="X230" s="1">
        <v>-71.963142</v>
      </c>
      <c r="Y230" s="1" t="s">
        <v>1183</v>
      </c>
      <c r="Z230" s="1"/>
      <c r="AA230" s="1" t="s">
        <v>40</v>
      </c>
      <c r="AB230" s="1" t="s">
        <v>287</v>
      </c>
      <c r="AC230" s="1">
        <v>5871.0</v>
      </c>
    </row>
    <row r="231">
      <c r="A231" s="1" t="str">
        <f>"00071W"</f>
        <v>00071W</v>
      </c>
      <c r="B231" s="1" t="s">
        <v>1184</v>
      </c>
      <c r="C231" s="1" t="s">
        <v>1185</v>
      </c>
      <c r="D231" s="1" t="str">
        <f>"8028882978"</f>
        <v>8028882978</v>
      </c>
      <c r="E231" s="1">
        <v>3047.0</v>
      </c>
      <c r="F231" s="1" t="s">
        <v>44</v>
      </c>
      <c r="G231" s="1" t="s">
        <v>1186</v>
      </c>
      <c r="H231" s="1">
        <v>12.0</v>
      </c>
      <c r="I231" s="1"/>
      <c r="J231" s="1"/>
      <c r="K231" s="1"/>
      <c r="L231" s="1"/>
      <c r="M231" s="1" t="s">
        <v>72</v>
      </c>
      <c r="N231" s="1" t="s">
        <v>213</v>
      </c>
      <c r="O231" s="1" t="s">
        <v>214</v>
      </c>
      <c r="P231" s="1"/>
      <c r="Q231" s="3">
        <v>36892.0</v>
      </c>
      <c r="R231" s="1"/>
      <c r="S231" s="3">
        <v>39968.0</v>
      </c>
      <c r="T231" s="1" t="s">
        <v>37</v>
      </c>
      <c r="U231" s="1"/>
      <c r="V231" s="1" t="s">
        <v>38</v>
      </c>
      <c r="W231" s="1"/>
      <c r="X231" s="1"/>
      <c r="Y231" s="1" t="s">
        <v>49</v>
      </c>
      <c r="Z231" s="1"/>
      <c r="AA231" s="1" t="s">
        <v>40</v>
      </c>
      <c r="AB231" s="1" t="s">
        <v>217</v>
      </c>
      <c r="AC231" s="1"/>
    </row>
    <row r="232">
      <c r="A232" s="1" t="str">
        <f>"0008WK"</f>
        <v>0008WK</v>
      </c>
      <c r="B232" s="1" t="s">
        <v>1187</v>
      </c>
      <c r="C232" s="1" t="s">
        <v>1188</v>
      </c>
      <c r="D232" s="1" t="str">
        <f>"6179641806"</f>
        <v>6179641806</v>
      </c>
      <c r="E232" s="1">
        <v>3397.0</v>
      </c>
      <c r="F232" s="1" t="s">
        <v>44</v>
      </c>
      <c r="G232" s="1" t="s">
        <v>1189</v>
      </c>
      <c r="H232" s="1">
        <v>2.0</v>
      </c>
      <c r="I232" s="1"/>
      <c r="J232" s="1"/>
      <c r="K232" s="1"/>
      <c r="L232" s="1"/>
      <c r="M232" s="1" t="s">
        <v>1190</v>
      </c>
      <c r="N232" s="1" t="s">
        <v>34</v>
      </c>
      <c r="O232" s="1" t="s">
        <v>150</v>
      </c>
      <c r="P232" s="1"/>
      <c r="Q232" s="3">
        <v>36892.0</v>
      </c>
      <c r="R232" s="1"/>
      <c r="S232" s="3">
        <v>37803.0</v>
      </c>
      <c r="T232" s="1" t="s">
        <v>37</v>
      </c>
      <c r="U232" s="1"/>
      <c r="V232" s="1" t="s">
        <v>38</v>
      </c>
      <c r="W232" s="1"/>
      <c r="X232" s="1"/>
      <c r="Y232" s="1" t="s">
        <v>49</v>
      </c>
      <c r="Z232" s="1"/>
      <c r="AA232" s="1" t="s">
        <v>40</v>
      </c>
      <c r="AB232" s="1" t="s">
        <v>151</v>
      </c>
      <c r="AC232" s="1"/>
    </row>
    <row r="233">
      <c r="A233" s="1" t="str">
        <f>"000835"</f>
        <v>000835</v>
      </c>
      <c r="B233" s="1" t="s">
        <v>1191</v>
      </c>
      <c r="C233" s="1" t="s">
        <v>1192</v>
      </c>
      <c r="D233" s="1" t="str">
        <f>"8028926651"</f>
        <v>8028926651</v>
      </c>
      <c r="E233" s="1">
        <v>2267.0</v>
      </c>
      <c r="F233" s="1" t="s">
        <v>44</v>
      </c>
      <c r="G233" s="1" t="s">
        <v>1193</v>
      </c>
      <c r="H233" s="1">
        <v>1.0</v>
      </c>
      <c r="I233" s="1"/>
      <c r="J233" s="1"/>
      <c r="K233" s="1"/>
      <c r="L233" s="1"/>
      <c r="M233" s="1" t="s">
        <v>1194</v>
      </c>
      <c r="N233" s="1" t="s">
        <v>331</v>
      </c>
      <c r="O233" s="1" t="s">
        <v>1015</v>
      </c>
      <c r="P233" s="1"/>
      <c r="Q233" s="3">
        <v>36892.0</v>
      </c>
      <c r="R233" s="1"/>
      <c r="S233" s="3">
        <v>32707.0</v>
      </c>
      <c r="T233" s="1" t="s">
        <v>37</v>
      </c>
      <c r="U233" s="1"/>
      <c r="V233" s="1" t="s">
        <v>38</v>
      </c>
      <c r="W233" s="1"/>
      <c r="X233" s="1"/>
      <c r="Y233" s="1" t="s">
        <v>49</v>
      </c>
      <c r="Z233" s="1"/>
      <c r="AA233" s="1" t="s">
        <v>40</v>
      </c>
      <c r="AB233" s="1" t="s">
        <v>1016</v>
      </c>
      <c r="AC233" s="1"/>
    </row>
    <row r="234">
      <c r="A234" s="1" t="str">
        <f>"0007DH"</f>
        <v>0007DH</v>
      </c>
      <c r="B234" s="1" t="s">
        <v>1195</v>
      </c>
      <c r="C234" s="1" t="s">
        <v>1196</v>
      </c>
      <c r="D234" s="1"/>
      <c r="E234" s="1">
        <v>665.0</v>
      </c>
      <c r="F234" s="1" t="s">
        <v>44</v>
      </c>
      <c r="G234" s="1" t="s">
        <v>1197</v>
      </c>
      <c r="H234" s="1">
        <v>3.0</v>
      </c>
      <c r="I234" s="1"/>
      <c r="J234" s="1"/>
      <c r="K234" s="1"/>
      <c r="L234" s="1"/>
      <c r="M234" s="1" t="s">
        <v>1198</v>
      </c>
      <c r="N234" s="1" t="s">
        <v>66</v>
      </c>
      <c r="O234" s="1" t="s">
        <v>1199</v>
      </c>
      <c r="P234" s="1"/>
      <c r="Q234" s="3">
        <v>36892.0</v>
      </c>
      <c r="R234" s="1"/>
      <c r="S234" s="3">
        <v>32722.0</v>
      </c>
      <c r="T234" s="1" t="s">
        <v>37</v>
      </c>
      <c r="U234" s="1"/>
      <c r="V234" s="1" t="s">
        <v>38</v>
      </c>
      <c r="W234" s="1"/>
      <c r="X234" s="1"/>
      <c r="Y234" s="1" t="s">
        <v>49</v>
      </c>
      <c r="Z234" s="1"/>
      <c r="AA234" s="1" t="s">
        <v>40</v>
      </c>
      <c r="AB234" s="1" t="s">
        <v>1200</v>
      </c>
      <c r="AC234" s="1"/>
    </row>
    <row r="235">
      <c r="A235" s="1" t="str">
        <f>"0008WD"</f>
        <v>0008WD</v>
      </c>
      <c r="B235" s="1" t="s">
        <v>1201</v>
      </c>
      <c r="C235" s="1" t="s">
        <v>1202</v>
      </c>
      <c r="D235" s="1" t="str">
        <f>"8024343438"</f>
        <v>8024343438</v>
      </c>
      <c r="E235" s="1">
        <v>3958.0</v>
      </c>
      <c r="F235" s="1" t="s">
        <v>44</v>
      </c>
      <c r="G235" s="1" t="s">
        <v>1203</v>
      </c>
      <c r="H235" s="1"/>
      <c r="I235" s="1"/>
      <c r="J235" s="1"/>
      <c r="K235" s="1"/>
      <c r="L235" s="1"/>
      <c r="M235" s="1" t="s">
        <v>72</v>
      </c>
      <c r="N235" s="1" t="s">
        <v>57</v>
      </c>
      <c r="O235" s="1" t="s">
        <v>313</v>
      </c>
      <c r="P235" s="1"/>
      <c r="Q235" s="3">
        <v>36892.0</v>
      </c>
      <c r="R235" s="1"/>
      <c r="S235" s="1"/>
      <c r="T235" s="1" t="s">
        <v>37</v>
      </c>
      <c r="U235" s="1"/>
      <c r="V235" s="1" t="s">
        <v>38</v>
      </c>
      <c r="W235" s="1"/>
      <c r="X235" s="1"/>
      <c r="Y235" s="1" t="s">
        <v>49</v>
      </c>
      <c r="Z235" s="1"/>
      <c r="AA235" s="1" t="s">
        <v>40</v>
      </c>
      <c r="AB235" s="1" t="s">
        <v>314</v>
      </c>
      <c r="AC235" s="1"/>
    </row>
    <row r="236">
      <c r="A236" s="1" t="str">
        <f>"0007JF"</f>
        <v>0007JF</v>
      </c>
      <c r="B236" s="1" t="s">
        <v>1204</v>
      </c>
      <c r="C236" s="1" t="s">
        <v>1205</v>
      </c>
      <c r="D236" s="1" t="str">
        <f>"8027654637"</f>
        <v>8027654637</v>
      </c>
      <c r="E236" s="1">
        <v>3122.0</v>
      </c>
      <c r="F236" s="1" t="s">
        <v>117</v>
      </c>
      <c r="G236" s="1" t="s">
        <v>1206</v>
      </c>
      <c r="H236" s="1">
        <v>4.0</v>
      </c>
      <c r="I236" s="2">
        <v>1.0</v>
      </c>
      <c r="J236" s="2">
        <v>1.0</v>
      </c>
      <c r="K236" s="2" t="s">
        <v>119</v>
      </c>
      <c r="L236" s="1"/>
      <c r="M236" s="1" t="s">
        <v>1207</v>
      </c>
      <c r="N236" s="1" t="s">
        <v>142</v>
      </c>
      <c r="O236" s="1" t="s">
        <v>243</v>
      </c>
      <c r="P236" s="1" t="s">
        <v>1208</v>
      </c>
      <c r="Q236" s="3">
        <v>36892.0</v>
      </c>
      <c r="R236" s="1"/>
      <c r="S236" s="3">
        <v>42894.0</v>
      </c>
      <c r="T236" s="1" t="s">
        <v>37</v>
      </c>
      <c r="U236" s="1"/>
      <c r="V236" s="1" t="s">
        <v>38</v>
      </c>
      <c r="W236" s="1"/>
      <c r="X236" s="1"/>
      <c r="Y236" s="1" t="s">
        <v>49</v>
      </c>
      <c r="Z236" s="1"/>
      <c r="AA236" s="1" t="s">
        <v>40</v>
      </c>
      <c r="AB236" s="1" t="s">
        <v>246</v>
      </c>
      <c r="AC236" s="1">
        <v>0.0</v>
      </c>
    </row>
    <row r="237">
      <c r="A237" s="1" t="str">
        <f>"00080C"</f>
        <v>00080C</v>
      </c>
      <c r="B237" s="1" t="s">
        <v>1209</v>
      </c>
      <c r="C237" s="1" t="s">
        <v>1210</v>
      </c>
      <c r="D237" s="1" t="str">
        <f>"8023339375"</f>
        <v>8023339375</v>
      </c>
      <c r="E237" s="1">
        <v>2259.0</v>
      </c>
      <c r="F237" s="1" t="s">
        <v>44</v>
      </c>
      <c r="G237" s="1" t="s">
        <v>1211</v>
      </c>
      <c r="H237" s="1"/>
      <c r="I237" s="1"/>
      <c r="J237" s="1"/>
      <c r="K237" s="1"/>
      <c r="L237" s="1"/>
      <c r="M237" s="1" t="s">
        <v>1212</v>
      </c>
      <c r="N237" s="1" t="s">
        <v>142</v>
      </c>
      <c r="O237" s="1" t="s">
        <v>1213</v>
      </c>
      <c r="P237" s="1"/>
      <c r="Q237" s="3">
        <v>36892.0</v>
      </c>
      <c r="R237" s="1"/>
      <c r="S237" s="1"/>
      <c r="T237" s="1" t="s">
        <v>37</v>
      </c>
      <c r="U237" s="1"/>
      <c r="V237" s="1" t="s">
        <v>38</v>
      </c>
      <c r="W237" s="1"/>
      <c r="X237" s="1"/>
      <c r="Y237" s="1" t="s">
        <v>49</v>
      </c>
      <c r="Z237" s="1"/>
      <c r="AA237" s="1" t="s">
        <v>40</v>
      </c>
      <c r="AB237" s="1" t="s">
        <v>1214</v>
      </c>
      <c r="AC237" s="1"/>
    </row>
    <row r="238">
      <c r="A238" s="1" t="str">
        <f>"00080N"</f>
        <v>00080N</v>
      </c>
      <c r="B238" s="1" t="s">
        <v>1215</v>
      </c>
      <c r="C238" s="1" t="s">
        <v>1216</v>
      </c>
      <c r="D238" s="1"/>
      <c r="E238" s="1">
        <v>2538.0</v>
      </c>
      <c r="F238" s="1" t="s">
        <v>44</v>
      </c>
      <c r="G238" s="1" t="s">
        <v>1217</v>
      </c>
      <c r="H238" s="1">
        <v>2.0</v>
      </c>
      <c r="I238" s="1"/>
      <c r="J238" s="1"/>
      <c r="K238" s="1"/>
      <c r="L238" s="1"/>
      <c r="M238" s="1" t="s">
        <v>72</v>
      </c>
      <c r="N238" s="1" t="s">
        <v>128</v>
      </c>
      <c r="O238" s="1" t="s">
        <v>1218</v>
      </c>
      <c r="P238" s="1"/>
      <c r="Q238" s="3">
        <v>36892.0</v>
      </c>
      <c r="R238" s="1"/>
      <c r="S238" s="3">
        <v>32287.0</v>
      </c>
      <c r="T238" s="1" t="s">
        <v>37</v>
      </c>
      <c r="U238" s="1"/>
      <c r="V238" s="1" t="s">
        <v>38</v>
      </c>
      <c r="W238" s="1"/>
      <c r="X238" s="1"/>
      <c r="Y238" s="1" t="s">
        <v>49</v>
      </c>
      <c r="Z238" s="1"/>
      <c r="AA238" s="1" t="s">
        <v>40</v>
      </c>
      <c r="AB238" s="1" t="s">
        <v>1219</v>
      </c>
      <c r="AC238" s="1"/>
    </row>
    <row r="239">
      <c r="A239" s="1" t="str">
        <f>"00079N"</f>
        <v>00079N</v>
      </c>
      <c r="B239" s="1" t="s">
        <v>1220</v>
      </c>
      <c r="C239" s="1" t="s">
        <v>1221</v>
      </c>
      <c r="D239" s="1" t="str">
        <f>"8022287936"</f>
        <v>8022287936</v>
      </c>
      <c r="E239" s="1">
        <v>489.0</v>
      </c>
      <c r="F239" s="1" t="s">
        <v>44</v>
      </c>
      <c r="G239" s="1" t="s">
        <v>1222</v>
      </c>
      <c r="H239" s="1">
        <v>1.0</v>
      </c>
      <c r="I239" s="1"/>
      <c r="J239" s="1"/>
      <c r="K239" s="1"/>
      <c r="L239" s="1"/>
      <c r="M239" s="1" t="s">
        <v>1223</v>
      </c>
      <c r="N239" s="1" t="s">
        <v>78</v>
      </c>
      <c r="O239" s="1" t="s">
        <v>272</v>
      </c>
      <c r="P239" s="1"/>
      <c r="Q239" s="3">
        <v>36892.0</v>
      </c>
      <c r="R239" s="1"/>
      <c r="S239" s="3">
        <v>32363.0</v>
      </c>
      <c r="T239" s="1" t="s">
        <v>37</v>
      </c>
      <c r="U239" s="1"/>
      <c r="V239" s="1" t="s">
        <v>38</v>
      </c>
      <c r="W239" s="1"/>
      <c r="X239" s="1"/>
      <c r="Y239" s="1" t="s">
        <v>49</v>
      </c>
      <c r="Z239" s="1"/>
      <c r="AA239" s="1" t="s">
        <v>40</v>
      </c>
      <c r="AB239" s="1" t="s">
        <v>275</v>
      </c>
      <c r="AC239" s="1"/>
    </row>
    <row r="240">
      <c r="A240" s="1" t="str">
        <f>"0008FA"</f>
        <v>0008FA</v>
      </c>
      <c r="B240" s="1" t="s">
        <v>1224</v>
      </c>
      <c r="C240" s="1" t="s">
        <v>1225</v>
      </c>
      <c r="D240" s="1" t="str">
        <f>"8025244197"</f>
        <v>8025244197</v>
      </c>
      <c r="E240" s="1">
        <v>3706.0</v>
      </c>
      <c r="F240" s="1" t="s">
        <v>44</v>
      </c>
      <c r="G240" s="1" t="s">
        <v>1226</v>
      </c>
      <c r="H240" s="1"/>
      <c r="I240" s="1"/>
      <c r="J240" s="1"/>
      <c r="K240" s="1"/>
      <c r="L240" s="1"/>
      <c r="M240" s="1" t="s">
        <v>72</v>
      </c>
      <c r="N240" s="1" t="s">
        <v>47</v>
      </c>
      <c r="O240" s="1" t="s">
        <v>100</v>
      </c>
      <c r="P240" s="1"/>
      <c r="Q240" s="3">
        <v>36892.0</v>
      </c>
      <c r="R240" s="1"/>
      <c r="S240" s="1"/>
      <c r="T240" s="1" t="s">
        <v>37</v>
      </c>
      <c r="U240" s="1"/>
      <c r="V240" s="1" t="s">
        <v>38</v>
      </c>
      <c r="W240" s="1"/>
      <c r="X240" s="1"/>
      <c r="Y240" s="1" t="s">
        <v>49</v>
      </c>
      <c r="Z240" s="1"/>
      <c r="AA240" s="1" t="s">
        <v>40</v>
      </c>
      <c r="AB240" s="1" t="s">
        <v>102</v>
      </c>
      <c r="AC240" s="1"/>
    </row>
    <row r="241">
      <c r="A241" s="1" t="str">
        <f>"0007Y6"</f>
        <v>0007Y6</v>
      </c>
      <c r="B241" s="1" t="s">
        <v>1227</v>
      </c>
      <c r="C241" s="1" t="s">
        <v>1228</v>
      </c>
      <c r="D241" s="1" t="str">
        <f>"8024362207"</f>
        <v>8024362207</v>
      </c>
      <c r="E241" s="1">
        <v>2922.0</v>
      </c>
      <c r="F241" s="1" t="s">
        <v>117</v>
      </c>
      <c r="G241" s="1" t="s">
        <v>1229</v>
      </c>
      <c r="H241" s="1">
        <v>3.0</v>
      </c>
      <c r="I241" s="2" t="s">
        <v>119</v>
      </c>
      <c r="J241" s="2" t="s">
        <v>119</v>
      </c>
      <c r="K241" s="2" t="s">
        <v>119</v>
      </c>
      <c r="L241" s="1"/>
      <c r="M241" s="1" t="s">
        <v>1230</v>
      </c>
      <c r="N241" s="1" t="s">
        <v>34</v>
      </c>
      <c r="O241" s="1" t="s">
        <v>85</v>
      </c>
      <c r="P241" s="1" t="s">
        <v>1231</v>
      </c>
      <c r="Q241" s="3">
        <v>36892.0</v>
      </c>
      <c r="R241" s="1"/>
      <c r="S241" s="3">
        <v>39604.0</v>
      </c>
      <c r="T241" s="1" t="s">
        <v>37</v>
      </c>
      <c r="U241" s="1"/>
      <c r="V241" s="1" t="s">
        <v>38</v>
      </c>
      <c r="W241" s="1">
        <v>43.558105</v>
      </c>
      <c r="X241" s="1">
        <v>-72.4478659</v>
      </c>
      <c r="Y241" s="1" t="s">
        <v>1232</v>
      </c>
      <c r="Z241" s="1"/>
      <c r="AA241" s="1" t="s">
        <v>40</v>
      </c>
      <c r="AB241" s="1" t="s">
        <v>1233</v>
      </c>
      <c r="AC241" s="1">
        <v>5048.0</v>
      </c>
    </row>
    <row r="242">
      <c r="A242" s="1" t="str">
        <f>"00088Z"</f>
        <v>00088Z</v>
      </c>
      <c r="B242" s="1" t="s">
        <v>1234</v>
      </c>
      <c r="C242" s="1" t="s">
        <v>1235</v>
      </c>
      <c r="D242" s="1" t="str">
        <f>"8022285686"</f>
        <v>8022285686</v>
      </c>
      <c r="E242" s="1">
        <v>2972.0</v>
      </c>
      <c r="F242" s="1" t="s">
        <v>44</v>
      </c>
      <c r="G242" s="1" t="s">
        <v>1236</v>
      </c>
      <c r="H242" s="1">
        <v>2.0</v>
      </c>
      <c r="I242" s="1"/>
      <c r="J242" s="1"/>
      <c r="K242" s="1"/>
      <c r="L242" s="1"/>
      <c r="M242" s="1" t="s">
        <v>72</v>
      </c>
      <c r="N242" s="1" t="s">
        <v>34</v>
      </c>
      <c r="O242" s="1" t="s">
        <v>1237</v>
      </c>
      <c r="P242" s="1"/>
      <c r="Q242" s="3">
        <v>36892.0</v>
      </c>
      <c r="R242" s="1"/>
      <c r="S242" s="3">
        <v>35312.0</v>
      </c>
      <c r="T242" s="1" t="s">
        <v>37</v>
      </c>
      <c r="U242" s="1"/>
      <c r="V242" s="1" t="s">
        <v>38</v>
      </c>
      <c r="W242" s="1"/>
      <c r="X242" s="1"/>
      <c r="Y242" s="1" t="s">
        <v>49</v>
      </c>
      <c r="Z242" s="1"/>
      <c r="AA242" s="1" t="s">
        <v>40</v>
      </c>
      <c r="AB242" s="1" t="s">
        <v>1238</v>
      </c>
      <c r="AC242" s="1"/>
    </row>
    <row r="243">
      <c r="A243" s="1" t="str">
        <f>"00070D"</f>
        <v>00070D</v>
      </c>
      <c r="B243" s="1" t="s">
        <v>527</v>
      </c>
      <c r="C243" s="1" t="s">
        <v>528</v>
      </c>
      <c r="D243" s="1" t="str">
        <f>"8024923458"</f>
        <v>8024923458</v>
      </c>
      <c r="E243" s="1">
        <v>41.0</v>
      </c>
      <c r="F243" s="1" t="s">
        <v>31</v>
      </c>
      <c r="G243" s="1" t="s">
        <v>1239</v>
      </c>
      <c r="H243" s="1">
        <v>15.0</v>
      </c>
      <c r="I243" s="1"/>
      <c r="J243" s="1"/>
      <c r="K243" s="1"/>
      <c r="L243" s="1"/>
      <c r="M243" s="1" t="s">
        <v>1240</v>
      </c>
      <c r="N243" s="1" t="s">
        <v>161</v>
      </c>
      <c r="O243" s="1" t="s">
        <v>531</v>
      </c>
      <c r="P243" s="1"/>
      <c r="Q243" s="3">
        <v>36892.0</v>
      </c>
      <c r="R243" s="1"/>
      <c r="S243" s="3">
        <v>41948.0</v>
      </c>
      <c r="T243" s="1" t="s">
        <v>37</v>
      </c>
      <c r="U243" s="1"/>
      <c r="V243" s="1" t="s">
        <v>38</v>
      </c>
      <c r="W243" s="1">
        <v>43.7928</v>
      </c>
      <c r="X243" s="1">
        <v>-73.33739</v>
      </c>
      <c r="Y243" s="1" t="s">
        <v>535</v>
      </c>
      <c r="Z243" s="1"/>
      <c r="AA243" s="1" t="s">
        <v>40</v>
      </c>
      <c r="AB243" s="1" t="s">
        <v>532</v>
      </c>
      <c r="AC243" s="1">
        <v>5760.0</v>
      </c>
    </row>
    <row r="244">
      <c r="A244" s="1" t="str">
        <f>"0007W1"</f>
        <v>0007W1</v>
      </c>
      <c r="B244" s="1" t="s">
        <v>1241</v>
      </c>
      <c r="C244" s="1" t="s">
        <v>1242</v>
      </c>
      <c r="D244" s="1"/>
      <c r="E244" s="1">
        <v>2247.0</v>
      </c>
      <c r="F244" s="1" t="s">
        <v>44</v>
      </c>
      <c r="G244" s="1" t="s">
        <v>1243</v>
      </c>
      <c r="H244" s="1">
        <v>2.0</v>
      </c>
      <c r="I244" s="1"/>
      <c r="J244" s="1"/>
      <c r="K244" s="1"/>
      <c r="L244" s="1"/>
      <c r="M244" s="1" t="s">
        <v>1244</v>
      </c>
      <c r="N244" s="1" t="s">
        <v>34</v>
      </c>
      <c r="O244" s="1" t="s">
        <v>1085</v>
      </c>
      <c r="P244" s="1"/>
      <c r="Q244" s="3">
        <v>36892.0</v>
      </c>
      <c r="R244" s="1"/>
      <c r="S244" s="3">
        <v>34947.0</v>
      </c>
      <c r="T244" s="1" t="s">
        <v>37</v>
      </c>
      <c r="U244" s="1"/>
      <c r="V244" s="1" t="s">
        <v>38</v>
      </c>
      <c r="W244" s="1"/>
      <c r="X244" s="1"/>
      <c r="Y244" s="1" t="s">
        <v>49</v>
      </c>
      <c r="Z244" s="1"/>
      <c r="AA244" s="1" t="s">
        <v>40</v>
      </c>
      <c r="AB244" s="1" t="s">
        <v>1086</v>
      </c>
      <c r="AC244" s="1"/>
    </row>
    <row r="245">
      <c r="A245" s="1" t="str">
        <f>"0007VH"</f>
        <v>0007VH</v>
      </c>
      <c r="B245" s="1" t="s">
        <v>1245</v>
      </c>
      <c r="C245" s="1" t="s">
        <v>1246</v>
      </c>
      <c r="D245" s="1" t="str">
        <f>"8028684171"</f>
        <v>8028684171</v>
      </c>
      <c r="E245" s="1">
        <v>2246.0</v>
      </c>
      <c r="F245" s="1" t="s">
        <v>44</v>
      </c>
      <c r="G245" s="1" t="s">
        <v>1247</v>
      </c>
      <c r="H245" s="1">
        <v>11.0</v>
      </c>
      <c r="I245" s="1"/>
      <c r="J245" s="1"/>
      <c r="K245" s="1"/>
      <c r="L245" s="1"/>
      <c r="M245" s="1" t="s">
        <v>1248</v>
      </c>
      <c r="N245" s="1" t="s">
        <v>47</v>
      </c>
      <c r="O245" s="1" t="s">
        <v>670</v>
      </c>
      <c r="P245" s="1"/>
      <c r="Q245" s="3">
        <v>36892.0</v>
      </c>
      <c r="R245" s="1"/>
      <c r="S245" s="3">
        <v>37601.0</v>
      </c>
      <c r="T245" s="1" t="s">
        <v>37</v>
      </c>
      <c r="U245" s="1"/>
      <c r="V245" s="1" t="s">
        <v>38</v>
      </c>
      <c r="W245" s="1"/>
      <c r="X245" s="1"/>
      <c r="Y245" s="1" t="s">
        <v>49</v>
      </c>
      <c r="Z245" s="1"/>
      <c r="AA245" s="1" t="s">
        <v>40</v>
      </c>
      <c r="AB245" s="1" t="s">
        <v>671</v>
      </c>
      <c r="AC245" s="1"/>
    </row>
    <row r="246">
      <c r="A246" s="1" t="str">
        <f>"0007VJ"</f>
        <v>0007VJ</v>
      </c>
      <c r="B246" s="1" t="s">
        <v>1249</v>
      </c>
      <c r="C246" s="1" t="s">
        <v>934</v>
      </c>
      <c r="D246" s="1" t="str">
        <f>"8028645100"</f>
        <v>8028645100</v>
      </c>
      <c r="E246" s="1">
        <v>2245.0</v>
      </c>
      <c r="F246" s="1" t="s">
        <v>44</v>
      </c>
      <c r="G246" s="1" t="s">
        <v>1250</v>
      </c>
      <c r="H246" s="1">
        <v>2.0</v>
      </c>
      <c r="I246" s="1"/>
      <c r="J246" s="1"/>
      <c r="K246" s="1"/>
      <c r="L246" s="1"/>
      <c r="M246" s="1" t="s">
        <v>1251</v>
      </c>
      <c r="N246" s="1" t="s">
        <v>57</v>
      </c>
      <c r="O246" s="1" t="s">
        <v>559</v>
      </c>
      <c r="P246" s="1"/>
      <c r="Q246" s="3">
        <v>36892.0</v>
      </c>
      <c r="R246" s="1"/>
      <c r="S246" s="3">
        <v>32374.0</v>
      </c>
      <c r="T246" s="1" t="s">
        <v>37</v>
      </c>
      <c r="U246" s="1"/>
      <c r="V246" s="1" t="s">
        <v>38</v>
      </c>
      <c r="W246" s="1"/>
      <c r="X246" s="1"/>
      <c r="Y246" s="1" t="s">
        <v>49</v>
      </c>
      <c r="Z246" s="1"/>
      <c r="AA246" s="1" t="s">
        <v>40</v>
      </c>
      <c r="AB246" s="1" t="s">
        <v>560</v>
      </c>
      <c r="AC246" s="1"/>
    </row>
    <row r="247">
      <c r="A247" s="1" t="str">
        <f>"0007VK"</f>
        <v>0007VK</v>
      </c>
      <c r="B247" s="1" t="s">
        <v>1252</v>
      </c>
      <c r="C247" s="1" t="s">
        <v>1253</v>
      </c>
      <c r="D247" s="1" t="str">
        <f>"8022546963"</f>
        <v>8022546963</v>
      </c>
      <c r="E247" s="1">
        <v>2244.0</v>
      </c>
      <c r="F247" s="1" t="s">
        <v>44</v>
      </c>
      <c r="G247" s="1" t="s">
        <v>1254</v>
      </c>
      <c r="H247" s="1">
        <v>1.0</v>
      </c>
      <c r="I247" s="1"/>
      <c r="J247" s="1"/>
      <c r="K247" s="1"/>
      <c r="L247" s="1"/>
      <c r="M247" s="1" t="s">
        <v>1255</v>
      </c>
      <c r="N247" s="1" t="s">
        <v>66</v>
      </c>
      <c r="O247" s="1" t="s">
        <v>1256</v>
      </c>
      <c r="P247" s="1"/>
      <c r="Q247" s="3">
        <v>36892.0</v>
      </c>
      <c r="R247" s="1"/>
      <c r="S247" s="3">
        <v>34128.0</v>
      </c>
      <c r="T247" s="1" t="s">
        <v>37</v>
      </c>
      <c r="U247" s="1"/>
      <c r="V247" s="1" t="s">
        <v>38</v>
      </c>
      <c r="W247" s="1"/>
      <c r="X247" s="1"/>
      <c r="Y247" s="1" t="s">
        <v>49</v>
      </c>
      <c r="Z247" s="1"/>
      <c r="AA247" s="1" t="s">
        <v>40</v>
      </c>
      <c r="AB247" s="1" t="s">
        <v>1257</v>
      </c>
      <c r="AC247" s="1"/>
    </row>
    <row r="248">
      <c r="A248" s="1" t="str">
        <f>"0007P4"</f>
        <v>0007P4</v>
      </c>
      <c r="B248" s="1" t="s">
        <v>1258</v>
      </c>
      <c r="C248" s="1" t="s">
        <v>1259</v>
      </c>
      <c r="D248" s="1" t="str">
        <f>"8022237316"</f>
        <v>8022237316</v>
      </c>
      <c r="E248" s="1">
        <v>1021.0</v>
      </c>
      <c r="F248" s="1" t="s">
        <v>117</v>
      </c>
      <c r="G248" s="1" t="s">
        <v>1260</v>
      </c>
      <c r="H248" s="1">
        <v>14.0</v>
      </c>
      <c r="I248" s="2">
        <v>2.0</v>
      </c>
      <c r="J248" s="2">
        <v>2.0</v>
      </c>
      <c r="K248" s="2" t="s">
        <v>119</v>
      </c>
      <c r="L248" s="2" t="s">
        <v>1261</v>
      </c>
      <c r="M248" s="1" t="s">
        <v>1262</v>
      </c>
      <c r="N248" s="1" t="s">
        <v>57</v>
      </c>
      <c r="O248" s="1" t="s">
        <v>238</v>
      </c>
      <c r="P248" s="1" t="s">
        <v>1263</v>
      </c>
      <c r="Q248" s="3">
        <v>36892.0</v>
      </c>
      <c r="R248" s="1"/>
      <c r="S248" s="3">
        <v>39744.0</v>
      </c>
      <c r="T248" s="1" t="s">
        <v>37</v>
      </c>
      <c r="U248" s="1"/>
      <c r="V248" s="1" t="s">
        <v>38</v>
      </c>
      <c r="W248" s="1">
        <v>44.241091</v>
      </c>
      <c r="X248" s="1">
        <v>-73.1544119999999</v>
      </c>
      <c r="Y248" s="1" t="s">
        <v>49</v>
      </c>
      <c r="Z248" s="1"/>
      <c r="AA248" s="1" t="s">
        <v>40</v>
      </c>
      <c r="AB248" s="1" t="s">
        <v>239</v>
      </c>
      <c r="AC248" s="1">
        <v>0.0</v>
      </c>
    </row>
    <row r="249">
      <c r="A249" s="1" t="str">
        <f>"0007AN"</f>
        <v>0007AN</v>
      </c>
      <c r="B249" s="1" t="s">
        <v>1264</v>
      </c>
      <c r="C249" s="1" t="s">
        <v>1265</v>
      </c>
      <c r="D249" s="1" t="str">
        <f>"8024534145"</f>
        <v>8024534145</v>
      </c>
      <c r="E249" s="1">
        <v>3128.0</v>
      </c>
      <c r="F249" s="1" t="s">
        <v>44</v>
      </c>
      <c r="G249" s="1" t="s">
        <v>1266</v>
      </c>
      <c r="H249" s="1">
        <v>2.0</v>
      </c>
      <c r="I249" s="1"/>
      <c r="J249" s="1"/>
      <c r="K249" s="1"/>
      <c r="L249" s="1"/>
      <c r="M249" s="1" t="s">
        <v>72</v>
      </c>
      <c r="N249" s="1" t="s">
        <v>161</v>
      </c>
      <c r="O249" s="1" t="s">
        <v>180</v>
      </c>
      <c r="P249" s="1"/>
      <c r="Q249" s="3">
        <v>36892.0</v>
      </c>
      <c r="R249" s="1"/>
      <c r="S249" s="3">
        <v>36733.0</v>
      </c>
      <c r="T249" s="1" t="s">
        <v>37</v>
      </c>
      <c r="U249" s="1"/>
      <c r="V249" s="1" t="s">
        <v>38</v>
      </c>
      <c r="W249" s="1"/>
      <c r="X249" s="1"/>
      <c r="Y249" s="1" t="s">
        <v>49</v>
      </c>
      <c r="Z249" s="1"/>
      <c r="AA249" s="1" t="s">
        <v>40</v>
      </c>
      <c r="AB249" s="1" t="s">
        <v>181</v>
      </c>
      <c r="AC249" s="1"/>
    </row>
    <row r="250">
      <c r="A250" s="1" t="str">
        <f>"0007WX"</f>
        <v>0007WX</v>
      </c>
      <c r="B250" s="1" t="s">
        <v>1267</v>
      </c>
      <c r="C250" s="1" t="s">
        <v>1268</v>
      </c>
      <c r="D250" s="1" t="str">
        <f>"8026582340"</f>
        <v>8026582340</v>
      </c>
      <c r="E250" s="1">
        <v>1244.0</v>
      </c>
      <c r="F250" s="1" t="s">
        <v>44</v>
      </c>
      <c r="G250" s="1" t="s">
        <v>1269</v>
      </c>
      <c r="H250" s="1">
        <v>2.0</v>
      </c>
      <c r="I250" s="1"/>
      <c r="J250" s="1"/>
      <c r="K250" s="1"/>
      <c r="L250" s="1"/>
      <c r="M250" s="1" t="s">
        <v>1270</v>
      </c>
      <c r="N250" s="1" t="s">
        <v>161</v>
      </c>
      <c r="O250" s="1" t="s">
        <v>769</v>
      </c>
      <c r="P250" s="1"/>
      <c r="Q250" s="3">
        <v>36892.0</v>
      </c>
      <c r="R250" s="1"/>
      <c r="S250" s="3">
        <v>33100.0</v>
      </c>
      <c r="T250" s="1" t="s">
        <v>37</v>
      </c>
      <c r="U250" s="1"/>
      <c r="V250" s="1" t="s">
        <v>38</v>
      </c>
      <c r="W250" s="1"/>
      <c r="X250" s="1"/>
      <c r="Y250" s="1" t="s">
        <v>49</v>
      </c>
      <c r="Z250" s="1"/>
      <c r="AA250" s="1" t="s">
        <v>40</v>
      </c>
      <c r="AB250" s="1" t="s">
        <v>770</v>
      </c>
      <c r="AC250" s="1"/>
    </row>
    <row r="251">
      <c r="A251" s="1" t="str">
        <f>"00070C"</f>
        <v>00070C</v>
      </c>
      <c r="B251" s="1" t="s">
        <v>1271</v>
      </c>
      <c r="C251" s="1" t="s">
        <v>1272</v>
      </c>
      <c r="D251" s="1" t="str">
        <f>"8024534193"</f>
        <v>8024534193</v>
      </c>
      <c r="E251" s="1">
        <v>3687.0</v>
      </c>
      <c r="F251" s="1" t="s">
        <v>44</v>
      </c>
      <c r="G251" s="1" t="s">
        <v>1273</v>
      </c>
      <c r="H251" s="1"/>
      <c r="I251" s="1"/>
      <c r="J251" s="1"/>
      <c r="K251" s="1"/>
      <c r="L251" s="1"/>
      <c r="M251" s="1" t="s">
        <v>72</v>
      </c>
      <c r="N251" s="1" t="s">
        <v>161</v>
      </c>
      <c r="O251" s="1" t="s">
        <v>307</v>
      </c>
      <c r="P251" s="1"/>
      <c r="Q251" s="3">
        <v>36892.0</v>
      </c>
      <c r="R251" s="1"/>
      <c r="S251" s="1"/>
      <c r="T251" s="1" t="s">
        <v>37</v>
      </c>
      <c r="U251" s="1"/>
      <c r="V251" s="1" t="s">
        <v>38</v>
      </c>
      <c r="W251" s="1"/>
      <c r="X251" s="1"/>
      <c r="Y251" s="1" t="s">
        <v>49</v>
      </c>
      <c r="Z251" s="1"/>
      <c r="AA251" s="1" t="s">
        <v>40</v>
      </c>
      <c r="AB251" s="1" t="s">
        <v>308</v>
      </c>
      <c r="AC251" s="1"/>
    </row>
    <row r="252">
      <c r="A252" s="1" t="str">
        <f>"0008G0"</f>
        <v>0008G0</v>
      </c>
      <c r="B252" s="1" t="s">
        <v>1274</v>
      </c>
      <c r="C252" s="1" t="s">
        <v>1275</v>
      </c>
      <c r="D252" s="1"/>
      <c r="E252" s="1">
        <v>2789.0</v>
      </c>
      <c r="F252" s="1" t="s">
        <v>44</v>
      </c>
      <c r="G252" s="1" t="s">
        <v>1276</v>
      </c>
      <c r="H252" s="1">
        <v>1.0</v>
      </c>
      <c r="I252" s="1"/>
      <c r="J252" s="1"/>
      <c r="K252" s="1"/>
      <c r="L252" s="1"/>
      <c r="M252" s="1" t="s">
        <v>72</v>
      </c>
      <c r="N252" s="1" t="s">
        <v>34</v>
      </c>
      <c r="O252" s="1" t="s">
        <v>1277</v>
      </c>
      <c r="P252" s="1"/>
      <c r="Q252" s="3">
        <v>36892.0</v>
      </c>
      <c r="R252" s="1"/>
      <c r="S252" s="3">
        <v>35234.0</v>
      </c>
      <c r="T252" s="1" t="s">
        <v>37</v>
      </c>
      <c r="U252" s="1"/>
      <c r="V252" s="1" t="s">
        <v>38</v>
      </c>
      <c r="W252" s="1"/>
      <c r="X252" s="1"/>
      <c r="Y252" s="1" t="s">
        <v>49</v>
      </c>
      <c r="Z252" s="1"/>
      <c r="AA252" s="1" t="s">
        <v>40</v>
      </c>
      <c r="AB252" s="1" t="s">
        <v>1278</v>
      </c>
      <c r="AC252" s="1"/>
    </row>
    <row r="253">
      <c r="A253" s="1" t="str">
        <f>"0007NY"</f>
        <v>0007NY</v>
      </c>
      <c r="B253" s="1" t="s">
        <v>1279</v>
      </c>
      <c r="C253" s="1" t="s">
        <v>1280</v>
      </c>
      <c r="D253" s="1" t="str">
        <f>"8027468653"</f>
        <v>8027468653</v>
      </c>
      <c r="E253" s="1">
        <v>3733.0</v>
      </c>
      <c r="F253" s="1" t="s">
        <v>44</v>
      </c>
      <c r="G253" s="1" t="s">
        <v>1281</v>
      </c>
      <c r="H253" s="1"/>
      <c r="I253" s="1"/>
      <c r="J253" s="1"/>
      <c r="K253" s="1"/>
      <c r="L253" s="1"/>
      <c r="M253" s="1" t="s">
        <v>72</v>
      </c>
      <c r="N253" s="1" t="s">
        <v>78</v>
      </c>
      <c r="O253" s="1" t="s">
        <v>869</v>
      </c>
      <c r="P253" s="1"/>
      <c r="Q253" s="3">
        <v>36892.0</v>
      </c>
      <c r="R253" s="1"/>
      <c r="S253" s="1"/>
      <c r="T253" s="1" t="s">
        <v>37</v>
      </c>
      <c r="U253" s="1"/>
      <c r="V253" s="1" t="s">
        <v>38</v>
      </c>
      <c r="W253" s="1"/>
      <c r="X253" s="1"/>
      <c r="Y253" s="1" t="s">
        <v>49</v>
      </c>
      <c r="Z253" s="1"/>
      <c r="AA253" s="1" t="s">
        <v>40</v>
      </c>
      <c r="AB253" s="1" t="s">
        <v>870</v>
      </c>
      <c r="AC253" s="1"/>
    </row>
    <row r="254">
      <c r="A254" s="1" t="str">
        <f>"0008FZ"</f>
        <v>0008FZ</v>
      </c>
      <c r="B254" s="1" t="s">
        <v>1282</v>
      </c>
      <c r="C254" s="1" t="s">
        <v>1283</v>
      </c>
      <c r="D254" s="1" t="str">
        <f>"8024574014"</f>
        <v>8024574014</v>
      </c>
      <c r="E254" s="1">
        <v>2236.0</v>
      </c>
      <c r="F254" s="1" t="s">
        <v>44</v>
      </c>
      <c r="G254" s="1" t="s">
        <v>1284</v>
      </c>
      <c r="H254" s="1"/>
      <c r="I254" s="1"/>
      <c r="J254" s="1"/>
      <c r="K254" s="1"/>
      <c r="L254" s="1"/>
      <c r="M254" s="1" t="s">
        <v>1285</v>
      </c>
      <c r="N254" s="1" t="s">
        <v>34</v>
      </c>
      <c r="O254" s="1" t="s">
        <v>1286</v>
      </c>
      <c r="P254" s="1"/>
      <c r="Q254" s="3">
        <v>36892.0</v>
      </c>
      <c r="R254" s="1"/>
      <c r="S254" s="1"/>
      <c r="T254" s="1" t="s">
        <v>37</v>
      </c>
      <c r="U254" s="1"/>
      <c r="V254" s="1" t="s">
        <v>38</v>
      </c>
      <c r="W254" s="1"/>
      <c r="X254" s="1"/>
      <c r="Y254" s="1" t="s">
        <v>49</v>
      </c>
      <c r="Z254" s="1"/>
      <c r="AA254" s="1" t="s">
        <v>40</v>
      </c>
      <c r="AB254" s="1" t="s">
        <v>1287</v>
      </c>
      <c r="AC254" s="1"/>
    </row>
    <row r="255">
      <c r="A255" s="1" t="str">
        <f>"0008FY"</f>
        <v>0008FY</v>
      </c>
      <c r="B255" s="1" t="s">
        <v>1288</v>
      </c>
      <c r="C255" s="1" t="s">
        <v>1289</v>
      </c>
      <c r="D255" s="1"/>
      <c r="E255" s="1">
        <v>2555.0</v>
      </c>
      <c r="F255" s="1" t="s">
        <v>44</v>
      </c>
      <c r="G255" s="1" t="s">
        <v>1290</v>
      </c>
      <c r="H255" s="1"/>
      <c r="I255" s="1"/>
      <c r="J255" s="1"/>
      <c r="K255" s="1"/>
      <c r="L255" s="1"/>
      <c r="M255" s="1" t="s">
        <v>1291</v>
      </c>
      <c r="N255" s="1" t="s">
        <v>142</v>
      </c>
      <c r="O255" s="1" t="s">
        <v>474</v>
      </c>
      <c r="P255" s="1"/>
      <c r="Q255" s="3">
        <v>36892.0</v>
      </c>
      <c r="R255" s="1"/>
      <c r="S255" s="1"/>
      <c r="T255" s="1" t="s">
        <v>37</v>
      </c>
      <c r="U255" s="1"/>
      <c r="V255" s="1" t="s">
        <v>38</v>
      </c>
      <c r="W255" s="1"/>
      <c r="X255" s="1"/>
      <c r="Y255" s="1" t="s">
        <v>49</v>
      </c>
      <c r="Z255" s="1"/>
      <c r="AA255" s="1" t="s">
        <v>40</v>
      </c>
      <c r="AB255" s="1" t="s">
        <v>475</v>
      </c>
      <c r="AC255" s="1"/>
    </row>
    <row r="256">
      <c r="A256" s="1" t="str">
        <f>"0007G3"</f>
        <v>0007G3</v>
      </c>
      <c r="B256" s="1" t="s">
        <v>1292</v>
      </c>
      <c r="C256" s="1" t="s">
        <v>1293</v>
      </c>
      <c r="D256" s="1" t="str">
        <f>"8024362676"</f>
        <v>8024362676</v>
      </c>
      <c r="E256" s="1">
        <v>2234.0</v>
      </c>
      <c r="F256" s="1" t="s">
        <v>44</v>
      </c>
      <c r="G256" s="1" t="s">
        <v>1294</v>
      </c>
      <c r="H256" s="1">
        <v>50.0</v>
      </c>
      <c r="I256" s="1"/>
      <c r="J256" s="1"/>
      <c r="K256" s="1"/>
      <c r="L256" s="1"/>
      <c r="M256" s="1" t="s">
        <v>1295</v>
      </c>
      <c r="N256" s="1" t="s">
        <v>34</v>
      </c>
      <c r="O256" s="1" t="s">
        <v>85</v>
      </c>
      <c r="P256" s="1"/>
      <c r="Q256" s="3">
        <v>36892.0</v>
      </c>
      <c r="R256" s="1"/>
      <c r="S256" s="3">
        <v>32737.0</v>
      </c>
      <c r="T256" s="1" t="s">
        <v>37</v>
      </c>
      <c r="U256" s="1"/>
      <c r="V256" s="1" t="s">
        <v>38</v>
      </c>
      <c r="W256" s="1"/>
      <c r="X256" s="1"/>
      <c r="Y256" s="1" t="s">
        <v>49</v>
      </c>
      <c r="Z256" s="1"/>
      <c r="AA256" s="1" t="s">
        <v>40</v>
      </c>
      <c r="AB256" s="1" t="s">
        <v>86</v>
      </c>
      <c r="AC256" s="1"/>
    </row>
    <row r="257">
      <c r="A257" s="1" t="str">
        <f>"0007JK"</f>
        <v>0007JK</v>
      </c>
      <c r="B257" s="1" t="s">
        <v>1296</v>
      </c>
      <c r="C257" s="1" t="s">
        <v>1297</v>
      </c>
      <c r="D257" s="1" t="str">
        <f>"8027638243"</f>
        <v>8027638243</v>
      </c>
      <c r="E257" s="1">
        <v>2233.0</v>
      </c>
      <c r="F257" s="1" t="s">
        <v>44</v>
      </c>
      <c r="G257" s="1" t="s">
        <v>1298</v>
      </c>
      <c r="H257" s="1"/>
      <c r="I257" s="1"/>
      <c r="J257" s="1"/>
      <c r="K257" s="1"/>
      <c r="L257" s="1"/>
      <c r="M257" s="1" t="s">
        <v>1299</v>
      </c>
      <c r="N257" s="1" t="s">
        <v>34</v>
      </c>
      <c r="O257" s="1" t="s">
        <v>551</v>
      </c>
      <c r="P257" s="1"/>
      <c r="Q257" s="3">
        <v>36892.0</v>
      </c>
      <c r="R257" s="1"/>
      <c r="S257" s="1"/>
      <c r="T257" s="1" t="s">
        <v>37</v>
      </c>
      <c r="U257" s="1"/>
      <c r="V257" s="1" t="s">
        <v>38</v>
      </c>
      <c r="W257" s="1"/>
      <c r="X257" s="1"/>
      <c r="Y257" s="1" t="s">
        <v>49</v>
      </c>
      <c r="Z257" s="1"/>
      <c r="AA257" s="1" t="s">
        <v>40</v>
      </c>
      <c r="AB257" s="1" t="s">
        <v>552</v>
      </c>
      <c r="AC257" s="1"/>
    </row>
    <row r="258">
      <c r="A258" s="1" t="str">
        <f>"0008V2"</f>
        <v>0008V2</v>
      </c>
      <c r="B258" s="1" t="s">
        <v>1300</v>
      </c>
      <c r="C258" s="1" t="s">
        <v>1301</v>
      </c>
      <c r="D258" s="1" t="str">
        <f>"8027754575"</f>
        <v>8027754575</v>
      </c>
      <c r="E258" s="1">
        <v>3303.0</v>
      </c>
      <c r="F258" s="1" t="s">
        <v>44</v>
      </c>
      <c r="G258" s="1" t="s">
        <v>1302</v>
      </c>
      <c r="H258" s="1">
        <v>9.0</v>
      </c>
      <c r="I258" s="1"/>
      <c r="J258" s="1"/>
      <c r="K258" s="1"/>
      <c r="L258" s="1"/>
      <c r="M258" s="1" t="s">
        <v>72</v>
      </c>
      <c r="N258" s="1" t="s">
        <v>78</v>
      </c>
      <c r="O258" s="1" t="s">
        <v>1303</v>
      </c>
      <c r="P258" s="1"/>
      <c r="Q258" s="3">
        <v>36892.0</v>
      </c>
      <c r="R258" s="1"/>
      <c r="S258" s="3">
        <v>39337.0</v>
      </c>
      <c r="T258" s="1" t="s">
        <v>37</v>
      </c>
      <c r="U258" s="1"/>
      <c r="V258" s="1" t="s">
        <v>38</v>
      </c>
      <c r="W258" s="1"/>
      <c r="X258" s="1"/>
      <c r="Y258" s="1" t="s">
        <v>49</v>
      </c>
      <c r="Z258" s="1"/>
      <c r="AA258" s="1" t="s">
        <v>40</v>
      </c>
      <c r="AB258" s="1" t="s">
        <v>1304</v>
      </c>
      <c r="AC258" s="1"/>
    </row>
    <row r="259">
      <c r="A259" s="1" t="str">
        <f>"0008FW"</f>
        <v>0008FW</v>
      </c>
      <c r="B259" s="1" t="s">
        <v>1305</v>
      </c>
      <c r="C259" s="1" t="s">
        <v>1306</v>
      </c>
      <c r="D259" s="1" t="str">
        <f>"8024647687"</f>
        <v>8024647687</v>
      </c>
      <c r="E259" s="1">
        <v>2229.0</v>
      </c>
      <c r="F259" s="1" t="s">
        <v>44</v>
      </c>
      <c r="G259" s="1" t="s">
        <v>1307</v>
      </c>
      <c r="H259" s="1"/>
      <c r="I259" s="1"/>
      <c r="J259" s="1"/>
      <c r="K259" s="1"/>
      <c r="L259" s="1"/>
      <c r="M259" s="1" t="s">
        <v>1308</v>
      </c>
      <c r="N259" s="1" t="s">
        <v>66</v>
      </c>
      <c r="O259" s="1" t="s">
        <v>73</v>
      </c>
      <c r="P259" s="1"/>
      <c r="Q259" s="3">
        <v>36892.0</v>
      </c>
      <c r="R259" s="1"/>
      <c r="S259" s="1"/>
      <c r="T259" s="1" t="s">
        <v>37</v>
      </c>
      <c r="U259" s="1"/>
      <c r="V259" s="1" t="s">
        <v>38</v>
      </c>
      <c r="W259" s="1"/>
      <c r="X259" s="1"/>
      <c r="Y259" s="1" t="s">
        <v>49</v>
      </c>
      <c r="Z259" s="1"/>
      <c r="AA259" s="1" t="s">
        <v>40</v>
      </c>
      <c r="AB259" s="1" t="s">
        <v>74</v>
      </c>
      <c r="AC259" s="1"/>
    </row>
    <row r="260">
      <c r="A260" s="1" t="str">
        <f>"0008V7"</f>
        <v>0008V7</v>
      </c>
      <c r="B260" s="1" t="s">
        <v>1309</v>
      </c>
      <c r="C260" s="1" t="s">
        <v>1310</v>
      </c>
      <c r="D260" s="1" t="str">
        <f>"8023334571"</f>
        <v>8023334571</v>
      </c>
      <c r="E260" s="1">
        <v>3308.0</v>
      </c>
      <c r="F260" s="1" t="s">
        <v>44</v>
      </c>
      <c r="G260" s="1" t="s">
        <v>1311</v>
      </c>
      <c r="H260" s="1">
        <v>25.0</v>
      </c>
      <c r="I260" s="1"/>
      <c r="J260" s="1"/>
      <c r="K260" s="1"/>
      <c r="L260" s="1"/>
      <c r="M260" s="1" t="s">
        <v>1312</v>
      </c>
      <c r="N260" s="1" t="s">
        <v>142</v>
      </c>
      <c r="O260" s="1" t="s">
        <v>1213</v>
      </c>
      <c r="P260" s="1" t="s">
        <v>1313</v>
      </c>
      <c r="Q260" s="3">
        <v>36892.0</v>
      </c>
      <c r="R260" s="1"/>
      <c r="S260" s="3">
        <v>40323.0</v>
      </c>
      <c r="T260" s="1" t="s">
        <v>37</v>
      </c>
      <c r="U260" s="1"/>
      <c r="V260" s="1" t="s">
        <v>38</v>
      </c>
      <c r="W260" s="1"/>
      <c r="X260" s="1"/>
      <c r="Y260" s="1" t="s">
        <v>49</v>
      </c>
      <c r="Z260" s="1"/>
      <c r="AA260" s="1" t="s">
        <v>40</v>
      </c>
      <c r="AB260" s="1" t="s">
        <v>1214</v>
      </c>
      <c r="AC260" s="1"/>
    </row>
    <row r="261">
      <c r="A261" s="1" t="str">
        <f>"0007GQ"</f>
        <v>0007GQ</v>
      </c>
      <c r="B261" s="1" t="s">
        <v>1314</v>
      </c>
      <c r="C261" s="1" t="s">
        <v>1315</v>
      </c>
      <c r="D261" s="1" t="str">
        <f>"8022577226"</f>
        <v>8022577226</v>
      </c>
      <c r="E261" s="1">
        <v>2226.0</v>
      </c>
      <c r="F261" s="1" t="s">
        <v>44</v>
      </c>
      <c r="G261" s="1" t="s">
        <v>1316</v>
      </c>
      <c r="H261" s="1">
        <v>4.0</v>
      </c>
      <c r="I261" s="1"/>
      <c r="J261" s="1"/>
      <c r="K261" s="1"/>
      <c r="L261" s="1"/>
      <c r="M261" s="1" t="s">
        <v>1317</v>
      </c>
      <c r="N261" s="1" t="s">
        <v>66</v>
      </c>
      <c r="O261" s="1" t="s">
        <v>1136</v>
      </c>
      <c r="P261" s="1"/>
      <c r="Q261" s="3">
        <v>36892.0</v>
      </c>
      <c r="R261" s="1"/>
      <c r="S261" s="3">
        <v>32339.0</v>
      </c>
      <c r="T261" s="1" t="s">
        <v>37</v>
      </c>
      <c r="U261" s="1"/>
      <c r="V261" s="1" t="s">
        <v>38</v>
      </c>
      <c r="W261" s="1"/>
      <c r="X261" s="1"/>
      <c r="Y261" s="1" t="s">
        <v>49</v>
      </c>
      <c r="Z261" s="1"/>
      <c r="AA261" s="1" t="s">
        <v>40</v>
      </c>
      <c r="AB261" s="1" t="s">
        <v>1137</v>
      </c>
      <c r="AC261" s="1"/>
    </row>
    <row r="262">
      <c r="A262" s="1" t="str">
        <f>"0007VB"</f>
        <v>0007VB</v>
      </c>
      <c r="B262" s="1" t="s">
        <v>1318</v>
      </c>
      <c r="C262" s="1" t="s">
        <v>1319</v>
      </c>
      <c r="D262" s="1" t="str">
        <f>"8028991378"</f>
        <v>8028991378</v>
      </c>
      <c r="E262" s="1">
        <v>4121.0</v>
      </c>
      <c r="F262" s="1" t="s">
        <v>44</v>
      </c>
      <c r="G262" s="1" t="s">
        <v>1320</v>
      </c>
      <c r="H262" s="1">
        <v>1.0</v>
      </c>
      <c r="I262" s="1"/>
      <c r="J262" s="1"/>
      <c r="K262" s="1"/>
      <c r="L262" s="1"/>
      <c r="M262" s="1" t="s">
        <v>33</v>
      </c>
      <c r="N262" s="1" t="s">
        <v>57</v>
      </c>
      <c r="O262" s="1" t="s">
        <v>745</v>
      </c>
      <c r="P262" s="1" t="s">
        <v>36</v>
      </c>
      <c r="Q262" s="3">
        <v>36892.0</v>
      </c>
      <c r="R262" s="1"/>
      <c r="S262" s="1"/>
      <c r="T262" s="1" t="s">
        <v>37</v>
      </c>
      <c r="U262" s="1"/>
      <c r="V262" s="1" t="s">
        <v>38</v>
      </c>
      <c r="W262" s="1">
        <v>44.449256</v>
      </c>
      <c r="X262" s="1">
        <v>-72.9350329999999</v>
      </c>
      <c r="Y262" s="1" t="s">
        <v>1321</v>
      </c>
      <c r="Z262" s="1"/>
      <c r="AA262" s="1" t="s">
        <v>40</v>
      </c>
      <c r="AB262" s="1" t="s">
        <v>746</v>
      </c>
      <c r="AC262" s="1">
        <v>5465.0</v>
      </c>
    </row>
    <row r="263">
      <c r="A263" s="1" t="str">
        <f>"0008FQ"</f>
        <v>0008FQ</v>
      </c>
      <c r="B263" s="1" t="s">
        <v>1322</v>
      </c>
      <c r="C263" s="1" t="s">
        <v>1323</v>
      </c>
      <c r="D263" s="1" t="str">
        <f>"8022577275"</f>
        <v>8022577275</v>
      </c>
      <c r="E263" s="1">
        <v>2224.0</v>
      </c>
      <c r="F263" s="1" t="s">
        <v>44</v>
      </c>
      <c r="G263" s="1" t="s">
        <v>1324</v>
      </c>
      <c r="H263" s="1">
        <v>1.0</v>
      </c>
      <c r="I263" s="1"/>
      <c r="J263" s="1"/>
      <c r="K263" s="1"/>
      <c r="L263" s="1"/>
      <c r="M263" s="1" t="s">
        <v>1325</v>
      </c>
      <c r="N263" s="1" t="s">
        <v>66</v>
      </c>
      <c r="O263" s="1" t="s">
        <v>1136</v>
      </c>
      <c r="P263" s="1"/>
      <c r="Q263" s="3">
        <v>36892.0</v>
      </c>
      <c r="R263" s="1"/>
      <c r="S263" s="3">
        <v>32646.0</v>
      </c>
      <c r="T263" s="1" t="s">
        <v>37</v>
      </c>
      <c r="U263" s="1"/>
      <c r="V263" s="1" t="s">
        <v>38</v>
      </c>
      <c r="W263" s="1"/>
      <c r="X263" s="1"/>
      <c r="Y263" s="1" t="s">
        <v>49</v>
      </c>
      <c r="Z263" s="1"/>
      <c r="AA263" s="1" t="s">
        <v>40</v>
      </c>
      <c r="AB263" s="1" t="s">
        <v>1137</v>
      </c>
      <c r="AC263" s="1"/>
    </row>
    <row r="264">
      <c r="A264" s="1" t="str">
        <f>"0008FP"</f>
        <v>0008FP</v>
      </c>
      <c r="B264" s="1" t="s">
        <v>1326</v>
      </c>
      <c r="C264" s="1" t="s">
        <v>1327</v>
      </c>
      <c r="D264" s="1" t="str">
        <f>"8022545813"</f>
        <v>8022545813</v>
      </c>
      <c r="E264" s="1">
        <v>2222.0</v>
      </c>
      <c r="F264" s="1" t="s">
        <v>44</v>
      </c>
      <c r="G264" s="1" t="s">
        <v>1328</v>
      </c>
      <c r="H264" s="1">
        <v>2.0</v>
      </c>
      <c r="I264" s="1"/>
      <c r="J264" s="1"/>
      <c r="K264" s="1"/>
      <c r="L264" s="1"/>
      <c r="M264" s="1" t="s">
        <v>1329</v>
      </c>
      <c r="N264" s="1" t="s">
        <v>66</v>
      </c>
      <c r="O264" s="1" t="s">
        <v>1136</v>
      </c>
      <c r="P264" s="1"/>
      <c r="Q264" s="3">
        <v>36892.0</v>
      </c>
      <c r="R264" s="1"/>
      <c r="S264" s="3">
        <v>32344.0</v>
      </c>
      <c r="T264" s="1" t="s">
        <v>37</v>
      </c>
      <c r="U264" s="1"/>
      <c r="V264" s="1" t="s">
        <v>38</v>
      </c>
      <c r="W264" s="1"/>
      <c r="X264" s="1"/>
      <c r="Y264" s="1" t="s">
        <v>49</v>
      </c>
      <c r="Z264" s="1"/>
      <c r="AA264" s="1" t="s">
        <v>40</v>
      </c>
      <c r="AB264" s="1" t="s">
        <v>1137</v>
      </c>
      <c r="AC264" s="1"/>
    </row>
    <row r="265">
      <c r="A265" s="1" t="str">
        <f>"00078X"</f>
        <v>00078X</v>
      </c>
      <c r="B265" s="1" t="s">
        <v>1330</v>
      </c>
      <c r="C265" s="1" t="s">
        <v>1331</v>
      </c>
      <c r="D265" s="1" t="str">
        <f>"8025843530"</f>
        <v>8025843530</v>
      </c>
      <c r="E265" s="1">
        <v>3021.0</v>
      </c>
      <c r="F265" s="1" t="s">
        <v>44</v>
      </c>
      <c r="G265" s="1" t="s">
        <v>1332</v>
      </c>
      <c r="H265" s="1"/>
      <c r="I265" s="1"/>
      <c r="J265" s="1"/>
      <c r="K265" s="1"/>
      <c r="L265" s="1"/>
      <c r="M265" s="1" t="s">
        <v>72</v>
      </c>
      <c r="N265" s="1" t="s">
        <v>128</v>
      </c>
      <c r="O265" s="1" t="s">
        <v>1333</v>
      </c>
      <c r="P265" s="1"/>
      <c r="Q265" s="3">
        <v>36892.0</v>
      </c>
      <c r="R265" s="1"/>
      <c r="S265" s="1"/>
      <c r="T265" s="1" t="s">
        <v>37</v>
      </c>
      <c r="U265" s="1"/>
      <c r="V265" s="1" t="s">
        <v>38</v>
      </c>
      <c r="W265" s="1"/>
      <c r="X265" s="1"/>
      <c r="Y265" s="1" t="s">
        <v>49</v>
      </c>
      <c r="Z265" s="1"/>
      <c r="AA265" s="1" t="s">
        <v>40</v>
      </c>
      <c r="AB265" s="1" t="s">
        <v>1334</v>
      </c>
      <c r="AC265" s="1"/>
    </row>
    <row r="266">
      <c r="A266" s="1" t="str">
        <f>"0008FJ"</f>
        <v>0008FJ</v>
      </c>
      <c r="B266" s="1" t="s">
        <v>1335</v>
      </c>
      <c r="C266" s="1" t="s">
        <v>1336</v>
      </c>
      <c r="D266" s="1" t="str">
        <f>"8024633255"</f>
        <v>8024633255</v>
      </c>
      <c r="E266" s="1">
        <v>3031.0</v>
      </c>
      <c r="F266" s="1" t="s">
        <v>44</v>
      </c>
      <c r="G266" s="1" t="s">
        <v>1337</v>
      </c>
      <c r="H266" s="1">
        <v>5.0</v>
      </c>
      <c r="I266" s="1"/>
      <c r="J266" s="1"/>
      <c r="K266" s="1"/>
      <c r="L266" s="1"/>
      <c r="M266" s="1" t="s">
        <v>1338</v>
      </c>
      <c r="N266" s="1" t="s">
        <v>66</v>
      </c>
      <c r="O266" s="1" t="s">
        <v>113</v>
      </c>
      <c r="P266" s="1" t="s">
        <v>36</v>
      </c>
      <c r="Q266" s="3">
        <v>35704.0</v>
      </c>
      <c r="R266" s="1"/>
      <c r="S266" s="3">
        <v>39975.0</v>
      </c>
      <c r="T266" s="1" t="s">
        <v>37</v>
      </c>
      <c r="U266" s="1"/>
      <c r="V266" s="1" t="s">
        <v>38</v>
      </c>
      <c r="W266" s="1"/>
      <c r="X266" s="1"/>
      <c r="Y266" s="1" t="s">
        <v>49</v>
      </c>
      <c r="Z266" s="1"/>
      <c r="AA266" s="1" t="s">
        <v>40</v>
      </c>
      <c r="AB266" s="1" t="s">
        <v>114</v>
      </c>
      <c r="AC266" s="1"/>
    </row>
    <row r="267">
      <c r="A267" s="1" t="str">
        <f>"0007D3"</f>
        <v>0007D3</v>
      </c>
      <c r="B267" s="1" t="s">
        <v>1339</v>
      </c>
      <c r="C267" s="1" t="s">
        <v>1340</v>
      </c>
      <c r="D267" s="1" t="str">
        <f>"8023874259"</f>
        <v>8023874259</v>
      </c>
      <c r="E267" s="1">
        <v>2528.0</v>
      </c>
      <c r="F267" s="1" t="s">
        <v>44</v>
      </c>
      <c r="G267" s="1" t="s">
        <v>1341</v>
      </c>
      <c r="H267" s="1">
        <v>1.0</v>
      </c>
      <c r="I267" s="1"/>
      <c r="J267" s="1"/>
      <c r="K267" s="1"/>
      <c r="L267" s="1"/>
      <c r="M267" s="1" t="s">
        <v>1342</v>
      </c>
      <c r="N267" s="1" t="s">
        <v>66</v>
      </c>
      <c r="O267" s="1" t="s">
        <v>593</v>
      </c>
      <c r="P267" s="1"/>
      <c r="Q267" s="3">
        <v>36892.0</v>
      </c>
      <c r="R267" s="1"/>
      <c r="S267" s="3">
        <v>35597.0</v>
      </c>
      <c r="T267" s="1" t="s">
        <v>37</v>
      </c>
      <c r="U267" s="1"/>
      <c r="V267" s="1" t="s">
        <v>38</v>
      </c>
      <c r="W267" s="1"/>
      <c r="X267" s="1"/>
      <c r="Y267" s="1" t="s">
        <v>49</v>
      </c>
      <c r="Z267" s="1"/>
      <c r="AA267" s="1" t="s">
        <v>40</v>
      </c>
      <c r="AB267" s="1" t="s">
        <v>594</v>
      </c>
      <c r="AC267" s="1"/>
    </row>
    <row r="268">
      <c r="A268" s="1" t="str">
        <f>"0008VB"</f>
        <v>0008VB</v>
      </c>
      <c r="B268" s="1" t="s">
        <v>1343</v>
      </c>
      <c r="C268" s="1" t="s">
        <v>1344</v>
      </c>
      <c r="D268" s="1" t="str">
        <f>"8028791725"</f>
        <v>8028791725</v>
      </c>
      <c r="E268" s="1">
        <v>3318.0</v>
      </c>
      <c r="F268" s="1" t="s">
        <v>44</v>
      </c>
      <c r="G268" s="1" t="s">
        <v>1345</v>
      </c>
      <c r="H268" s="1"/>
      <c r="I268" s="1"/>
      <c r="J268" s="1"/>
      <c r="K268" s="1"/>
      <c r="L268" s="1"/>
      <c r="M268" s="1" t="s">
        <v>1346</v>
      </c>
      <c r="N268" s="1" t="s">
        <v>57</v>
      </c>
      <c r="O268" s="1" t="s">
        <v>509</v>
      </c>
      <c r="P268" s="1"/>
      <c r="Q268" s="3">
        <v>36892.0</v>
      </c>
      <c r="R268" s="1"/>
      <c r="S268" s="1"/>
      <c r="T268" s="1" t="s">
        <v>37</v>
      </c>
      <c r="U268" s="1"/>
      <c r="V268" s="1" t="s">
        <v>38</v>
      </c>
      <c r="W268" s="1"/>
      <c r="X268" s="1"/>
      <c r="Y268" s="1" t="s">
        <v>49</v>
      </c>
      <c r="Z268" s="1"/>
      <c r="AA268" s="1" t="s">
        <v>40</v>
      </c>
      <c r="AB268" s="1" t="s">
        <v>331</v>
      </c>
      <c r="AC268" s="1"/>
    </row>
    <row r="269">
      <c r="A269" s="1" t="str">
        <f>"000808"</f>
        <v>000808</v>
      </c>
      <c r="B269" s="1" t="s">
        <v>1347</v>
      </c>
      <c r="C269" s="1" t="s">
        <v>1348</v>
      </c>
      <c r="D269" s="1" t="str">
        <f>"8027854039"</f>
        <v>8027854039</v>
      </c>
      <c r="E269" s="1">
        <v>3972.0</v>
      </c>
      <c r="F269" s="1" t="s">
        <v>44</v>
      </c>
      <c r="G269" s="1" t="s">
        <v>1349</v>
      </c>
      <c r="H269" s="1">
        <v>0.0</v>
      </c>
      <c r="I269" s="1"/>
      <c r="J269" s="1"/>
      <c r="K269" s="1"/>
      <c r="L269" s="1"/>
      <c r="M269" s="1" t="s">
        <v>72</v>
      </c>
      <c r="N269" s="1" t="s">
        <v>142</v>
      </c>
      <c r="O269" s="1" t="s">
        <v>143</v>
      </c>
      <c r="P269" s="1"/>
      <c r="Q269" s="3">
        <v>36892.0</v>
      </c>
      <c r="R269" s="1"/>
      <c r="S269" s="1"/>
      <c r="T269" s="1" t="s">
        <v>37</v>
      </c>
      <c r="U269" s="1"/>
      <c r="V269" s="1" t="s">
        <v>38</v>
      </c>
      <c r="W269" s="1">
        <v>43.807583</v>
      </c>
      <c r="X269" s="1">
        <v>-72.326904</v>
      </c>
      <c r="Y269" s="1" t="s">
        <v>1350</v>
      </c>
      <c r="Z269" s="1"/>
      <c r="AA269" s="1" t="s">
        <v>40</v>
      </c>
      <c r="AB269" s="1" t="s">
        <v>146</v>
      </c>
      <c r="AC269" s="1">
        <v>5075.0</v>
      </c>
    </row>
    <row r="270">
      <c r="A270" s="1" t="str">
        <f>"0008FH"</f>
        <v>0008FH</v>
      </c>
      <c r="B270" s="1" t="s">
        <v>1351</v>
      </c>
      <c r="C270" s="1" t="s">
        <v>1352</v>
      </c>
      <c r="D270" s="1" t="str">
        <f>"8026268082"</f>
        <v>8026268082</v>
      </c>
      <c r="E270" s="1">
        <v>2206.0</v>
      </c>
      <c r="F270" s="1" t="s">
        <v>44</v>
      </c>
      <c r="G270" s="1" t="s">
        <v>1353</v>
      </c>
      <c r="H270" s="1">
        <v>26.0</v>
      </c>
      <c r="I270" s="1"/>
      <c r="J270" s="1"/>
      <c r="K270" s="1"/>
      <c r="L270" s="1"/>
      <c r="M270" s="1" t="s">
        <v>72</v>
      </c>
      <c r="N270" s="1" t="s">
        <v>128</v>
      </c>
      <c r="O270" s="1" t="s">
        <v>525</v>
      </c>
      <c r="P270" s="1"/>
      <c r="Q270" s="3">
        <v>36892.0</v>
      </c>
      <c r="R270" s="1"/>
      <c r="S270" s="3">
        <v>36355.0</v>
      </c>
      <c r="T270" s="1" t="s">
        <v>37</v>
      </c>
      <c r="U270" s="1"/>
      <c r="V270" s="1" t="s">
        <v>38</v>
      </c>
      <c r="W270" s="1"/>
      <c r="X270" s="1"/>
      <c r="Y270" s="1" t="s">
        <v>49</v>
      </c>
      <c r="Z270" s="1"/>
      <c r="AA270" s="1" t="s">
        <v>40</v>
      </c>
      <c r="AB270" s="1" t="s">
        <v>526</v>
      </c>
      <c r="AC270" s="1"/>
    </row>
    <row r="271">
      <c r="A271" s="1" t="str">
        <f>"00072N"</f>
        <v>00072N</v>
      </c>
      <c r="B271" s="1" t="s">
        <v>1354</v>
      </c>
      <c r="C271" s="1" t="s">
        <v>1355</v>
      </c>
      <c r="D271" s="1" t="str">
        <f>"8024534217"</f>
        <v>8024534217</v>
      </c>
      <c r="E271" s="1">
        <v>3685.0</v>
      </c>
      <c r="F271" s="1" t="s">
        <v>44</v>
      </c>
      <c r="G271" s="1" t="s">
        <v>1356</v>
      </c>
      <c r="H271" s="1">
        <v>4.0</v>
      </c>
      <c r="I271" s="1"/>
      <c r="J271" s="1"/>
      <c r="K271" s="1"/>
      <c r="L271" s="1"/>
      <c r="M271" s="1" t="s">
        <v>72</v>
      </c>
      <c r="N271" s="1" t="s">
        <v>161</v>
      </c>
      <c r="O271" s="1" t="s">
        <v>180</v>
      </c>
      <c r="P271" s="1"/>
      <c r="Q271" s="3">
        <v>36892.0</v>
      </c>
      <c r="R271" s="1"/>
      <c r="S271" s="3">
        <v>39647.0</v>
      </c>
      <c r="T271" s="1" t="s">
        <v>37</v>
      </c>
      <c r="U271" s="1"/>
      <c r="V271" s="1" t="s">
        <v>38</v>
      </c>
      <c r="W271" s="1"/>
      <c r="X271" s="1"/>
      <c r="Y271" s="1" t="s">
        <v>49</v>
      </c>
      <c r="Z271" s="1"/>
      <c r="AA271" s="1" t="s">
        <v>40</v>
      </c>
      <c r="AB271" s="1" t="s">
        <v>181</v>
      </c>
      <c r="AC271" s="1"/>
    </row>
    <row r="272">
      <c r="A272" s="1" t="str">
        <f>"00071G"</f>
        <v>00071G</v>
      </c>
      <c r="B272" s="1" t="s">
        <v>1357</v>
      </c>
      <c r="C272" s="1" t="s">
        <v>1358</v>
      </c>
      <c r="D272" s="1" t="str">
        <f>"8023657721"</f>
        <v>8023657721</v>
      </c>
      <c r="E272" s="1">
        <v>3231.0</v>
      </c>
      <c r="F272" s="1" t="s">
        <v>44</v>
      </c>
      <c r="G272" s="1" t="s">
        <v>1359</v>
      </c>
      <c r="H272" s="1"/>
      <c r="I272" s="1"/>
      <c r="J272" s="1"/>
      <c r="K272" s="1"/>
      <c r="L272" s="1"/>
      <c r="M272" s="1" t="s">
        <v>1360</v>
      </c>
      <c r="N272" s="1" t="s">
        <v>66</v>
      </c>
      <c r="O272" s="1" t="s">
        <v>67</v>
      </c>
      <c r="P272" s="1"/>
      <c r="Q272" s="3">
        <v>36892.0</v>
      </c>
      <c r="R272" s="1"/>
      <c r="S272" s="1"/>
      <c r="T272" s="1" t="s">
        <v>37</v>
      </c>
      <c r="U272" s="1"/>
      <c r="V272" s="1" t="s">
        <v>38</v>
      </c>
      <c r="W272" s="1"/>
      <c r="X272" s="1"/>
      <c r="Y272" s="1" t="s">
        <v>49</v>
      </c>
      <c r="Z272" s="1"/>
      <c r="AA272" s="1" t="s">
        <v>40</v>
      </c>
      <c r="AB272" s="1" t="s">
        <v>68</v>
      </c>
      <c r="AC272" s="1"/>
    </row>
    <row r="273">
      <c r="A273" s="1" t="str">
        <f>"00090A"</f>
        <v>00090A</v>
      </c>
      <c r="B273" s="1" t="s">
        <v>1361</v>
      </c>
      <c r="C273" s="1" t="s">
        <v>1362</v>
      </c>
      <c r="D273" s="1" t="str">
        <f>"8025986624"</f>
        <v>8025986624</v>
      </c>
      <c r="E273" s="1">
        <v>3565.0</v>
      </c>
      <c r="F273" s="1" t="s">
        <v>44</v>
      </c>
      <c r="G273" s="1" t="s">
        <v>1363</v>
      </c>
      <c r="H273" s="1"/>
      <c r="I273" s="1"/>
      <c r="J273" s="1"/>
      <c r="K273" s="1"/>
      <c r="L273" s="1"/>
      <c r="M273" s="1" t="s">
        <v>1364</v>
      </c>
      <c r="N273" s="1" t="s">
        <v>57</v>
      </c>
      <c r="O273" s="1" t="s">
        <v>155</v>
      </c>
      <c r="P273" s="1"/>
      <c r="Q273" s="3">
        <v>36892.0</v>
      </c>
      <c r="R273" s="1"/>
      <c r="S273" s="1"/>
      <c r="T273" s="1" t="s">
        <v>37</v>
      </c>
      <c r="U273" s="1"/>
      <c r="V273" s="1" t="s">
        <v>38</v>
      </c>
      <c r="W273" s="1"/>
      <c r="X273" s="1"/>
      <c r="Y273" s="1" t="s">
        <v>49</v>
      </c>
      <c r="Z273" s="1"/>
      <c r="AA273" s="1" t="s">
        <v>40</v>
      </c>
      <c r="AB273" s="1" t="s">
        <v>156</v>
      </c>
      <c r="AC273" s="1"/>
    </row>
    <row r="274">
      <c r="A274" s="1" t="str">
        <f>"0007GW"</f>
        <v>0007GW</v>
      </c>
      <c r="B274" s="1" t="s">
        <v>1365</v>
      </c>
      <c r="C274" s="1" t="s">
        <v>1366</v>
      </c>
      <c r="D274" s="1" t="str">
        <f>"8022352203"</f>
        <v>8022352203</v>
      </c>
      <c r="E274" s="1">
        <v>2937.0</v>
      </c>
      <c r="F274" s="1" t="s">
        <v>44</v>
      </c>
      <c r="G274" s="1" t="s">
        <v>1367</v>
      </c>
      <c r="H274" s="1">
        <v>1.0</v>
      </c>
      <c r="I274" s="2" t="s">
        <v>119</v>
      </c>
      <c r="J274" s="2" t="s">
        <v>119</v>
      </c>
      <c r="K274" s="2" t="s">
        <v>119</v>
      </c>
      <c r="L274" s="1"/>
      <c r="M274" s="1">
        <v>1.0</v>
      </c>
      <c r="N274" s="1" t="s">
        <v>78</v>
      </c>
      <c r="O274" s="1" t="s">
        <v>420</v>
      </c>
      <c r="P274" s="1" t="s">
        <v>1368</v>
      </c>
      <c r="Q274" s="3">
        <v>36892.0</v>
      </c>
      <c r="R274" s="1"/>
      <c r="S274" s="3">
        <v>38540.0</v>
      </c>
      <c r="T274" s="1" t="s">
        <v>37</v>
      </c>
      <c r="U274" s="1"/>
      <c r="V274" s="1" t="s">
        <v>38</v>
      </c>
      <c r="W274" s="1">
        <v>44.5588028</v>
      </c>
      <c r="X274" s="1">
        <v>-72.5778414999999</v>
      </c>
      <c r="Y274" s="1" t="s">
        <v>1369</v>
      </c>
      <c r="Z274" s="1"/>
      <c r="AA274" s="1" t="s">
        <v>40</v>
      </c>
      <c r="AB274" s="1" t="s">
        <v>421</v>
      </c>
      <c r="AC274" s="1">
        <v>5661.0</v>
      </c>
    </row>
    <row r="275">
      <c r="A275" s="1" t="str">
        <f>"0008DK"</f>
        <v>0008DK</v>
      </c>
      <c r="B275" s="1" t="s">
        <v>1370</v>
      </c>
      <c r="C275" s="1" t="s">
        <v>1371</v>
      </c>
      <c r="D275" s="1" t="str">
        <f>"8024427968"</f>
        <v>8024427968</v>
      </c>
      <c r="E275" s="1">
        <v>3204.0</v>
      </c>
      <c r="F275" s="1" t="s">
        <v>44</v>
      </c>
      <c r="G275" s="1" t="s">
        <v>1372</v>
      </c>
      <c r="H275" s="1">
        <v>15.0</v>
      </c>
      <c r="I275" s="2" t="s">
        <v>119</v>
      </c>
      <c r="J275" s="2" t="s">
        <v>119</v>
      </c>
      <c r="K275" s="2" t="s">
        <v>119</v>
      </c>
      <c r="L275" s="1"/>
      <c r="M275" s="1" t="s">
        <v>72</v>
      </c>
      <c r="N275" s="1" t="s">
        <v>414</v>
      </c>
      <c r="O275" s="1" t="s">
        <v>1160</v>
      </c>
      <c r="P275" s="1"/>
      <c r="Q275" s="3">
        <v>36892.0</v>
      </c>
      <c r="R275" s="1"/>
      <c r="S275" s="3">
        <v>41557.0</v>
      </c>
      <c r="T275" s="1" t="s">
        <v>37</v>
      </c>
      <c r="U275" s="1"/>
      <c r="V275" s="1" t="s">
        <v>38</v>
      </c>
      <c r="W275" s="1">
        <v>42.936</v>
      </c>
      <c r="X275" s="1">
        <v>-73.2368799999999</v>
      </c>
      <c r="Y275" s="1" t="s">
        <v>1373</v>
      </c>
      <c r="Z275" s="1"/>
      <c r="AA275" s="1" t="s">
        <v>40</v>
      </c>
      <c r="AB275" s="1" t="s">
        <v>1374</v>
      </c>
      <c r="AC275" s="1">
        <v>5257.0</v>
      </c>
    </row>
    <row r="276">
      <c r="A276" s="1" t="str">
        <f>"00083D"</f>
        <v>00083D</v>
      </c>
      <c r="B276" s="1" t="s">
        <v>1375</v>
      </c>
      <c r="C276" s="1" t="s">
        <v>1376</v>
      </c>
      <c r="D276" s="1" t="str">
        <f>"8028791956"</f>
        <v>8028791956</v>
      </c>
      <c r="E276" s="1">
        <v>2193.0</v>
      </c>
      <c r="F276" s="1" t="s">
        <v>44</v>
      </c>
      <c r="G276" s="1" t="s">
        <v>1377</v>
      </c>
      <c r="H276" s="1"/>
      <c r="I276" s="1"/>
      <c r="J276" s="1"/>
      <c r="K276" s="1"/>
      <c r="L276" s="1"/>
      <c r="M276" s="1" t="s">
        <v>72</v>
      </c>
      <c r="N276" s="1" t="s">
        <v>57</v>
      </c>
      <c r="O276" s="1" t="s">
        <v>509</v>
      </c>
      <c r="P276" s="1"/>
      <c r="Q276" s="3">
        <v>36892.0</v>
      </c>
      <c r="R276" s="1"/>
      <c r="S276" s="1"/>
      <c r="T276" s="1" t="s">
        <v>37</v>
      </c>
      <c r="U276" s="1"/>
      <c r="V276" s="1" t="s">
        <v>38</v>
      </c>
      <c r="W276" s="1"/>
      <c r="X276" s="1"/>
      <c r="Y276" s="1" t="s">
        <v>49</v>
      </c>
      <c r="Z276" s="1"/>
      <c r="AA276" s="1" t="s">
        <v>40</v>
      </c>
      <c r="AB276" s="1" t="s">
        <v>331</v>
      </c>
      <c r="AC276" s="1"/>
    </row>
    <row r="277">
      <c r="A277" s="1" t="str">
        <f>"0008JB"</f>
        <v>0008JB</v>
      </c>
      <c r="B277" s="1" t="s">
        <v>1378</v>
      </c>
      <c r="C277" s="1" t="s">
        <v>1379</v>
      </c>
      <c r="D277" s="1" t="str">
        <f>"8028273831"</f>
        <v>8028273831</v>
      </c>
      <c r="E277" s="1">
        <v>3058.0</v>
      </c>
      <c r="F277" s="1" t="s">
        <v>44</v>
      </c>
      <c r="G277" s="1" t="s">
        <v>1380</v>
      </c>
      <c r="H277" s="1">
        <v>1.0</v>
      </c>
      <c r="I277" s="2" t="s">
        <v>119</v>
      </c>
      <c r="J277" s="2" t="s">
        <v>119</v>
      </c>
      <c r="K277" s="2" t="s">
        <v>119</v>
      </c>
      <c r="L277" s="1"/>
      <c r="M277" s="1" t="s">
        <v>72</v>
      </c>
      <c r="N277" s="1" t="s">
        <v>47</v>
      </c>
      <c r="O277" s="1" t="s">
        <v>100</v>
      </c>
      <c r="P277" s="1" t="s">
        <v>845</v>
      </c>
      <c r="Q277" s="3">
        <v>36892.0</v>
      </c>
      <c r="R277" s="1"/>
      <c r="S277" s="3">
        <v>39258.0</v>
      </c>
      <c r="T277" s="1" t="s">
        <v>37</v>
      </c>
      <c r="U277" s="1"/>
      <c r="V277" s="1" t="s">
        <v>38</v>
      </c>
      <c r="W277" s="1">
        <v>44.816315</v>
      </c>
      <c r="X277" s="1">
        <v>-72.868126</v>
      </c>
      <c r="Y277" s="1" t="s">
        <v>1381</v>
      </c>
      <c r="Z277" s="1"/>
      <c r="AA277" s="1" t="s">
        <v>40</v>
      </c>
      <c r="AB277" s="1" t="s">
        <v>1382</v>
      </c>
      <c r="AC277" s="1">
        <v>5448.0</v>
      </c>
    </row>
    <row r="278">
      <c r="A278" s="1" t="str">
        <f>"0007QK"</f>
        <v>0007QK</v>
      </c>
      <c r="B278" s="1" t="s">
        <v>1383</v>
      </c>
      <c r="C278" s="1" t="s">
        <v>1384</v>
      </c>
      <c r="D278" s="1" t="str">
        <f>"8022288105"</f>
        <v>8022288105</v>
      </c>
      <c r="E278" s="1">
        <v>2869.0</v>
      </c>
      <c r="F278" s="1" t="s">
        <v>117</v>
      </c>
      <c r="G278" s="1" t="s">
        <v>1385</v>
      </c>
      <c r="H278" s="1">
        <v>0.0</v>
      </c>
      <c r="I278" s="2" t="s">
        <v>119</v>
      </c>
      <c r="J278" s="2" t="s">
        <v>119</v>
      </c>
      <c r="K278" s="2" t="s">
        <v>119</v>
      </c>
      <c r="L278" s="1"/>
      <c r="M278" s="1" t="s">
        <v>1386</v>
      </c>
      <c r="N278" s="1" t="s">
        <v>34</v>
      </c>
      <c r="O278" s="1" t="s">
        <v>1237</v>
      </c>
      <c r="P278" s="1"/>
      <c r="Q278" s="3">
        <v>36892.0</v>
      </c>
      <c r="R278" s="3">
        <v>42156.0</v>
      </c>
      <c r="S278" s="3">
        <v>34947.0</v>
      </c>
      <c r="T278" s="1" t="s">
        <v>37</v>
      </c>
      <c r="U278" s="1"/>
      <c r="V278" s="1" t="s">
        <v>38</v>
      </c>
      <c r="W278" s="1"/>
      <c r="X278" s="1"/>
      <c r="Y278" s="1" t="s">
        <v>49</v>
      </c>
      <c r="Z278" s="1"/>
      <c r="AA278" s="1" t="s">
        <v>40</v>
      </c>
      <c r="AB278" s="1" t="s">
        <v>1238</v>
      </c>
      <c r="AC278" s="1">
        <v>5149.0</v>
      </c>
    </row>
    <row r="279">
      <c r="A279" s="1" t="str">
        <f>"00085F"</f>
        <v>00085F</v>
      </c>
      <c r="B279" s="1" t="s">
        <v>1387</v>
      </c>
      <c r="C279" s="1" t="s">
        <v>1388</v>
      </c>
      <c r="D279" s="1" t="str">
        <f>"8023752846"</f>
        <v>8023752846</v>
      </c>
      <c r="E279" s="1">
        <v>2923.0</v>
      </c>
      <c r="F279" s="1" t="s">
        <v>44</v>
      </c>
      <c r="G279" s="1" t="s">
        <v>1389</v>
      </c>
      <c r="H279" s="1">
        <v>2.0</v>
      </c>
      <c r="I279" s="1"/>
      <c r="J279" s="1"/>
      <c r="K279" s="1"/>
      <c r="L279" s="1"/>
      <c r="M279" s="1" t="s">
        <v>72</v>
      </c>
      <c r="N279" s="1" t="s">
        <v>414</v>
      </c>
      <c r="O279" s="1" t="s">
        <v>1390</v>
      </c>
      <c r="P279" s="1"/>
      <c r="Q279" s="3">
        <v>36892.0</v>
      </c>
      <c r="R279" s="1"/>
      <c r="S279" s="3">
        <v>36819.0</v>
      </c>
      <c r="T279" s="1" t="s">
        <v>37</v>
      </c>
      <c r="U279" s="1"/>
      <c r="V279" s="1" t="s">
        <v>38</v>
      </c>
      <c r="W279" s="1"/>
      <c r="X279" s="1"/>
      <c r="Y279" s="1" t="s">
        <v>49</v>
      </c>
      <c r="Z279" s="1"/>
      <c r="AA279" s="1" t="s">
        <v>40</v>
      </c>
      <c r="AB279" s="1" t="s">
        <v>1391</v>
      </c>
      <c r="AC279" s="1"/>
    </row>
    <row r="280">
      <c r="A280" s="1" t="str">
        <f>"00087D"</f>
        <v>00087D</v>
      </c>
      <c r="B280" s="1" t="s">
        <v>1392</v>
      </c>
      <c r="C280" s="1" t="s">
        <v>1393</v>
      </c>
      <c r="D280" s="1"/>
      <c r="E280" s="1">
        <v>2184.0</v>
      </c>
      <c r="F280" s="1" t="s">
        <v>44</v>
      </c>
      <c r="G280" s="1" t="s">
        <v>1394</v>
      </c>
      <c r="H280" s="1">
        <v>1.0</v>
      </c>
      <c r="I280" s="1"/>
      <c r="J280" s="1"/>
      <c r="K280" s="1"/>
      <c r="L280" s="1"/>
      <c r="M280" s="1" t="s">
        <v>72</v>
      </c>
      <c r="N280" s="1" t="s">
        <v>142</v>
      </c>
      <c r="O280" s="1" t="s">
        <v>353</v>
      </c>
      <c r="P280" s="1"/>
      <c r="Q280" s="3">
        <v>36892.0</v>
      </c>
      <c r="R280" s="1"/>
      <c r="S280" s="3">
        <v>33822.0</v>
      </c>
      <c r="T280" s="1" t="s">
        <v>37</v>
      </c>
      <c r="U280" s="1"/>
      <c r="V280" s="1" t="s">
        <v>38</v>
      </c>
      <c r="W280" s="1"/>
      <c r="X280" s="1"/>
      <c r="Y280" s="1" t="s">
        <v>49</v>
      </c>
      <c r="Z280" s="1"/>
      <c r="AA280" s="1" t="s">
        <v>40</v>
      </c>
      <c r="AB280" s="1" t="s">
        <v>355</v>
      </c>
      <c r="AC280" s="1"/>
    </row>
    <row r="281">
      <c r="A281" s="1" t="str">
        <f>"00087G"</f>
        <v>00087G</v>
      </c>
      <c r="B281" s="1" t="s">
        <v>1395</v>
      </c>
      <c r="C281" s="1" t="s">
        <v>1396</v>
      </c>
      <c r="D281" s="1" t="str">
        <f>"8024966526"</f>
        <v>8024966526</v>
      </c>
      <c r="E281" s="1">
        <v>2925.0</v>
      </c>
      <c r="F281" s="1" t="s">
        <v>44</v>
      </c>
      <c r="G281" s="1" t="s">
        <v>1397</v>
      </c>
      <c r="H281" s="1">
        <v>5.0</v>
      </c>
      <c r="I281" s="1"/>
      <c r="J281" s="1"/>
      <c r="K281" s="1"/>
      <c r="L281" s="1"/>
      <c r="M281" s="1" t="s">
        <v>72</v>
      </c>
      <c r="N281" s="1" t="s">
        <v>135</v>
      </c>
      <c r="O281" s="1" t="s">
        <v>440</v>
      </c>
      <c r="P281" s="1"/>
      <c r="Q281" s="3">
        <v>36892.0</v>
      </c>
      <c r="R281" s="1"/>
      <c r="S281" s="3">
        <v>35592.0</v>
      </c>
      <c r="T281" s="1" t="s">
        <v>37</v>
      </c>
      <c r="U281" s="1"/>
      <c r="V281" s="1" t="s">
        <v>38</v>
      </c>
      <c r="W281" s="1"/>
      <c r="X281" s="1"/>
      <c r="Y281" s="1" t="s">
        <v>49</v>
      </c>
      <c r="Z281" s="1"/>
      <c r="AA281" s="1" t="s">
        <v>40</v>
      </c>
      <c r="AB281" s="1" t="s">
        <v>441</v>
      </c>
      <c r="AC281" s="1"/>
    </row>
    <row r="282">
      <c r="A282" s="1" t="str">
        <f>"00087V"</f>
        <v>00087V</v>
      </c>
      <c r="B282" s="1" t="s">
        <v>1398</v>
      </c>
      <c r="C282" s="1" t="s">
        <v>1399</v>
      </c>
      <c r="D282" s="1" t="str">
        <f>"6036733551"</f>
        <v>6036733551</v>
      </c>
      <c r="E282" s="1">
        <v>3662.0</v>
      </c>
      <c r="F282" s="1" t="s">
        <v>44</v>
      </c>
      <c r="G282" s="1" t="s">
        <v>1400</v>
      </c>
      <c r="H282" s="1">
        <v>4.0</v>
      </c>
      <c r="I282" s="1"/>
      <c r="J282" s="1"/>
      <c r="K282" s="1"/>
      <c r="L282" s="1"/>
      <c r="M282" s="1" t="s">
        <v>1401</v>
      </c>
      <c r="N282" s="1" t="s">
        <v>34</v>
      </c>
      <c r="O282" s="1" t="s">
        <v>85</v>
      </c>
      <c r="P282" s="1"/>
      <c r="Q282" s="3">
        <v>36892.0</v>
      </c>
      <c r="R282" s="1"/>
      <c r="S282" s="3">
        <v>38574.0</v>
      </c>
      <c r="T282" s="1" t="s">
        <v>37</v>
      </c>
      <c r="U282" s="1"/>
      <c r="V282" s="1" t="s">
        <v>38</v>
      </c>
      <c r="W282" s="1"/>
      <c r="X282" s="1"/>
      <c r="Y282" s="1" t="s">
        <v>49</v>
      </c>
      <c r="Z282" s="1"/>
      <c r="AA282" s="1" t="s">
        <v>40</v>
      </c>
      <c r="AB282" s="1" t="s">
        <v>86</v>
      </c>
      <c r="AC282" s="1"/>
    </row>
    <row r="283">
      <c r="A283" s="1" t="str">
        <f t="shared" ref="A283:A284" si="25">"0007BJ"</f>
        <v>0007BJ</v>
      </c>
      <c r="B283" s="1" t="s">
        <v>1402</v>
      </c>
      <c r="C283" s="1" t="s">
        <v>1403</v>
      </c>
      <c r="D283" s="1" t="str">
        <f t="shared" ref="D283:D284" si="26">"8027852206"</f>
        <v>8027852206</v>
      </c>
      <c r="E283" s="1">
        <v>584.0</v>
      </c>
      <c r="F283" s="1" t="s">
        <v>44</v>
      </c>
      <c r="G283" s="1" t="s">
        <v>1404</v>
      </c>
      <c r="H283" s="1">
        <v>2.0</v>
      </c>
      <c r="I283" s="1"/>
      <c r="J283" s="1"/>
      <c r="K283" s="1"/>
      <c r="L283" s="1"/>
      <c r="M283" s="1" t="s">
        <v>1405</v>
      </c>
      <c r="N283" s="1" t="s">
        <v>142</v>
      </c>
      <c r="O283" s="1" t="s">
        <v>143</v>
      </c>
      <c r="P283" s="1"/>
      <c r="Q283" s="3">
        <v>36892.0</v>
      </c>
      <c r="R283" s="1"/>
      <c r="S283" s="3">
        <v>39349.0</v>
      </c>
      <c r="T283" s="1" t="s">
        <v>37</v>
      </c>
      <c r="U283" s="1"/>
      <c r="V283" s="1" t="s">
        <v>38</v>
      </c>
      <c r="W283" s="1"/>
      <c r="X283" s="1"/>
      <c r="Y283" s="1" t="s">
        <v>49</v>
      </c>
      <c r="Z283" s="1"/>
      <c r="AA283" s="1" t="s">
        <v>40</v>
      </c>
      <c r="AB283" s="1" t="s">
        <v>146</v>
      </c>
      <c r="AC283" s="1"/>
    </row>
    <row r="284">
      <c r="A284" s="1" t="str">
        <f t="shared" si="25"/>
        <v>0007BJ</v>
      </c>
      <c r="B284" s="1" t="s">
        <v>1402</v>
      </c>
      <c r="C284" s="1" t="s">
        <v>1403</v>
      </c>
      <c r="D284" s="1" t="str">
        <f t="shared" si="26"/>
        <v>8027852206</v>
      </c>
      <c r="E284" s="1">
        <v>584.0</v>
      </c>
      <c r="F284" s="1" t="s">
        <v>44</v>
      </c>
      <c r="G284" s="1" t="s">
        <v>1406</v>
      </c>
      <c r="H284" s="1">
        <v>2.0</v>
      </c>
      <c r="I284" s="1"/>
      <c r="J284" s="1"/>
      <c r="K284" s="1"/>
      <c r="L284" s="1"/>
      <c r="M284" s="1" t="s">
        <v>1407</v>
      </c>
      <c r="N284" s="1" t="s">
        <v>142</v>
      </c>
      <c r="O284" s="1" t="s">
        <v>143</v>
      </c>
      <c r="P284" s="1"/>
      <c r="Q284" s="3">
        <v>36892.0</v>
      </c>
      <c r="R284" s="1"/>
      <c r="S284" s="3">
        <v>39349.0</v>
      </c>
      <c r="T284" s="1" t="s">
        <v>37</v>
      </c>
      <c r="U284" s="1"/>
      <c r="V284" s="1" t="s">
        <v>38</v>
      </c>
      <c r="W284" s="1"/>
      <c r="X284" s="1"/>
      <c r="Y284" s="1" t="s">
        <v>49</v>
      </c>
      <c r="Z284" s="1"/>
      <c r="AA284" s="1" t="s">
        <v>40</v>
      </c>
      <c r="AB284" s="1" t="s">
        <v>146</v>
      </c>
      <c r="AC284" s="1"/>
    </row>
    <row r="285">
      <c r="A285" s="1" t="str">
        <f>"00070Z"</f>
        <v>00070Z</v>
      </c>
      <c r="B285" s="1" t="s">
        <v>1408</v>
      </c>
      <c r="C285" s="1" t="s">
        <v>1409</v>
      </c>
      <c r="D285" s="1" t="str">
        <f>"8024640343"</f>
        <v>8024640343</v>
      </c>
      <c r="E285" s="1">
        <v>3069.0</v>
      </c>
      <c r="F285" s="1" t="s">
        <v>44</v>
      </c>
      <c r="G285" s="1" t="s">
        <v>1410</v>
      </c>
      <c r="H285" s="1"/>
      <c r="I285" s="1"/>
      <c r="J285" s="1"/>
      <c r="K285" s="1"/>
      <c r="L285" s="1"/>
      <c r="M285" s="1" t="s">
        <v>72</v>
      </c>
      <c r="N285" s="1" t="s">
        <v>66</v>
      </c>
      <c r="O285" s="1" t="s">
        <v>1411</v>
      </c>
      <c r="P285" s="1"/>
      <c r="Q285" s="3">
        <v>36892.0</v>
      </c>
      <c r="R285" s="1"/>
      <c r="S285" s="1"/>
      <c r="T285" s="1" t="s">
        <v>37</v>
      </c>
      <c r="U285" s="1"/>
      <c r="V285" s="1" t="s">
        <v>38</v>
      </c>
      <c r="W285" s="1"/>
      <c r="X285" s="1"/>
      <c r="Y285" s="1" t="s">
        <v>49</v>
      </c>
      <c r="Z285" s="1"/>
      <c r="AA285" s="1" t="s">
        <v>40</v>
      </c>
      <c r="AB285" s="1" t="s">
        <v>1412</v>
      </c>
      <c r="AC285" s="1"/>
    </row>
    <row r="286">
      <c r="A286" s="1" t="str">
        <f>"0007BJ"</f>
        <v>0007BJ</v>
      </c>
      <c r="B286" s="1" t="s">
        <v>1402</v>
      </c>
      <c r="C286" s="1" t="s">
        <v>1403</v>
      </c>
      <c r="D286" s="1" t="str">
        <f>"8027852206"</f>
        <v>8027852206</v>
      </c>
      <c r="E286" s="1">
        <v>584.0</v>
      </c>
      <c r="F286" s="1" t="s">
        <v>44</v>
      </c>
      <c r="G286" s="1" t="s">
        <v>1413</v>
      </c>
      <c r="H286" s="1">
        <v>0.0</v>
      </c>
      <c r="I286" s="1"/>
      <c r="J286" s="1"/>
      <c r="K286" s="1"/>
      <c r="L286" s="1"/>
      <c r="M286" s="1" t="s">
        <v>72</v>
      </c>
      <c r="N286" s="1" t="s">
        <v>142</v>
      </c>
      <c r="O286" s="1" t="s">
        <v>143</v>
      </c>
      <c r="P286" s="1"/>
      <c r="Q286" s="3">
        <v>36892.0</v>
      </c>
      <c r="R286" s="1"/>
      <c r="S286" s="3">
        <v>41500.0</v>
      </c>
      <c r="T286" s="1" t="s">
        <v>37</v>
      </c>
      <c r="U286" s="1"/>
      <c r="V286" s="1" t="s">
        <v>38</v>
      </c>
      <c r="W286" s="1"/>
      <c r="X286" s="1"/>
      <c r="Y286" s="1" t="s">
        <v>49</v>
      </c>
      <c r="Z286" s="1"/>
      <c r="AA286" s="1" t="s">
        <v>40</v>
      </c>
      <c r="AB286" s="1" t="s">
        <v>146</v>
      </c>
      <c r="AC286" s="1"/>
    </row>
    <row r="287">
      <c r="A287" s="1" t="str">
        <f>"000915"</f>
        <v>000915</v>
      </c>
      <c r="B287" s="1" t="s">
        <v>1414</v>
      </c>
      <c r="C287" s="1" t="s">
        <v>1415</v>
      </c>
      <c r="D287" s="1" t="str">
        <f>"8022225578"</f>
        <v>8022225578</v>
      </c>
      <c r="E287" s="1">
        <v>3642.0</v>
      </c>
      <c r="F287" s="1" t="s">
        <v>44</v>
      </c>
      <c r="G287" s="1" t="s">
        <v>1416</v>
      </c>
      <c r="H287" s="1"/>
      <c r="I287" s="1"/>
      <c r="J287" s="1"/>
      <c r="K287" s="1"/>
      <c r="L287" s="1"/>
      <c r="M287" s="1" t="s">
        <v>72</v>
      </c>
      <c r="N287" s="1" t="s">
        <v>142</v>
      </c>
      <c r="O287" s="1" t="s">
        <v>227</v>
      </c>
      <c r="P287" s="1"/>
      <c r="Q287" s="3">
        <v>36892.0</v>
      </c>
      <c r="R287" s="1"/>
      <c r="S287" s="1"/>
      <c r="T287" s="1" t="s">
        <v>37</v>
      </c>
      <c r="U287" s="1"/>
      <c r="V287" s="1" t="s">
        <v>38</v>
      </c>
      <c r="W287" s="1"/>
      <c r="X287" s="1"/>
      <c r="Y287" s="1" t="s">
        <v>49</v>
      </c>
      <c r="Z287" s="1"/>
      <c r="AA287" s="1" t="s">
        <v>40</v>
      </c>
      <c r="AB287" s="1" t="s">
        <v>228</v>
      </c>
      <c r="AC287" s="1"/>
    </row>
    <row r="288">
      <c r="A288" s="1" t="str">
        <f>"0007WW"</f>
        <v>0007WW</v>
      </c>
      <c r="B288" s="1" t="s">
        <v>1417</v>
      </c>
      <c r="C288" s="1" t="s">
        <v>1418</v>
      </c>
      <c r="D288" s="1" t="str">
        <f>"8022534081"</f>
        <v>8022534081</v>
      </c>
      <c r="E288" s="1">
        <v>1243.0</v>
      </c>
      <c r="F288" s="1" t="s">
        <v>44</v>
      </c>
      <c r="G288" s="1" t="s">
        <v>1419</v>
      </c>
      <c r="H288" s="1"/>
      <c r="I288" s="1"/>
      <c r="J288" s="1"/>
      <c r="K288" s="1"/>
      <c r="L288" s="1"/>
      <c r="M288" s="1" t="s">
        <v>72</v>
      </c>
      <c r="N288" s="1" t="s">
        <v>213</v>
      </c>
      <c r="O288" s="1" t="s">
        <v>365</v>
      </c>
      <c r="P288" s="1"/>
      <c r="Q288" s="3">
        <v>36892.0</v>
      </c>
      <c r="R288" s="1"/>
      <c r="S288" s="1"/>
      <c r="T288" s="1" t="s">
        <v>37</v>
      </c>
      <c r="U288" s="1"/>
      <c r="V288" s="1" t="s">
        <v>38</v>
      </c>
      <c r="W288" s="1"/>
      <c r="X288" s="1"/>
      <c r="Y288" s="1" t="s">
        <v>49</v>
      </c>
      <c r="Z288" s="1"/>
      <c r="AA288" s="1" t="s">
        <v>40</v>
      </c>
      <c r="AB288" s="1" t="s">
        <v>366</v>
      </c>
      <c r="AC288" s="1"/>
    </row>
    <row r="289">
      <c r="A289" s="1" t="str">
        <f t="shared" ref="A289:A291" si="27">"0007WA"</f>
        <v>0007WA</v>
      </c>
      <c r="B289" s="1" t="s">
        <v>157</v>
      </c>
      <c r="C289" s="1" t="s">
        <v>158</v>
      </c>
      <c r="D289" s="1" t="str">
        <f t="shared" ref="D289:D291" si="28">"8029482057"</f>
        <v>8029482057</v>
      </c>
      <c r="E289" s="1">
        <v>1217.0</v>
      </c>
      <c r="F289" s="1" t="s">
        <v>31</v>
      </c>
      <c r="G289" s="1" t="s">
        <v>1420</v>
      </c>
      <c r="H289" s="1">
        <v>29.0</v>
      </c>
      <c r="I289" s="1"/>
      <c r="J289" s="1"/>
      <c r="K289" s="1"/>
      <c r="L289" s="1"/>
      <c r="M289" s="1" t="s">
        <v>1421</v>
      </c>
      <c r="N289" s="1" t="s">
        <v>78</v>
      </c>
      <c r="O289" s="1" t="s">
        <v>426</v>
      </c>
      <c r="P289" s="1" t="s">
        <v>1422</v>
      </c>
      <c r="Q289" s="3">
        <v>36892.0</v>
      </c>
      <c r="R289" s="1"/>
      <c r="S289" s="3">
        <v>37882.0</v>
      </c>
      <c r="T289" s="1" t="s">
        <v>164</v>
      </c>
      <c r="U289" s="1"/>
      <c r="V289" s="1" t="s">
        <v>38</v>
      </c>
      <c r="W289" s="1"/>
      <c r="X289" s="1"/>
      <c r="Y289" s="1" t="s">
        <v>49</v>
      </c>
      <c r="Z289" s="1"/>
      <c r="AA289" s="1" t="s">
        <v>40</v>
      </c>
      <c r="AB289" s="1" t="s">
        <v>427</v>
      </c>
      <c r="AC289" s="1">
        <v>0.0</v>
      </c>
    </row>
    <row r="290">
      <c r="A290" s="1" t="str">
        <f t="shared" si="27"/>
        <v>0007WA</v>
      </c>
      <c r="B290" s="1" t="s">
        <v>157</v>
      </c>
      <c r="C290" s="1" t="s">
        <v>158</v>
      </c>
      <c r="D290" s="1" t="str">
        <f t="shared" si="28"/>
        <v>8029482057</v>
      </c>
      <c r="E290" s="1">
        <v>1217.0</v>
      </c>
      <c r="F290" s="1" t="s">
        <v>31</v>
      </c>
      <c r="G290" s="1" t="s">
        <v>1423</v>
      </c>
      <c r="H290" s="1">
        <v>16.0</v>
      </c>
      <c r="I290" s="1"/>
      <c r="J290" s="1"/>
      <c r="K290" s="1"/>
      <c r="L290" s="1"/>
      <c r="M290" s="1" t="s">
        <v>1424</v>
      </c>
      <c r="N290" s="1" t="s">
        <v>78</v>
      </c>
      <c r="O290" s="1" t="s">
        <v>426</v>
      </c>
      <c r="P290" s="1" t="s">
        <v>1425</v>
      </c>
      <c r="Q290" s="3">
        <v>36892.0</v>
      </c>
      <c r="R290" s="1"/>
      <c r="S290" s="3">
        <v>35321.0</v>
      </c>
      <c r="T290" s="1" t="s">
        <v>164</v>
      </c>
      <c r="U290" s="1"/>
      <c r="V290" s="1" t="s">
        <v>38</v>
      </c>
      <c r="W290" s="1"/>
      <c r="X290" s="1"/>
      <c r="Y290" s="1" t="s">
        <v>1426</v>
      </c>
      <c r="Z290" s="1"/>
      <c r="AA290" s="1" t="s">
        <v>40</v>
      </c>
      <c r="AB290" s="1" t="s">
        <v>427</v>
      </c>
      <c r="AC290" s="1">
        <v>0.0</v>
      </c>
    </row>
    <row r="291">
      <c r="A291" s="1" t="str">
        <f t="shared" si="27"/>
        <v>0007WA</v>
      </c>
      <c r="B291" s="1" t="s">
        <v>157</v>
      </c>
      <c r="C291" s="1" t="s">
        <v>158</v>
      </c>
      <c r="D291" s="1" t="str">
        <f t="shared" si="28"/>
        <v>8029482057</v>
      </c>
      <c r="E291" s="1">
        <v>1217.0</v>
      </c>
      <c r="F291" s="1" t="s">
        <v>31</v>
      </c>
      <c r="G291" s="1" t="s">
        <v>1427</v>
      </c>
      <c r="H291" s="1">
        <v>0.0</v>
      </c>
      <c r="I291" s="1"/>
      <c r="J291" s="1"/>
      <c r="K291" s="1"/>
      <c r="L291" s="1"/>
      <c r="M291" s="1" t="s">
        <v>1428</v>
      </c>
      <c r="N291" s="1" t="s">
        <v>78</v>
      </c>
      <c r="O291" s="1" t="s">
        <v>426</v>
      </c>
      <c r="P291" s="1" t="s">
        <v>1429</v>
      </c>
      <c r="Q291" s="3">
        <v>36892.0</v>
      </c>
      <c r="R291" s="1"/>
      <c r="S291" s="3">
        <v>41914.0</v>
      </c>
      <c r="T291" s="1" t="s">
        <v>164</v>
      </c>
      <c r="U291" s="1"/>
      <c r="V291" s="1" t="s">
        <v>38</v>
      </c>
      <c r="W291" s="1"/>
      <c r="X291" s="1"/>
      <c r="Y291" s="1" t="s">
        <v>1426</v>
      </c>
      <c r="Z291" s="1"/>
      <c r="AA291" s="1" t="s">
        <v>40</v>
      </c>
      <c r="AB291" s="1" t="s">
        <v>427</v>
      </c>
      <c r="AC291" s="1">
        <v>5000.0</v>
      </c>
    </row>
    <row r="292">
      <c r="A292" s="1" t="str">
        <f>"0007Y9"</f>
        <v>0007Y9</v>
      </c>
      <c r="B292" s="1" t="s">
        <v>1430</v>
      </c>
      <c r="C292" s="1" t="s">
        <v>1431</v>
      </c>
      <c r="D292" s="1" t="str">
        <f>"8026263220"</f>
        <v>8026263220</v>
      </c>
      <c r="E292" s="1">
        <v>3576.0</v>
      </c>
      <c r="F292" s="1" t="s">
        <v>44</v>
      </c>
      <c r="G292" s="1" t="s">
        <v>1432</v>
      </c>
      <c r="H292" s="1"/>
      <c r="I292" s="1"/>
      <c r="J292" s="1"/>
      <c r="K292" s="1"/>
      <c r="L292" s="1"/>
      <c r="M292" s="1" t="s">
        <v>72</v>
      </c>
      <c r="N292" s="1" t="s">
        <v>128</v>
      </c>
      <c r="O292" s="1" t="s">
        <v>1433</v>
      </c>
      <c r="P292" s="1"/>
      <c r="Q292" s="3">
        <v>36892.0</v>
      </c>
      <c r="R292" s="1"/>
      <c r="S292" s="1"/>
      <c r="T292" s="1" t="s">
        <v>37</v>
      </c>
      <c r="U292" s="1"/>
      <c r="V292" s="1" t="s">
        <v>38</v>
      </c>
      <c r="W292" s="1"/>
      <c r="X292" s="1"/>
      <c r="Y292" s="1" t="s">
        <v>49</v>
      </c>
      <c r="Z292" s="1"/>
      <c r="AA292" s="1" t="s">
        <v>40</v>
      </c>
      <c r="AB292" s="1" t="s">
        <v>1434</v>
      </c>
      <c r="AC292" s="1"/>
    </row>
    <row r="293">
      <c r="A293" s="1" t="str">
        <f>"000M83"</f>
        <v>000M83</v>
      </c>
      <c r="B293" s="1" t="s">
        <v>1435</v>
      </c>
      <c r="C293" s="1" t="s">
        <v>1436</v>
      </c>
      <c r="D293" s="1" t="str">
        <f>"8025373294"</f>
        <v>8025373294</v>
      </c>
      <c r="E293" s="1">
        <v>4622.0</v>
      </c>
      <c r="F293" s="1" t="s">
        <v>117</v>
      </c>
      <c r="G293" s="1" t="s">
        <v>1437</v>
      </c>
      <c r="H293" s="1">
        <v>24.0</v>
      </c>
      <c r="I293" s="2">
        <v>4.0</v>
      </c>
      <c r="J293" s="2">
        <v>4.0</v>
      </c>
      <c r="K293" s="2" t="s">
        <v>119</v>
      </c>
      <c r="L293" s="1"/>
      <c r="M293" s="1" t="s">
        <v>1438</v>
      </c>
      <c r="N293" s="1" t="s">
        <v>78</v>
      </c>
      <c r="O293" s="1" t="s">
        <v>426</v>
      </c>
      <c r="P293" s="1" t="s">
        <v>1439</v>
      </c>
      <c r="Q293" s="3">
        <v>36892.0</v>
      </c>
      <c r="R293" s="1"/>
      <c r="S293" s="1"/>
      <c r="T293" s="1" t="s">
        <v>37</v>
      </c>
      <c r="U293" s="1"/>
      <c r="V293" s="1" t="s">
        <v>38</v>
      </c>
      <c r="W293" s="1">
        <v>43.73094</v>
      </c>
      <c r="X293" s="1">
        <v>-73.3607</v>
      </c>
      <c r="Y293" s="1" t="s">
        <v>1440</v>
      </c>
      <c r="Z293" s="1"/>
      <c r="AA293" s="1" t="s">
        <v>40</v>
      </c>
      <c r="AB293" s="1" t="s">
        <v>427</v>
      </c>
      <c r="AC293" s="1">
        <v>0.0</v>
      </c>
    </row>
    <row r="294">
      <c r="A294" s="1" t="str">
        <f>"0007WA"</f>
        <v>0007WA</v>
      </c>
      <c r="B294" s="1" t="s">
        <v>157</v>
      </c>
      <c r="C294" s="1" t="s">
        <v>158</v>
      </c>
      <c r="D294" s="1" t="str">
        <f>"8029482057"</f>
        <v>8029482057</v>
      </c>
      <c r="E294" s="1">
        <v>1217.0</v>
      </c>
      <c r="F294" s="1" t="s">
        <v>31</v>
      </c>
      <c r="G294" s="1" t="s">
        <v>1441</v>
      </c>
      <c r="H294" s="1">
        <v>27.0</v>
      </c>
      <c r="I294" s="1"/>
      <c r="J294" s="1"/>
      <c r="K294" s="1"/>
      <c r="L294" s="1"/>
      <c r="M294" s="1" t="s">
        <v>1442</v>
      </c>
      <c r="N294" s="1" t="s">
        <v>161</v>
      </c>
      <c r="O294" s="1" t="s">
        <v>531</v>
      </c>
      <c r="P294" s="1" t="s">
        <v>1442</v>
      </c>
      <c r="Q294" s="3">
        <v>36892.0</v>
      </c>
      <c r="R294" s="1"/>
      <c r="S294" s="3">
        <v>41914.0</v>
      </c>
      <c r="T294" s="1" t="s">
        <v>164</v>
      </c>
      <c r="U294" s="1"/>
      <c r="V294" s="1" t="s">
        <v>38</v>
      </c>
      <c r="W294" s="1">
        <v>43.83412</v>
      </c>
      <c r="X294" s="1">
        <v>-73.2236399999999</v>
      </c>
      <c r="Y294" s="1" t="s">
        <v>1443</v>
      </c>
      <c r="Z294" s="1"/>
      <c r="AA294" s="1" t="s">
        <v>40</v>
      </c>
      <c r="AB294" s="1" t="s">
        <v>532</v>
      </c>
      <c r="AC294" s="1">
        <v>5760.0</v>
      </c>
    </row>
    <row r="295">
      <c r="A295" s="1" t="str">
        <f>"0008FC"</f>
        <v>0008FC</v>
      </c>
      <c r="B295" s="1" t="s">
        <v>1444</v>
      </c>
      <c r="C295" s="1" t="s">
        <v>1445</v>
      </c>
      <c r="D295" s="1" t="str">
        <f>"8024768917"</f>
        <v>8024768917</v>
      </c>
      <c r="E295" s="1">
        <v>3997.0</v>
      </c>
      <c r="F295" s="1" t="s">
        <v>44</v>
      </c>
      <c r="G295" s="1" t="s">
        <v>1446</v>
      </c>
      <c r="H295" s="1"/>
      <c r="I295" s="1"/>
      <c r="J295" s="1"/>
      <c r="K295" s="1"/>
      <c r="L295" s="1"/>
      <c r="M295" s="1" t="s">
        <v>1447</v>
      </c>
      <c r="N295" s="1" t="s">
        <v>135</v>
      </c>
      <c r="O295" s="1" t="s">
        <v>440</v>
      </c>
      <c r="P295" s="1"/>
      <c r="Q295" s="3">
        <v>36892.0</v>
      </c>
      <c r="R295" s="1"/>
      <c r="S295" s="1"/>
      <c r="T295" s="1" t="s">
        <v>37</v>
      </c>
      <c r="U295" s="1"/>
      <c r="V295" s="1" t="s">
        <v>38</v>
      </c>
      <c r="W295" s="1"/>
      <c r="X295" s="1"/>
      <c r="Y295" s="1" t="s">
        <v>49</v>
      </c>
      <c r="Z295" s="1"/>
      <c r="AA295" s="1" t="s">
        <v>40</v>
      </c>
      <c r="AB295" s="1" t="s">
        <v>441</v>
      </c>
      <c r="AC295" s="1"/>
    </row>
    <row r="296">
      <c r="A296" s="1" t="str">
        <f>"0008FB"</f>
        <v>0008FB</v>
      </c>
      <c r="B296" s="1" t="s">
        <v>1448</v>
      </c>
      <c r="C296" s="1" t="s">
        <v>1449</v>
      </c>
      <c r="D296" s="1"/>
      <c r="E296" s="1">
        <v>2172.0</v>
      </c>
      <c r="F296" s="1" t="s">
        <v>44</v>
      </c>
      <c r="G296" s="1" t="s">
        <v>1450</v>
      </c>
      <c r="H296" s="1"/>
      <c r="I296" s="1"/>
      <c r="J296" s="1"/>
      <c r="K296" s="1"/>
      <c r="L296" s="1"/>
      <c r="M296" s="1" t="s">
        <v>1451</v>
      </c>
      <c r="N296" s="1" t="s">
        <v>128</v>
      </c>
      <c r="O296" s="1" t="s">
        <v>1048</v>
      </c>
      <c r="P296" s="1"/>
      <c r="Q296" s="3">
        <v>36892.0</v>
      </c>
      <c r="R296" s="1"/>
      <c r="S296" s="1"/>
      <c r="T296" s="1" t="s">
        <v>37</v>
      </c>
      <c r="U296" s="1"/>
      <c r="V296" s="1" t="s">
        <v>38</v>
      </c>
      <c r="W296" s="1"/>
      <c r="X296" s="1"/>
      <c r="Y296" s="1" t="s">
        <v>49</v>
      </c>
      <c r="Z296" s="1"/>
      <c r="AA296" s="1" t="s">
        <v>40</v>
      </c>
      <c r="AB296" s="1" t="s">
        <v>1049</v>
      </c>
      <c r="AC296" s="1"/>
    </row>
    <row r="297">
      <c r="A297" s="1" t="str">
        <f>"0008A8"</f>
        <v>0008A8</v>
      </c>
      <c r="B297" s="1" t="s">
        <v>1452</v>
      </c>
      <c r="C297" s="1" t="s">
        <v>1453</v>
      </c>
      <c r="D297" s="1" t="str">
        <f>"8027632774"</f>
        <v>8027632774</v>
      </c>
      <c r="E297" s="1">
        <v>3066.0</v>
      </c>
      <c r="F297" s="1" t="s">
        <v>44</v>
      </c>
      <c r="G297" s="1" t="s">
        <v>1454</v>
      </c>
      <c r="H297" s="1">
        <v>4.0</v>
      </c>
      <c r="I297" s="1"/>
      <c r="J297" s="1"/>
      <c r="K297" s="1"/>
      <c r="L297" s="1"/>
      <c r="M297" s="1" t="s">
        <v>72</v>
      </c>
      <c r="N297" s="1" t="s">
        <v>34</v>
      </c>
      <c r="O297" s="1" t="s">
        <v>35</v>
      </c>
      <c r="P297" s="1"/>
      <c r="Q297" s="3">
        <v>36892.0</v>
      </c>
      <c r="R297" s="1"/>
      <c r="S297" s="3">
        <v>39617.0</v>
      </c>
      <c r="T297" s="1" t="s">
        <v>37</v>
      </c>
      <c r="U297" s="1"/>
      <c r="V297" s="1" t="s">
        <v>38</v>
      </c>
      <c r="W297" s="1">
        <v>43.809669</v>
      </c>
      <c r="X297" s="1">
        <v>-72.5098749</v>
      </c>
      <c r="Y297" s="1" t="s">
        <v>1455</v>
      </c>
      <c r="Z297" s="1"/>
      <c r="AA297" s="1" t="s">
        <v>40</v>
      </c>
      <c r="AB297" s="1" t="s">
        <v>345</v>
      </c>
      <c r="AC297" s="1">
        <v>5068.0</v>
      </c>
    </row>
    <row r="298">
      <c r="A298" s="1" t="str">
        <f>"0008AV"</f>
        <v>0008AV</v>
      </c>
      <c r="B298" s="1" t="s">
        <v>1456</v>
      </c>
      <c r="C298" s="1" t="s">
        <v>1457</v>
      </c>
      <c r="D298" s="1" t="str">
        <f>"8028885497"</f>
        <v>8028885497</v>
      </c>
      <c r="E298" s="1">
        <v>2933.0</v>
      </c>
      <c r="F298" s="1" t="s">
        <v>44</v>
      </c>
      <c r="G298" s="1" t="s">
        <v>1458</v>
      </c>
      <c r="H298" s="1"/>
      <c r="I298" s="1"/>
      <c r="J298" s="1"/>
      <c r="K298" s="1"/>
      <c r="L298" s="1"/>
      <c r="M298" s="1" t="s">
        <v>1459</v>
      </c>
      <c r="N298" s="1" t="s">
        <v>213</v>
      </c>
      <c r="O298" s="1" t="s">
        <v>625</v>
      </c>
      <c r="P298" s="1"/>
      <c r="Q298" s="3">
        <v>36892.0</v>
      </c>
      <c r="R298" s="1"/>
      <c r="S298" s="1"/>
      <c r="T298" s="1" t="s">
        <v>37</v>
      </c>
      <c r="U298" s="1"/>
      <c r="V298" s="1" t="s">
        <v>38</v>
      </c>
      <c r="W298" s="1"/>
      <c r="X298" s="1"/>
      <c r="Y298" s="1" t="s">
        <v>49</v>
      </c>
      <c r="Z298" s="1"/>
      <c r="AA298" s="1" t="s">
        <v>40</v>
      </c>
      <c r="AB298" s="1" t="s">
        <v>626</v>
      </c>
      <c r="AC298" s="1"/>
    </row>
    <row r="299">
      <c r="A299" s="1" t="str">
        <f>"0008F8"</f>
        <v>0008F8</v>
      </c>
      <c r="B299" s="1" t="s">
        <v>1460</v>
      </c>
      <c r="C299" s="1" t="s">
        <v>1461</v>
      </c>
      <c r="D299" s="1" t="str">
        <f>"8022534795"</f>
        <v>8022534795</v>
      </c>
      <c r="E299" s="1">
        <v>2159.0</v>
      </c>
      <c r="F299" s="1" t="s">
        <v>44</v>
      </c>
      <c r="G299" s="1" t="s">
        <v>1462</v>
      </c>
      <c r="H299" s="1">
        <v>1.0</v>
      </c>
      <c r="I299" s="1"/>
      <c r="J299" s="1"/>
      <c r="K299" s="1"/>
      <c r="L299" s="1"/>
      <c r="M299" s="1" t="s">
        <v>72</v>
      </c>
      <c r="N299" s="1" t="s">
        <v>213</v>
      </c>
      <c r="O299" s="1" t="s">
        <v>365</v>
      </c>
      <c r="P299" s="1"/>
      <c r="Q299" s="3">
        <v>36892.0</v>
      </c>
      <c r="R299" s="1"/>
      <c r="S299" s="3">
        <v>38197.0</v>
      </c>
      <c r="T299" s="1" t="s">
        <v>37</v>
      </c>
      <c r="U299" s="1"/>
      <c r="V299" s="1" t="s">
        <v>38</v>
      </c>
      <c r="W299" s="1"/>
      <c r="X299" s="1"/>
      <c r="Y299" s="1" t="s">
        <v>49</v>
      </c>
      <c r="Z299" s="1"/>
      <c r="AA299" s="1" t="s">
        <v>40</v>
      </c>
      <c r="AB299" s="1" t="s">
        <v>366</v>
      </c>
      <c r="AC299" s="1"/>
    </row>
    <row r="300">
      <c r="A300" s="1" t="str">
        <f>"0007WP"</f>
        <v>0007WP</v>
      </c>
      <c r="B300" s="1" t="s">
        <v>1463</v>
      </c>
      <c r="C300" s="1" t="s">
        <v>1464</v>
      </c>
      <c r="D300" s="1" t="str">
        <f>"8023872205"</f>
        <v>8023872205</v>
      </c>
      <c r="E300" s="1">
        <v>2993.0</v>
      </c>
      <c r="F300" s="1" t="s">
        <v>44</v>
      </c>
      <c r="G300" s="1" t="s">
        <v>1465</v>
      </c>
      <c r="H300" s="1">
        <v>3.0</v>
      </c>
      <c r="I300" s="1"/>
      <c r="J300" s="1"/>
      <c r="K300" s="1"/>
      <c r="L300" s="1"/>
      <c r="M300" s="1" t="s">
        <v>72</v>
      </c>
      <c r="N300" s="1" t="s">
        <v>66</v>
      </c>
      <c r="O300" s="1" t="s">
        <v>593</v>
      </c>
      <c r="P300" s="1"/>
      <c r="Q300" s="3">
        <v>36892.0</v>
      </c>
      <c r="R300" s="1"/>
      <c r="S300" s="3">
        <v>35607.0</v>
      </c>
      <c r="T300" s="1" t="s">
        <v>37</v>
      </c>
      <c r="U300" s="1"/>
      <c r="V300" s="1" t="s">
        <v>38</v>
      </c>
      <c r="W300" s="1"/>
      <c r="X300" s="1"/>
      <c r="Y300" s="1" t="s">
        <v>49</v>
      </c>
      <c r="Z300" s="1"/>
      <c r="AA300" s="1" t="s">
        <v>40</v>
      </c>
      <c r="AB300" s="1" t="s">
        <v>594</v>
      </c>
      <c r="AC300" s="1"/>
    </row>
    <row r="301">
      <c r="A301" s="1" t="str">
        <f>"00080K"</f>
        <v>00080K</v>
      </c>
      <c r="B301" s="1" t="s">
        <v>1466</v>
      </c>
      <c r="C301" s="1" t="s">
        <v>1467</v>
      </c>
      <c r="D301" s="1" t="str">
        <f>"8022349671"</f>
        <v>8022349671</v>
      </c>
      <c r="E301" s="1">
        <v>3803.0</v>
      </c>
      <c r="F301" s="1" t="s">
        <v>44</v>
      </c>
      <c r="G301" s="1" t="s">
        <v>1468</v>
      </c>
      <c r="H301" s="1">
        <v>0.0</v>
      </c>
      <c r="I301" s="1"/>
      <c r="J301" s="1"/>
      <c r="K301" s="1"/>
      <c r="L301" s="1"/>
      <c r="M301" s="1" t="s">
        <v>72</v>
      </c>
      <c r="N301" s="1" t="s">
        <v>34</v>
      </c>
      <c r="O301" s="1" t="s">
        <v>1469</v>
      </c>
      <c r="P301" s="1"/>
      <c r="Q301" s="3">
        <v>36892.0</v>
      </c>
      <c r="R301" s="1"/>
      <c r="S301" s="1"/>
      <c r="T301" s="1" t="s">
        <v>37</v>
      </c>
      <c r="U301" s="1"/>
      <c r="V301" s="1" t="s">
        <v>38</v>
      </c>
      <c r="W301" s="1">
        <v>43.74086</v>
      </c>
      <c r="X301" s="1">
        <v>-72.7212829999999</v>
      </c>
      <c r="Y301" s="1" t="s">
        <v>1470</v>
      </c>
      <c r="Z301" s="1"/>
      <c r="AA301" s="1" t="s">
        <v>40</v>
      </c>
      <c r="AB301" s="1" t="s">
        <v>1471</v>
      </c>
      <c r="AC301" s="1">
        <v>5772.0</v>
      </c>
    </row>
    <row r="302">
      <c r="A302" s="1" t="str">
        <f>"00082P"</f>
        <v>00082P</v>
      </c>
      <c r="B302" s="1" t="s">
        <v>1472</v>
      </c>
      <c r="C302" s="1" t="s">
        <v>1473</v>
      </c>
      <c r="D302" s="1" t="str">
        <f>"8023530959"</f>
        <v>8023530959</v>
      </c>
      <c r="E302" s="1">
        <v>2970.0</v>
      </c>
      <c r="F302" s="1" t="s">
        <v>117</v>
      </c>
      <c r="G302" s="1" t="s">
        <v>1474</v>
      </c>
      <c r="H302" s="1">
        <v>4.0</v>
      </c>
      <c r="I302" s="2">
        <v>1.0</v>
      </c>
      <c r="J302" s="2">
        <v>1.0</v>
      </c>
      <c r="K302" s="2" t="s">
        <v>829</v>
      </c>
      <c r="L302" s="1"/>
      <c r="M302" s="1" t="s">
        <v>1475</v>
      </c>
      <c r="N302" s="1" t="s">
        <v>78</v>
      </c>
      <c r="O302" s="1" t="s">
        <v>79</v>
      </c>
      <c r="P302" s="1" t="s">
        <v>1476</v>
      </c>
      <c r="Q302" s="3">
        <v>36892.0</v>
      </c>
      <c r="R302" s="1"/>
      <c r="S302" s="3">
        <v>38441.0</v>
      </c>
      <c r="T302" s="1" t="s">
        <v>37</v>
      </c>
      <c r="U302" s="1"/>
      <c r="V302" s="1" t="s">
        <v>38</v>
      </c>
      <c r="W302" s="1">
        <v>43.722885</v>
      </c>
      <c r="X302" s="1">
        <v>-73.083023</v>
      </c>
      <c r="Y302" s="1" t="s">
        <v>1477</v>
      </c>
      <c r="Z302" s="1"/>
      <c r="AA302" s="1" t="s">
        <v>40</v>
      </c>
      <c r="AB302" s="1" t="s">
        <v>1478</v>
      </c>
      <c r="AC302" s="1">
        <v>5763.0</v>
      </c>
    </row>
    <row r="303">
      <c r="A303" s="1" t="str">
        <f>"0007JQ"</f>
        <v>0007JQ</v>
      </c>
      <c r="B303" s="1" t="s">
        <v>1479</v>
      </c>
      <c r="C303" s="1" t="s">
        <v>1480</v>
      </c>
      <c r="D303" s="1"/>
      <c r="E303" s="1">
        <v>842.0</v>
      </c>
      <c r="F303" s="1" t="s">
        <v>44</v>
      </c>
      <c r="G303" s="1" t="s">
        <v>1481</v>
      </c>
      <c r="H303" s="1"/>
      <c r="I303" s="1"/>
      <c r="J303" s="1"/>
      <c r="K303" s="1"/>
      <c r="L303" s="1"/>
      <c r="M303" s="1" t="s">
        <v>72</v>
      </c>
      <c r="N303" s="1" t="s">
        <v>161</v>
      </c>
      <c r="O303" s="1" t="s">
        <v>1482</v>
      </c>
      <c r="P303" s="1"/>
      <c r="Q303" s="3">
        <v>36892.0</v>
      </c>
      <c r="R303" s="1"/>
      <c r="S303" s="1"/>
      <c r="T303" s="1" t="s">
        <v>37</v>
      </c>
      <c r="U303" s="1"/>
      <c r="V303" s="1" t="s">
        <v>38</v>
      </c>
      <c r="W303" s="1"/>
      <c r="X303" s="1"/>
      <c r="Y303" s="1" t="s">
        <v>49</v>
      </c>
      <c r="Z303" s="1"/>
      <c r="AA303" s="1" t="s">
        <v>40</v>
      </c>
      <c r="AB303" s="1" t="s">
        <v>1483</v>
      </c>
      <c r="AC303" s="1"/>
    </row>
    <row r="304">
      <c r="A304" s="1" t="str">
        <f>"0008F5"</f>
        <v>0008F5</v>
      </c>
      <c r="B304" s="1" t="s">
        <v>1484</v>
      </c>
      <c r="C304" s="1" t="s">
        <v>1485</v>
      </c>
      <c r="D304" s="1"/>
      <c r="E304" s="1">
        <v>2149.0</v>
      </c>
      <c r="F304" s="1" t="s">
        <v>44</v>
      </c>
      <c r="G304" s="1" t="s">
        <v>1486</v>
      </c>
      <c r="H304" s="1"/>
      <c r="I304" s="1"/>
      <c r="J304" s="1"/>
      <c r="K304" s="1"/>
      <c r="L304" s="1"/>
      <c r="M304" s="1" t="s">
        <v>72</v>
      </c>
      <c r="N304" s="1" t="s">
        <v>213</v>
      </c>
      <c r="O304" s="1" t="s">
        <v>365</v>
      </c>
      <c r="P304" s="1"/>
      <c r="Q304" s="3">
        <v>36892.0</v>
      </c>
      <c r="R304" s="1"/>
      <c r="S304" s="1"/>
      <c r="T304" s="1" t="s">
        <v>37</v>
      </c>
      <c r="U304" s="1"/>
      <c r="V304" s="1" t="s">
        <v>38</v>
      </c>
      <c r="W304" s="1"/>
      <c r="X304" s="1"/>
      <c r="Y304" s="1" t="s">
        <v>49</v>
      </c>
      <c r="Z304" s="1"/>
      <c r="AA304" s="1" t="s">
        <v>40</v>
      </c>
      <c r="AB304" s="1" t="s">
        <v>366</v>
      </c>
      <c r="AC304" s="1"/>
    </row>
    <row r="305">
      <c r="A305" s="1" t="str">
        <f>"000977"</f>
        <v>000977</v>
      </c>
      <c r="B305" s="1" t="s">
        <v>1487</v>
      </c>
      <c r="C305" s="1" t="s">
        <v>1488</v>
      </c>
      <c r="D305" s="1" t="str">
        <f>"8024967584"</f>
        <v>8024967584</v>
      </c>
      <c r="E305" s="1">
        <v>4021.0</v>
      </c>
      <c r="F305" s="1" t="s">
        <v>44</v>
      </c>
      <c r="G305" s="1" t="s">
        <v>1489</v>
      </c>
      <c r="H305" s="1"/>
      <c r="I305" s="1"/>
      <c r="J305" s="1"/>
      <c r="K305" s="1"/>
      <c r="L305" s="1"/>
      <c r="M305" s="1" t="s">
        <v>72</v>
      </c>
      <c r="N305" s="1" t="s">
        <v>135</v>
      </c>
      <c r="O305" s="1" t="s">
        <v>440</v>
      </c>
      <c r="P305" s="1"/>
      <c r="Q305" s="3">
        <v>36892.0</v>
      </c>
      <c r="R305" s="1"/>
      <c r="S305" s="1"/>
      <c r="T305" s="1" t="s">
        <v>37</v>
      </c>
      <c r="U305" s="1"/>
      <c r="V305" s="1" t="s">
        <v>38</v>
      </c>
      <c r="W305" s="1"/>
      <c r="X305" s="1"/>
      <c r="Y305" s="1" t="s">
        <v>49</v>
      </c>
      <c r="Z305" s="1"/>
      <c r="AA305" s="1" t="s">
        <v>40</v>
      </c>
      <c r="AB305" s="1" t="s">
        <v>441</v>
      </c>
      <c r="AC305" s="1"/>
    </row>
    <row r="306">
      <c r="A306" s="1" t="str">
        <f>"0008F4"</f>
        <v>0008F4</v>
      </c>
      <c r="B306" s="1" t="s">
        <v>1490</v>
      </c>
      <c r="C306" s="1" t="s">
        <v>1491</v>
      </c>
      <c r="D306" s="1" t="str">
        <f>"8024365950"</f>
        <v>8024365950</v>
      </c>
      <c r="E306" s="1">
        <v>3561.0</v>
      </c>
      <c r="F306" s="1" t="s">
        <v>117</v>
      </c>
      <c r="G306" s="1" t="s">
        <v>1492</v>
      </c>
      <c r="H306" s="1">
        <v>3.0</v>
      </c>
      <c r="I306" s="2" t="s">
        <v>119</v>
      </c>
      <c r="J306" s="2">
        <v>2.0</v>
      </c>
      <c r="K306" s="2" t="s">
        <v>119</v>
      </c>
      <c r="L306" s="1"/>
      <c r="M306" s="1" t="s">
        <v>1493</v>
      </c>
      <c r="N306" s="1" t="s">
        <v>34</v>
      </c>
      <c r="O306" s="1" t="s">
        <v>85</v>
      </c>
      <c r="P306" s="1"/>
      <c r="Q306" s="3">
        <v>36892.0</v>
      </c>
      <c r="R306" s="1"/>
      <c r="S306" s="3">
        <v>42901.0</v>
      </c>
      <c r="T306" s="1" t="s">
        <v>37</v>
      </c>
      <c r="U306" s="1"/>
      <c r="V306" s="1" t="s">
        <v>38</v>
      </c>
      <c r="W306" s="1">
        <v>43.5494540270033</v>
      </c>
      <c r="X306" s="1">
        <v>-72.427470088005</v>
      </c>
      <c r="Y306" s="1" t="s">
        <v>1494</v>
      </c>
      <c r="Z306" s="1"/>
      <c r="AA306" s="1" t="s">
        <v>40</v>
      </c>
      <c r="AB306" s="1" t="s">
        <v>86</v>
      </c>
      <c r="AC306" s="1">
        <v>5048.0</v>
      </c>
    </row>
    <row r="307">
      <c r="A307" s="1" t="str">
        <f>"00093G"</f>
        <v>00093G</v>
      </c>
      <c r="B307" s="1" t="s">
        <v>1495</v>
      </c>
      <c r="C307" s="1" t="s">
        <v>1496</v>
      </c>
      <c r="D307" s="1" t="str">
        <f>"8023728958"</f>
        <v>8023728958</v>
      </c>
      <c r="E307" s="1">
        <v>3812.0</v>
      </c>
      <c r="F307" s="1" t="s">
        <v>44</v>
      </c>
      <c r="G307" s="1" t="s">
        <v>1497</v>
      </c>
      <c r="H307" s="1">
        <v>2.0</v>
      </c>
      <c r="I307" s="1"/>
      <c r="J307" s="1"/>
      <c r="K307" s="1"/>
      <c r="L307" s="1"/>
      <c r="M307" s="1" t="s">
        <v>72</v>
      </c>
      <c r="N307" s="1" t="s">
        <v>107</v>
      </c>
      <c r="O307" s="1" t="s">
        <v>821</v>
      </c>
      <c r="P307" s="1"/>
      <c r="Q307" s="3">
        <v>36892.0</v>
      </c>
      <c r="R307" s="1"/>
      <c r="S307" s="3">
        <v>39240.0</v>
      </c>
      <c r="T307" s="1" t="s">
        <v>37</v>
      </c>
      <c r="U307" s="1"/>
      <c r="V307" s="1" t="s">
        <v>38</v>
      </c>
      <c r="W307" s="1"/>
      <c r="X307" s="1"/>
      <c r="Y307" s="1" t="s">
        <v>49</v>
      </c>
      <c r="Z307" s="1"/>
      <c r="AA307" s="1" t="s">
        <v>40</v>
      </c>
      <c r="AB307" s="1" t="s">
        <v>822</v>
      </c>
      <c r="AC307" s="1"/>
    </row>
    <row r="308">
      <c r="A308" s="1" t="str">
        <f>"0008F2"</f>
        <v>0008F2</v>
      </c>
      <c r="B308" s="1" t="s">
        <v>1498</v>
      </c>
      <c r="C308" s="1" t="s">
        <v>1499</v>
      </c>
      <c r="D308" s="1" t="str">
        <f>"8022478023"</f>
        <v>8022478023</v>
      </c>
      <c r="E308" s="1">
        <v>2844.0</v>
      </c>
      <c r="F308" s="1" t="s">
        <v>31</v>
      </c>
      <c r="G308" s="1" t="s">
        <v>1500</v>
      </c>
      <c r="H308" s="1">
        <v>2.0</v>
      </c>
      <c r="I308" s="1"/>
      <c r="J308" s="1"/>
      <c r="K308" s="1"/>
      <c r="L308" s="1"/>
      <c r="M308" s="1" t="s">
        <v>33</v>
      </c>
      <c r="N308" s="1" t="s">
        <v>161</v>
      </c>
      <c r="O308" s="1" t="s">
        <v>1501</v>
      </c>
      <c r="P308" s="1" t="s">
        <v>1502</v>
      </c>
      <c r="Q308" s="3">
        <v>36892.0</v>
      </c>
      <c r="R308" s="1"/>
      <c r="S308" s="3">
        <v>34542.0</v>
      </c>
      <c r="T308" s="1" t="s">
        <v>37</v>
      </c>
      <c r="U308" s="1"/>
      <c r="V308" s="1" t="s">
        <v>38</v>
      </c>
      <c r="W308" s="1"/>
      <c r="X308" s="1"/>
      <c r="Y308" s="1" t="s">
        <v>1503</v>
      </c>
      <c r="Z308" s="1"/>
      <c r="AA308" s="1" t="s">
        <v>40</v>
      </c>
      <c r="AB308" s="1" t="s">
        <v>1504</v>
      </c>
      <c r="AC308" s="1">
        <v>5733.0</v>
      </c>
    </row>
    <row r="309">
      <c r="A309" s="1" t="str">
        <f>"00073Z"</f>
        <v>00073Z</v>
      </c>
      <c r="B309" s="1" t="s">
        <v>1505</v>
      </c>
      <c r="C309" s="1" t="s">
        <v>1506</v>
      </c>
      <c r="D309" s="1" t="str">
        <f>"8028693301"</f>
        <v>8028693301</v>
      </c>
      <c r="E309" s="1">
        <v>2871.0</v>
      </c>
      <c r="F309" s="1" t="s">
        <v>44</v>
      </c>
      <c r="G309" s="1" t="s">
        <v>1507</v>
      </c>
      <c r="H309" s="1"/>
      <c r="I309" s="1"/>
      <c r="J309" s="1"/>
      <c r="K309" s="1"/>
      <c r="L309" s="1"/>
      <c r="M309" s="1" t="s">
        <v>1508</v>
      </c>
      <c r="N309" s="1" t="s">
        <v>66</v>
      </c>
      <c r="O309" s="1" t="s">
        <v>1509</v>
      </c>
      <c r="P309" s="1"/>
      <c r="Q309" s="3">
        <v>36892.0</v>
      </c>
      <c r="R309" s="1"/>
      <c r="S309" s="1"/>
      <c r="T309" s="1" t="s">
        <v>37</v>
      </c>
      <c r="U309" s="1"/>
      <c r="V309" s="1" t="s">
        <v>38</v>
      </c>
      <c r="W309" s="1"/>
      <c r="X309" s="1"/>
      <c r="Y309" s="1" t="s">
        <v>49</v>
      </c>
      <c r="Z309" s="1"/>
      <c r="AA309" s="1" t="s">
        <v>40</v>
      </c>
      <c r="AB309" s="1" t="s">
        <v>1510</v>
      </c>
      <c r="AC309" s="1"/>
    </row>
    <row r="310">
      <c r="A310" s="1" t="str">
        <f>"0008DZ"</f>
        <v>0008DZ</v>
      </c>
      <c r="B310" s="1" t="s">
        <v>1511</v>
      </c>
      <c r="C310" s="1" t="s">
        <v>1512</v>
      </c>
      <c r="D310" s="1" t="str">
        <f>"8026352349"</f>
        <v>8026352349</v>
      </c>
      <c r="E310" s="1">
        <v>2140.0</v>
      </c>
      <c r="F310" s="1" t="s">
        <v>44</v>
      </c>
      <c r="G310" s="1" t="s">
        <v>1513</v>
      </c>
      <c r="H310" s="1">
        <v>1.0</v>
      </c>
      <c r="I310" s="1"/>
      <c r="J310" s="1"/>
      <c r="K310" s="1"/>
      <c r="L310" s="1"/>
      <c r="M310" s="1" t="s">
        <v>72</v>
      </c>
      <c r="N310" s="1" t="s">
        <v>213</v>
      </c>
      <c r="O310" s="1" t="s">
        <v>1154</v>
      </c>
      <c r="P310" s="1"/>
      <c r="Q310" s="3">
        <v>36892.0</v>
      </c>
      <c r="R310" s="1"/>
      <c r="S310" s="3">
        <v>33787.0</v>
      </c>
      <c r="T310" s="1" t="s">
        <v>37</v>
      </c>
      <c r="U310" s="1"/>
      <c r="V310" s="1" t="s">
        <v>38</v>
      </c>
      <c r="W310" s="1"/>
      <c r="X310" s="1"/>
      <c r="Y310" s="1" t="s">
        <v>49</v>
      </c>
      <c r="Z310" s="1"/>
      <c r="AA310" s="1" t="s">
        <v>40</v>
      </c>
      <c r="AB310" s="1" t="s">
        <v>1155</v>
      </c>
      <c r="AC310" s="1"/>
    </row>
    <row r="311">
      <c r="A311" s="1" t="str">
        <f>"0008DY"</f>
        <v>0008DY</v>
      </c>
      <c r="B311" s="1" t="s">
        <v>1514</v>
      </c>
      <c r="C311" s="1" t="s">
        <v>1515</v>
      </c>
      <c r="D311" s="1" t="str">
        <f>"8026357187"</f>
        <v>8026357187</v>
      </c>
      <c r="E311" s="1">
        <v>2138.0</v>
      </c>
      <c r="F311" s="1" t="s">
        <v>44</v>
      </c>
      <c r="G311" s="1" t="s">
        <v>1516</v>
      </c>
      <c r="H311" s="1">
        <v>3.0</v>
      </c>
      <c r="I311" s="1"/>
      <c r="J311" s="1"/>
      <c r="K311" s="1"/>
      <c r="L311" s="1"/>
      <c r="M311" s="1" t="s">
        <v>1517</v>
      </c>
      <c r="N311" s="1" t="s">
        <v>213</v>
      </c>
      <c r="O311" s="1" t="s">
        <v>1154</v>
      </c>
      <c r="P311" s="1"/>
      <c r="Q311" s="3">
        <v>36892.0</v>
      </c>
      <c r="R311" s="1"/>
      <c r="S311" s="3">
        <v>32705.0</v>
      </c>
      <c r="T311" s="1" t="s">
        <v>37</v>
      </c>
      <c r="U311" s="1"/>
      <c r="V311" s="1" t="s">
        <v>38</v>
      </c>
      <c r="W311" s="1"/>
      <c r="X311" s="1"/>
      <c r="Y311" s="1" t="s">
        <v>49</v>
      </c>
      <c r="Z311" s="1"/>
      <c r="AA311" s="1" t="s">
        <v>40</v>
      </c>
      <c r="AB311" s="1" t="s">
        <v>1155</v>
      </c>
      <c r="AC311" s="1"/>
    </row>
    <row r="312">
      <c r="A312" s="1" t="str">
        <f>"00084B"</f>
        <v>00084B</v>
      </c>
      <c r="B312" s="1" t="s">
        <v>1518</v>
      </c>
      <c r="C312" s="1" t="s">
        <v>1519</v>
      </c>
      <c r="D312" s="1" t="str">
        <f>"8022447165"</f>
        <v>8022447165</v>
      </c>
      <c r="E312" s="1">
        <v>3196.0</v>
      </c>
      <c r="F312" s="1" t="s">
        <v>117</v>
      </c>
      <c r="G312" s="1" t="s">
        <v>1520</v>
      </c>
      <c r="H312" s="1">
        <v>1.0</v>
      </c>
      <c r="I312" s="2" t="s">
        <v>119</v>
      </c>
      <c r="J312" s="2" t="s">
        <v>119</v>
      </c>
      <c r="K312" s="2" t="s">
        <v>119</v>
      </c>
      <c r="L312" s="1"/>
      <c r="M312" s="1" t="s">
        <v>1521</v>
      </c>
      <c r="N312" s="1" t="s">
        <v>135</v>
      </c>
      <c r="O312" s="1" t="s">
        <v>775</v>
      </c>
      <c r="P312" s="1" t="s">
        <v>1522</v>
      </c>
      <c r="Q312" s="3">
        <v>36892.0</v>
      </c>
      <c r="R312" s="1"/>
      <c r="S312" s="1"/>
      <c r="T312" s="1" t="s">
        <v>37</v>
      </c>
      <c r="U312" s="1"/>
      <c r="V312" s="1" t="s">
        <v>38</v>
      </c>
      <c r="W312" s="1">
        <v>44.406963</v>
      </c>
      <c r="X312" s="1">
        <v>-72.6895749999999</v>
      </c>
      <c r="Y312" s="1" t="s">
        <v>1523</v>
      </c>
      <c r="Z312" s="1"/>
      <c r="AA312" s="1" t="s">
        <v>40</v>
      </c>
      <c r="AB312" s="1" t="s">
        <v>776</v>
      </c>
      <c r="AC312" s="1">
        <v>5677.0</v>
      </c>
    </row>
    <row r="313">
      <c r="A313" s="1" t="str">
        <f>"0008JG"</f>
        <v>0008JG</v>
      </c>
      <c r="B313" s="1" t="s">
        <v>1524</v>
      </c>
      <c r="C313" s="1" t="s">
        <v>1525</v>
      </c>
      <c r="D313" s="1" t="str">
        <f>"8023487913"</f>
        <v>8023487913</v>
      </c>
      <c r="E313" s="1">
        <v>3352.0</v>
      </c>
      <c r="F313" s="1" t="s">
        <v>44</v>
      </c>
      <c r="G313" s="1" t="s">
        <v>1526</v>
      </c>
      <c r="H313" s="1">
        <v>1.0</v>
      </c>
      <c r="I313" s="1"/>
      <c r="J313" s="1"/>
      <c r="K313" s="1"/>
      <c r="L313" s="1"/>
      <c r="M313" s="1" t="s">
        <v>72</v>
      </c>
      <c r="N313" s="1" t="s">
        <v>66</v>
      </c>
      <c r="O313" s="1" t="s">
        <v>73</v>
      </c>
      <c r="P313" s="1"/>
      <c r="Q313" s="3">
        <v>36892.0</v>
      </c>
      <c r="R313" s="1"/>
      <c r="S313" s="3">
        <v>37090.0</v>
      </c>
      <c r="T313" s="1" t="s">
        <v>37</v>
      </c>
      <c r="U313" s="1"/>
      <c r="V313" s="1" t="s">
        <v>38</v>
      </c>
      <c r="W313" s="1"/>
      <c r="X313" s="1"/>
      <c r="Y313" s="1" t="s">
        <v>49</v>
      </c>
      <c r="Z313" s="1"/>
      <c r="AA313" s="1" t="s">
        <v>40</v>
      </c>
      <c r="AB313" s="1" t="s">
        <v>74</v>
      </c>
      <c r="AC313" s="1"/>
    </row>
    <row r="314">
      <c r="A314" s="1" t="str">
        <f>"0008DP"</f>
        <v>0008DP</v>
      </c>
      <c r="B314" s="1" t="s">
        <v>1527</v>
      </c>
      <c r="C314" s="1" t="s">
        <v>1528</v>
      </c>
      <c r="D314" s="1" t="str">
        <f>"8023239978"</f>
        <v>8023239978</v>
      </c>
      <c r="E314" s="1">
        <v>3980.0</v>
      </c>
      <c r="F314" s="1" t="s">
        <v>44</v>
      </c>
      <c r="G314" s="1" t="s">
        <v>1529</v>
      </c>
      <c r="H314" s="1">
        <v>1.0</v>
      </c>
      <c r="I314" s="1"/>
      <c r="J314" s="1"/>
      <c r="K314" s="1"/>
      <c r="L314" s="1"/>
      <c r="M314" s="1" t="s">
        <v>72</v>
      </c>
      <c r="N314" s="1" t="s">
        <v>94</v>
      </c>
      <c r="O314" s="1" t="s">
        <v>637</v>
      </c>
      <c r="P314" s="1"/>
      <c r="Q314" s="3">
        <v>36892.0</v>
      </c>
      <c r="R314" s="1"/>
      <c r="S314" s="3">
        <v>39658.0</v>
      </c>
      <c r="T314" s="1" t="s">
        <v>37</v>
      </c>
      <c r="U314" s="1"/>
      <c r="V314" s="1" t="s">
        <v>38</v>
      </c>
      <c r="W314" s="1"/>
      <c r="X314" s="1"/>
      <c r="Y314" s="1" t="s">
        <v>49</v>
      </c>
      <c r="Z314" s="1"/>
      <c r="AA314" s="1" t="s">
        <v>40</v>
      </c>
      <c r="AB314" s="1" t="s">
        <v>637</v>
      </c>
      <c r="AC314" s="1"/>
    </row>
    <row r="315">
      <c r="A315" s="1" t="str">
        <f>"0008GF"</f>
        <v>0008GF</v>
      </c>
      <c r="B315" s="1" t="s">
        <v>1530</v>
      </c>
      <c r="C315" s="1" t="s">
        <v>1531</v>
      </c>
      <c r="D315" s="1" t="str">
        <f>"8022346362"</f>
        <v>8022346362</v>
      </c>
      <c r="E315" s="1">
        <v>3981.0</v>
      </c>
      <c r="F315" s="1" t="s">
        <v>44</v>
      </c>
      <c r="G315" s="1" t="s">
        <v>1532</v>
      </c>
      <c r="H315" s="1">
        <v>4.0</v>
      </c>
      <c r="I315" s="1"/>
      <c r="J315" s="1"/>
      <c r="K315" s="1"/>
      <c r="L315" s="1"/>
      <c r="M315" s="1" t="s">
        <v>72</v>
      </c>
      <c r="N315" s="1" t="s">
        <v>34</v>
      </c>
      <c r="O315" s="1" t="s">
        <v>150</v>
      </c>
      <c r="P315" s="1"/>
      <c r="Q315" s="3">
        <v>36892.0</v>
      </c>
      <c r="R315" s="1"/>
      <c r="S315" s="3">
        <v>39659.0</v>
      </c>
      <c r="T315" s="1" t="s">
        <v>37</v>
      </c>
      <c r="U315" s="1"/>
      <c r="V315" s="1" t="s">
        <v>38</v>
      </c>
      <c r="W315" s="1"/>
      <c r="X315" s="1"/>
      <c r="Y315" s="1" t="s">
        <v>49</v>
      </c>
      <c r="Z315" s="1"/>
      <c r="AA315" s="1" t="s">
        <v>40</v>
      </c>
      <c r="AB315" s="1" t="s">
        <v>151</v>
      </c>
      <c r="AC315" s="1"/>
    </row>
    <row r="316">
      <c r="A316" s="1" t="str">
        <f>"0008DN"</f>
        <v>0008DN</v>
      </c>
      <c r="B316" s="1" t="s">
        <v>1533</v>
      </c>
      <c r="C316" s="1" t="s">
        <v>1534</v>
      </c>
      <c r="D316" s="1" t="str">
        <f>"8026352018"</f>
        <v>8026352018</v>
      </c>
      <c r="E316" s="1">
        <v>2399.0</v>
      </c>
      <c r="F316" s="1" t="s">
        <v>44</v>
      </c>
      <c r="G316" s="1" t="s">
        <v>1535</v>
      </c>
      <c r="H316" s="1"/>
      <c r="I316" s="1"/>
      <c r="J316" s="1"/>
      <c r="K316" s="1"/>
      <c r="L316" s="1"/>
      <c r="M316" s="1" t="s">
        <v>1536</v>
      </c>
      <c r="N316" s="1" t="s">
        <v>213</v>
      </c>
      <c r="O316" s="1" t="s">
        <v>1154</v>
      </c>
      <c r="P316" s="1"/>
      <c r="Q316" s="3">
        <v>36892.0</v>
      </c>
      <c r="R316" s="1"/>
      <c r="S316" s="1"/>
      <c r="T316" s="1" t="s">
        <v>37</v>
      </c>
      <c r="U316" s="1"/>
      <c r="V316" s="1" t="s">
        <v>38</v>
      </c>
      <c r="W316" s="1"/>
      <c r="X316" s="1"/>
      <c r="Y316" s="1" t="s">
        <v>49</v>
      </c>
      <c r="Z316" s="1"/>
      <c r="AA316" s="1" t="s">
        <v>40</v>
      </c>
      <c r="AB316" s="1" t="s">
        <v>1155</v>
      </c>
      <c r="AC316" s="1"/>
    </row>
    <row r="317">
      <c r="A317" s="1" t="str">
        <f>"0008DM"</f>
        <v>0008DM</v>
      </c>
      <c r="B317" s="1" t="s">
        <v>1537</v>
      </c>
      <c r="C317" s="1" t="s">
        <v>1538</v>
      </c>
      <c r="D317" s="1" t="str">
        <f>"8028932467"</f>
        <v>8028932467</v>
      </c>
      <c r="E317" s="1">
        <v>3594.0</v>
      </c>
      <c r="F317" s="1" t="s">
        <v>44</v>
      </c>
      <c r="G317" s="1" t="s">
        <v>1539</v>
      </c>
      <c r="H317" s="1"/>
      <c r="I317" s="1"/>
      <c r="J317" s="1"/>
      <c r="K317" s="1"/>
      <c r="L317" s="1"/>
      <c r="M317" s="1" t="s">
        <v>72</v>
      </c>
      <c r="N317" s="1" t="s">
        <v>57</v>
      </c>
      <c r="O317" s="1" t="s">
        <v>155</v>
      </c>
      <c r="P317" s="1"/>
      <c r="Q317" s="3">
        <v>36892.0</v>
      </c>
      <c r="R317" s="1"/>
      <c r="S317" s="1"/>
      <c r="T317" s="1" t="s">
        <v>37</v>
      </c>
      <c r="U317" s="1"/>
      <c r="V317" s="1" t="s">
        <v>38</v>
      </c>
      <c r="W317" s="1"/>
      <c r="X317" s="1"/>
      <c r="Y317" s="1" t="s">
        <v>49</v>
      </c>
      <c r="Z317" s="1"/>
      <c r="AA317" s="1" t="s">
        <v>40</v>
      </c>
      <c r="AB317" s="1" t="s">
        <v>156</v>
      </c>
      <c r="AC317" s="1"/>
    </row>
    <row r="318">
      <c r="A318" s="1" t="str">
        <f t="shared" ref="A318:A319" si="29">"0008NY"</f>
        <v>0008NY</v>
      </c>
      <c r="B318" s="1" t="s">
        <v>1540</v>
      </c>
      <c r="C318" s="1" t="s">
        <v>1541</v>
      </c>
      <c r="D318" s="1" t="str">
        <f t="shared" ref="D318:D319" si="30">"8028931310"</f>
        <v>8028931310</v>
      </c>
      <c r="E318" s="1">
        <v>3209.0</v>
      </c>
      <c r="F318" s="1" t="s">
        <v>44</v>
      </c>
      <c r="G318" s="1" t="s">
        <v>1542</v>
      </c>
      <c r="H318" s="1"/>
      <c r="I318" s="1"/>
      <c r="J318" s="1"/>
      <c r="K318" s="1"/>
      <c r="L318" s="1"/>
      <c r="M318" s="1" t="s">
        <v>72</v>
      </c>
      <c r="N318" s="1" t="s">
        <v>57</v>
      </c>
      <c r="O318" s="1" t="s">
        <v>256</v>
      </c>
      <c r="P318" s="1"/>
      <c r="Q318" s="3">
        <v>36892.0</v>
      </c>
      <c r="R318" s="1"/>
      <c r="S318" s="1"/>
      <c r="T318" s="1" t="s">
        <v>37</v>
      </c>
      <c r="U318" s="1"/>
      <c r="V318" s="1" t="s">
        <v>38</v>
      </c>
      <c r="W318" s="1"/>
      <c r="X318" s="1"/>
      <c r="Y318" s="1" t="s">
        <v>49</v>
      </c>
      <c r="Z318" s="1"/>
      <c r="AA318" s="1" t="s">
        <v>40</v>
      </c>
      <c r="AB318" s="1" t="s">
        <v>257</v>
      </c>
      <c r="AC318" s="1"/>
    </row>
    <row r="319">
      <c r="A319" s="1" t="str">
        <f t="shared" si="29"/>
        <v>0008NY</v>
      </c>
      <c r="B319" s="1" t="s">
        <v>1540</v>
      </c>
      <c r="C319" s="1" t="s">
        <v>1541</v>
      </c>
      <c r="D319" s="1" t="str">
        <f t="shared" si="30"/>
        <v>8028931310</v>
      </c>
      <c r="E319" s="1">
        <v>3209.0</v>
      </c>
      <c r="F319" s="1" t="s">
        <v>44</v>
      </c>
      <c r="G319" s="1" t="s">
        <v>1543</v>
      </c>
      <c r="H319" s="1"/>
      <c r="I319" s="1"/>
      <c r="J319" s="1"/>
      <c r="K319" s="1"/>
      <c r="L319" s="1"/>
      <c r="M319" s="1" t="s">
        <v>1544</v>
      </c>
      <c r="N319" s="1" t="s">
        <v>57</v>
      </c>
      <c r="O319" s="1" t="s">
        <v>238</v>
      </c>
      <c r="P319" s="1"/>
      <c r="Q319" s="3">
        <v>36892.0</v>
      </c>
      <c r="R319" s="1"/>
      <c r="S319" s="1"/>
      <c r="T319" s="1" t="s">
        <v>37</v>
      </c>
      <c r="U319" s="1"/>
      <c r="V319" s="1" t="s">
        <v>38</v>
      </c>
      <c r="W319" s="1"/>
      <c r="X319" s="1"/>
      <c r="Y319" s="1" t="s">
        <v>49</v>
      </c>
      <c r="Z319" s="1"/>
      <c r="AA319" s="1" t="s">
        <v>40</v>
      </c>
      <c r="AB319" s="1" t="s">
        <v>239</v>
      </c>
      <c r="AC319" s="1"/>
    </row>
    <row r="320">
      <c r="A320" s="1" t="str">
        <f>"000899"</f>
        <v>000899</v>
      </c>
      <c r="B320" s="1" t="s">
        <v>1545</v>
      </c>
      <c r="C320" s="1" t="s">
        <v>1546</v>
      </c>
      <c r="D320" s="1" t="str">
        <f>"8026445834"</f>
        <v>8026445834</v>
      </c>
      <c r="E320" s="1">
        <v>2123.0</v>
      </c>
      <c r="F320" s="1" t="s">
        <v>44</v>
      </c>
      <c r="G320" s="1" t="s">
        <v>1547</v>
      </c>
      <c r="H320" s="1">
        <v>6.0</v>
      </c>
      <c r="I320" s="1"/>
      <c r="J320" s="1"/>
      <c r="K320" s="1"/>
      <c r="L320" s="1"/>
      <c r="M320" s="1" t="s">
        <v>1548</v>
      </c>
      <c r="N320" s="1" t="s">
        <v>213</v>
      </c>
      <c r="O320" s="1" t="s">
        <v>620</v>
      </c>
      <c r="P320" s="1"/>
      <c r="Q320" s="3">
        <v>36892.0</v>
      </c>
      <c r="R320" s="1"/>
      <c r="S320" s="3">
        <v>32705.0</v>
      </c>
      <c r="T320" s="1" t="s">
        <v>37</v>
      </c>
      <c r="U320" s="1"/>
      <c r="V320" s="1" t="s">
        <v>38</v>
      </c>
      <c r="W320" s="1"/>
      <c r="X320" s="1"/>
      <c r="Y320" s="1" t="s">
        <v>49</v>
      </c>
      <c r="Z320" s="1"/>
      <c r="AA320" s="1" t="s">
        <v>40</v>
      </c>
      <c r="AB320" s="1" t="s">
        <v>621</v>
      </c>
      <c r="AC320" s="1"/>
    </row>
    <row r="321">
      <c r="A321" s="1" t="str">
        <f>"000894"</f>
        <v>000894</v>
      </c>
      <c r="B321" s="1" t="s">
        <v>1549</v>
      </c>
      <c r="C321" s="1" t="s">
        <v>1550</v>
      </c>
      <c r="D321" s="1"/>
      <c r="E321" s="1">
        <v>2122.0</v>
      </c>
      <c r="F321" s="1" t="s">
        <v>44</v>
      </c>
      <c r="G321" s="1" t="s">
        <v>1551</v>
      </c>
      <c r="H321" s="1"/>
      <c r="I321" s="1"/>
      <c r="J321" s="1"/>
      <c r="K321" s="1"/>
      <c r="L321" s="1"/>
      <c r="M321" s="1" t="s">
        <v>1552</v>
      </c>
      <c r="N321" s="1" t="s">
        <v>213</v>
      </c>
      <c r="O321" s="1" t="s">
        <v>620</v>
      </c>
      <c r="P321" s="1"/>
      <c r="Q321" s="3">
        <v>36892.0</v>
      </c>
      <c r="R321" s="1"/>
      <c r="S321" s="1"/>
      <c r="T321" s="1" t="s">
        <v>37</v>
      </c>
      <c r="U321" s="1"/>
      <c r="V321" s="1" t="s">
        <v>38</v>
      </c>
      <c r="W321" s="1"/>
      <c r="X321" s="1"/>
      <c r="Y321" s="1" t="s">
        <v>49</v>
      </c>
      <c r="Z321" s="1"/>
      <c r="AA321" s="1" t="s">
        <v>40</v>
      </c>
      <c r="AB321" s="1" t="s">
        <v>621</v>
      </c>
      <c r="AC321" s="1"/>
    </row>
    <row r="322">
      <c r="A322" s="1" t="str">
        <f>"0008N3"</f>
        <v>0008N3</v>
      </c>
      <c r="B322" s="1" t="s">
        <v>1553</v>
      </c>
      <c r="C322" s="1" t="s">
        <v>1554</v>
      </c>
      <c r="D322" s="1" t="str">
        <f>"8023284085"</f>
        <v>8023284085</v>
      </c>
      <c r="E322" s="1">
        <v>3177.0</v>
      </c>
      <c r="F322" s="1" t="s">
        <v>44</v>
      </c>
      <c r="G322" s="1" t="s">
        <v>1555</v>
      </c>
      <c r="H322" s="1">
        <v>8.0</v>
      </c>
      <c r="I322" s="1"/>
      <c r="J322" s="1"/>
      <c r="K322" s="1"/>
      <c r="L322" s="1"/>
      <c r="M322" s="1" t="s">
        <v>1556</v>
      </c>
      <c r="N322" s="1" t="s">
        <v>331</v>
      </c>
      <c r="O322" s="1" t="s">
        <v>1557</v>
      </c>
      <c r="P322" s="1"/>
      <c r="Q322" s="3">
        <v>36892.0</v>
      </c>
      <c r="R322" s="1"/>
      <c r="S322" s="3">
        <v>36360.0</v>
      </c>
      <c r="T322" s="1" t="s">
        <v>37</v>
      </c>
      <c r="U322" s="1"/>
      <c r="V322" s="1" t="s">
        <v>38</v>
      </c>
      <c r="W322" s="1"/>
      <c r="X322" s="1"/>
      <c r="Y322" s="1" t="s">
        <v>49</v>
      </c>
      <c r="Z322" s="1"/>
      <c r="AA322" s="1" t="s">
        <v>40</v>
      </c>
      <c r="AB322" s="1" t="s">
        <v>1558</v>
      </c>
      <c r="AC322" s="1"/>
    </row>
    <row r="323">
      <c r="A323" s="1" t="str">
        <f>"000871"</f>
        <v>000871</v>
      </c>
      <c r="B323" s="1" t="s">
        <v>972</v>
      </c>
      <c r="C323" s="1" t="s">
        <v>973</v>
      </c>
      <c r="D323" s="1" t="str">
        <f>"8027632439"</f>
        <v>8027632439</v>
      </c>
      <c r="E323" s="1">
        <v>2992.0</v>
      </c>
      <c r="F323" s="1" t="s">
        <v>117</v>
      </c>
      <c r="G323" s="1" t="s">
        <v>1559</v>
      </c>
      <c r="H323" s="1">
        <v>5.0</v>
      </c>
      <c r="I323" s="1"/>
      <c r="J323" s="1"/>
      <c r="K323" s="1"/>
      <c r="L323" s="1"/>
      <c r="M323" s="1" t="s">
        <v>1560</v>
      </c>
      <c r="N323" s="1" t="s">
        <v>142</v>
      </c>
      <c r="O323" s="1" t="s">
        <v>474</v>
      </c>
      <c r="P323" s="1"/>
      <c r="Q323" s="3">
        <v>36892.0</v>
      </c>
      <c r="R323" s="1"/>
      <c r="S323" s="3">
        <v>42944.0</v>
      </c>
      <c r="T323" s="1" t="s">
        <v>37</v>
      </c>
      <c r="U323" s="1"/>
      <c r="V323" s="1" t="s">
        <v>38</v>
      </c>
      <c r="W323" s="1"/>
      <c r="X323" s="1"/>
      <c r="Y323" s="1" t="s">
        <v>49</v>
      </c>
      <c r="Z323" s="1"/>
      <c r="AA323" s="1" t="s">
        <v>40</v>
      </c>
      <c r="AB323" s="1" t="s">
        <v>475</v>
      </c>
      <c r="AC323" s="1"/>
    </row>
    <row r="324">
      <c r="A324" s="1" t="str">
        <f>"00082J"</f>
        <v>00082J</v>
      </c>
      <c r="B324" s="1" t="s">
        <v>1561</v>
      </c>
      <c r="C324" s="1" t="s">
        <v>1562</v>
      </c>
      <c r="D324" s="1" t="str">
        <f>"8028492369"</f>
        <v>8028492369</v>
      </c>
      <c r="E324" s="1">
        <v>2680.0</v>
      </c>
      <c r="F324" s="1" t="s">
        <v>44</v>
      </c>
      <c r="G324" s="1" t="s">
        <v>1563</v>
      </c>
      <c r="H324" s="1"/>
      <c r="I324" s="1"/>
      <c r="J324" s="1"/>
      <c r="K324" s="1"/>
      <c r="L324" s="1"/>
      <c r="M324" s="1" t="s">
        <v>1564</v>
      </c>
      <c r="N324" s="1" t="s">
        <v>47</v>
      </c>
      <c r="O324" s="1" t="s">
        <v>378</v>
      </c>
      <c r="P324" s="1"/>
      <c r="Q324" s="3">
        <v>36892.0</v>
      </c>
      <c r="R324" s="1"/>
      <c r="S324" s="1"/>
      <c r="T324" s="1" t="s">
        <v>37</v>
      </c>
      <c r="U324" s="1"/>
      <c r="V324" s="1" t="s">
        <v>38</v>
      </c>
      <c r="W324" s="1"/>
      <c r="X324" s="1"/>
      <c r="Y324" s="1" t="s">
        <v>49</v>
      </c>
      <c r="Z324" s="1"/>
      <c r="AA324" s="1" t="s">
        <v>40</v>
      </c>
      <c r="AB324" s="1" t="s">
        <v>381</v>
      </c>
      <c r="AC324" s="1"/>
    </row>
    <row r="325">
      <c r="A325" s="1" t="str">
        <f>"0007WA"</f>
        <v>0007WA</v>
      </c>
      <c r="B325" s="1" t="s">
        <v>157</v>
      </c>
      <c r="C325" s="1" t="s">
        <v>158</v>
      </c>
      <c r="D325" s="1" t="str">
        <f>"8029482057"</f>
        <v>8029482057</v>
      </c>
      <c r="E325" s="1">
        <v>1217.0</v>
      </c>
      <c r="F325" s="1" t="s">
        <v>31</v>
      </c>
      <c r="G325" s="1" t="s">
        <v>1565</v>
      </c>
      <c r="H325" s="1">
        <v>26.0</v>
      </c>
      <c r="I325" s="1"/>
      <c r="J325" s="1"/>
      <c r="K325" s="1"/>
      <c r="L325" s="1"/>
      <c r="M325" s="1" t="s">
        <v>1566</v>
      </c>
      <c r="N325" s="1" t="s">
        <v>161</v>
      </c>
      <c r="O325" s="1" t="s">
        <v>531</v>
      </c>
      <c r="P325" s="1" t="s">
        <v>1567</v>
      </c>
      <c r="Q325" s="3">
        <v>36892.0</v>
      </c>
      <c r="R325" s="1"/>
      <c r="S325" s="3">
        <v>36055.0</v>
      </c>
      <c r="T325" s="1" t="s">
        <v>37</v>
      </c>
      <c r="U325" s="1"/>
      <c r="V325" s="1" t="s">
        <v>38</v>
      </c>
      <c r="W325" s="1">
        <v>43.7829186</v>
      </c>
      <c r="X325" s="1">
        <v>-73.2765941999999</v>
      </c>
      <c r="Y325" s="1" t="s">
        <v>1568</v>
      </c>
      <c r="Z325" s="1"/>
      <c r="AA325" s="1" t="s">
        <v>40</v>
      </c>
      <c r="AB325" s="1" t="s">
        <v>532</v>
      </c>
      <c r="AC325" s="1">
        <v>0.0</v>
      </c>
    </row>
    <row r="326">
      <c r="A326" s="1" t="str">
        <f>"0008DF"</f>
        <v>0008DF</v>
      </c>
      <c r="B326" s="1" t="s">
        <v>1569</v>
      </c>
      <c r="C326" s="1" t="s">
        <v>1570</v>
      </c>
      <c r="D326" s="1"/>
      <c r="E326" s="1">
        <v>2116.0</v>
      </c>
      <c r="F326" s="1" t="s">
        <v>44</v>
      </c>
      <c r="G326" s="1" t="s">
        <v>1571</v>
      </c>
      <c r="H326" s="1">
        <v>1.0</v>
      </c>
      <c r="I326" s="1"/>
      <c r="J326" s="1"/>
      <c r="K326" s="1"/>
      <c r="L326" s="1"/>
      <c r="M326" s="1" t="s">
        <v>1572</v>
      </c>
      <c r="N326" s="1" t="s">
        <v>331</v>
      </c>
      <c r="O326" s="1" t="s">
        <v>1573</v>
      </c>
      <c r="P326" s="1"/>
      <c r="Q326" s="3">
        <v>36892.0</v>
      </c>
      <c r="R326" s="1"/>
      <c r="S326" s="3">
        <v>32707.0</v>
      </c>
      <c r="T326" s="1" t="s">
        <v>37</v>
      </c>
      <c r="U326" s="1"/>
      <c r="V326" s="1" t="s">
        <v>38</v>
      </c>
      <c r="W326" s="1"/>
      <c r="X326" s="1"/>
      <c r="Y326" s="1" t="s">
        <v>49</v>
      </c>
      <c r="Z326" s="1"/>
      <c r="AA326" s="1" t="s">
        <v>40</v>
      </c>
      <c r="AB326" s="1" t="s">
        <v>1574</v>
      </c>
      <c r="AC326" s="1"/>
    </row>
    <row r="327">
      <c r="A327" s="1" t="str">
        <f>"0008DD"</f>
        <v>0008DD</v>
      </c>
      <c r="B327" s="1" t="s">
        <v>1575</v>
      </c>
      <c r="C327" s="1" t="s">
        <v>1576</v>
      </c>
      <c r="D327" s="1" t="str">
        <f>"8022233524"</f>
        <v>8022233524</v>
      </c>
      <c r="E327" s="1">
        <v>3630.0</v>
      </c>
      <c r="F327" s="1" t="s">
        <v>44</v>
      </c>
      <c r="G327" s="1" t="s">
        <v>1577</v>
      </c>
      <c r="H327" s="1">
        <v>3.0</v>
      </c>
      <c r="I327" s="1"/>
      <c r="J327" s="1"/>
      <c r="K327" s="1"/>
      <c r="L327" s="1"/>
      <c r="M327" s="1" t="s">
        <v>72</v>
      </c>
      <c r="N327" s="1" t="s">
        <v>135</v>
      </c>
      <c r="O327" s="1" t="s">
        <v>805</v>
      </c>
      <c r="P327" s="1"/>
      <c r="Q327" s="3">
        <v>36892.0</v>
      </c>
      <c r="R327" s="1"/>
      <c r="S327" s="3">
        <v>39280.0</v>
      </c>
      <c r="T327" s="1" t="s">
        <v>37</v>
      </c>
      <c r="U327" s="1"/>
      <c r="V327" s="1" t="s">
        <v>38</v>
      </c>
      <c r="W327" s="1"/>
      <c r="X327" s="1"/>
      <c r="Y327" s="1" t="s">
        <v>49</v>
      </c>
      <c r="Z327" s="1"/>
      <c r="AA327" s="1" t="s">
        <v>40</v>
      </c>
      <c r="AB327" s="1" t="s">
        <v>806</v>
      </c>
      <c r="AC327" s="1"/>
    </row>
    <row r="328">
      <c r="A328" s="1" t="str">
        <f>"0008DC"</f>
        <v>0008DC</v>
      </c>
      <c r="B328" s="1" t="s">
        <v>1578</v>
      </c>
      <c r="C328" s="1" t="s">
        <v>1579</v>
      </c>
      <c r="D328" s="1"/>
      <c r="E328" s="1">
        <v>2113.0</v>
      </c>
      <c r="F328" s="1" t="s">
        <v>44</v>
      </c>
      <c r="G328" s="1" t="s">
        <v>1580</v>
      </c>
      <c r="H328" s="1"/>
      <c r="I328" s="1"/>
      <c r="J328" s="1"/>
      <c r="K328" s="1"/>
      <c r="L328" s="1"/>
      <c r="M328" s="1" t="s">
        <v>1581</v>
      </c>
      <c r="N328" s="1" t="s">
        <v>94</v>
      </c>
      <c r="O328" s="1" t="s">
        <v>1582</v>
      </c>
      <c r="P328" s="1"/>
      <c r="Q328" s="3">
        <v>36892.0</v>
      </c>
      <c r="R328" s="1"/>
      <c r="S328" s="1"/>
      <c r="T328" s="1" t="s">
        <v>37</v>
      </c>
      <c r="U328" s="1"/>
      <c r="V328" s="1" t="s">
        <v>38</v>
      </c>
      <c r="W328" s="1"/>
      <c r="X328" s="1"/>
      <c r="Y328" s="1" t="s">
        <v>49</v>
      </c>
      <c r="Z328" s="1"/>
      <c r="AA328" s="1" t="s">
        <v>40</v>
      </c>
      <c r="AB328" s="1" t="s">
        <v>1583</v>
      </c>
      <c r="AC328" s="1"/>
    </row>
    <row r="329">
      <c r="A329" s="1" t="str">
        <f>"0008B7"</f>
        <v>0008B7</v>
      </c>
      <c r="B329" s="1" t="s">
        <v>1584</v>
      </c>
      <c r="C329" s="1" t="s">
        <v>1585</v>
      </c>
      <c r="D329" s="1"/>
      <c r="E329" s="1">
        <v>1989.0</v>
      </c>
      <c r="F329" s="1" t="s">
        <v>44</v>
      </c>
      <c r="G329" s="1" t="s">
        <v>1586</v>
      </c>
      <c r="H329" s="1"/>
      <c r="I329" s="1"/>
      <c r="J329" s="1"/>
      <c r="K329" s="1"/>
      <c r="L329" s="1"/>
      <c r="M329" s="1" t="s">
        <v>1587</v>
      </c>
      <c r="N329" s="1" t="s">
        <v>94</v>
      </c>
      <c r="O329" s="1" t="s">
        <v>1582</v>
      </c>
      <c r="P329" s="1"/>
      <c r="Q329" s="3">
        <v>36892.0</v>
      </c>
      <c r="R329" s="1"/>
      <c r="S329" s="1"/>
      <c r="T329" s="1" t="s">
        <v>37</v>
      </c>
      <c r="U329" s="1"/>
      <c r="V329" s="1" t="s">
        <v>38</v>
      </c>
      <c r="W329" s="1"/>
      <c r="X329" s="1"/>
      <c r="Y329" s="1" t="s">
        <v>49</v>
      </c>
      <c r="Z329" s="1"/>
      <c r="AA329" s="1" t="s">
        <v>40</v>
      </c>
      <c r="AB329" s="1" t="s">
        <v>1583</v>
      </c>
      <c r="AC329" s="1"/>
    </row>
    <row r="330">
      <c r="A330" s="1" t="str">
        <f>"0008DB"</f>
        <v>0008DB</v>
      </c>
      <c r="B330" s="1" t="s">
        <v>1588</v>
      </c>
      <c r="C330" s="1" t="s">
        <v>1589</v>
      </c>
      <c r="D330" s="1" t="str">
        <f>"8023874146"</f>
        <v>8023874146</v>
      </c>
      <c r="E330" s="1">
        <v>2625.0</v>
      </c>
      <c r="F330" s="1" t="s">
        <v>44</v>
      </c>
      <c r="G330" s="1" t="s">
        <v>1590</v>
      </c>
      <c r="H330" s="1">
        <v>1.0</v>
      </c>
      <c r="I330" s="1"/>
      <c r="J330" s="1"/>
      <c r="K330" s="1"/>
      <c r="L330" s="1"/>
      <c r="M330" s="1" t="s">
        <v>72</v>
      </c>
      <c r="N330" s="1" t="s">
        <v>66</v>
      </c>
      <c r="O330" s="1" t="s">
        <v>593</v>
      </c>
      <c r="P330" s="1"/>
      <c r="Q330" s="3">
        <v>36892.0</v>
      </c>
      <c r="R330" s="1"/>
      <c r="S330" s="3">
        <v>32646.0</v>
      </c>
      <c r="T330" s="1" t="s">
        <v>37</v>
      </c>
      <c r="U330" s="1"/>
      <c r="V330" s="1" t="s">
        <v>38</v>
      </c>
      <c r="W330" s="1"/>
      <c r="X330" s="1"/>
      <c r="Y330" s="1" t="s">
        <v>49</v>
      </c>
      <c r="Z330" s="1"/>
      <c r="AA330" s="1" t="s">
        <v>40</v>
      </c>
      <c r="AB330" s="1" t="s">
        <v>594</v>
      </c>
      <c r="AC330" s="1"/>
    </row>
    <row r="331">
      <c r="A331" s="1" t="str">
        <f>"0008D9"</f>
        <v>0008D9</v>
      </c>
      <c r="B331" s="1" t="s">
        <v>1591</v>
      </c>
      <c r="C331" s="1" t="s">
        <v>1592</v>
      </c>
      <c r="D331" s="1" t="str">
        <f>"8022879661"</f>
        <v>8022879661</v>
      </c>
      <c r="E331" s="1">
        <v>3648.0</v>
      </c>
      <c r="F331" s="1" t="s">
        <v>44</v>
      </c>
      <c r="G331" s="1" t="s">
        <v>1593</v>
      </c>
      <c r="H331" s="1">
        <v>1.0</v>
      </c>
      <c r="I331" s="1"/>
      <c r="J331" s="1"/>
      <c r="K331" s="1"/>
      <c r="L331" s="1"/>
      <c r="M331" s="1" t="s">
        <v>72</v>
      </c>
      <c r="N331" s="1" t="s">
        <v>78</v>
      </c>
      <c r="O331" s="1" t="s">
        <v>615</v>
      </c>
      <c r="P331" s="1"/>
      <c r="Q331" s="3">
        <v>36892.0</v>
      </c>
      <c r="R331" s="1"/>
      <c r="S331" s="3">
        <v>39276.0</v>
      </c>
      <c r="T331" s="1" t="s">
        <v>37</v>
      </c>
      <c r="U331" s="1"/>
      <c r="V331" s="1" t="s">
        <v>38</v>
      </c>
      <c r="W331" s="1"/>
      <c r="X331" s="1"/>
      <c r="Y331" s="1" t="s">
        <v>49</v>
      </c>
      <c r="Z331" s="1"/>
      <c r="AA331" s="1" t="s">
        <v>40</v>
      </c>
      <c r="AB331" s="1" t="s">
        <v>616</v>
      </c>
      <c r="AC331" s="1"/>
    </row>
    <row r="332">
      <c r="A332" s="1" t="str">
        <f>"0008D8"</f>
        <v>0008D8</v>
      </c>
      <c r="B332" s="1" t="s">
        <v>1594</v>
      </c>
      <c r="C332" s="1" t="s">
        <v>1595</v>
      </c>
      <c r="D332" s="1"/>
      <c r="E332" s="1">
        <v>2378.0</v>
      </c>
      <c r="F332" s="1" t="s">
        <v>44</v>
      </c>
      <c r="G332" s="1" t="s">
        <v>1596</v>
      </c>
      <c r="H332" s="1"/>
      <c r="I332" s="1"/>
      <c r="J332" s="1"/>
      <c r="K332" s="1"/>
      <c r="L332" s="1"/>
      <c r="M332" s="1" t="s">
        <v>1597</v>
      </c>
      <c r="N332" s="1" t="s">
        <v>94</v>
      </c>
      <c r="O332" s="1" t="s">
        <v>637</v>
      </c>
      <c r="P332" s="1"/>
      <c r="Q332" s="3">
        <v>36892.0</v>
      </c>
      <c r="R332" s="1"/>
      <c r="S332" s="1"/>
      <c r="T332" s="1" t="s">
        <v>37</v>
      </c>
      <c r="U332" s="1"/>
      <c r="V332" s="1" t="s">
        <v>38</v>
      </c>
      <c r="W332" s="1"/>
      <c r="X332" s="1"/>
      <c r="Y332" s="1" t="s">
        <v>49</v>
      </c>
      <c r="Z332" s="1"/>
      <c r="AA332" s="1" t="s">
        <v>40</v>
      </c>
      <c r="AB332" s="1" t="s">
        <v>637</v>
      </c>
      <c r="AC332" s="1"/>
    </row>
    <row r="333">
      <c r="A333" s="1" t="str">
        <f>"0008D7"</f>
        <v>0008D7</v>
      </c>
      <c r="B333" s="1" t="s">
        <v>1598</v>
      </c>
      <c r="C333" s="1" t="s">
        <v>1599</v>
      </c>
      <c r="D333" s="1" t="str">
        <f>"8028496296"</f>
        <v>8028496296</v>
      </c>
      <c r="E333" s="1">
        <v>3070.0</v>
      </c>
      <c r="F333" s="1" t="s">
        <v>44</v>
      </c>
      <c r="G333" s="1" t="s">
        <v>1600</v>
      </c>
      <c r="H333" s="1">
        <v>2.0</v>
      </c>
      <c r="I333" s="1"/>
      <c r="J333" s="1"/>
      <c r="K333" s="1"/>
      <c r="L333" s="1"/>
      <c r="M333" s="1" t="s">
        <v>72</v>
      </c>
      <c r="N333" s="1" t="s">
        <v>47</v>
      </c>
      <c r="O333" s="1" t="s">
        <v>378</v>
      </c>
      <c r="P333" s="1"/>
      <c r="Q333" s="3">
        <v>36892.0</v>
      </c>
      <c r="R333" s="1"/>
      <c r="S333" s="3">
        <v>36382.0</v>
      </c>
      <c r="T333" s="1" t="s">
        <v>37</v>
      </c>
      <c r="U333" s="1"/>
      <c r="V333" s="1" t="s">
        <v>38</v>
      </c>
      <c r="W333" s="1">
        <v>44.692749</v>
      </c>
      <c r="X333" s="1">
        <v>-73.03493</v>
      </c>
      <c r="Y333" s="1" t="s">
        <v>1601</v>
      </c>
      <c r="Z333" s="1"/>
      <c r="AA333" s="1" t="s">
        <v>40</v>
      </c>
      <c r="AB333" s="1" t="s">
        <v>381</v>
      </c>
      <c r="AC333" s="1">
        <v>5454.0</v>
      </c>
    </row>
    <row r="334">
      <c r="A334" s="1" t="str">
        <f>"0008D6"</f>
        <v>0008D6</v>
      </c>
      <c r="B334" s="1" t="s">
        <v>1602</v>
      </c>
      <c r="C334" s="1" t="s">
        <v>1595</v>
      </c>
      <c r="D334" s="1"/>
      <c r="E334" s="1">
        <v>2101.0</v>
      </c>
      <c r="F334" s="1" t="s">
        <v>44</v>
      </c>
      <c r="G334" s="1" t="s">
        <v>1603</v>
      </c>
      <c r="H334" s="1"/>
      <c r="I334" s="1"/>
      <c r="J334" s="1"/>
      <c r="K334" s="1"/>
      <c r="L334" s="1"/>
      <c r="M334" s="1" t="s">
        <v>1604</v>
      </c>
      <c r="N334" s="1" t="s">
        <v>94</v>
      </c>
      <c r="O334" s="1" t="s">
        <v>300</v>
      </c>
      <c r="P334" s="1"/>
      <c r="Q334" s="3">
        <v>36892.0</v>
      </c>
      <c r="R334" s="1"/>
      <c r="S334" s="1"/>
      <c r="T334" s="1" t="s">
        <v>37</v>
      </c>
      <c r="U334" s="1"/>
      <c r="V334" s="1" t="s">
        <v>38</v>
      </c>
      <c r="W334" s="1"/>
      <c r="X334" s="1"/>
      <c r="Y334" s="1" t="s">
        <v>49</v>
      </c>
      <c r="Z334" s="1"/>
      <c r="AA334" s="1" t="s">
        <v>40</v>
      </c>
      <c r="AB334" s="1" t="s">
        <v>300</v>
      </c>
      <c r="AC334" s="1"/>
    </row>
    <row r="335">
      <c r="A335" s="1" t="str">
        <f>"0008D5"</f>
        <v>0008D5</v>
      </c>
      <c r="B335" s="1" t="s">
        <v>1605</v>
      </c>
      <c r="C335" s="1" t="s">
        <v>1606</v>
      </c>
      <c r="D335" s="1"/>
      <c r="E335" s="1">
        <v>2669.0</v>
      </c>
      <c r="F335" s="1" t="s">
        <v>44</v>
      </c>
      <c r="G335" s="1" t="s">
        <v>1607</v>
      </c>
      <c r="H335" s="1"/>
      <c r="I335" s="1"/>
      <c r="J335" s="1"/>
      <c r="K335" s="1"/>
      <c r="L335" s="1"/>
      <c r="M335" s="1" t="s">
        <v>1608</v>
      </c>
      <c r="N335" s="1" t="s">
        <v>47</v>
      </c>
      <c r="O335" s="1" t="s">
        <v>582</v>
      </c>
      <c r="P335" s="1"/>
      <c r="Q335" s="3">
        <v>36892.0</v>
      </c>
      <c r="R335" s="1"/>
      <c r="S335" s="1"/>
      <c r="T335" s="1" t="s">
        <v>37</v>
      </c>
      <c r="U335" s="1"/>
      <c r="V335" s="1" t="s">
        <v>38</v>
      </c>
      <c r="W335" s="1"/>
      <c r="X335" s="1"/>
      <c r="Y335" s="1" t="s">
        <v>49</v>
      </c>
      <c r="Z335" s="1"/>
      <c r="AA335" s="1" t="s">
        <v>40</v>
      </c>
      <c r="AB335" s="1" t="s">
        <v>583</v>
      </c>
      <c r="AC335" s="1"/>
    </row>
    <row r="336">
      <c r="A336" s="1" t="str">
        <f>"0008Y3"</f>
        <v>0008Y3</v>
      </c>
      <c r="B336" s="1" t="s">
        <v>1609</v>
      </c>
      <c r="C336" s="1" t="s">
        <v>1610</v>
      </c>
      <c r="D336" s="1" t="str">
        <f>"8028245469"</f>
        <v>8028245469</v>
      </c>
      <c r="E336" s="1">
        <v>3469.0</v>
      </c>
      <c r="F336" s="1" t="s">
        <v>117</v>
      </c>
      <c r="G336" s="1" t="s">
        <v>1611</v>
      </c>
      <c r="H336" s="1">
        <v>15.0</v>
      </c>
      <c r="I336" s="2" t="s">
        <v>119</v>
      </c>
      <c r="J336" s="2">
        <v>11.0</v>
      </c>
      <c r="K336" s="2" t="s">
        <v>119</v>
      </c>
      <c r="L336" s="1"/>
      <c r="M336" s="1" t="s">
        <v>1612</v>
      </c>
      <c r="N336" s="1" t="s">
        <v>66</v>
      </c>
      <c r="O336" s="1" t="s">
        <v>900</v>
      </c>
      <c r="P336" s="1" t="s">
        <v>1613</v>
      </c>
      <c r="Q336" s="3">
        <v>36892.0</v>
      </c>
      <c r="R336" s="1"/>
      <c r="S336" s="3">
        <v>39332.0</v>
      </c>
      <c r="T336" s="1" t="s">
        <v>37</v>
      </c>
      <c r="U336" s="1"/>
      <c r="V336" s="1" t="s">
        <v>38</v>
      </c>
      <c r="W336" s="1">
        <v>43.2030693</v>
      </c>
      <c r="X336" s="1">
        <v>-72.821453</v>
      </c>
      <c r="Y336" s="1" t="s">
        <v>1614</v>
      </c>
      <c r="Z336" s="1"/>
      <c r="AA336" s="1" t="s">
        <v>40</v>
      </c>
      <c r="AB336" s="1" t="s">
        <v>901</v>
      </c>
      <c r="AC336" s="1">
        <v>5148.0</v>
      </c>
    </row>
    <row r="337">
      <c r="A337" s="1" t="str">
        <f>"0008D2"</f>
        <v>0008D2</v>
      </c>
      <c r="B337" s="1" t="s">
        <v>1615</v>
      </c>
      <c r="C337" s="1" t="s">
        <v>1616</v>
      </c>
      <c r="D337" s="1" t="str">
        <f>"8028954163"</f>
        <v>8028954163</v>
      </c>
      <c r="E337" s="1">
        <v>2097.0</v>
      </c>
      <c r="F337" s="1" t="s">
        <v>44</v>
      </c>
      <c r="G337" s="1" t="s">
        <v>1617</v>
      </c>
      <c r="H337" s="1"/>
      <c r="I337" s="1"/>
      <c r="J337" s="1"/>
      <c r="K337" s="1"/>
      <c r="L337" s="1"/>
      <c r="M337" s="1" t="s">
        <v>72</v>
      </c>
      <c r="N337" s="1" t="s">
        <v>94</v>
      </c>
      <c r="O337" s="1" t="s">
        <v>1618</v>
      </c>
      <c r="P337" s="1"/>
      <c r="Q337" s="3">
        <v>36892.0</v>
      </c>
      <c r="R337" s="1"/>
      <c r="S337" s="1"/>
      <c r="T337" s="1" t="s">
        <v>37</v>
      </c>
      <c r="U337" s="1"/>
      <c r="V337" s="1" t="s">
        <v>38</v>
      </c>
      <c r="W337" s="1"/>
      <c r="X337" s="1"/>
      <c r="Y337" s="1" t="s">
        <v>49</v>
      </c>
      <c r="Z337" s="1"/>
      <c r="AA337" s="1" t="s">
        <v>40</v>
      </c>
      <c r="AB337" s="1" t="s">
        <v>1619</v>
      </c>
      <c r="AC337" s="1"/>
    </row>
    <row r="338">
      <c r="A338" s="1" t="str">
        <f>"0008D1"</f>
        <v>0008D1</v>
      </c>
      <c r="B338" s="1" t="s">
        <v>1620</v>
      </c>
      <c r="C338" s="1" t="s">
        <v>1621</v>
      </c>
      <c r="D338" s="1"/>
      <c r="E338" s="1">
        <v>2096.0</v>
      </c>
      <c r="F338" s="1" t="s">
        <v>44</v>
      </c>
      <c r="G338" s="1" t="s">
        <v>1622</v>
      </c>
      <c r="H338" s="1"/>
      <c r="I338" s="1"/>
      <c r="J338" s="1"/>
      <c r="K338" s="1"/>
      <c r="L338" s="1"/>
      <c r="M338" s="1" t="s">
        <v>1623</v>
      </c>
      <c r="N338" s="1" t="s">
        <v>331</v>
      </c>
      <c r="O338" s="1" t="s">
        <v>332</v>
      </c>
      <c r="P338" s="1"/>
      <c r="Q338" s="3">
        <v>36892.0</v>
      </c>
      <c r="R338" s="1"/>
      <c r="S338" s="1"/>
      <c r="T338" s="1" t="s">
        <v>37</v>
      </c>
      <c r="U338" s="1"/>
      <c r="V338" s="1" t="s">
        <v>38</v>
      </c>
      <c r="W338" s="1"/>
      <c r="X338" s="1"/>
      <c r="Y338" s="1" t="s">
        <v>49</v>
      </c>
      <c r="Z338" s="1"/>
      <c r="AA338" s="1" t="s">
        <v>40</v>
      </c>
      <c r="AB338" s="1" t="s">
        <v>333</v>
      </c>
      <c r="AC338" s="1"/>
    </row>
    <row r="339">
      <c r="A339" s="1" t="str">
        <f>"00073P"</f>
        <v>00073P</v>
      </c>
      <c r="B339" s="1" t="s">
        <v>1624</v>
      </c>
      <c r="C339" s="1" t="s">
        <v>1625</v>
      </c>
      <c r="D339" s="1" t="str">
        <f>"8024470198"</f>
        <v>8024470198</v>
      </c>
      <c r="E339" s="1">
        <v>221.0</v>
      </c>
      <c r="F339" s="1" t="s">
        <v>117</v>
      </c>
      <c r="G339" s="1" t="s">
        <v>1626</v>
      </c>
      <c r="H339" s="1">
        <v>12.0</v>
      </c>
      <c r="I339" s="2">
        <v>10.0</v>
      </c>
      <c r="J339" s="2" t="s">
        <v>119</v>
      </c>
      <c r="K339" s="2" t="s">
        <v>119</v>
      </c>
      <c r="L339" s="1"/>
      <c r="M339" s="1" t="s">
        <v>1627</v>
      </c>
      <c r="N339" s="1" t="s">
        <v>414</v>
      </c>
      <c r="O339" s="1" t="s">
        <v>720</v>
      </c>
      <c r="P339" s="1" t="s">
        <v>1628</v>
      </c>
      <c r="Q339" s="3">
        <v>36892.0</v>
      </c>
      <c r="R339" s="1"/>
      <c r="S339" s="3">
        <v>42947.0</v>
      </c>
      <c r="T339" s="1" t="s">
        <v>37</v>
      </c>
      <c r="U339" s="1"/>
      <c r="V339" s="1" t="s">
        <v>38</v>
      </c>
      <c r="W339" s="1">
        <v>42.9270917194044</v>
      </c>
      <c r="X339" s="1">
        <v>-73.2099616527557</v>
      </c>
      <c r="Y339" s="1" t="s">
        <v>1629</v>
      </c>
      <c r="Z339" s="1"/>
      <c r="AA339" s="1" t="s">
        <v>40</v>
      </c>
      <c r="AB339" s="1" t="s">
        <v>414</v>
      </c>
      <c r="AC339" s="1">
        <v>5201.0</v>
      </c>
    </row>
    <row r="340">
      <c r="A340" s="1" t="str">
        <f>"0008X9"</f>
        <v>0008X9</v>
      </c>
      <c r="B340" s="1" t="s">
        <v>1630</v>
      </c>
      <c r="C340" s="1" t="s">
        <v>1631</v>
      </c>
      <c r="D340" s="1" t="str">
        <f>"8024256091"</f>
        <v>8024256091</v>
      </c>
      <c r="E340" s="1">
        <v>3427.0</v>
      </c>
      <c r="F340" s="1" t="s">
        <v>44</v>
      </c>
      <c r="G340" s="1" t="s">
        <v>1632</v>
      </c>
      <c r="H340" s="1"/>
      <c r="I340" s="1"/>
      <c r="J340" s="1"/>
      <c r="K340" s="1"/>
      <c r="L340" s="1"/>
      <c r="M340" s="1" t="s">
        <v>72</v>
      </c>
      <c r="N340" s="1" t="s">
        <v>57</v>
      </c>
      <c r="O340" s="1" t="s">
        <v>1633</v>
      </c>
      <c r="P340" s="1"/>
      <c r="Q340" s="3">
        <v>36892.0</v>
      </c>
      <c r="R340" s="1"/>
      <c r="S340" s="1"/>
      <c r="T340" s="1" t="s">
        <v>37</v>
      </c>
      <c r="U340" s="1"/>
      <c r="V340" s="1" t="s">
        <v>38</v>
      </c>
      <c r="W340" s="1"/>
      <c r="X340" s="1"/>
      <c r="Y340" s="1" t="s">
        <v>49</v>
      </c>
      <c r="Z340" s="1"/>
      <c r="AA340" s="1" t="s">
        <v>40</v>
      </c>
      <c r="AB340" s="1" t="s">
        <v>1634</v>
      </c>
      <c r="AC340" s="1"/>
    </row>
    <row r="341">
      <c r="A341" s="1" t="str">
        <f>"0008W3"</f>
        <v>0008W3</v>
      </c>
      <c r="B341" s="1" t="s">
        <v>1635</v>
      </c>
      <c r="C341" s="1" t="s">
        <v>1636</v>
      </c>
      <c r="D341" s="1" t="str">
        <f>"8024255394"</f>
        <v>8024255394</v>
      </c>
      <c r="E341" s="1">
        <v>3370.0</v>
      </c>
      <c r="F341" s="1" t="s">
        <v>44</v>
      </c>
      <c r="G341" s="1" t="s">
        <v>1637</v>
      </c>
      <c r="H341" s="1">
        <v>1.0</v>
      </c>
      <c r="I341" s="1"/>
      <c r="J341" s="1"/>
      <c r="K341" s="1"/>
      <c r="L341" s="1"/>
      <c r="M341" s="1" t="s">
        <v>72</v>
      </c>
      <c r="N341" s="1" t="s">
        <v>57</v>
      </c>
      <c r="O341" s="1" t="s">
        <v>1633</v>
      </c>
      <c r="P341" s="1"/>
      <c r="Q341" s="3">
        <v>36892.0</v>
      </c>
      <c r="R341" s="1"/>
      <c r="S341" s="3">
        <v>37383.0</v>
      </c>
      <c r="T341" s="1" t="s">
        <v>37</v>
      </c>
      <c r="U341" s="1"/>
      <c r="V341" s="1" t="s">
        <v>38</v>
      </c>
      <c r="W341" s="1"/>
      <c r="X341" s="1"/>
      <c r="Y341" s="1" t="s">
        <v>49</v>
      </c>
      <c r="Z341" s="1"/>
      <c r="AA341" s="1" t="s">
        <v>40</v>
      </c>
      <c r="AB341" s="1" t="s">
        <v>1634</v>
      </c>
      <c r="AC341" s="1"/>
    </row>
    <row r="342">
      <c r="A342" s="1" t="str">
        <f>"0008CX"</f>
        <v>0008CX</v>
      </c>
      <c r="B342" s="1" t="s">
        <v>1638</v>
      </c>
      <c r="C342" s="1" t="s">
        <v>1639</v>
      </c>
      <c r="D342" s="1"/>
      <c r="E342" s="1">
        <v>2091.0</v>
      </c>
      <c r="F342" s="1" t="s">
        <v>44</v>
      </c>
      <c r="G342" s="1" t="s">
        <v>1640</v>
      </c>
      <c r="H342" s="1"/>
      <c r="I342" s="1"/>
      <c r="J342" s="1"/>
      <c r="K342" s="1"/>
      <c r="L342" s="1"/>
      <c r="M342" s="1" t="s">
        <v>1641</v>
      </c>
      <c r="N342" s="1" t="s">
        <v>94</v>
      </c>
      <c r="O342" s="1" t="s">
        <v>1618</v>
      </c>
      <c r="P342" s="1"/>
      <c r="Q342" s="3">
        <v>36892.0</v>
      </c>
      <c r="R342" s="1"/>
      <c r="S342" s="1"/>
      <c r="T342" s="1" t="s">
        <v>37</v>
      </c>
      <c r="U342" s="1"/>
      <c r="V342" s="1" t="s">
        <v>38</v>
      </c>
      <c r="W342" s="1"/>
      <c r="X342" s="1"/>
      <c r="Y342" s="1" t="s">
        <v>49</v>
      </c>
      <c r="Z342" s="1"/>
      <c r="AA342" s="1" t="s">
        <v>40</v>
      </c>
      <c r="AB342" s="1" t="s">
        <v>1619</v>
      </c>
      <c r="AC342" s="1"/>
    </row>
    <row r="343">
      <c r="A343" s="1" t="str">
        <f>"0007JY"</f>
        <v>0007JY</v>
      </c>
      <c r="B343" s="1" t="s">
        <v>871</v>
      </c>
      <c r="C343" s="1" t="s">
        <v>872</v>
      </c>
      <c r="D343" s="1" t="str">
        <f>"8022732186"</f>
        <v>8022732186</v>
      </c>
      <c r="E343" s="1">
        <v>848.0</v>
      </c>
      <c r="F343" s="1" t="s">
        <v>44</v>
      </c>
      <c r="G343" s="1" t="s">
        <v>1642</v>
      </c>
      <c r="H343" s="1">
        <v>11.0</v>
      </c>
      <c r="I343" s="1"/>
      <c r="J343" s="1"/>
      <c r="K343" s="1"/>
      <c r="L343" s="1"/>
      <c r="M343" s="1" t="s">
        <v>1643</v>
      </c>
      <c r="N343" s="1" t="s">
        <v>161</v>
      </c>
      <c r="O343" s="1" t="s">
        <v>576</v>
      </c>
      <c r="P343" s="1"/>
      <c r="Q343" s="3">
        <v>36892.0</v>
      </c>
      <c r="R343" s="1"/>
      <c r="S343" s="3">
        <v>42205.0</v>
      </c>
      <c r="T343" s="1" t="s">
        <v>37</v>
      </c>
      <c r="U343" s="1"/>
      <c r="V343" s="1" t="s">
        <v>38</v>
      </c>
      <c r="W343" s="1">
        <v>44.051389</v>
      </c>
      <c r="X343" s="1">
        <v>-73.36</v>
      </c>
      <c r="Y343" s="1" t="s">
        <v>1644</v>
      </c>
      <c r="Z343" s="1"/>
      <c r="AA343" s="1" t="s">
        <v>40</v>
      </c>
      <c r="AB343" s="1" t="s">
        <v>161</v>
      </c>
      <c r="AC343" s="1">
        <v>5491.0</v>
      </c>
    </row>
    <row r="344">
      <c r="A344" s="1" t="str">
        <f>"0008CQ"</f>
        <v>0008CQ</v>
      </c>
      <c r="B344" s="1" t="s">
        <v>1645</v>
      </c>
      <c r="C344" s="1" t="s">
        <v>1646</v>
      </c>
      <c r="D344" s="1"/>
      <c r="E344" s="1">
        <v>2087.0</v>
      </c>
      <c r="F344" s="1" t="s">
        <v>44</v>
      </c>
      <c r="G344" s="1" t="s">
        <v>1647</v>
      </c>
      <c r="H344" s="1"/>
      <c r="I344" s="1"/>
      <c r="J344" s="1"/>
      <c r="K344" s="1"/>
      <c r="L344" s="1"/>
      <c r="M344" s="1" t="s">
        <v>72</v>
      </c>
      <c r="N344" s="1" t="s">
        <v>94</v>
      </c>
      <c r="O344" s="1" t="s">
        <v>992</v>
      </c>
      <c r="P344" s="1"/>
      <c r="Q344" s="3">
        <v>36892.0</v>
      </c>
      <c r="R344" s="1"/>
      <c r="S344" s="1"/>
      <c r="T344" s="1" t="s">
        <v>37</v>
      </c>
      <c r="U344" s="1"/>
      <c r="V344" s="1" t="s">
        <v>38</v>
      </c>
      <c r="W344" s="1"/>
      <c r="X344" s="1"/>
      <c r="Y344" s="1" t="s">
        <v>49</v>
      </c>
      <c r="Z344" s="1"/>
      <c r="AA344" s="1" t="s">
        <v>40</v>
      </c>
      <c r="AB344" s="1" t="s">
        <v>994</v>
      </c>
      <c r="AC344" s="1"/>
    </row>
    <row r="345">
      <c r="A345" s="1" t="str">
        <f>"0008CN"</f>
        <v>0008CN</v>
      </c>
      <c r="B345" s="1" t="s">
        <v>1648</v>
      </c>
      <c r="C345" s="1" t="s">
        <v>1649</v>
      </c>
      <c r="D345" s="1"/>
      <c r="E345" s="1">
        <v>2085.0</v>
      </c>
      <c r="F345" s="1" t="s">
        <v>44</v>
      </c>
      <c r="G345" s="1" t="s">
        <v>1650</v>
      </c>
      <c r="H345" s="1"/>
      <c r="I345" s="1"/>
      <c r="J345" s="1"/>
      <c r="K345" s="1"/>
      <c r="L345" s="1"/>
      <c r="M345" s="1" t="s">
        <v>1179</v>
      </c>
      <c r="N345" s="1" t="s">
        <v>94</v>
      </c>
      <c r="O345" s="1" t="s">
        <v>1651</v>
      </c>
      <c r="P345" s="1"/>
      <c r="Q345" s="3">
        <v>36892.0</v>
      </c>
      <c r="R345" s="1"/>
      <c r="S345" s="1"/>
      <c r="T345" s="1" t="s">
        <v>37</v>
      </c>
      <c r="U345" s="1"/>
      <c r="V345" s="1" t="s">
        <v>38</v>
      </c>
      <c r="W345" s="1"/>
      <c r="X345" s="1"/>
      <c r="Y345" s="1" t="s">
        <v>49</v>
      </c>
      <c r="Z345" s="1"/>
      <c r="AA345" s="1" t="s">
        <v>40</v>
      </c>
      <c r="AB345" s="1" t="s">
        <v>1652</v>
      </c>
      <c r="AC345" s="1"/>
    </row>
    <row r="346">
      <c r="A346" s="1" t="str">
        <f>"00076D"</f>
        <v>00076D</v>
      </c>
      <c r="B346" s="1" t="s">
        <v>1653</v>
      </c>
      <c r="C346" s="1" t="s">
        <v>1654</v>
      </c>
      <c r="D346" s="1" t="str">
        <f>"8026746833"</f>
        <v>8026746833</v>
      </c>
      <c r="E346" s="1">
        <v>3065.0</v>
      </c>
      <c r="F346" s="1" t="s">
        <v>44</v>
      </c>
      <c r="G346" s="1" t="s">
        <v>1655</v>
      </c>
      <c r="H346" s="1">
        <v>2.0</v>
      </c>
      <c r="I346" s="1"/>
      <c r="J346" s="1"/>
      <c r="K346" s="1"/>
      <c r="L346" s="1"/>
      <c r="M346" s="1" t="s">
        <v>72</v>
      </c>
      <c r="N346" s="1" t="s">
        <v>34</v>
      </c>
      <c r="O346" s="1" t="s">
        <v>1085</v>
      </c>
      <c r="P346" s="1"/>
      <c r="Q346" s="3">
        <v>36892.0</v>
      </c>
      <c r="R346" s="1"/>
      <c r="S346" s="3">
        <v>36007.0</v>
      </c>
      <c r="T346" s="1" t="s">
        <v>37</v>
      </c>
      <c r="U346" s="1"/>
      <c r="V346" s="1" t="s">
        <v>38</v>
      </c>
      <c r="W346" s="1"/>
      <c r="X346" s="1"/>
      <c r="Y346" s="1" t="s">
        <v>49</v>
      </c>
      <c r="Z346" s="1"/>
      <c r="AA346" s="1" t="s">
        <v>40</v>
      </c>
      <c r="AB346" s="1" t="s">
        <v>1086</v>
      </c>
      <c r="AC346" s="1"/>
    </row>
    <row r="347">
      <c r="A347" s="1" t="str">
        <f>"0008CM"</f>
        <v>0008CM</v>
      </c>
      <c r="B347" s="1" t="s">
        <v>1656</v>
      </c>
      <c r="C347" s="1" t="s">
        <v>1657</v>
      </c>
      <c r="D347" s="1" t="str">
        <f>"8022874374"</f>
        <v>8022874374</v>
      </c>
      <c r="E347" s="1">
        <v>3769.0</v>
      </c>
      <c r="F347" s="1" t="s">
        <v>44</v>
      </c>
      <c r="G347" s="1" t="s">
        <v>1658</v>
      </c>
      <c r="H347" s="1"/>
      <c r="I347" s="1"/>
      <c r="J347" s="1"/>
      <c r="K347" s="1"/>
      <c r="L347" s="1"/>
      <c r="M347" s="1" t="s">
        <v>72</v>
      </c>
      <c r="N347" s="1" t="s">
        <v>78</v>
      </c>
      <c r="O347" s="1" t="s">
        <v>615</v>
      </c>
      <c r="P347" s="1"/>
      <c r="Q347" s="3">
        <v>36892.0</v>
      </c>
      <c r="R347" s="1"/>
      <c r="S347" s="1"/>
      <c r="T347" s="1" t="s">
        <v>37</v>
      </c>
      <c r="U347" s="1"/>
      <c r="V347" s="1" t="s">
        <v>38</v>
      </c>
      <c r="W347" s="1"/>
      <c r="X347" s="1"/>
      <c r="Y347" s="1" t="s">
        <v>49</v>
      </c>
      <c r="Z347" s="1"/>
      <c r="AA347" s="1" t="s">
        <v>40</v>
      </c>
      <c r="AB347" s="1" t="s">
        <v>616</v>
      </c>
      <c r="AC347" s="1"/>
    </row>
    <row r="348">
      <c r="A348" s="1" t="str">
        <f>"0008CK"</f>
        <v>0008CK</v>
      </c>
      <c r="B348" s="1" t="s">
        <v>1659</v>
      </c>
      <c r="C348" s="1" t="s">
        <v>1660</v>
      </c>
      <c r="D348" s="1" t="str">
        <f>"8026269228"</f>
        <v>8026269228</v>
      </c>
      <c r="E348" s="1">
        <v>3940.0</v>
      </c>
      <c r="F348" s="1" t="s">
        <v>44</v>
      </c>
      <c r="G348" s="1" t="s">
        <v>1661</v>
      </c>
      <c r="H348" s="1">
        <v>0.0</v>
      </c>
      <c r="I348" s="2">
        <v>1.0</v>
      </c>
      <c r="J348" s="2">
        <v>1.0</v>
      </c>
      <c r="K348" s="2" t="s">
        <v>829</v>
      </c>
      <c r="L348" s="2" t="s">
        <v>830</v>
      </c>
      <c r="M348" s="1" t="s">
        <v>1662</v>
      </c>
      <c r="N348" s="1" t="s">
        <v>128</v>
      </c>
      <c r="O348" s="1" t="s">
        <v>525</v>
      </c>
      <c r="P348" s="1" t="s">
        <v>1663</v>
      </c>
      <c r="Q348" s="3">
        <v>36892.0</v>
      </c>
      <c r="R348" s="1"/>
      <c r="S348" s="1"/>
      <c r="T348" s="1" t="s">
        <v>37</v>
      </c>
      <c r="U348" s="1"/>
      <c r="V348" s="1" t="s">
        <v>38</v>
      </c>
      <c r="W348" s="1">
        <v>44.5443922161075</v>
      </c>
      <c r="X348" s="1">
        <v>-71.9231021404266</v>
      </c>
      <c r="Y348" s="1" t="s">
        <v>1664</v>
      </c>
      <c r="Z348" s="1"/>
      <c r="AA348" s="1" t="s">
        <v>40</v>
      </c>
      <c r="AB348" s="1" t="s">
        <v>526</v>
      </c>
      <c r="AC348" s="1">
        <v>5832.0</v>
      </c>
    </row>
    <row r="349">
      <c r="A349" s="1" t="str">
        <f>"0007MF"</f>
        <v>0007MF</v>
      </c>
      <c r="B349" s="1" t="s">
        <v>1665</v>
      </c>
      <c r="C349" s="1" t="s">
        <v>1666</v>
      </c>
      <c r="D349" s="1" t="str">
        <f>"8028276515"</f>
        <v>8028276515</v>
      </c>
      <c r="E349" s="1">
        <v>3703.0</v>
      </c>
      <c r="F349" s="1" t="s">
        <v>44</v>
      </c>
      <c r="G349" s="1" t="s">
        <v>1667</v>
      </c>
      <c r="H349" s="1"/>
      <c r="I349" s="1"/>
      <c r="J349" s="1"/>
      <c r="K349" s="1"/>
      <c r="L349" s="1"/>
      <c r="M349" s="1" t="s">
        <v>72</v>
      </c>
      <c r="N349" s="1" t="s">
        <v>47</v>
      </c>
      <c r="O349" s="1" t="s">
        <v>928</v>
      </c>
      <c r="P349" s="1"/>
      <c r="Q349" s="3">
        <v>36892.0</v>
      </c>
      <c r="R349" s="1"/>
      <c r="S349" s="1"/>
      <c r="T349" s="1" t="s">
        <v>37</v>
      </c>
      <c r="U349" s="1"/>
      <c r="V349" s="1" t="s">
        <v>38</v>
      </c>
      <c r="W349" s="1"/>
      <c r="X349" s="1"/>
      <c r="Y349" s="1" t="s">
        <v>49</v>
      </c>
      <c r="Z349" s="1"/>
      <c r="AA349" s="1" t="s">
        <v>40</v>
      </c>
      <c r="AB349" s="1" t="s">
        <v>929</v>
      </c>
      <c r="AC349" s="1"/>
    </row>
    <row r="350">
      <c r="A350" s="1" t="str">
        <f>"0008CH"</f>
        <v>0008CH</v>
      </c>
      <c r="B350" s="1" t="s">
        <v>1668</v>
      </c>
      <c r="C350" s="1" t="s">
        <v>1669</v>
      </c>
      <c r="D350" s="1"/>
      <c r="E350" s="1">
        <v>2073.0</v>
      </c>
      <c r="F350" s="1" t="s">
        <v>44</v>
      </c>
      <c r="G350" s="1" t="s">
        <v>1670</v>
      </c>
      <c r="H350" s="1"/>
      <c r="I350" s="1"/>
      <c r="J350" s="1"/>
      <c r="K350" s="1"/>
      <c r="L350" s="1"/>
      <c r="M350" s="1" t="s">
        <v>1671</v>
      </c>
      <c r="N350" s="1" t="s">
        <v>94</v>
      </c>
      <c r="O350" s="1" t="s">
        <v>1672</v>
      </c>
      <c r="P350" s="1"/>
      <c r="Q350" s="3">
        <v>36892.0</v>
      </c>
      <c r="R350" s="1"/>
      <c r="S350" s="1"/>
      <c r="T350" s="1" t="s">
        <v>37</v>
      </c>
      <c r="U350" s="1"/>
      <c r="V350" s="1" t="s">
        <v>38</v>
      </c>
      <c r="W350" s="1"/>
      <c r="X350" s="1"/>
      <c r="Y350" s="1" t="s">
        <v>49</v>
      </c>
      <c r="Z350" s="1"/>
      <c r="AA350" s="1" t="s">
        <v>40</v>
      </c>
      <c r="AB350" s="1" t="s">
        <v>1673</v>
      </c>
      <c r="AC350" s="1"/>
    </row>
    <row r="351">
      <c r="A351" s="1" t="str">
        <f>"0008CG"</f>
        <v>0008CG</v>
      </c>
      <c r="B351" s="1" t="s">
        <v>1674</v>
      </c>
      <c r="C351" s="1" t="s">
        <v>1675</v>
      </c>
      <c r="D351" s="1"/>
      <c r="E351" s="1">
        <v>2482.0</v>
      </c>
      <c r="F351" s="1" t="s">
        <v>44</v>
      </c>
      <c r="G351" s="1" t="s">
        <v>1676</v>
      </c>
      <c r="H351" s="1">
        <v>1.0</v>
      </c>
      <c r="I351" s="1"/>
      <c r="J351" s="1"/>
      <c r="K351" s="1"/>
      <c r="L351" s="1"/>
      <c r="M351" s="1" t="s">
        <v>1677</v>
      </c>
      <c r="N351" s="1" t="s">
        <v>66</v>
      </c>
      <c r="O351" s="1" t="s">
        <v>1256</v>
      </c>
      <c r="P351" s="1"/>
      <c r="Q351" s="3">
        <v>36892.0</v>
      </c>
      <c r="R351" s="1"/>
      <c r="S351" s="3">
        <v>32715.0</v>
      </c>
      <c r="T351" s="1" t="s">
        <v>37</v>
      </c>
      <c r="U351" s="1"/>
      <c r="V351" s="1" t="s">
        <v>38</v>
      </c>
      <c r="W351" s="1"/>
      <c r="X351" s="1"/>
      <c r="Y351" s="1" t="s">
        <v>49</v>
      </c>
      <c r="Z351" s="1"/>
      <c r="AA351" s="1" t="s">
        <v>40</v>
      </c>
      <c r="AB351" s="1" t="s">
        <v>1257</v>
      </c>
      <c r="AC351" s="1"/>
    </row>
    <row r="352">
      <c r="A352" s="1" t="str">
        <f>"0008CF"</f>
        <v>0008CF</v>
      </c>
      <c r="B352" s="1" t="s">
        <v>1678</v>
      </c>
      <c r="C352" s="1" t="s">
        <v>1679</v>
      </c>
      <c r="D352" s="1" t="str">
        <f>"8025843772"</f>
        <v>8025843772</v>
      </c>
      <c r="E352" s="1">
        <v>2069.0</v>
      </c>
      <c r="F352" s="1" t="s">
        <v>44</v>
      </c>
      <c r="G352" s="1" t="s">
        <v>1680</v>
      </c>
      <c r="H352" s="1"/>
      <c r="I352" s="1"/>
      <c r="J352" s="1"/>
      <c r="K352" s="1"/>
      <c r="L352" s="1"/>
      <c r="M352" s="1" t="s">
        <v>1681</v>
      </c>
      <c r="N352" s="1" t="s">
        <v>128</v>
      </c>
      <c r="O352" s="1" t="s">
        <v>194</v>
      </c>
      <c r="P352" s="1"/>
      <c r="Q352" s="3">
        <v>36892.0</v>
      </c>
      <c r="R352" s="1"/>
      <c r="S352" s="1"/>
      <c r="T352" s="1" t="s">
        <v>37</v>
      </c>
      <c r="U352" s="1"/>
      <c r="V352" s="1" t="s">
        <v>38</v>
      </c>
      <c r="W352" s="1"/>
      <c r="X352" s="1"/>
      <c r="Y352" s="1" t="s">
        <v>49</v>
      </c>
      <c r="Z352" s="1"/>
      <c r="AA352" s="1" t="s">
        <v>40</v>
      </c>
      <c r="AB352" s="1" t="s">
        <v>291</v>
      </c>
      <c r="AC352" s="1"/>
    </row>
    <row r="353">
      <c r="A353" s="1" t="str">
        <f>"00088K"</f>
        <v>00088K</v>
      </c>
      <c r="B353" s="1" t="s">
        <v>1682</v>
      </c>
      <c r="C353" s="1" t="s">
        <v>1683</v>
      </c>
      <c r="D353" s="1"/>
      <c r="E353" s="1">
        <v>2068.0</v>
      </c>
      <c r="F353" s="1" t="s">
        <v>44</v>
      </c>
      <c r="G353" s="1" t="s">
        <v>1684</v>
      </c>
      <c r="H353" s="1"/>
      <c r="I353" s="1"/>
      <c r="J353" s="1"/>
      <c r="K353" s="1"/>
      <c r="L353" s="1"/>
      <c r="M353" s="1" t="s">
        <v>1179</v>
      </c>
      <c r="N353" s="1" t="s">
        <v>94</v>
      </c>
      <c r="O353" s="1" t="s">
        <v>513</v>
      </c>
      <c r="P353" s="1"/>
      <c r="Q353" s="3">
        <v>36892.0</v>
      </c>
      <c r="R353" s="1"/>
      <c r="S353" s="1"/>
      <c r="T353" s="1" t="s">
        <v>37</v>
      </c>
      <c r="U353" s="1"/>
      <c r="V353" s="1" t="s">
        <v>38</v>
      </c>
      <c r="W353" s="1"/>
      <c r="X353" s="1"/>
      <c r="Y353" s="1" t="s">
        <v>49</v>
      </c>
      <c r="Z353" s="1"/>
      <c r="AA353" s="1" t="s">
        <v>40</v>
      </c>
      <c r="AB353" s="1" t="s">
        <v>514</v>
      </c>
      <c r="AC353" s="1"/>
    </row>
    <row r="354">
      <c r="A354" s="1" t="str">
        <f>"00089K"</f>
        <v>00089K</v>
      </c>
      <c r="B354" s="1" t="s">
        <v>1685</v>
      </c>
      <c r="C354" s="1" t="s">
        <v>1686</v>
      </c>
      <c r="D354" s="1" t="str">
        <f>"8025869629"</f>
        <v>8025869629</v>
      </c>
      <c r="E354" s="1">
        <v>2067.0</v>
      </c>
      <c r="F354" s="1" t="s">
        <v>44</v>
      </c>
      <c r="G354" s="1" t="s">
        <v>1687</v>
      </c>
      <c r="H354" s="1">
        <v>3.0</v>
      </c>
      <c r="I354" s="2" t="s">
        <v>119</v>
      </c>
      <c r="J354" s="2">
        <v>3.0</v>
      </c>
      <c r="K354" s="2" t="s">
        <v>119</v>
      </c>
      <c r="L354" s="1"/>
      <c r="M354" s="1" t="s">
        <v>33</v>
      </c>
      <c r="N354" s="1" t="s">
        <v>94</v>
      </c>
      <c r="O354" s="1" t="s">
        <v>1688</v>
      </c>
      <c r="P354" s="1"/>
      <c r="Q354" s="3">
        <v>36892.0</v>
      </c>
      <c r="R354" s="1"/>
      <c r="S354" s="1"/>
      <c r="T354" s="1" t="s">
        <v>37</v>
      </c>
      <c r="U354" s="1"/>
      <c r="V354" s="1" t="s">
        <v>38</v>
      </c>
      <c r="W354" s="1">
        <v>44.650471</v>
      </c>
      <c r="X354" s="1">
        <v>-72.4155349999999</v>
      </c>
      <c r="Y354" s="1" t="s">
        <v>1689</v>
      </c>
      <c r="Z354" s="1"/>
      <c r="AA354" s="1" t="s">
        <v>40</v>
      </c>
      <c r="AB354" s="1" t="s">
        <v>1690</v>
      </c>
      <c r="AC354" s="1">
        <v>5826.0</v>
      </c>
    </row>
    <row r="355">
      <c r="A355" s="1" t="str">
        <f>"00089W"</f>
        <v>00089W</v>
      </c>
      <c r="B355" s="1" t="s">
        <v>1691</v>
      </c>
      <c r="C355" s="1" t="s">
        <v>1692</v>
      </c>
      <c r="D355" s="1" t="str">
        <f>"8025923384"</f>
        <v>8025923384</v>
      </c>
      <c r="E355" s="1">
        <v>1926.0</v>
      </c>
      <c r="F355" s="1" t="s">
        <v>44</v>
      </c>
      <c r="G355" s="1" t="s">
        <v>1693</v>
      </c>
      <c r="H355" s="1">
        <v>9.0</v>
      </c>
      <c r="I355" s="1"/>
      <c r="J355" s="1"/>
      <c r="K355" s="1"/>
      <c r="L355" s="1"/>
      <c r="M355" s="1" t="s">
        <v>1694</v>
      </c>
      <c r="N355" s="1" t="s">
        <v>128</v>
      </c>
      <c r="O355" s="1" t="s">
        <v>1695</v>
      </c>
      <c r="P355" s="1"/>
      <c r="Q355" s="3">
        <v>36892.0</v>
      </c>
      <c r="R355" s="1"/>
      <c r="S355" s="3">
        <v>36369.0</v>
      </c>
      <c r="T355" s="1" t="s">
        <v>37</v>
      </c>
      <c r="U355" s="1"/>
      <c r="V355" s="1" t="s">
        <v>38</v>
      </c>
      <c r="W355" s="1"/>
      <c r="X355" s="1"/>
      <c r="Y355" s="1" t="s">
        <v>49</v>
      </c>
      <c r="Z355" s="1"/>
      <c r="AA355" s="1" t="s">
        <v>40</v>
      </c>
      <c r="AB355" s="1" t="s">
        <v>1696</v>
      </c>
      <c r="AC355" s="1"/>
    </row>
    <row r="356">
      <c r="A356" s="1" t="str">
        <f>"0008F7"</f>
        <v>0008F7</v>
      </c>
      <c r="B356" s="1" t="s">
        <v>1697</v>
      </c>
      <c r="C356" s="1" t="s">
        <v>1698</v>
      </c>
      <c r="D356" s="1" t="str">
        <f>"8026268727"</f>
        <v>8026268727</v>
      </c>
      <c r="E356" s="1">
        <v>2474.0</v>
      </c>
      <c r="F356" s="1" t="s">
        <v>44</v>
      </c>
      <c r="G356" s="1" t="s">
        <v>1699</v>
      </c>
      <c r="H356" s="1">
        <v>2.0</v>
      </c>
      <c r="I356" s="1"/>
      <c r="J356" s="1"/>
      <c r="K356" s="1"/>
      <c r="L356" s="1"/>
      <c r="M356" s="1" t="s">
        <v>1700</v>
      </c>
      <c r="N356" s="1" t="s">
        <v>128</v>
      </c>
      <c r="O356" s="1" t="s">
        <v>1701</v>
      </c>
      <c r="P356" s="1"/>
      <c r="Q356" s="3">
        <v>36892.0</v>
      </c>
      <c r="R356" s="1"/>
      <c r="S356" s="3">
        <v>32969.0</v>
      </c>
      <c r="T356" s="1" t="s">
        <v>37</v>
      </c>
      <c r="U356" s="1"/>
      <c r="V356" s="1" t="s">
        <v>38</v>
      </c>
      <c r="W356" s="1"/>
      <c r="X356" s="1"/>
      <c r="Y356" s="1" t="s">
        <v>49</v>
      </c>
      <c r="Z356" s="1"/>
      <c r="AA356" s="1" t="s">
        <v>40</v>
      </c>
      <c r="AB356" s="1" t="s">
        <v>1702</v>
      </c>
      <c r="AC356" s="1"/>
    </row>
    <row r="357">
      <c r="A357" s="1" t="str">
        <f>"000778"</f>
        <v>000778</v>
      </c>
      <c r="B357" s="1" t="s">
        <v>1703</v>
      </c>
      <c r="C357" s="1" t="s">
        <v>1704</v>
      </c>
      <c r="D357" s="1" t="str">
        <f>"6038953811"</f>
        <v>6038953811</v>
      </c>
      <c r="E357" s="1">
        <v>2065.0</v>
      </c>
      <c r="F357" s="1" t="s">
        <v>44</v>
      </c>
      <c r="G357" s="1" t="s">
        <v>1705</v>
      </c>
      <c r="H357" s="1">
        <v>9.0</v>
      </c>
      <c r="I357" s="1"/>
      <c r="J357" s="1"/>
      <c r="K357" s="1"/>
      <c r="L357" s="1"/>
      <c r="M357" s="1" t="s">
        <v>1706</v>
      </c>
      <c r="N357" s="1" t="s">
        <v>128</v>
      </c>
      <c r="O357" s="1" t="s">
        <v>1707</v>
      </c>
      <c r="P357" s="1"/>
      <c r="Q357" s="3">
        <v>36892.0</v>
      </c>
      <c r="R357" s="1"/>
      <c r="S357" s="3">
        <v>32711.0</v>
      </c>
      <c r="T357" s="1" t="s">
        <v>37</v>
      </c>
      <c r="U357" s="1"/>
      <c r="V357" s="1" t="s">
        <v>38</v>
      </c>
      <c r="W357" s="1"/>
      <c r="X357" s="1"/>
      <c r="Y357" s="1" t="s">
        <v>49</v>
      </c>
      <c r="Z357" s="1"/>
      <c r="AA357" s="1" t="s">
        <v>40</v>
      </c>
      <c r="AB357" s="1" t="s">
        <v>196</v>
      </c>
      <c r="AC357" s="1"/>
    </row>
    <row r="358">
      <c r="A358" s="1" t="str">
        <f>"0008CD"</f>
        <v>0008CD</v>
      </c>
      <c r="B358" s="1" t="s">
        <v>1708</v>
      </c>
      <c r="C358" s="1" t="s">
        <v>1709</v>
      </c>
      <c r="D358" s="1" t="str">
        <f>"8027283716"</f>
        <v>8027283716</v>
      </c>
      <c r="E358" s="1">
        <v>2062.0</v>
      </c>
      <c r="F358" s="1" t="s">
        <v>44</v>
      </c>
      <c r="G358" s="1" t="s">
        <v>1710</v>
      </c>
      <c r="H358" s="1"/>
      <c r="I358" s="1"/>
      <c r="J358" s="1"/>
      <c r="K358" s="1"/>
      <c r="L358" s="1"/>
      <c r="M358" s="1" t="s">
        <v>1711</v>
      </c>
      <c r="N358" s="1" t="s">
        <v>34</v>
      </c>
      <c r="O358" s="1" t="s">
        <v>150</v>
      </c>
      <c r="P358" s="1"/>
      <c r="Q358" s="3">
        <v>36892.0</v>
      </c>
      <c r="R358" s="1"/>
      <c r="S358" s="1"/>
      <c r="T358" s="1" t="s">
        <v>37</v>
      </c>
      <c r="U358" s="1"/>
      <c r="V358" s="1" t="s">
        <v>38</v>
      </c>
      <c r="W358" s="1"/>
      <c r="X358" s="1"/>
      <c r="Y358" s="1" t="s">
        <v>49</v>
      </c>
      <c r="Z358" s="1"/>
      <c r="AA358" s="1" t="s">
        <v>40</v>
      </c>
      <c r="AB358" s="1" t="s">
        <v>151</v>
      </c>
      <c r="AC358" s="1"/>
    </row>
    <row r="359">
      <c r="A359" s="1" t="str">
        <f>"0007GV"</f>
        <v>0007GV</v>
      </c>
      <c r="B359" s="1" t="s">
        <v>1712</v>
      </c>
      <c r="C359" s="1" t="s">
        <v>1713</v>
      </c>
      <c r="D359" s="1" t="str">
        <f>"8027852198"</f>
        <v>8027852198</v>
      </c>
      <c r="E359" s="1">
        <v>3348.0</v>
      </c>
      <c r="F359" s="1" t="s">
        <v>44</v>
      </c>
      <c r="G359" s="1" t="s">
        <v>1714</v>
      </c>
      <c r="H359" s="1">
        <v>5.0</v>
      </c>
      <c r="I359" s="1"/>
      <c r="J359" s="1"/>
      <c r="K359" s="1"/>
      <c r="L359" s="1"/>
      <c r="M359" s="1" t="s">
        <v>72</v>
      </c>
      <c r="N359" s="1" t="s">
        <v>142</v>
      </c>
      <c r="O359" s="1" t="s">
        <v>143</v>
      </c>
      <c r="P359" s="1"/>
      <c r="Q359" s="3">
        <v>36892.0</v>
      </c>
      <c r="R359" s="1"/>
      <c r="S359" s="3">
        <v>37067.0</v>
      </c>
      <c r="T359" s="1" t="s">
        <v>37</v>
      </c>
      <c r="U359" s="1"/>
      <c r="V359" s="1" t="s">
        <v>38</v>
      </c>
      <c r="W359" s="1"/>
      <c r="X359" s="1"/>
      <c r="Y359" s="1" t="s">
        <v>49</v>
      </c>
      <c r="Z359" s="1"/>
      <c r="AA359" s="1" t="s">
        <v>40</v>
      </c>
      <c r="AB359" s="1" t="s">
        <v>146</v>
      </c>
      <c r="AC359" s="1"/>
    </row>
    <row r="360">
      <c r="A360" s="1" t="str">
        <f>"0007KW"</f>
        <v>0007KW</v>
      </c>
      <c r="B360" s="1" t="s">
        <v>1715</v>
      </c>
      <c r="C360" s="1" t="s">
        <v>1716</v>
      </c>
      <c r="D360" s="1" t="str">
        <f>"8029852346"</f>
        <v>8029852346</v>
      </c>
      <c r="E360" s="1">
        <v>2684.0</v>
      </c>
      <c r="F360" s="1" t="s">
        <v>44</v>
      </c>
      <c r="G360" s="1" t="s">
        <v>1717</v>
      </c>
      <c r="H360" s="1">
        <v>2.0</v>
      </c>
      <c r="I360" s="1"/>
      <c r="J360" s="1"/>
      <c r="K360" s="1"/>
      <c r="L360" s="1"/>
      <c r="M360" s="1" t="s">
        <v>1718</v>
      </c>
      <c r="N360" s="1" t="s">
        <v>57</v>
      </c>
      <c r="O360" s="1" t="s">
        <v>238</v>
      </c>
      <c r="P360" s="1"/>
      <c r="Q360" s="3">
        <v>36892.0</v>
      </c>
      <c r="R360" s="1"/>
      <c r="S360" s="3">
        <v>33143.0</v>
      </c>
      <c r="T360" s="1" t="s">
        <v>37</v>
      </c>
      <c r="U360" s="1"/>
      <c r="V360" s="1" t="s">
        <v>38</v>
      </c>
      <c r="W360" s="1"/>
      <c r="X360" s="1"/>
      <c r="Y360" s="1" t="s">
        <v>49</v>
      </c>
      <c r="Z360" s="1"/>
      <c r="AA360" s="1" t="s">
        <v>40</v>
      </c>
      <c r="AB360" s="1" t="s">
        <v>239</v>
      </c>
      <c r="AC360" s="1"/>
    </row>
    <row r="361">
      <c r="A361" s="1" t="str">
        <f>"0008WP"</f>
        <v>0008WP</v>
      </c>
      <c r="B361" s="1" t="s">
        <v>1719</v>
      </c>
      <c r="C361" s="1" t="s">
        <v>1720</v>
      </c>
      <c r="D361" s="1" t="str">
        <f>"8028992889"</f>
        <v>8028992889</v>
      </c>
      <c r="E361" s="1">
        <v>3400.0</v>
      </c>
      <c r="F361" s="1" t="s">
        <v>44</v>
      </c>
      <c r="G361" s="1" t="s">
        <v>1721</v>
      </c>
      <c r="H361" s="1">
        <v>1.0</v>
      </c>
      <c r="I361" s="1"/>
      <c r="J361" s="1"/>
      <c r="K361" s="1"/>
      <c r="L361" s="1"/>
      <c r="M361" s="1" t="s">
        <v>33</v>
      </c>
      <c r="N361" s="1" t="s">
        <v>57</v>
      </c>
      <c r="O361" s="1" t="s">
        <v>58</v>
      </c>
      <c r="P361" s="1" t="s">
        <v>36</v>
      </c>
      <c r="Q361" s="3">
        <v>36892.0</v>
      </c>
      <c r="R361" s="1"/>
      <c r="S361" s="1"/>
      <c r="T361" s="1" t="s">
        <v>37</v>
      </c>
      <c r="U361" s="1"/>
      <c r="V361" s="1" t="s">
        <v>38</v>
      </c>
      <c r="W361" s="1"/>
      <c r="X361" s="1"/>
      <c r="Y361" s="1" t="s">
        <v>49</v>
      </c>
      <c r="Z361" s="1"/>
      <c r="AA361" s="1" t="s">
        <v>40</v>
      </c>
      <c r="AB361" s="1" t="s">
        <v>61</v>
      </c>
      <c r="AC361" s="1"/>
    </row>
    <row r="362">
      <c r="A362" s="1" t="str">
        <f>"0007ZQ"</f>
        <v>0007ZQ</v>
      </c>
      <c r="B362" s="1" t="s">
        <v>1064</v>
      </c>
      <c r="C362" s="1" t="s">
        <v>1065</v>
      </c>
      <c r="D362" s="1" t="str">
        <f>"8022256051"</f>
        <v>8022256051</v>
      </c>
      <c r="E362" s="1">
        <v>1395.0</v>
      </c>
      <c r="F362" s="1" t="s">
        <v>117</v>
      </c>
      <c r="G362" s="1" t="s">
        <v>1722</v>
      </c>
      <c r="H362" s="1">
        <v>8.0</v>
      </c>
      <c r="I362" s="2" t="s">
        <v>119</v>
      </c>
      <c r="J362" s="2" t="s">
        <v>119</v>
      </c>
      <c r="K362" s="2" t="s">
        <v>119</v>
      </c>
      <c r="L362" s="1"/>
      <c r="M362" s="1" t="s">
        <v>1723</v>
      </c>
      <c r="N362" s="1" t="s">
        <v>47</v>
      </c>
      <c r="O362" s="1" t="s">
        <v>378</v>
      </c>
      <c r="P362" s="1" t="s">
        <v>1724</v>
      </c>
      <c r="Q362" s="3">
        <v>36892.0</v>
      </c>
      <c r="R362" s="1"/>
      <c r="S362" s="1"/>
      <c r="T362" s="1" t="s">
        <v>37</v>
      </c>
      <c r="U362" s="1"/>
      <c r="V362" s="1" t="s">
        <v>38</v>
      </c>
      <c r="W362" s="1">
        <v>44.6512083999999</v>
      </c>
      <c r="X362" s="1">
        <v>-72.9536167999999</v>
      </c>
      <c r="Y362" s="1" t="s">
        <v>1725</v>
      </c>
      <c r="Z362" s="1"/>
      <c r="AA362" s="1" t="s">
        <v>40</v>
      </c>
      <c r="AB362" s="1" t="s">
        <v>381</v>
      </c>
      <c r="AC362" s="1">
        <v>5454.0</v>
      </c>
    </row>
    <row r="363">
      <c r="A363" s="1" t="str">
        <f>"000832"</f>
        <v>000832</v>
      </c>
      <c r="B363" s="1" t="s">
        <v>1726</v>
      </c>
      <c r="C363" s="1" t="s">
        <v>1727</v>
      </c>
      <c r="D363" s="1" t="str">
        <f>"8029332329"</f>
        <v>8029332329</v>
      </c>
      <c r="E363" s="1">
        <v>2635.0</v>
      </c>
      <c r="F363" s="1" t="s">
        <v>44</v>
      </c>
      <c r="G363" s="1" t="s">
        <v>1728</v>
      </c>
      <c r="H363" s="1">
        <v>2.0</v>
      </c>
      <c r="I363" s="1"/>
      <c r="J363" s="1"/>
      <c r="K363" s="1"/>
      <c r="L363" s="1"/>
      <c r="M363" s="1" t="s">
        <v>72</v>
      </c>
      <c r="N363" s="1" t="s">
        <v>47</v>
      </c>
      <c r="O363" s="1" t="s">
        <v>48</v>
      </c>
      <c r="P363" s="1"/>
      <c r="Q363" s="3">
        <v>36892.0</v>
      </c>
      <c r="R363" s="1"/>
      <c r="S363" s="3">
        <v>39651.0</v>
      </c>
      <c r="T363" s="1" t="s">
        <v>37</v>
      </c>
      <c r="U363" s="1"/>
      <c r="V363" s="1" t="s">
        <v>38</v>
      </c>
      <c r="W363" s="1"/>
      <c r="X363" s="1"/>
      <c r="Y363" s="1" t="s">
        <v>49</v>
      </c>
      <c r="Z363" s="1"/>
      <c r="AA363" s="1" t="s">
        <v>40</v>
      </c>
      <c r="AB363" s="1" t="s">
        <v>50</v>
      </c>
      <c r="AC363" s="1"/>
    </row>
    <row r="364">
      <c r="A364" s="1" t="str">
        <f>"00070W"</f>
        <v>00070W</v>
      </c>
      <c r="B364" s="1" t="s">
        <v>1729</v>
      </c>
      <c r="C364" s="1" t="s">
        <v>1730</v>
      </c>
      <c r="D364" s="1" t="str">
        <f>"8028644688"</f>
        <v>8028644688</v>
      </c>
      <c r="E364" s="1">
        <v>3106.0</v>
      </c>
      <c r="F364" s="1" t="s">
        <v>117</v>
      </c>
      <c r="G364" s="1" t="s">
        <v>1731</v>
      </c>
      <c r="H364" s="1">
        <v>2.0</v>
      </c>
      <c r="I364" s="2" t="s">
        <v>119</v>
      </c>
      <c r="J364" s="2" t="s">
        <v>119</v>
      </c>
      <c r="K364" s="2" t="s">
        <v>119</v>
      </c>
      <c r="L364" s="1"/>
      <c r="M364" s="1" t="s">
        <v>1732</v>
      </c>
      <c r="N364" s="1" t="s">
        <v>57</v>
      </c>
      <c r="O364" s="1" t="s">
        <v>58</v>
      </c>
      <c r="P364" s="1" t="s">
        <v>1733</v>
      </c>
      <c r="Q364" s="3">
        <v>36892.0</v>
      </c>
      <c r="R364" s="1"/>
      <c r="S364" s="3">
        <v>38616.0</v>
      </c>
      <c r="T364" s="1" t="s">
        <v>37</v>
      </c>
      <c r="U364" s="1"/>
      <c r="V364" s="1" t="s">
        <v>38</v>
      </c>
      <c r="W364" s="1">
        <v>44.506149</v>
      </c>
      <c r="X364" s="1">
        <v>-72.9076769999999</v>
      </c>
      <c r="Y364" s="1" t="s">
        <v>1734</v>
      </c>
      <c r="Z364" s="1"/>
      <c r="AA364" s="1" t="s">
        <v>40</v>
      </c>
      <c r="AB364" s="1" t="s">
        <v>61</v>
      </c>
      <c r="AC364" s="1">
        <v>5489.0</v>
      </c>
    </row>
    <row r="365">
      <c r="A365" s="1" t="str">
        <f>"0008CA"</f>
        <v>0008CA</v>
      </c>
      <c r="B365" s="1" t="s">
        <v>1735</v>
      </c>
      <c r="C365" s="1" t="s">
        <v>1736</v>
      </c>
      <c r="D365" s="1" t="str">
        <f>"8028645896"</f>
        <v>8028645896</v>
      </c>
      <c r="E365" s="1">
        <v>2054.0</v>
      </c>
      <c r="F365" s="1" t="s">
        <v>44</v>
      </c>
      <c r="G365" s="1" t="s">
        <v>1737</v>
      </c>
      <c r="H365" s="1"/>
      <c r="I365" s="1"/>
      <c r="J365" s="1"/>
      <c r="K365" s="1"/>
      <c r="L365" s="1"/>
      <c r="M365" s="1" t="s">
        <v>72</v>
      </c>
      <c r="N365" s="1" t="s">
        <v>57</v>
      </c>
      <c r="O365" s="1" t="s">
        <v>503</v>
      </c>
      <c r="P365" s="1"/>
      <c r="Q365" s="3">
        <v>36892.0</v>
      </c>
      <c r="R365" s="1"/>
      <c r="S365" s="1"/>
      <c r="T365" s="1" t="s">
        <v>37</v>
      </c>
      <c r="U365" s="1"/>
      <c r="V365" s="1" t="s">
        <v>38</v>
      </c>
      <c r="W365" s="1"/>
      <c r="X365" s="1"/>
      <c r="Y365" s="1" t="s">
        <v>49</v>
      </c>
      <c r="Z365" s="1"/>
      <c r="AA365" s="1" t="s">
        <v>40</v>
      </c>
      <c r="AB365" s="1" t="s">
        <v>504</v>
      </c>
      <c r="AC365" s="1"/>
    </row>
    <row r="366">
      <c r="A366" s="1" t="str">
        <f>"0007C0"</f>
        <v>0007C0</v>
      </c>
      <c r="B366" s="1" t="s">
        <v>1738</v>
      </c>
      <c r="C366" s="1" t="s">
        <v>1739</v>
      </c>
      <c r="D366" s="1" t="str">
        <f>"8023657532"</f>
        <v>8023657532</v>
      </c>
      <c r="E366" s="1">
        <v>2425.0</v>
      </c>
      <c r="F366" s="1" t="s">
        <v>44</v>
      </c>
      <c r="G366" s="1" t="s">
        <v>1740</v>
      </c>
      <c r="H366" s="1">
        <v>3.0</v>
      </c>
      <c r="I366" s="1"/>
      <c r="J366" s="1"/>
      <c r="K366" s="1"/>
      <c r="L366" s="1"/>
      <c r="M366" s="1" t="s">
        <v>1741</v>
      </c>
      <c r="N366" s="1" t="s">
        <v>66</v>
      </c>
      <c r="O366" s="1" t="s">
        <v>1742</v>
      </c>
      <c r="P366" s="1"/>
      <c r="Q366" s="3">
        <v>36892.0</v>
      </c>
      <c r="R366" s="1"/>
      <c r="S366" s="3">
        <v>32745.0</v>
      </c>
      <c r="T366" s="1" t="s">
        <v>37</v>
      </c>
      <c r="U366" s="1"/>
      <c r="V366" s="1" t="s">
        <v>38</v>
      </c>
      <c r="W366" s="1"/>
      <c r="X366" s="1"/>
      <c r="Y366" s="1" t="s">
        <v>49</v>
      </c>
      <c r="Z366" s="1"/>
      <c r="AA366" s="1" t="s">
        <v>40</v>
      </c>
      <c r="AB366" s="1" t="s">
        <v>1743</v>
      </c>
      <c r="AC366" s="1"/>
    </row>
    <row r="367">
      <c r="A367" s="1" t="str">
        <f>"0008C9"</f>
        <v>0008C9</v>
      </c>
      <c r="B367" s="1" t="s">
        <v>1744</v>
      </c>
      <c r="C367" s="1" t="s">
        <v>1745</v>
      </c>
      <c r="D367" s="1"/>
      <c r="E367" s="1">
        <v>2052.0</v>
      </c>
      <c r="F367" s="1" t="s">
        <v>44</v>
      </c>
      <c r="G367" s="1" t="s">
        <v>1746</v>
      </c>
      <c r="H367" s="1">
        <v>3.0</v>
      </c>
      <c r="I367" s="1"/>
      <c r="J367" s="1"/>
      <c r="K367" s="1"/>
      <c r="L367" s="1"/>
      <c r="M367" s="1" t="s">
        <v>1747</v>
      </c>
      <c r="N367" s="1" t="s">
        <v>161</v>
      </c>
      <c r="O367" s="1" t="s">
        <v>394</v>
      </c>
      <c r="P367" s="1"/>
      <c r="Q367" s="3">
        <v>36892.0</v>
      </c>
      <c r="R367" s="1"/>
      <c r="S367" s="3">
        <v>34542.0</v>
      </c>
      <c r="T367" s="1" t="s">
        <v>37</v>
      </c>
      <c r="U367" s="1"/>
      <c r="V367" s="1" t="s">
        <v>38</v>
      </c>
      <c r="W367" s="1"/>
      <c r="X367" s="1"/>
      <c r="Y367" s="1" t="s">
        <v>49</v>
      </c>
      <c r="Z367" s="1"/>
      <c r="AA367" s="1" t="s">
        <v>40</v>
      </c>
      <c r="AB367" s="1" t="s">
        <v>395</v>
      </c>
      <c r="AC367" s="1"/>
    </row>
    <row r="368">
      <c r="A368" s="1" t="str">
        <f>"0007HH"</f>
        <v>0007HH</v>
      </c>
      <c r="B368" s="1" t="s">
        <v>1748</v>
      </c>
      <c r="C368" s="1" t="s">
        <v>1749</v>
      </c>
      <c r="D368" s="1" t="str">
        <f>"8028996736"</f>
        <v>8028996736</v>
      </c>
      <c r="E368" s="1">
        <v>2979.0</v>
      </c>
      <c r="F368" s="1" t="s">
        <v>44</v>
      </c>
      <c r="G368" s="1" t="s">
        <v>1750</v>
      </c>
      <c r="H368" s="1">
        <v>4.0</v>
      </c>
      <c r="I368" s="1"/>
      <c r="J368" s="1"/>
      <c r="K368" s="1"/>
      <c r="L368" s="1"/>
      <c r="M368" s="1" t="s">
        <v>72</v>
      </c>
      <c r="N368" s="1" t="s">
        <v>57</v>
      </c>
      <c r="O368" s="1" t="s">
        <v>745</v>
      </c>
      <c r="P368" s="1"/>
      <c r="Q368" s="3">
        <v>36892.0</v>
      </c>
      <c r="R368" s="1"/>
      <c r="S368" s="3">
        <v>39323.0</v>
      </c>
      <c r="T368" s="1" t="s">
        <v>37</v>
      </c>
      <c r="U368" s="1"/>
      <c r="V368" s="1" t="s">
        <v>38</v>
      </c>
      <c r="W368" s="1"/>
      <c r="X368" s="1"/>
      <c r="Y368" s="1" t="s">
        <v>49</v>
      </c>
      <c r="Z368" s="1"/>
      <c r="AA368" s="1" t="s">
        <v>40</v>
      </c>
      <c r="AB368" s="1" t="s">
        <v>746</v>
      </c>
      <c r="AC368" s="1"/>
    </row>
    <row r="369">
      <c r="A369" s="1" t="str">
        <f>"00077D"</f>
        <v>00077D</v>
      </c>
      <c r="B369" s="1" t="s">
        <v>1751</v>
      </c>
      <c r="C369" s="1" t="s">
        <v>1752</v>
      </c>
      <c r="D369" s="1" t="str">
        <f>"8025332220"</f>
        <v>8025332220</v>
      </c>
      <c r="E369" s="1">
        <v>3689.0</v>
      </c>
      <c r="F369" s="1" t="s">
        <v>44</v>
      </c>
      <c r="G369" s="1" t="s">
        <v>1753</v>
      </c>
      <c r="H369" s="1"/>
      <c r="I369" s="1"/>
      <c r="J369" s="1"/>
      <c r="K369" s="1"/>
      <c r="L369" s="1"/>
      <c r="M369" s="1" t="s">
        <v>72</v>
      </c>
      <c r="N369" s="1" t="s">
        <v>94</v>
      </c>
      <c r="O369" s="1" t="s">
        <v>232</v>
      </c>
      <c r="P369" s="1"/>
      <c r="Q369" s="3">
        <v>36892.0</v>
      </c>
      <c r="R369" s="1"/>
      <c r="S369" s="1"/>
      <c r="T369" s="1" t="s">
        <v>37</v>
      </c>
      <c r="U369" s="1"/>
      <c r="V369" s="1" t="s">
        <v>38</v>
      </c>
      <c r="W369" s="1"/>
      <c r="X369" s="1"/>
      <c r="Y369" s="1" t="s">
        <v>49</v>
      </c>
      <c r="Z369" s="1"/>
      <c r="AA369" s="1" t="s">
        <v>40</v>
      </c>
      <c r="AB369" s="1" t="s">
        <v>385</v>
      </c>
      <c r="AC369" s="1"/>
    </row>
    <row r="370">
      <c r="A370" s="1" t="str">
        <f>"00083W"</f>
        <v>00083W</v>
      </c>
      <c r="B370" s="1" t="s">
        <v>1754</v>
      </c>
      <c r="C370" s="1" t="s">
        <v>1755</v>
      </c>
      <c r="D370" s="1" t="str">
        <f>"8022299282"</f>
        <v>8022299282</v>
      </c>
      <c r="E370" s="1">
        <v>2931.0</v>
      </c>
      <c r="F370" s="1" t="s">
        <v>44</v>
      </c>
      <c r="G370" s="1" t="s">
        <v>1756</v>
      </c>
      <c r="H370" s="1">
        <v>1.0</v>
      </c>
      <c r="I370" s="2" t="s">
        <v>119</v>
      </c>
      <c r="J370" s="2">
        <v>1.0</v>
      </c>
      <c r="K370" s="2" t="s">
        <v>119</v>
      </c>
      <c r="L370" s="1"/>
      <c r="M370" s="1" t="s">
        <v>33</v>
      </c>
      <c r="N370" s="1" t="s">
        <v>135</v>
      </c>
      <c r="O370" s="1" t="s">
        <v>1142</v>
      </c>
      <c r="P370" s="1" t="s">
        <v>36</v>
      </c>
      <c r="Q370" s="3">
        <v>36892.0</v>
      </c>
      <c r="R370" s="1"/>
      <c r="S370" s="3">
        <v>41190.0</v>
      </c>
      <c r="T370" s="1" t="s">
        <v>37</v>
      </c>
      <c r="U370" s="1"/>
      <c r="V370" s="1" t="s">
        <v>38</v>
      </c>
      <c r="W370" s="1">
        <v>44.290175</v>
      </c>
      <c r="X370" s="1">
        <v>-72.571392</v>
      </c>
      <c r="Y370" s="1" t="s">
        <v>1757</v>
      </c>
      <c r="Z370" s="1"/>
      <c r="AA370" s="1" t="s">
        <v>40</v>
      </c>
      <c r="AB370" s="1" t="s">
        <v>1145</v>
      </c>
      <c r="AC370" s="1">
        <v>5602.0</v>
      </c>
    </row>
    <row r="371">
      <c r="A371" s="1" t="str">
        <f>"0007W4"</f>
        <v>0007W4</v>
      </c>
      <c r="B371" s="1" t="s">
        <v>1758</v>
      </c>
      <c r="C371" s="1" t="s">
        <v>1759</v>
      </c>
      <c r="D371" s="1" t="str">
        <f>"8025452584"</f>
        <v>8025452584</v>
      </c>
      <c r="E371" s="1">
        <v>1210.0</v>
      </c>
      <c r="F371" s="1" t="s">
        <v>44</v>
      </c>
      <c r="G371" s="1" t="s">
        <v>1760</v>
      </c>
      <c r="H371" s="1">
        <v>3.0</v>
      </c>
      <c r="I371" s="1"/>
      <c r="J371" s="1"/>
      <c r="K371" s="1"/>
      <c r="L371" s="1"/>
      <c r="M371" s="1" t="s">
        <v>33</v>
      </c>
      <c r="N371" s="1" t="s">
        <v>161</v>
      </c>
      <c r="O371" s="1" t="s">
        <v>1761</v>
      </c>
      <c r="P371" s="1" t="s">
        <v>36</v>
      </c>
      <c r="Q371" s="3">
        <v>36892.0</v>
      </c>
      <c r="R371" s="1"/>
      <c r="S371" s="3">
        <v>38259.0</v>
      </c>
      <c r="T371" s="1" t="s">
        <v>37</v>
      </c>
      <c r="U371" s="1"/>
      <c r="V371" s="1" t="s">
        <v>38</v>
      </c>
      <c r="W371" s="1">
        <v>44.0612468186564</v>
      </c>
      <c r="X371" s="1">
        <v>-73.2404422760009</v>
      </c>
      <c r="Y371" s="1" t="s">
        <v>1762</v>
      </c>
      <c r="Z371" s="1"/>
      <c r="AA371" s="1" t="s">
        <v>40</v>
      </c>
      <c r="AB371" s="1" t="s">
        <v>1763</v>
      </c>
      <c r="AC371" s="1">
        <v>5753.0</v>
      </c>
    </row>
    <row r="372">
      <c r="A372" s="1" t="str">
        <f>"0007JY"</f>
        <v>0007JY</v>
      </c>
      <c r="B372" s="1" t="s">
        <v>871</v>
      </c>
      <c r="C372" s="1" t="s">
        <v>872</v>
      </c>
      <c r="D372" s="1" t="str">
        <f>"8022732186"</f>
        <v>8022732186</v>
      </c>
      <c r="E372" s="1">
        <v>848.0</v>
      </c>
      <c r="F372" s="1" t="s">
        <v>44</v>
      </c>
      <c r="G372" s="1" t="s">
        <v>1764</v>
      </c>
      <c r="H372" s="1">
        <v>5.0</v>
      </c>
      <c r="I372" s="1"/>
      <c r="J372" s="1"/>
      <c r="K372" s="1"/>
      <c r="L372" s="1"/>
      <c r="M372" s="1" t="s">
        <v>1765</v>
      </c>
      <c r="N372" s="1" t="s">
        <v>161</v>
      </c>
      <c r="O372" s="1" t="s">
        <v>576</v>
      </c>
      <c r="P372" s="1"/>
      <c r="Q372" s="3">
        <v>36892.0</v>
      </c>
      <c r="R372" s="1"/>
      <c r="S372" s="3">
        <v>42205.0</v>
      </c>
      <c r="T372" s="1" t="s">
        <v>37</v>
      </c>
      <c r="U372" s="1"/>
      <c r="V372" s="1" t="s">
        <v>38</v>
      </c>
      <c r="W372" s="1">
        <v>44.05408</v>
      </c>
      <c r="X372" s="1">
        <v>-73.38341</v>
      </c>
      <c r="Y372" s="1" t="s">
        <v>1766</v>
      </c>
      <c r="Z372" s="1"/>
      <c r="AA372" s="1" t="s">
        <v>40</v>
      </c>
      <c r="AB372" s="1" t="s">
        <v>161</v>
      </c>
      <c r="AC372" s="1">
        <v>0.0</v>
      </c>
    </row>
    <row r="373">
      <c r="A373" s="1" t="str">
        <f>"000730"</f>
        <v>000730</v>
      </c>
      <c r="B373" s="1" t="s">
        <v>1767</v>
      </c>
      <c r="C373" s="1" t="s">
        <v>1768</v>
      </c>
      <c r="D373" s="1" t="str">
        <f>"8024462750"</f>
        <v>8024462750</v>
      </c>
      <c r="E373" s="1">
        <v>194.0</v>
      </c>
      <c r="F373" s="1" t="s">
        <v>44</v>
      </c>
      <c r="G373" s="1" t="s">
        <v>1769</v>
      </c>
      <c r="H373" s="1">
        <v>2.0</v>
      </c>
      <c r="I373" s="1"/>
      <c r="J373" s="1"/>
      <c r="K373" s="1"/>
      <c r="L373" s="1"/>
      <c r="M373" s="1" t="s">
        <v>1770</v>
      </c>
      <c r="N373" s="1" t="s">
        <v>78</v>
      </c>
      <c r="O373" s="1" t="s">
        <v>79</v>
      </c>
      <c r="P373" s="1"/>
      <c r="Q373" s="3">
        <v>36892.0</v>
      </c>
      <c r="R373" s="1"/>
      <c r="S373" s="3">
        <v>34918.0</v>
      </c>
      <c r="T373" s="1" t="s">
        <v>37</v>
      </c>
      <c r="U373" s="1"/>
      <c r="V373" s="1" t="s">
        <v>38</v>
      </c>
      <c r="W373" s="1"/>
      <c r="X373" s="1"/>
      <c r="Y373" s="1" t="s">
        <v>49</v>
      </c>
      <c r="Z373" s="1"/>
      <c r="AA373" s="1" t="s">
        <v>40</v>
      </c>
      <c r="AB373" s="1" t="s">
        <v>80</v>
      </c>
      <c r="AC373" s="1"/>
    </row>
    <row r="374">
      <c r="A374" s="1" t="str">
        <f>"00077W"</f>
        <v>00077W</v>
      </c>
      <c r="B374" s="1" t="s">
        <v>1771</v>
      </c>
      <c r="C374" s="1" t="s">
        <v>1772</v>
      </c>
      <c r="D374" s="1" t="str">
        <f>"8024574407"</f>
        <v>8024574407</v>
      </c>
      <c r="E374" s="1">
        <v>3587.0</v>
      </c>
      <c r="F374" s="1" t="s">
        <v>44</v>
      </c>
      <c r="G374" s="1" t="s">
        <v>1773</v>
      </c>
      <c r="H374" s="1">
        <v>8.0</v>
      </c>
      <c r="I374" s="1"/>
      <c r="J374" s="1"/>
      <c r="K374" s="1"/>
      <c r="L374" s="1"/>
      <c r="M374" s="1" t="s">
        <v>72</v>
      </c>
      <c r="N374" s="1" t="s">
        <v>34</v>
      </c>
      <c r="O374" s="1" t="s">
        <v>324</v>
      </c>
      <c r="P374" s="1"/>
      <c r="Q374" s="3">
        <v>36892.0</v>
      </c>
      <c r="R374" s="1"/>
      <c r="S374" s="3">
        <v>39279.0</v>
      </c>
      <c r="T374" s="1" t="s">
        <v>37</v>
      </c>
      <c r="U374" s="1"/>
      <c r="V374" s="1" t="s">
        <v>38</v>
      </c>
      <c r="W374" s="1"/>
      <c r="X374" s="1"/>
      <c r="Y374" s="1" t="s">
        <v>49</v>
      </c>
      <c r="Z374" s="1"/>
      <c r="AA374" s="1" t="s">
        <v>40</v>
      </c>
      <c r="AB374" s="1" t="s">
        <v>326</v>
      </c>
      <c r="AC374" s="1"/>
    </row>
    <row r="375">
      <c r="A375" s="1" t="str">
        <f>"0007P2"</f>
        <v>0007P2</v>
      </c>
      <c r="B375" s="1" t="s">
        <v>1774</v>
      </c>
      <c r="C375" s="1" t="s">
        <v>1775</v>
      </c>
      <c r="D375" s="1" t="str">
        <f>"8026854592"</f>
        <v>8026854592</v>
      </c>
      <c r="E375" s="1">
        <v>3717.0</v>
      </c>
      <c r="F375" s="1" t="s">
        <v>44</v>
      </c>
      <c r="G375" s="1" t="s">
        <v>1776</v>
      </c>
      <c r="H375" s="1">
        <v>0.0</v>
      </c>
      <c r="I375" s="1"/>
      <c r="J375" s="1"/>
      <c r="K375" s="1"/>
      <c r="L375" s="1"/>
      <c r="M375" s="1" t="s">
        <v>72</v>
      </c>
      <c r="N375" s="1" t="s">
        <v>142</v>
      </c>
      <c r="O375" s="1" t="s">
        <v>222</v>
      </c>
      <c r="P375" s="1"/>
      <c r="Q375" s="3">
        <v>36892.0</v>
      </c>
      <c r="R375" s="1"/>
      <c r="S375" s="3">
        <v>39644.0</v>
      </c>
      <c r="T375" s="1" t="s">
        <v>37</v>
      </c>
      <c r="U375" s="1"/>
      <c r="V375" s="1" t="s">
        <v>38</v>
      </c>
      <c r="W375" s="1">
        <v>44.099068</v>
      </c>
      <c r="X375" s="1">
        <v>-72.218811</v>
      </c>
      <c r="Y375" s="1" t="s">
        <v>1777</v>
      </c>
      <c r="Z375" s="1"/>
      <c r="AA375" s="1" t="s">
        <v>40</v>
      </c>
      <c r="AB375" s="1" t="s">
        <v>223</v>
      </c>
      <c r="AC375" s="1">
        <v>5039.0</v>
      </c>
    </row>
    <row r="376">
      <c r="A376" s="1" t="str">
        <f>"0007WB"</f>
        <v>0007WB</v>
      </c>
      <c r="B376" s="1" t="s">
        <v>567</v>
      </c>
      <c r="C376" s="1" t="s">
        <v>568</v>
      </c>
      <c r="D376" s="1" t="str">
        <f>"8029895895"</f>
        <v>8029895895</v>
      </c>
      <c r="E376" s="1">
        <v>2046.0</v>
      </c>
      <c r="F376" s="1" t="s">
        <v>117</v>
      </c>
      <c r="G376" s="1" t="s">
        <v>1778</v>
      </c>
      <c r="H376" s="1">
        <v>52.0</v>
      </c>
      <c r="I376" s="2" t="s">
        <v>119</v>
      </c>
      <c r="J376" s="2" t="s">
        <v>119</v>
      </c>
      <c r="K376" s="2" t="s">
        <v>119</v>
      </c>
      <c r="L376" s="1"/>
      <c r="M376" s="1" t="s">
        <v>1779</v>
      </c>
      <c r="N376" s="1" t="s">
        <v>161</v>
      </c>
      <c r="O376" s="1" t="s">
        <v>1761</v>
      </c>
      <c r="P376" s="1" t="s">
        <v>1155</v>
      </c>
      <c r="Q376" s="3">
        <v>36892.0</v>
      </c>
      <c r="R376" s="1"/>
      <c r="S376" s="3">
        <v>41032.0</v>
      </c>
      <c r="T376" s="1" t="s">
        <v>37</v>
      </c>
      <c r="U376" s="1"/>
      <c r="V376" s="1" t="s">
        <v>38</v>
      </c>
      <c r="W376" s="1">
        <v>44.0594677769074</v>
      </c>
      <c r="X376" s="1">
        <v>-73.1934788078069</v>
      </c>
      <c r="Y376" s="1" t="s">
        <v>1780</v>
      </c>
      <c r="Z376" s="1"/>
      <c r="AA376" s="1" t="s">
        <v>40</v>
      </c>
      <c r="AB376" s="1" t="s">
        <v>1763</v>
      </c>
      <c r="AC376" s="1">
        <v>5753.0</v>
      </c>
    </row>
    <row r="377">
      <c r="A377" s="1" t="str">
        <f>"000871"</f>
        <v>000871</v>
      </c>
      <c r="B377" s="1" t="s">
        <v>972</v>
      </c>
      <c r="C377" s="1" t="s">
        <v>973</v>
      </c>
      <c r="D377" s="1" t="str">
        <f>"8027632439"</f>
        <v>8027632439</v>
      </c>
      <c r="E377" s="1">
        <v>2992.0</v>
      </c>
      <c r="F377" s="1" t="s">
        <v>117</v>
      </c>
      <c r="G377" s="1" t="s">
        <v>1781</v>
      </c>
      <c r="H377" s="1">
        <v>7.0</v>
      </c>
      <c r="I377" s="1"/>
      <c r="J377" s="1"/>
      <c r="K377" s="1"/>
      <c r="L377" s="1"/>
      <c r="M377" s="1" t="s">
        <v>1782</v>
      </c>
      <c r="N377" s="1" t="s">
        <v>142</v>
      </c>
      <c r="O377" s="1" t="s">
        <v>474</v>
      </c>
      <c r="P377" s="1"/>
      <c r="Q377" s="3">
        <v>36892.0</v>
      </c>
      <c r="R377" s="1"/>
      <c r="S377" s="3">
        <v>42944.0</v>
      </c>
      <c r="T377" s="1" t="s">
        <v>37</v>
      </c>
      <c r="U377" s="1"/>
      <c r="V377" s="1" t="s">
        <v>38</v>
      </c>
      <c r="W377" s="1"/>
      <c r="X377" s="1"/>
      <c r="Y377" s="1" t="s">
        <v>49</v>
      </c>
      <c r="Z377" s="1"/>
      <c r="AA377" s="1" t="s">
        <v>40</v>
      </c>
      <c r="AB377" s="1" t="s">
        <v>475</v>
      </c>
      <c r="AC377" s="1"/>
    </row>
    <row r="378">
      <c r="A378" s="1" t="str">
        <f>"0007N7"</f>
        <v>0007N7</v>
      </c>
      <c r="B378" s="1" t="s">
        <v>1783</v>
      </c>
      <c r="C378" s="1" t="s">
        <v>1784</v>
      </c>
      <c r="D378" s="1" t="str">
        <f>"8028861446"</f>
        <v>8028861446</v>
      </c>
      <c r="E378" s="1">
        <v>4094.0</v>
      </c>
      <c r="F378" s="1" t="s">
        <v>44</v>
      </c>
      <c r="G378" s="1" t="s">
        <v>1785</v>
      </c>
      <c r="H378" s="1">
        <v>2.0</v>
      </c>
      <c r="I378" s="1"/>
      <c r="J378" s="1"/>
      <c r="K378" s="1"/>
      <c r="L378" s="1"/>
      <c r="M378" s="1" t="s">
        <v>72</v>
      </c>
      <c r="N378" s="1" t="s">
        <v>34</v>
      </c>
      <c r="O378" s="1" t="s">
        <v>642</v>
      </c>
      <c r="P378" s="1"/>
      <c r="Q378" s="3">
        <v>36892.0</v>
      </c>
      <c r="R378" s="1"/>
      <c r="S378" s="3">
        <v>40058.0</v>
      </c>
      <c r="T378" s="1" t="s">
        <v>37</v>
      </c>
      <c r="U378" s="1"/>
      <c r="V378" s="1" t="s">
        <v>38</v>
      </c>
      <c r="W378" s="1">
        <v>43.3306471</v>
      </c>
      <c r="X378" s="1">
        <v>-72.5252446</v>
      </c>
      <c r="Y378" s="1" t="s">
        <v>1786</v>
      </c>
      <c r="Z378" s="1"/>
      <c r="AA378" s="1" t="s">
        <v>40</v>
      </c>
      <c r="AB378" s="1" t="s">
        <v>643</v>
      </c>
      <c r="AC378" s="1">
        <v>5150.0</v>
      </c>
    </row>
    <row r="379">
      <c r="A379" s="1" t="str">
        <f>"0007NN"</f>
        <v>0007NN</v>
      </c>
      <c r="B379" s="1" t="s">
        <v>1787</v>
      </c>
      <c r="C379" s="1" t="s">
        <v>1788</v>
      </c>
      <c r="D379" s="1" t="str">
        <f>"8024622129"</f>
        <v>8024622129</v>
      </c>
      <c r="E379" s="1">
        <v>2043.0</v>
      </c>
      <c r="F379" s="1" t="s">
        <v>44</v>
      </c>
      <c r="G379" s="1" t="s">
        <v>1789</v>
      </c>
      <c r="H379" s="1">
        <v>1.0</v>
      </c>
      <c r="I379" s="1"/>
      <c r="J379" s="1"/>
      <c r="K379" s="1"/>
      <c r="L379" s="1"/>
      <c r="M379" s="1" t="s">
        <v>1790</v>
      </c>
      <c r="N379" s="1" t="s">
        <v>161</v>
      </c>
      <c r="O379" s="1" t="s">
        <v>162</v>
      </c>
      <c r="P379" s="1"/>
      <c r="Q379" s="3">
        <v>36892.0</v>
      </c>
      <c r="R379" s="1"/>
      <c r="S379" s="3">
        <v>32734.0</v>
      </c>
      <c r="T379" s="1" t="s">
        <v>37</v>
      </c>
      <c r="U379" s="1"/>
      <c r="V379" s="1" t="s">
        <v>38</v>
      </c>
      <c r="W379" s="1"/>
      <c r="X379" s="1"/>
      <c r="Y379" s="1" t="s">
        <v>49</v>
      </c>
      <c r="Z379" s="1"/>
      <c r="AA379" s="1" t="s">
        <v>40</v>
      </c>
      <c r="AB379" s="1" t="s">
        <v>166</v>
      </c>
      <c r="AC379" s="1"/>
    </row>
    <row r="380">
      <c r="A380" s="1" t="str">
        <f>"0007NP"</f>
        <v>0007NP</v>
      </c>
      <c r="B380" s="1" t="s">
        <v>1791</v>
      </c>
      <c r="C380" s="1" t="s">
        <v>1792</v>
      </c>
      <c r="D380" s="1"/>
      <c r="E380" s="1">
        <v>2042.0</v>
      </c>
      <c r="F380" s="1" t="s">
        <v>44</v>
      </c>
      <c r="G380" s="1" t="s">
        <v>1793</v>
      </c>
      <c r="H380" s="1">
        <v>1.0</v>
      </c>
      <c r="I380" s="1"/>
      <c r="J380" s="1"/>
      <c r="K380" s="1"/>
      <c r="L380" s="1"/>
      <c r="M380" s="1" t="s">
        <v>1794</v>
      </c>
      <c r="N380" s="1" t="s">
        <v>161</v>
      </c>
      <c r="O380" s="1" t="s">
        <v>394</v>
      </c>
      <c r="P380" s="1"/>
      <c r="Q380" s="3">
        <v>36892.0</v>
      </c>
      <c r="R380" s="1"/>
      <c r="S380" s="3">
        <v>32387.0</v>
      </c>
      <c r="T380" s="1" t="s">
        <v>37</v>
      </c>
      <c r="U380" s="1"/>
      <c r="V380" s="1" t="s">
        <v>38</v>
      </c>
      <c r="W380" s="1"/>
      <c r="X380" s="1"/>
      <c r="Y380" s="1" t="s">
        <v>49</v>
      </c>
      <c r="Z380" s="1"/>
      <c r="AA380" s="1" t="s">
        <v>40</v>
      </c>
      <c r="AB380" s="1" t="s">
        <v>395</v>
      </c>
      <c r="AC380" s="1"/>
    </row>
    <row r="381">
      <c r="A381" s="1" t="str">
        <f>"0007B2"</f>
        <v>0007B2</v>
      </c>
      <c r="B381" s="1" t="s">
        <v>1795</v>
      </c>
      <c r="C381" s="1" t="s">
        <v>1796</v>
      </c>
      <c r="D381" s="1" t="str">
        <f>"8024962941"</f>
        <v>8024962941</v>
      </c>
      <c r="E381" s="1">
        <v>3018.0</v>
      </c>
      <c r="F381" s="1" t="s">
        <v>44</v>
      </c>
      <c r="G381" s="1" t="s">
        <v>1797</v>
      </c>
      <c r="H381" s="1">
        <v>2.0</v>
      </c>
      <c r="I381" s="1"/>
      <c r="J381" s="1"/>
      <c r="K381" s="1"/>
      <c r="L381" s="1"/>
      <c r="M381" s="1" t="s">
        <v>72</v>
      </c>
      <c r="N381" s="1" t="s">
        <v>135</v>
      </c>
      <c r="O381" s="1" t="s">
        <v>1798</v>
      </c>
      <c r="P381" s="1"/>
      <c r="Q381" s="3">
        <v>36892.0</v>
      </c>
      <c r="R381" s="1"/>
      <c r="S381" s="3">
        <v>38567.0</v>
      </c>
      <c r="T381" s="1" t="s">
        <v>37</v>
      </c>
      <c r="U381" s="1"/>
      <c r="V381" s="1" t="s">
        <v>38</v>
      </c>
      <c r="W381" s="1"/>
      <c r="X381" s="1"/>
      <c r="Y381" s="1" t="s">
        <v>49</v>
      </c>
      <c r="Z381" s="1"/>
      <c r="AA381" s="1" t="s">
        <v>40</v>
      </c>
      <c r="AB381" s="1" t="s">
        <v>1799</v>
      </c>
      <c r="AC381" s="1"/>
    </row>
    <row r="382">
      <c r="A382" s="1" t="str">
        <f>"0007AZ"</f>
        <v>0007AZ</v>
      </c>
      <c r="B382" s="1" t="s">
        <v>1800</v>
      </c>
      <c r="C382" s="1" t="s">
        <v>1801</v>
      </c>
      <c r="D382" s="1" t="str">
        <f>"8022349378"</f>
        <v>8022349378</v>
      </c>
      <c r="E382" s="1">
        <v>3624.0</v>
      </c>
      <c r="F382" s="1" t="s">
        <v>44</v>
      </c>
      <c r="G382" s="1" t="s">
        <v>1802</v>
      </c>
      <c r="H382" s="1"/>
      <c r="I382" s="1"/>
      <c r="J382" s="1"/>
      <c r="K382" s="1"/>
      <c r="L382" s="1"/>
      <c r="M382" s="1" t="s">
        <v>1803</v>
      </c>
      <c r="N382" s="1" t="s">
        <v>34</v>
      </c>
      <c r="O382" s="1" t="s">
        <v>551</v>
      </c>
      <c r="P382" s="1"/>
      <c r="Q382" s="3">
        <v>36892.0</v>
      </c>
      <c r="R382" s="1"/>
      <c r="S382" s="1"/>
      <c r="T382" s="1" t="s">
        <v>37</v>
      </c>
      <c r="U382" s="1"/>
      <c r="V382" s="1" t="s">
        <v>38</v>
      </c>
      <c r="W382" s="1"/>
      <c r="X382" s="1"/>
      <c r="Y382" s="1" t="s">
        <v>49</v>
      </c>
      <c r="Z382" s="1"/>
      <c r="AA382" s="1" t="s">
        <v>40</v>
      </c>
      <c r="AB382" s="1" t="s">
        <v>552</v>
      </c>
      <c r="AC382" s="1"/>
    </row>
    <row r="383">
      <c r="A383" s="1" t="str">
        <f>"0007YM"</f>
        <v>0007YM</v>
      </c>
      <c r="B383" s="1" t="s">
        <v>1804</v>
      </c>
      <c r="C383" s="1" t="s">
        <v>1805</v>
      </c>
      <c r="D383" s="1" t="str">
        <f>"8028886682"</f>
        <v>8028886682</v>
      </c>
      <c r="E383" s="1">
        <v>3770.0</v>
      </c>
      <c r="F383" s="1" t="s">
        <v>44</v>
      </c>
      <c r="G383" s="1" t="s">
        <v>1806</v>
      </c>
      <c r="H383" s="1"/>
      <c r="I383" s="1"/>
      <c r="J383" s="1"/>
      <c r="K383" s="1"/>
      <c r="L383" s="1"/>
      <c r="M383" s="1" t="s">
        <v>1807</v>
      </c>
      <c r="N383" s="1" t="s">
        <v>213</v>
      </c>
      <c r="O383" s="1" t="s">
        <v>625</v>
      </c>
      <c r="P383" s="1"/>
      <c r="Q383" s="3">
        <v>36892.0</v>
      </c>
      <c r="R383" s="1"/>
      <c r="S383" s="1"/>
      <c r="T383" s="1" t="s">
        <v>37</v>
      </c>
      <c r="U383" s="1"/>
      <c r="V383" s="1" t="s">
        <v>38</v>
      </c>
      <c r="W383" s="1"/>
      <c r="X383" s="1"/>
      <c r="Y383" s="1" t="s">
        <v>49</v>
      </c>
      <c r="Z383" s="1"/>
      <c r="AA383" s="1" t="s">
        <v>40</v>
      </c>
      <c r="AB383" s="1" t="s">
        <v>626</v>
      </c>
      <c r="AC383" s="1"/>
    </row>
    <row r="384">
      <c r="A384" s="1" t="str">
        <f t="shared" ref="A384:A385" si="31">"00070D"</f>
        <v>00070D</v>
      </c>
      <c r="B384" s="1" t="s">
        <v>527</v>
      </c>
      <c r="C384" s="1" t="s">
        <v>528</v>
      </c>
      <c r="D384" s="1" t="str">
        <f t="shared" ref="D384:D385" si="32">"8024923458"</f>
        <v>8024923458</v>
      </c>
      <c r="E384" s="1">
        <v>41.0</v>
      </c>
      <c r="F384" s="1" t="s">
        <v>31</v>
      </c>
      <c r="G384" s="1" t="s">
        <v>1808</v>
      </c>
      <c r="H384" s="1">
        <v>20.0</v>
      </c>
      <c r="I384" s="1"/>
      <c r="J384" s="1"/>
      <c r="K384" s="1"/>
      <c r="L384" s="1"/>
      <c r="M384" s="1" t="s">
        <v>1809</v>
      </c>
      <c r="N384" s="1" t="s">
        <v>161</v>
      </c>
      <c r="O384" s="1" t="s">
        <v>531</v>
      </c>
      <c r="P384" s="1"/>
      <c r="Q384" s="3">
        <v>36892.0</v>
      </c>
      <c r="R384" s="1"/>
      <c r="S384" s="3">
        <v>39756.0</v>
      </c>
      <c r="T384" s="1" t="s">
        <v>37</v>
      </c>
      <c r="U384" s="1"/>
      <c r="V384" s="1" t="s">
        <v>38</v>
      </c>
      <c r="W384" s="1"/>
      <c r="X384" s="1"/>
      <c r="Y384" s="1" t="s">
        <v>49</v>
      </c>
      <c r="Z384" s="1"/>
      <c r="AA384" s="1" t="s">
        <v>40</v>
      </c>
      <c r="AB384" s="1" t="s">
        <v>532</v>
      </c>
      <c r="AC384" s="1"/>
    </row>
    <row r="385">
      <c r="A385" s="1" t="str">
        <f t="shared" si="31"/>
        <v>00070D</v>
      </c>
      <c r="B385" s="1" t="s">
        <v>527</v>
      </c>
      <c r="C385" s="1" t="s">
        <v>528</v>
      </c>
      <c r="D385" s="1" t="str">
        <f t="shared" si="32"/>
        <v>8024923458</v>
      </c>
      <c r="E385" s="1">
        <v>41.0</v>
      </c>
      <c r="F385" s="1" t="s">
        <v>31</v>
      </c>
      <c r="G385" s="1" t="s">
        <v>1810</v>
      </c>
      <c r="H385" s="1">
        <v>26.0</v>
      </c>
      <c r="I385" s="1"/>
      <c r="J385" s="1"/>
      <c r="K385" s="1"/>
      <c r="L385" s="1"/>
      <c r="M385" s="1" t="s">
        <v>1811</v>
      </c>
      <c r="N385" s="1" t="s">
        <v>161</v>
      </c>
      <c r="O385" s="1" t="s">
        <v>531</v>
      </c>
      <c r="P385" s="1"/>
      <c r="Q385" s="3">
        <v>36892.0</v>
      </c>
      <c r="R385" s="1"/>
      <c r="S385" s="3">
        <v>41948.0</v>
      </c>
      <c r="T385" s="1" t="s">
        <v>37</v>
      </c>
      <c r="U385" s="1"/>
      <c r="V385" s="1" t="s">
        <v>38</v>
      </c>
      <c r="W385" s="1">
        <v>43.8202327569359</v>
      </c>
      <c r="X385" s="1">
        <v>-73.3810785412788</v>
      </c>
      <c r="Y385" s="1" t="s">
        <v>1812</v>
      </c>
      <c r="Z385" s="1"/>
      <c r="AA385" s="1" t="s">
        <v>40</v>
      </c>
      <c r="AB385" s="1" t="s">
        <v>532</v>
      </c>
      <c r="AC385" s="1">
        <v>5760.0</v>
      </c>
    </row>
    <row r="386">
      <c r="A386" s="1" t="str">
        <f>"0008Y7"</f>
        <v>0008Y7</v>
      </c>
      <c r="B386" s="1" t="s">
        <v>1813</v>
      </c>
      <c r="C386" s="1" t="s">
        <v>1814</v>
      </c>
      <c r="D386" s="1" t="str">
        <f>"8024395652"</f>
        <v>8024395652</v>
      </c>
      <c r="E386" s="1">
        <v>3475.0</v>
      </c>
      <c r="F386" s="1" t="s">
        <v>117</v>
      </c>
      <c r="G386" s="1" t="s">
        <v>1815</v>
      </c>
      <c r="H386" s="1">
        <v>2.0</v>
      </c>
      <c r="I386" s="2">
        <v>2.0</v>
      </c>
      <c r="J386" s="2">
        <v>1.0</v>
      </c>
      <c r="K386" s="2" t="s">
        <v>119</v>
      </c>
      <c r="L386" s="1"/>
      <c r="M386" s="1" t="s">
        <v>1816</v>
      </c>
      <c r="N386" s="1" t="s">
        <v>142</v>
      </c>
      <c r="O386" s="1" t="s">
        <v>222</v>
      </c>
      <c r="P386" s="1" t="s">
        <v>1817</v>
      </c>
      <c r="Q386" s="3">
        <v>36892.0</v>
      </c>
      <c r="R386" s="1"/>
      <c r="S386" s="3">
        <v>42937.0</v>
      </c>
      <c r="T386" s="1" t="s">
        <v>37</v>
      </c>
      <c r="U386" s="1"/>
      <c r="V386" s="1" t="s">
        <v>38</v>
      </c>
      <c r="W386" s="1">
        <v>44.041549</v>
      </c>
      <c r="X386" s="1">
        <v>-72.306592</v>
      </c>
      <c r="Y386" s="1" t="s">
        <v>1818</v>
      </c>
      <c r="Z386" s="1"/>
      <c r="AA386" s="1" t="s">
        <v>40</v>
      </c>
      <c r="AB386" s="1" t="s">
        <v>223</v>
      </c>
      <c r="AC386" s="1">
        <v>5039.0</v>
      </c>
    </row>
    <row r="387">
      <c r="A387" s="1" t="str">
        <f>"000749"</f>
        <v>000749</v>
      </c>
      <c r="B387" s="1" t="s">
        <v>1819</v>
      </c>
      <c r="C387" s="1" t="s">
        <v>1820</v>
      </c>
      <c r="D387" s="1"/>
      <c r="E387" s="1">
        <v>2523.0</v>
      </c>
      <c r="F387" s="1" t="s">
        <v>44</v>
      </c>
      <c r="G387" s="1" t="s">
        <v>1821</v>
      </c>
      <c r="H387" s="1"/>
      <c r="I387" s="1"/>
      <c r="J387" s="1"/>
      <c r="K387" s="1"/>
      <c r="L387" s="1"/>
      <c r="M387" s="1" t="s">
        <v>1822</v>
      </c>
      <c r="N387" s="1" t="s">
        <v>142</v>
      </c>
      <c r="O387" s="1" t="s">
        <v>474</v>
      </c>
      <c r="P387" s="1"/>
      <c r="Q387" s="3">
        <v>36892.0</v>
      </c>
      <c r="R387" s="1"/>
      <c r="S387" s="1"/>
      <c r="T387" s="1" t="s">
        <v>37</v>
      </c>
      <c r="U387" s="1"/>
      <c r="V387" s="1" t="s">
        <v>38</v>
      </c>
      <c r="W387" s="1"/>
      <c r="X387" s="1"/>
      <c r="Y387" s="1" t="s">
        <v>49</v>
      </c>
      <c r="Z387" s="1"/>
      <c r="AA387" s="1" t="s">
        <v>40</v>
      </c>
      <c r="AB387" s="1" t="s">
        <v>475</v>
      </c>
      <c r="AC387" s="1"/>
    </row>
    <row r="388">
      <c r="A388" s="1" t="str">
        <f>"000768"</f>
        <v>000768</v>
      </c>
      <c r="B388" s="1" t="s">
        <v>1823</v>
      </c>
      <c r="C388" s="1" t="s">
        <v>1824</v>
      </c>
      <c r="D388" s="1" t="str">
        <f>"8023676061"</f>
        <v>8023676061</v>
      </c>
      <c r="E388" s="1">
        <v>3786.0</v>
      </c>
      <c r="F388" s="1" t="s">
        <v>44</v>
      </c>
      <c r="G388" s="1" t="s">
        <v>1825</v>
      </c>
      <c r="H388" s="1">
        <v>4.0</v>
      </c>
      <c r="I388" s="1"/>
      <c r="J388" s="1"/>
      <c r="K388" s="1"/>
      <c r="L388" s="1"/>
      <c r="M388" s="1" t="s">
        <v>72</v>
      </c>
      <c r="N388" s="1" t="s">
        <v>66</v>
      </c>
      <c r="O388" s="1" t="s">
        <v>593</v>
      </c>
      <c r="P388" s="1"/>
      <c r="Q388" s="3">
        <v>36892.0</v>
      </c>
      <c r="R388" s="1"/>
      <c r="S388" s="3">
        <v>39161.0</v>
      </c>
      <c r="T388" s="1" t="s">
        <v>37</v>
      </c>
      <c r="U388" s="1"/>
      <c r="V388" s="1" t="s">
        <v>38</v>
      </c>
      <c r="W388" s="1"/>
      <c r="X388" s="1"/>
      <c r="Y388" s="1" t="s">
        <v>49</v>
      </c>
      <c r="Z388" s="1"/>
      <c r="AA388" s="1" t="s">
        <v>40</v>
      </c>
      <c r="AB388" s="1" t="s">
        <v>594</v>
      </c>
      <c r="AC388" s="1"/>
    </row>
    <row r="389">
      <c r="A389" s="1" t="str">
        <f>"000866"</f>
        <v>000866</v>
      </c>
      <c r="B389" s="1" t="s">
        <v>1826</v>
      </c>
      <c r="C389" s="1" t="s">
        <v>1827</v>
      </c>
      <c r="D389" s="1" t="str">
        <f>"8024395435"</f>
        <v>8024395435</v>
      </c>
      <c r="E389" s="1">
        <v>1717.0</v>
      </c>
      <c r="F389" s="1" t="s">
        <v>31</v>
      </c>
      <c r="G389" s="1" t="s">
        <v>1828</v>
      </c>
      <c r="H389" s="1">
        <v>8.0</v>
      </c>
      <c r="I389" s="1"/>
      <c r="J389" s="1"/>
      <c r="K389" s="1"/>
      <c r="L389" s="1"/>
      <c r="M389" s="1" t="s">
        <v>1829</v>
      </c>
      <c r="N389" s="1" t="s">
        <v>142</v>
      </c>
      <c r="O389" s="1" t="s">
        <v>227</v>
      </c>
      <c r="P389" s="1"/>
      <c r="Q389" s="3">
        <v>36892.0</v>
      </c>
      <c r="R389" s="1"/>
      <c r="S389" s="3">
        <v>37054.0</v>
      </c>
      <c r="T389" s="1" t="s">
        <v>37</v>
      </c>
      <c r="U389" s="1"/>
      <c r="V389" s="1" t="s">
        <v>38</v>
      </c>
      <c r="W389" s="1"/>
      <c r="X389" s="1"/>
      <c r="Y389" s="1" t="s">
        <v>49</v>
      </c>
      <c r="Z389" s="1"/>
      <c r="AA389" s="1" t="s">
        <v>40</v>
      </c>
      <c r="AB389" s="1" t="s">
        <v>228</v>
      </c>
      <c r="AC389" s="1"/>
    </row>
    <row r="390">
      <c r="A390" s="1" t="str">
        <f>"0007WA"</f>
        <v>0007WA</v>
      </c>
      <c r="B390" s="1" t="s">
        <v>157</v>
      </c>
      <c r="C390" s="1" t="s">
        <v>158</v>
      </c>
      <c r="D390" s="1" t="str">
        <f>"8029482057"</f>
        <v>8029482057</v>
      </c>
      <c r="E390" s="1">
        <v>1217.0</v>
      </c>
      <c r="F390" s="1" t="s">
        <v>31</v>
      </c>
      <c r="G390" s="1" t="s">
        <v>1830</v>
      </c>
      <c r="H390" s="1">
        <v>32.0</v>
      </c>
      <c r="I390" s="1"/>
      <c r="J390" s="1"/>
      <c r="K390" s="1"/>
      <c r="L390" s="1"/>
      <c r="M390" s="1" t="s">
        <v>1831</v>
      </c>
      <c r="N390" s="1" t="s">
        <v>161</v>
      </c>
      <c r="O390" s="1" t="s">
        <v>1053</v>
      </c>
      <c r="P390" s="1" t="s">
        <v>1832</v>
      </c>
      <c r="Q390" s="3">
        <v>36892.0</v>
      </c>
      <c r="R390" s="1"/>
      <c r="S390" s="3">
        <v>40094.0</v>
      </c>
      <c r="T390" s="1" t="s">
        <v>164</v>
      </c>
      <c r="U390" s="1"/>
      <c r="V390" s="1" t="s">
        <v>38</v>
      </c>
      <c r="W390" s="1">
        <v>43.8933046999999</v>
      </c>
      <c r="X390" s="1">
        <v>-73.346941</v>
      </c>
      <c r="Y390" s="1" t="s">
        <v>1833</v>
      </c>
      <c r="Z390" s="1"/>
      <c r="AA390" s="1" t="s">
        <v>40</v>
      </c>
      <c r="AB390" s="1" t="s">
        <v>1054</v>
      </c>
      <c r="AC390" s="1">
        <v>0.0</v>
      </c>
    </row>
    <row r="391">
      <c r="A391" s="1" t="str">
        <f>"00070D"</f>
        <v>00070D</v>
      </c>
      <c r="B391" s="1" t="s">
        <v>527</v>
      </c>
      <c r="C391" s="1" t="s">
        <v>528</v>
      </c>
      <c r="D391" s="1" t="str">
        <f>"8024923458"</f>
        <v>8024923458</v>
      </c>
      <c r="E391" s="1">
        <v>41.0</v>
      </c>
      <c r="F391" s="1" t="s">
        <v>31</v>
      </c>
      <c r="G391" s="1" t="s">
        <v>1834</v>
      </c>
      <c r="H391" s="1">
        <v>10.0</v>
      </c>
      <c r="I391" s="1"/>
      <c r="J391" s="1"/>
      <c r="K391" s="1"/>
      <c r="L391" s="1"/>
      <c r="M391" s="1" t="s">
        <v>1835</v>
      </c>
      <c r="N391" s="1" t="s">
        <v>78</v>
      </c>
      <c r="O391" s="1" t="s">
        <v>855</v>
      </c>
      <c r="P391" s="1"/>
      <c r="Q391" s="3">
        <v>36892.0</v>
      </c>
      <c r="R391" s="1"/>
      <c r="S391" s="1"/>
      <c r="T391" s="1" t="s">
        <v>37</v>
      </c>
      <c r="U391" s="1"/>
      <c r="V391" s="1" t="s">
        <v>38</v>
      </c>
      <c r="W391" s="1"/>
      <c r="X391" s="1"/>
      <c r="Y391" s="1" t="s">
        <v>1836</v>
      </c>
      <c r="Z391" s="1"/>
      <c r="AA391" s="1" t="s">
        <v>40</v>
      </c>
      <c r="AB391" s="1" t="s">
        <v>857</v>
      </c>
      <c r="AC391" s="1">
        <v>5700.0</v>
      </c>
    </row>
    <row r="392">
      <c r="A392" s="1" t="str">
        <f>"000776"</f>
        <v>000776</v>
      </c>
      <c r="B392" s="1" t="s">
        <v>1837</v>
      </c>
      <c r="C392" s="1" t="s">
        <v>1838</v>
      </c>
      <c r="D392" s="1" t="str">
        <f>"8022635505"</f>
        <v>8022635505</v>
      </c>
      <c r="E392" s="1">
        <v>3412.0</v>
      </c>
      <c r="F392" s="1" t="s">
        <v>117</v>
      </c>
      <c r="G392" s="1" t="s">
        <v>1839</v>
      </c>
      <c r="H392" s="1">
        <v>3.0</v>
      </c>
      <c r="I392" s="2">
        <v>1.0</v>
      </c>
      <c r="J392" s="2">
        <v>1.0</v>
      </c>
      <c r="K392" s="2" t="s">
        <v>119</v>
      </c>
      <c r="L392" s="1"/>
      <c r="M392" s="1" t="s">
        <v>1840</v>
      </c>
      <c r="N392" s="1" t="s">
        <v>34</v>
      </c>
      <c r="O392" s="1" t="s">
        <v>1085</v>
      </c>
      <c r="P392" s="1" t="s">
        <v>1841</v>
      </c>
      <c r="Q392" s="3">
        <v>36892.0</v>
      </c>
      <c r="R392" s="1"/>
      <c r="S392" s="1"/>
      <c r="T392" s="1" t="s">
        <v>37</v>
      </c>
      <c r="U392" s="1"/>
      <c r="V392" s="1" t="s">
        <v>38</v>
      </c>
      <c r="W392" s="1">
        <v>43.378098</v>
      </c>
      <c r="X392" s="1">
        <v>-72.4841665</v>
      </c>
      <c r="Y392" s="1" t="s">
        <v>1842</v>
      </c>
      <c r="Z392" s="1"/>
      <c r="AA392" s="1" t="s">
        <v>40</v>
      </c>
      <c r="AB392" s="1" t="s">
        <v>1086</v>
      </c>
      <c r="AC392" s="1">
        <v>5151.0</v>
      </c>
    </row>
    <row r="393">
      <c r="A393" s="1" t="str">
        <f>"00084A"</f>
        <v>00084A</v>
      </c>
      <c r="B393" s="1" t="s">
        <v>1843</v>
      </c>
      <c r="C393" s="1" t="s">
        <v>1844</v>
      </c>
      <c r="D393" s="1" t="str">
        <f>"8024462565"</f>
        <v>8024462565</v>
      </c>
      <c r="E393" s="1">
        <v>2719.0</v>
      </c>
      <c r="F393" s="1" t="s">
        <v>44</v>
      </c>
      <c r="G393" s="1" t="s">
        <v>1845</v>
      </c>
      <c r="H393" s="1">
        <v>3.0</v>
      </c>
      <c r="I393" s="1"/>
      <c r="J393" s="1"/>
      <c r="K393" s="1"/>
      <c r="L393" s="1"/>
      <c r="M393" s="1" t="s">
        <v>1846</v>
      </c>
      <c r="N393" s="1" t="s">
        <v>78</v>
      </c>
      <c r="O393" s="1" t="s">
        <v>1124</v>
      </c>
      <c r="P393" s="1"/>
      <c r="Q393" s="3">
        <v>36892.0</v>
      </c>
      <c r="R393" s="1"/>
      <c r="S393" s="3">
        <v>34855.0</v>
      </c>
      <c r="T393" s="1" t="s">
        <v>37</v>
      </c>
      <c r="U393" s="1"/>
      <c r="V393" s="1" t="s">
        <v>38</v>
      </c>
      <c r="W393" s="1"/>
      <c r="X393" s="1"/>
      <c r="Y393" s="1" t="s">
        <v>49</v>
      </c>
      <c r="Z393" s="1"/>
      <c r="AA393" s="1" t="s">
        <v>40</v>
      </c>
      <c r="AB393" s="1" t="s">
        <v>1127</v>
      </c>
      <c r="AC393" s="1"/>
    </row>
    <row r="394">
      <c r="A394" s="1" t="str">
        <f>"0008W5"</f>
        <v>0008W5</v>
      </c>
      <c r="B394" s="1" t="s">
        <v>1847</v>
      </c>
      <c r="C394" s="1" t="s">
        <v>1848</v>
      </c>
      <c r="D394" s="1" t="str">
        <f>"8025452483"</f>
        <v>8025452483</v>
      </c>
      <c r="E394" s="1">
        <v>3374.0</v>
      </c>
      <c r="F394" s="1" t="s">
        <v>44</v>
      </c>
      <c r="G394" s="1" t="s">
        <v>1849</v>
      </c>
      <c r="H394" s="1">
        <v>2.0</v>
      </c>
      <c r="I394" s="1"/>
      <c r="J394" s="1"/>
      <c r="K394" s="1"/>
      <c r="L394" s="1"/>
      <c r="M394" s="1" t="s">
        <v>72</v>
      </c>
      <c r="N394" s="1" t="s">
        <v>161</v>
      </c>
      <c r="O394" s="1" t="s">
        <v>185</v>
      </c>
      <c r="P394" s="1"/>
      <c r="Q394" s="3">
        <v>36892.0</v>
      </c>
      <c r="R394" s="1"/>
      <c r="S394" s="3">
        <v>37174.0</v>
      </c>
      <c r="T394" s="1" t="s">
        <v>37</v>
      </c>
      <c r="U394" s="1"/>
      <c r="V394" s="1" t="s">
        <v>38</v>
      </c>
      <c r="W394" s="1"/>
      <c r="X394" s="1"/>
      <c r="Y394" s="1" t="s">
        <v>49</v>
      </c>
      <c r="Z394" s="1"/>
      <c r="AA394" s="1" t="s">
        <v>40</v>
      </c>
      <c r="AB394" s="1" t="s">
        <v>186</v>
      </c>
      <c r="AC394" s="1"/>
    </row>
    <row r="395">
      <c r="A395" s="1" t="str">
        <f>"0008G9"</f>
        <v>0008G9</v>
      </c>
      <c r="B395" s="1" t="s">
        <v>1850</v>
      </c>
      <c r="C395" s="1" t="s">
        <v>1851</v>
      </c>
      <c r="D395" s="1"/>
      <c r="E395" s="1">
        <v>2594.0</v>
      </c>
      <c r="F395" s="1" t="s">
        <v>44</v>
      </c>
      <c r="G395" s="1" t="s">
        <v>1852</v>
      </c>
      <c r="H395" s="1">
        <v>20.0</v>
      </c>
      <c r="I395" s="1"/>
      <c r="J395" s="1"/>
      <c r="K395" s="1"/>
      <c r="L395" s="1"/>
      <c r="M395" s="1" t="s">
        <v>1853</v>
      </c>
      <c r="N395" s="1" t="s">
        <v>57</v>
      </c>
      <c r="O395" s="1" t="s">
        <v>238</v>
      </c>
      <c r="P395" s="1"/>
      <c r="Q395" s="3">
        <v>36892.0</v>
      </c>
      <c r="R395" s="1"/>
      <c r="S395" s="3">
        <v>33031.0</v>
      </c>
      <c r="T395" s="1" t="s">
        <v>37</v>
      </c>
      <c r="U395" s="1"/>
      <c r="V395" s="1" t="s">
        <v>38</v>
      </c>
      <c r="W395" s="1"/>
      <c r="X395" s="1"/>
      <c r="Y395" s="1" t="s">
        <v>49</v>
      </c>
      <c r="Z395" s="1"/>
      <c r="AA395" s="1" t="s">
        <v>40</v>
      </c>
      <c r="AB395" s="1" t="s">
        <v>239</v>
      </c>
      <c r="AC395" s="1"/>
    </row>
    <row r="396">
      <c r="A396" s="1" t="str">
        <f>"0008C5"</f>
        <v>0008C5</v>
      </c>
      <c r="B396" s="1" t="s">
        <v>1854</v>
      </c>
      <c r="C396" s="1" t="s">
        <v>1855</v>
      </c>
      <c r="D396" s="1" t="str">
        <f>"8024573879"</f>
        <v>8024573879</v>
      </c>
      <c r="E396" s="1">
        <v>2027.0</v>
      </c>
      <c r="F396" s="1" t="s">
        <v>44</v>
      </c>
      <c r="G396" s="1" t="s">
        <v>1856</v>
      </c>
      <c r="H396" s="1">
        <v>2.0</v>
      </c>
      <c r="I396" s="1"/>
      <c r="J396" s="1"/>
      <c r="K396" s="1"/>
      <c r="L396" s="1"/>
      <c r="M396" s="1" t="s">
        <v>72</v>
      </c>
      <c r="N396" s="1" t="s">
        <v>34</v>
      </c>
      <c r="O396" s="1" t="s">
        <v>324</v>
      </c>
      <c r="P396" s="1"/>
      <c r="Q396" s="3">
        <v>36892.0</v>
      </c>
      <c r="R396" s="1"/>
      <c r="S396" s="3">
        <v>36740.0</v>
      </c>
      <c r="T396" s="1" t="s">
        <v>37</v>
      </c>
      <c r="U396" s="1"/>
      <c r="V396" s="1" t="s">
        <v>38</v>
      </c>
      <c r="W396" s="1"/>
      <c r="X396" s="1"/>
      <c r="Y396" s="1" t="s">
        <v>49</v>
      </c>
      <c r="Z396" s="1"/>
      <c r="AA396" s="1" t="s">
        <v>40</v>
      </c>
      <c r="AB396" s="1" t="s">
        <v>326</v>
      </c>
      <c r="AC396" s="1"/>
    </row>
    <row r="397">
      <c r="A397" s="1" t="str">
        <f>"0008C4"</f>
        <v>0008C4</v>
      </c>
      <c r="B397" s="1" t="s">
        <v>1857</v>
      </c>
      <c r="C397" s="1" t="s">
        <v>1858</v>
      </c>
      <c r="D397" s="1" t="str">
        <f>"8028797977"</f>
        <v>8028797977</v>
      </c>
      <c r="E397" s="1">
        <v>3016.0</v>
      </c>
      <c r="F397" s="1" t="s">
        <v>44</v>
      </c>
      <c r="G397" s="1" t="s">
        <v>1859</v>
      </c>
      <c r="H397" s="1">
        <v>15.0</v>
      </c>
      <c r="I397" s="1"/>
      <c r="J397" s="1"/>
      <c r="K397" s="1"/>
      <c r="L397" s="1"/>
      <c r="M397" s="1" t="s">
        <v>72</v>
      </c>
      <c r="N397" s="1" t="s">
        <v>57</v>
      </c>
      <c r="O397" s="1" t="s">
        <v>509</v>
      </c>
      <c r="P397" s="1"/>
      <c r="Q397" s="3">
        <v>36892.0</v>
      </c>
      <c r="R397" s="1"/>
      <c r="S397" s="3">
        <v>38126.0</v>
      </c>
      <c r="T397" s="1" t="s">
        <v>37</v>
      </c>
      <c r="U397" s="1"/>
      <c r="V397" s="1" t="s">
        <v>38</v>
      </c>
      <c r="W397" s="1"/>
      <c r="X397" s="1"/>
      <c r="Y397" s="1" t="s">
        <v>49</v>
      </c>
      <c r="Z397" s="1"/>
      <c r="AA397" s="1" t="s">
        <v>40</v>
      </c>
      <c r="AB397" s="1" t="s">
        <v>331</v>
      </c>
      <c r="AC397" s="1"/>
    </row>
    <row r="398">
      <c r="A398" s="1" t="str">
        <f>"0007BB"</f>
        <v>0007BB</v>
      </c>
      <c r="B398" s="1" t="s">
        <v>1860</v>
      </c>
      <c r="C398" s="1" t="s">
        <v>1861</v>
      </c>
      <c r="D398" s="1" t="str">
        <f>"8028937595"</f>
        <v>8028937595</v>
      </c>
      <c r="E398" s="1">
        <v>3620.0</v>
      </c>
      <c r="F398" s="1" t="s">
        <v>44</v>
      </c>
      <c r="G398" s="1" t="s">
        <v>1862</v>
      </c>
      <c r="H398" s="1"/>
      <c r="I398" s="1"/>
      <c r="J398" s="1"/>
      <c r="K398" s="1"/>
      <c r="L398" s="1"/>
      <c r="M398" s="1" t="s">
        <v>72</v>
      </c>
      <c r="N398" s="1" t="s">
        <v>57</v>
      </c>
      <c r="O398" s="1" t="s">
        <v>256</v>
      </c>
      <c r="P398" s="1"/>
      <c r="Q398" s="3">
        <v>36892.0</v>
      </c>
      <c r="R398" s="1"/>
      <c r="S398" s="1"/>
      <c r="T398" s="1" t="s">
        <v>37</v>
      </c>
      <c r="U398" s="1"/>
      <c r="V398" s="1" t="s">
        <v>38</v>
      </c>
      <c r="W398" s="1"/>
      <c r="X398" s="1"/>
      <c r="Y398" s="1" t="s">
        <v>49</v>
      </c>
      <c r="Z398" s="1"/>
      <c r="AA398" s="1" t="s">
        <v>40</v>
      </c>
      <c r="AB398" s="1" t="s">
        <v>257</v>
      </c>
      <c r="AC398" s="1"/>
    </row>
    <row r="399">
      <c r="A399" s="1" t="str">
        <f>"0008C3"</f>
        <v>0008C3</v>
      </c>
      <c r="B399" s="1" t="s">
        <v>1863</v>
      </c>
      <c r="C399" s="1" t="s">
        <v>1864</v>
      </c>
      <c r="D399" s="1"/>
      <c r="E399" s="1">
        <v>2024.0</v>
      </c>
      <c r="F399" s="1" t="s">
        <v>44</v>
      </c>
      <c r="G399" s="1" t="s">
        <v>1865</v>
      </c>
      <c r="H399" s="1">
        <v>6.0</v>
      </c>
      <c r="I399" s="1"/>
      <c r="J399" s="1"/>
      <c r="K399" s="1"/>
      <c r="L399" s="1"/>
      <c r="M399" s="1" t="s">
        <v>1866</v>
      </c>
      <c r="N399" s="1" t="s">
        <v>34</v>
      </c>
      <c r="O399" s="1" t="s">
        <v>1237</v>
      </c>
      <c r="P399" s="1"/>
      <c r="Q399" s="3">
        <v>36892.0</v>
      </c>
      <c r="R399" s="1"/>
      <c r="S399" s="3">
        <v>32366.0</v>
      </c>
      <c r="T399" s="1" t="s">
        <v>37</v>
      </c>
      <c r="U399" s="1"/>
      <c r="V399" s="1" t="s">
        <v>38</v>
      </c>
      <c r="W399" s="1"/>
      <c r="X399" s="1"/>
      <c r="Y399" s="1" t="s">
        <v>49</v>
      </c>
      <c r="Z399" s="1"/>
      <c r="AA399" s="1" t="s">
        <v>40</v>
      </c>
      <c r="AB399" s="1" t="s">
        <v>1238</v>
      </c>
      <c r="AC399" s="1"/>
    </row>
    <row r="400">
      <c r="A400" s="1" t="str">
        <f>"00077M"</f>
        <v>00077M</v>
      </c>
      <c r="B400" s="1" t="s">
        <v>1867</v>
      </c>
      <c r="C400" s="1" t="s">
        <v>1868</v>
      </c>
      <c r="D400" s="1" t="str">
        <f>"8024843370"</f>
        <v>8024843370</v>
      </c>
      <c r="E400" s="1">
        <v>394.0</v>
      </c>
      <c r="F400" s="1" t="s">
        <v>44</v>
      </c>
      <c r="G400" s="1" t="s">
        <v>1869</v>
      </c>
      <c r="H400" s="1">
        <v>1.0</v>
      </c>
      <c r="I400" s="1"/>
      <c r="J400" s="1"/>
      <c r="K400" s="1"/>
      <c r="L400" s="1"/>
      <c r="M400" s="1" t="s">
        <v>33</v>
      </c>
      <c r="N400" s="1" t="s">
        <v>34</v>
      </c>
      <c r="O400" s="1" t="s">
        <v>1870</v>
      </c>
      <c r="P400" s="1"/>
      <c r="Q400" s="3">
        <v>36892.0</v>
      </c>
      <c r="R400" s="1"/>
      <c r="S400" s="3">
        <v>32272.0</v>
      </c>
      <c r="T400" s="1" t="s">
        <v>37</v>
      </c>
      <c r="U400" s="1"/>
      <c r="V400" s="1" t="s">
        <v>38</v>
      </c>
      <c r="W400" s="1">
        <v>43.4667155</v>
      </c>
      <c r="X400" s="1">
        <v>-72.4736017</v>
      </c>
      <c r="Y400" s="1" t="s">
        <v>1871</v>
      </c>
      <c r="Z400" s="1"/>
      <c r="AA400" s="1" t="s">
        <v>40</v>
      </c>
      <c r="AB400" s="1" t="s">
        <v>1872</v>
      </c>
      <c r="AC400" s="1">
        <v>5037.0</v>
      </c>
    </row>
    <row r="401">
      <c r="A401" s="1" t="str">
        <f>"0008C2"</f>
        <v>0008C2</v>
      </c>
      <c r="B401" s="1" t="s">
        <v>1873</v>
      </c>
      <c r="C401" s="1" t="s">
        <v>1874</v>
      </c>
      <c r="D401" s="1"/>
      <c r="E401" s="1">
        <v>2023.0</v>
      </c>
      <c r="F401" s="1" t="s">
        <v>44</v>
      </c>
      <c r="G401" s="1" t="s">
        <v>1875</v>
      </c>
      <c r="H401" s="1">
        <v>3.0</v>
      </c>
      <c r="I401" s="1"/>
      <c r="J401" s="1"/>
      <c r="K401" s="1"/>
      <c r="L401" s="1"/>
      <c r="M401" s="1" t="s">
        <v>1876</v>
      </c>
      <c r="N401" s="1" t="s">
        <v>66</v>
      </c>
      <c r="O401" s="1" t="s">
        <v>1877</v>
      </c>
      <c r="P401" s="1"/>
      <c r="Q401" s="3">
        <v>36892.0</v>
      </c>
      <c r="R401" s="1"/>
      <c r="S401" s="3">
        <v>32689.0</v>
      </c>
      <c r="T401" s="1" t="s">
        <v>37</v>
      </c>
      <c r="U401" s="1"/>
      <c r="V401" s="1" t="s">
        <v>38</v>
      </c>
      <c r="W401" s="1"/>
      <c r="X401" s="1"/>
      <c r="Y401" s="1" t="s">
        <v>49</v>
      </c>
      <c r="Z401" s="1"/>
      <c r="AA401" s="1" t="s">
        <v>40</v>
      </c>
      <c r="AB401" s="1" t="s">
        <v>1878</v>
      </c>
      <c r="AC401" s="1"/>
    </row>
    <row r="402">
      <c r="A402" s="1" t="str">
        <f>"0008C1"</f>
        <v>0008C1</v>
      </c>
      <c r="B402" s="1" t="s">
        <v>1879</v>
      </c>
      <c r="C402" s="1" t="s">
        <v>1880</v>
      </c>
      <c r="D402" s="1" t="str">
        <f>"8022542126"</f>
        <v>8022542126</v>
      </c>
      <c r="E402" s="1">
        <v>2022.0</v>
      </c>
      <c r="F402" s="1" t="s">
        <v>44</v>
      </c>
      <c r="G402" s="1" t="s">
        <v>1881</v>
      </c>
      <c r="H402" s="1">
        <v>1.0</v>
      </c>
      <c r="I402" s="1"/>
      <c r="J402" s="1"/>
      <c r="K402" s="1"/>
      <c r="L402" s="1"/>
      <c r="M402" s="1" t="s">
        <v>72</v>
      </c>
      <c r="N402" s="1" t="s">
        <v>66</v>
      </c>
      <c r="O402" s="1" t="s">
        <v>1256</v>
      </c>
      <c r="P402" s="1"/>
      <c r="Q402" s="3">
        <v>36892.0</v>
      </c>
      <c r="R402" s="1"/>
      <c r="S402" s="3">
        <v>32707.0</v>
      </c>
      <c r="T402" s="1" t="s">
        <v>37</v>
      </c>
      <c r="U402" s="1"/>
      <c r="V402" s="1" t="s">
        <v>38</v>
      </c>
      <c r="W402" s="1"/>
      <c r="X402" s="1"/>
      <c r="Y402" s="1" t="s">
        <v>49</v>
      </c>
      <c r="Z402" s="1"/>
      <c r="AA402" s="1" t="s">
        <v>40</v>
      </c>
      <c r="AB402" s="1" t="s">
        <v>1257</v>
      </c>
      <c r="AC402" s="1"/>
    </row>
    <row r="403">
      <c r="A403" s="1" t="str">
        <f>"0007H4"</f>
        <v>0007H4</v>
      </c>
      <c r="B403" s="1" t="s">
        <v>1882</v>
      </c>
      <c r="C403" s="1" t="s">
        <v>1883</v>
      </c>
      <c r="D403" s="1" t="str">
        <f>"8022570284"</f>
        <v>8022570284</v>
      </c>
      <c r="E403" s="1">
        <v>2021.0</v>
      </c>
      <c r="F403" s="1" t="s">
        <v>44</v>
      </c>
      <c r="G403" s="1" t="s">
        <v>1884</v>
      </c>
      <c r="H403" s="1">
        <v>1.0</v>
      </c>
      <c r="I403" s="1"/>
      <c r="J403" s="1"/>
      <c r="K403" s="1"/>
      <c r="L403" s="1"/>
      <c r="M403" s="1" t="s">
        <v>72</v>
      </c>
      <c r="N403" s="1" t="s">
        <v>66</v>
      </c>
      <c r="O403" s="1" t="s">
        <v>1256</v>
      </c>
      <c r="P403" s="1"/>
      <c r="Q403" s="3">
        <v>36892.0</v>
      </c>
      <c r="R403" s="1"/>
      <c r="S403" s="3">
        <v>32713.0</v>
      </c>
      <c r="T403" s="1" t="s">
        <v>37</v>
      </c>
      <c r="U403" s="1"/>
      <c r="V403" s="1" t="s">
        <v>38</v>
      </c>
      <c r="W403" s="1"/>
      <c r="X403" s="1"/>
      <c r="Y403" s="1" t="s">
        <v>49</v>
      </c>
      <c r="Z403" s="1"/>
      <c r="AA403" s="1" t="s">
        <v>40</v>
      </c>
      <c r="AB403" s="1" t="s">
        <v>1257</v>
      </c>
      <c r="AC403" s="1"/>
    </row>
    <row r="404">
      <c r="A404" s="1" t="str">
        <f>"0008C0"</f>
        <v>0008C0</v>
      </c>
      <c r="B404" s="1" t="s">
        <v>1885</v>
      </c>
      <c r="C404" s="1" t="s">
        <v>1886</v>
      </c>
      <c r="D404" s="1" t="str">
        <f>"8022571311"</f>
        <v>8022571311</v>
      </c>
      <c r="E404" s="1">
        <v>2020.0</v>
      </c>
      <c r="F404" s="1" t="s">
        <v>44</v>
      </c>
      <c r="G404" s="1" t="s">
        <v>1887</v>
      </c>
      <c r="H404" s="1"/>
      <c r="I404" s="1"/>
      <c r="J404" s="1"/>
      <c r="K404" s="1"/>
      <c r="L404" s="1"/>
      <c r="M404" s="1" t="s">
        <v>1888</v>
      </c>
      <c r="N404" s="1" t="s">
        <v>142</v>
      </c>
      <c r="O404" s="1" t="s">
        <v>222</v>
      </c>
      <c r="P404" s="1"/>
      <c r="Q404" s="3">
        <v>36892.0</v>
      </c>
      <c r="R404" s="1"/>
      <c r="S404" s="1"/>
      <c r="T404" s="1" t="s">
        <v>37</v>
      </c>
      <c r="U404" s="1"/>
      <c r="V404" s="1" t="s">
        <v>38</v>
      </c>
      <c r="W404" s="1"/>
      <c r="X404" s="1"/>
      <c r="Y404" s="1" t="s">
        <v>49</v>
      </c>
      <c r="Z404" s="1"/>
      <c r="AA404" s="1" t="s">
        <v>40</v>
      </c>
      <c r="AB404" s="1" t="s">
        <v>223</v>
      </c>
      <c r="AC404" s="1"/>
    </row>
    <row r="405">
      <c r="A405" s="1" t="str">
        <f>"0008BZ"</f>
        <v>0008BZ</v>
      </c>
      <c r="B405" s="1" t="s">
        <v>1889</v>
      </c>
      <c r="C405" s="1" t="s">
        <v>1890</v>
      </c>
      <c r="D405" s="1" t="str">
        <f>"8022575833"</f>
        <v>8022575833</v>
      </c>
      <c r="E405" s="1">
        <v>2019.0</v>
      </c>
      <c r="F405" s="1" t="s">
        <v>44</v>
      </c>
      <c r="G405" s="1" t="s">
        <v>1891</v>
      </c>
      <c r="H405" s="1">
        <v>1.0</v>
      </c>
      <c r="I405" s="1"/>
      <c r="J405" s="1"/>
      <c r="K405" s="1"/>
      <c r="L405" s="1"/>
      <c r="M405" s="1" t="s">
        <v>1892</v>
      </c>
      <c r="N405" s="1" t="s">
        <v>66</v>
      </c>
      <c r="O405" s="1" t="s">
        <v>73</v>
      </c>
      <c r="P405" s="1"/>
      <c r="Q405" s="3">
        <v>36892.0</v>
      </c>
      <c r="R405" s="1"/>
      <c r="S405" s="3">
        <v>32653.0</v>
      </c>
      <c r="T405" s="1" t="s">
        <v>37</v>
      </c>
      <c r="U405" s="1"/>
      <c r="V405" s="1" t="s">
        <v>38</v>
      </c>
      <c r="W405" s="1"/>
      <c r="X405" s="1"/>
      <c r="Y405" s="1" t="s">
        <v>49</v>
      </c>
      <c r="Z405" s="1"/>
      <c r="AA405" s="1" t="s">
        <v>40</v>
      </c>
      <c r="AB405" s="1" t="s">
        <v>74</v>
      </c>
      <c r="AC405" s="1"/>
    </row>
    <row r="406">
      <c r="A406" s="1" t="str">
        <f>"0008BY"</f>
        <v>0008BY</v>
      </c>
      <c r="B406" s="1" t="s">
        <v>1893</v>
      </c>
      <c r="C406" s="1" t="s">
        <v>1894</v>
      </c>
      <c r="D406" s="1" t="str">
        <f>"8022571608"</f>
        <v>8022571608</v>
      </c>
      <c r="E406" s="1">
        <v>2018.0</v>
      </c>
      <c r="F406" s="1" t="s">
        <v>44</v>
      </c>
      <c r="G406" s="1" t="s">
        <v>1895</v>
      </c>
      <c r="H406" s="1">
        <v>1.0</v>
      </c>
      <c r="I406" s="1"/>
      <c r="J406" s="1"/>
      <c r="K406" s="1"/>
      <c r="L406" s="1"/>
      <c r="M406" s="1" t="s">
        <v>72</v>
      </c>
      <c r="N406" s="1" t="s">
        <v>66</v>
      </c>
      <c r="O406" s="1" t="s">
        <v>73</v>
      </c>
      <c r="P406" s="1"/>
      <c r="Q406" s="3">
        <v>36892.0</v>
      </c>
      <c r="R406" s="1"/>
      <c r="S406" s="3">
        <v>33827.0</v>
      </c>
      <c r="T406" s="1" t="s">
        <v>37</v>
      </c>
      <c r="U406" s="1"/>
      <c r="V406" s="1" t="s">
        <v>38</v>
      </c>
      <c r="W406" s="1"/>
      <c r="X406" s="1"/>
      <c r="Y406" s="1" t="s">
        <v>49</v>
      </c>
      <c r="Z406" s="1"/>
      <c r="AA406" s="1" t="s">
        <v>40</v>
      </c>
      <c r="AB406" s="1" t="s">
        <v>74</v>
      </c>
      <c r="AC406" s="1"/>
    </row>
    <row r="407">
      <c r="A407" s="1" t="str">
        <f>"0008BX"</f>
        <v>0008BX</v>
      </c>
      <c r="B407" s="1" t="s">
        <v>1896</v>
      </c>
      <c r="C407" s="1" t="s">
        <v>1897</v>
      </c>
      <c r="D407" s="1" t="str">
        <f>"8022545791"</f>
        <v>8022545791</v>
      </c>
      <c r="E407" s="1">
        <v>2017.0</v>
      </c>
      <c r="F407" s="1" t="s">
        <v>44</v>
      </c>
      <c r="G407" s="1" t="s">
        <v>1898</v>
      </c>
      <c r="H407" s="1">
        <v>2.0</v>
      </c>
      <c r="I407" s="1"/>
      <c r="J407" s="1"/>
      <c r="K407" s="1"/>
      <c r="L407" s="1"/>
      <c r="M407" s="1" t="s">
        <v>72</v>
      </c>
      <c r="N407" s="1" t="s">
        <v>66</v>
      </c>
      <c r="O407" s="1" t="s">
        <v>73</v>
      </c>
      <c r="P407" s="1"/>
      <c r="Q407" s="3">
        <v>36892.0</v>
      </c>
      <c r="R407" s="1"/>
      <c r="S407" s="3">
        <v>33827.0</v>
      </c>
      <c r="T407" s="1" t="s">
        <v>37</v>
      </c>
      <c r="U407" s="1"/>
      <c r="V407" s="1" t="s">
        <v>38</v>
      </c>
      <c r="W407" s="1"/>
      <c r="X407" s="1"/>
      <c r="Y407" s="1" t="s">
        <v>49</v>
      </c>
      <c r="Z407" s="1"/>
      <c r="AA407" s="1" t="s">
        <v>40</v>
      </c>
      <c r="AB407" s="1" t="s">
        <v>74</v>
      </c>
      <c r="AC407" s="1"/>
    </row>
    <row r="408">
      <c r="A408" s="1" t="str">
        <f>"0008BW"</f>
        <v>0008BW</v>
      </c>
      <c r="B408" s="1" t="s">
        <v>1899</v>
      </c>
      <c r="C408" s="1" t="s">
        <v>1900</v>
      </c>
      <c r="D408" s="1"/>
      <c r="E408" s="1">
        <v>2016.0</v>
      </c>
      <c r="F408" s="1" t="s">
        <v>44</v>
      </c>
      <c r="G408" s="1" t="s">
        <v>1901</v>
      </c>
      <c r="H408" s="1">
        <v>2.0</v>
      </c>
      <c r="I408" s="1"/>
      <c r="J408" s="1"/>
      <c r="K408" s="1"/>
      <c r="L408" s="1"/>
      <c r="M408" s="1" t="s">
        <v>1902</v>
      </c>
      <c r="N408" s="1" t="s">
        <v>66</v>
      </c>
      <c r="O408" s="1" t="s">
        <v>1256</v>
      </c>
      <c r="P408" s="1"/>
      <c r="Q408" s="3">
        <v>36892.0</v>
      </c>
      <c r="R408" s="1"/>
      <c r="S408" s="3">
        <v>32715.0</v>
      </c>
      <c r="T408" s="1" t="s">
        <v>37</v>
      </c>
      <c r="U408" s="1"/>
      <c r="V408" s="1" t="s">
        <v>38</v>
      </c>
      <c r="W408" s="1"/>
      <c r="X408" s="1"/>
      <c r="Y408" s="1" t="s">
        <v>49</v>
      </c>
      <c r="Z408" s="1"/>
      <c r="AA408" s="1" t="s">
        <v>40</v>
      </c>
      <c r="AB408" s="1" t="s">
        <v>1257</v>
      </c>
      <c r="AC408" s="1"/>
    </row>
    <row r="409">
      <c r="A409" s="1" t="str">
        <f>"0008BV"</f>
        <v>0008BV</v>
      </c>
      <c r="B409" s="1" t="s">
        <v>1903</v>
      </c>
      <c r="C409" s="1" t="s">
        <v>1904</v>
      </c>
      <c r="D409" s="1"/>
      <c r="E409" s="1">
        <v>2015.0</v>
      </c>
      <c r="F409" s="1" t="s">
        <v>44</v>
      </c>
      <c r="G409" s="1" t="s">
        <v>1905</v>
      </c>
      <c r="H409" s="1"/>
      <c r="I409" s="1"/>
      <c r="J409" s="1"/>
      <c r="K409" s="1"/>
      <c r="L409" s="1"/>
      <c r="M409" s="1" t="s">
        <v>1906</v>
      </c>
      <c r="N409" s="1" t="s">
        <v>66</v>
      </c>
      <c r="O409" s="1" t="s">
        <v>1199</v>
      </c>
      <c r="P409" s="1"/>
      <c r="Q409" s="3">
        <v>36892.0</v>
      </c>
      <c r="R409" s="1"/>
      <c r="S409" s="1"/>
      <c r="T409" s="1" t="s">
        <v>37</v>
      </c>
      <c r="U409" s="1"/>
      <c r="V409" s="1" t="s">
        <v>38</v>
      </c>
      <c r="W409" s="1"/>
      <c r="X409" s="1"/>
      <c r="Y409" s="1" t="s">
        <v>49</v>
      </c>
      <c r="Z409" s="1"/>
      <c r="AA409" s="1" t="s">
        <v>40</v>
      </c>
      <c r="AB409" s="1" t="s">
        <v>1200</v>
      </c>
      <c r="AC409" s="1"/>
    </row>
    <row r="410">
      <c r="A410" s="1" t="str">
        <f>"00080A"</f>
        <v>00080A</v>
      </c>
      <c r="B410" s="1" t="s">
        <v>1907</v>
      </c>
      <c r="C410" s="1" t="s">
        <v>1908</v>
      </c>
      <c r="D410" s="1" t="str">
        <f>"8024965216"</f>
        <v>8024965216</v>
      </c>
      <c r="E410" s="1">
        <v>3998.0</v>
      </c>
      <c r="F410" s="1" t="s">
        <v>44</v>
      </c>
      <c r="G410" s="1" t="s">
        <v>1909</v>
      </c>
      <c r="H410" s="1">
        <v>1.0</v>
      </c>
      <c r="I410" s="1"/>
      <c r="J410" s="1"/>
      <c r="K410" s="1"/>
      <c r="L410" s="1"/>
      <c r="M410" s="1" t="s">
        <v>72</v>
      </c>
      <c r="N410" s="1" t="s">
        <v>135</v>
      </c>
      <c r="O410" s="1" t="s">
        <v>1798</v>
      </c>
      <c r="P410" s="1"/>
      <c r="Q410" s="3">
        <v>36892.0</v>
      </c>
      <c r="R410" s="1"/>
      <c r="S410" s="3">
        <v>39757.0</v>
      </c>
      <c r="T410" s="1" t="s">
        <v>37</v>
      </c>
      <c r="U410" s="1"/>
      <c r="V410" s="1" t="s">
        <v>38</v>
      </c>
      <c r="W410" s="1"/>
      <c r="X410" s="1"/>
      <c r="Y410" s="1" t="s">
        <v>49</v>
      </c>
      <c r="Z410" s="1"/>
      <c r="AA410" s="1" t="s">
        <v>40</v>
      </c>
      <c r="AB410" s="1" t="s">
        <v>1799</v>
      </c>
      <c r="AC410" s="1"/>
    </row>
    <row r="411">
      <c r="A411" s="1" t="str">
        <f>"000851"</f>
        <v>000851</v>
      </c>
      <c r="B411" s="1" t="s">
        <v>1910</v>
      </c>
      <c r="C411" s="1" t="s">
        <v>1911</v>
      </c>
      <c r="D411" s="1" t="str">
        <f>"5168485461"</f>
        <v>5168485461</v>
      </c>
      <c r="E411" s="1">
        <v>3993.0</v>
      </c>
      <c r="F411" s="1" t="s">
        <v>44</v>
      </c>
      <c r="G411" s="1" t="s">
        <v>1912</v>
      </c>
      <c r="H411" s="1">
        <v>0.0</v>
      </c>
      <c r="I411" s="1"/>
      <c r="J411" s="1"/>
      <c r="K411" s="1"/>
      <c r="L411" s="1"/>
      <c r="M411" s="1" t="s">
        <v>93</v>
      </c>
      <c r="N411" s="1" t="s">
        <v>161</v>
      </c>
      <c r="O411" s="1" t="s">
        <v>185</v>
      </c>
      <c r="P411" s="1"/>
      <c r="Q411" s="3">
        <v>36892.0</v>
      </c>
      <c r="R411" s="1"/>
      <c r="S411" s="3">
        <v>40256.0</v>
      </c>
      <c r="T411" s="1" t="s">
        <v>37</v>
      </c>
      <c r="U411" s="1"/>
      <c r="V411" s="1" t="s">
        <v>38</v>
      </c>
      <c r="W411" s="1"/>
      <c r="X411" s="1"/>
      <c r="Y411" s="1" t="s">
        <v>49</v>
      </c>
      <c r="Z411" s="1"/>
      <c r="AA411" s="1" t="s">
        <v>40</v>
      </c>
      <c r="AB411" s="1" t="s">
        <v>186</v>
      </c>
      <c r="AC411" s="1"/>
    </row>
    <row r="412">
      <c r="A412" s="1" t="str">
        <f>"0008BP"</f>
        <v>0008BP</v>
      </c>
      <c r="B412" s="1" t="s">
        <v>1913</v>
      </c>
      <c r="C412" s="1" t="s">
        <v>1914</v>
      </c>
      <c r="D412" s="1" t="str">
        <f>"8028753209"</f>
        <v>8028753209</v>
      </c>
      <c r="E412" s="1">
        <v>2013.0</v>
      </c>
      <c r="F412" s="1" t="s">
        <v>44</v>
      </c>
      <c r="G412" s="1" t="s">
        <v>1915</v>
      </c>
      <c r="H412" s="1">
        <v>1.0</v>
      </c>
      <c r="I412" s="1"/>
      <c r="J412" s="1"/>
      <c r="K412" s="1"/>
      <c r="L412" s="1"/>
      <c r="M412" s="1" t="s">
        <v>1916</v>
      </c>
      <c r="N412" s="1" t="s">
        <v>34</v>
      </c>
      <c r="O412" s="1" t="s">
        <v>565</v>
      </c>
      <c r="P412" s="1"/>
      <c r="Q412" s="3">
        <v>36892.0</v>
      </c>
      <c r="R412" s="1"/>
      <c r="S412" s="3">
        <v>32358.0</v>
      </c>
      <c r="T412" s="1" t="s">
        <v>37</v>
      </c>
      <c r="U412" s="1"/>
      <c r="V412" s="1" t="s">
        <v>38</v>
      </c>
      <c r="W412" s="1"/>
      <c r="X412" s="1"/>
      <c r="Y412" s="1" t="s">
        <v>49</v>
      </c>
      <c r="Z412" s="1"/>
      <c r="AA412" s="1" t="s">
        <v>40</v>
      </c>
      <c r="AB412" s="1" t="s">
        <v>566</v>
      </c>
      <c r="AC412" s="1"/>
    </row>
    <row r="413">
      <c r="A413" s="1" t="str">
        <f>"0008BN"</f>
        <v>0008BN</v>
      </c>
      <c r="B413" s="1" t="s">
        <v>1917</v>
      </c>
      <c r="C413" s="1" t="s">
        <v>1918</v>
      </c>
      <c r="D413" s="1" t="str">
        <f>"8023486621"</f>
        <v>8023486621</v>
      </c>
      <c r="E413" s="1">
        <v>2012.0</v>
      </c>
      <c r="F413" s="1" t="s">
        <v>44</v>
      </c>
      <c r="G413" s="1" t="s">
        <v>1919</v>
      </c>
      <c r="H413" s="1">
        <v>1.0</v>
      </c>
      <c r="I413" s="1"/>
      <c r="J413" s="1"/>
      <c r="K413" s="1"/>
      <c r="L413" s="1"/>
      <c r="M413" s="1" t="s">
        <v>1920</v>
      </c>
      <c r="N413" s="1" t="s">
        <v>66</v>
      </c>
      <c r="O413" s="1" t="s">
        <v>1921</v>
      </c>
      <c r="P413" s="1"/>
      <c r="Q413" s="3">
        <v>36892.0</v>
      </c>
      <c r="R413" s="1"/>
      <c r="S413" s="3">
        <v>32692.0</v>
      </c>
      <c r="T413" s="1" t="s">
        <v>37</v>
      </c>
      <c r="U413" s="1"/>
      <c r="V413" s="1" t="s">
        <v>38</v>
      </c>
      <c r="W413" s="1"/>
      <c r="X413" s="1"/>
      <c r="Y413" s="1" t="s">
        <v>49</v>
      </c>
      <c r="Z413" s="1"/>
      <c r="AA413" s="1" t="s">
        <v>40</v>
      </c>
      <c r="AB413" s="1" t="s">
        <v>1922</v>
      </c>
      <c r="AC413" s="1"/>
    </row>
    <row r="414">
      <c r="A414" s="1" t="str">
        <f>"0008BM"</f>
        <v>0008BM</v>
      </c>
      <c r="B414" s="1" t="s">
        <v>1923</v>
      </c>
      <c r="C414" s="1" t="s">
        <v>1924</v>
      </c>
      <c r="D414" s="1" t="str">
        <f>"8022579589"</f>
        <v>8022579589</v>
      </c>
      <c r="E414" s="1">
        <v>2011.0</v>
      </c>
      <c r="F414" s="1" t="s">
        <v>44</v>
      </c>
      <c r="G414" s="1" t="s">
        <v>1925</v>
      </c>
      <c r="H414" s="1">
        <v>2.0</v>
      </c>
      <c r="I414" s="1"/>
      <c r="J414" s="1"/>
      <c r="K414" s="1"/>
      <c r="L414" s="1"/>
      <c r="M414" s="1" t="s">
        <v>1926</v>
      </c>
      <c r="N414" s="1" t="s">
        <v>66</v>
      </c>
      <c r="O414" s="1" t="s">
        <v>73</v>
      </c>
      <c r="P414" s="1"/>
      <c r="Q414" s="3">
        <v>36892.0</v>
      </c>
      <c r="R414" s="1"/>
      <c r="S414" s="3">
        <v>32712.0</v>
      </c>
      <c r="T414" s="1" t="s">
        <v>37</v>
      </c>
      <c r="U414" s="1"/>
      <c r="V414" s="1" t="s">
        <v>38</v>
      </c>
      <c r="W414" s="1"/>
      <c r="X414" s="1"/>
      <c r="Y414" s="1" t="s">
        <v>49</v>
      </c>
      <c r="Z414" s="1"/>
      <c r="AA414" s="1" t="s">
        <v>40</v>
      </c>
      <c r="AB414" s="1" t="s">
        <v>74</v>
      </c>
      <c r="AC414" s="1"/>
    </row>
    <row r="415">
      <c r="A415" s="1" t="str">
        <f>"0008DV"</f>
        <v>0008DV</v>
      </c>
      <c r="B415" s="1" t="s">
        <v>1927</v>
      </c>
      <c r="C415" s="1" t="s">
        <v>1928</v>
      </c>
      <c r="D415" s="1" t="str">
        <f>"8026263151"</f>
        <v>8026263151</v>
      </c>
      <c r="E415" s="1">
        <v>2883.0</v>
      </c>
      <c r="F415" s="1" t="s">
        <v>44</v>
      </c>
      <c r="G415" s="1" t="s">
        <v>1929</v>
      </c>
      <c r="H415" s="1"/>
      <c r="I415" s="1"/>
      <c r="J415" s="1"/>
      <c r="K415" s="1"/>
      <c r="L415" s="1"/>
      <c r="M415" s="1" t="s">
        <v>1930</v>
      </c>
      <c r="N415" s="1" t="s">
        <v>128</v>
      </c>
      <c r="O415" s="1" t="s">
        <v>337</v>
      </c>
      <c r="P415" s="1"/>
      <c r="Q415" s="3">
        <v>36892.0</v>
      </c>
      <c r="R415" s="1"/>
      <c r="S415" s="1"/>
      <c r="T415" s="1" t="s">
        <v>37</v>
      </c>
      <c r="U415" s="1"/>
      <c r="V415" s="1" t="s">
        <v>38</v>
      </c>
      <c r="W415" s="1"/>
      <c r="X415" s="1"/>
      <c r="Y415" s="1" t="s">
        <v>49</v>
      </c>
      <c r="Z415" s="1"/>
      <c r="AA415" s="1" t="s">
        <v>40</v>
      </c>
      <c r="AB415" s="1" t="s">
        <v>338</v>
      </c>
      <c r="AC415" s="1"/>
    </row>
    <row r="416">
      <c r="A416" s="1" t="str">
        <f>"0007J7"</f>
        <v>0007J7</v>
      </c>
      <c r="B416" s="1" t="s">
        <v>1931</v>
      </c>
      <c r="C416" s="1" t="s">
        <v>1932</v>
      </c>
      <c r="D416" s="1" t="str">
        <f>"8028276164"</f>
        <v>8028276164</v>
      </c>
      <c r="E416" s="1">
        <v>3075.0</v>
      </c>
      <c r="F416" s="1" t="s">
        <v>44</v>
      </c>
      <c r="G416" s="1" t="s">
        <v>1933</v>
      </c>
      <c r="H416" s="1"/>
      <c r="I416" s="1"/>
      <c r="J416" s="1"/>
      <c r="K416" s="1"/>
      <c r="L416" s="1"/>
      <c r="M416" s="1" t="s">
        <v>72</v>
      </c>
      <c r="N416" s="1" t="s">
        <v>47</v>
      </c>
      <c r="O416" s="1" t="s">
        <v>928</v>
      </c>
      <c r="P416" s="1"/>
      <c r="Q416" s="3">
        <v>36892.0</v>
      </c>
      <c r="R416" s="1"/>
      <c r="S416" s="1"/>
      <c r="T416" s="1" t="s">
        <v>37</v>
      </c>
      <c r="U416" s="1"/>
      <c r="V416" s="1" t="s">
        <v>38</v>
      </c>
      <c r="W416" s="1"/>
      <c r="X416" s="1"/>
      <c r="Y416" s="1" t="s">
        <v>49</v>
      </c>
      <c r="Z416" s="1"/>
      <c r="AA416" s="1" t="s">
        <v>40</v>
      </c>
      <c r="AB416" s="1" t="s">
        <v>929</v>
      </c>
      <c r="AC416" s="1"/>
    </row>
    <row r="417">
      <c r="A417" s="1" t="str">
        <f>"0008DH"</f>
        <v>0008DH</v>
      </c>
      <c r="B417" s="1" t="s">
        <v>1934</v>
      </c>
      <c r="C417" s="1" t="s">
        <v>1935</v>
      </c>
      <c r="D417" s="1" t="str">
        <f>"8025272917"</f>
        <v>8025272917</v>
      </c>
      <c r="E417" s="1">
        <v>2964.0</v>
      </c>
      <c r="F417" s="1" t="s">
        <v>31</v>
      </c>
      <c r="G417" s="1" t="s">
        <v>1936</v>
      </c>
      <c r="H417" s="1">
        <v>0.0</v>
      </c>
      <c r="I417" s="1"/>
      <c r="J417" s="1"/>
      <c r="K417" s="1"/>
      <c r="L417" s="1"/>
      <c r="M417" s="1" t="s">
        <v>1937</v>
      </c>
      <c r="N417" s="1" t="s">
        <v>47</v>
      </c>
      <c r="O417" s="1" t="s">
        <v>1112</v>
      </c>
      <c r="P417" s="1"/>
      <c r="Q417" s="3">
        <v>36892.0</v>
      </c>
      <c r="R417" s="1"/>
      <c r="S417" s="3">
        <v>35992.0</v>
      </c>
      <c r="T417" s="1" t="s">
        <v>37</v>
      </c>
      <c r="U417" s="1"/>
      <c r="V417" s="1" t="s">
        <v>38</v>
      </c>
      <c r="W417" s="1"/>
      <c r="X417" s="1"/>
      <c r="Y417" s="1" t="s">
        <v>49</v>
      </c>
      <c r="Z417" s="1"/>
      <c r="AA417" s="1" t="s">
        <v>40</v>
      </c>
      <c r="AB417" s="1" t="s">
        <v>1115</v>
      </c>
      <c r="AC417" s="1">
        <v>5488.0</v>
      </c>
    </row>
    <row r="418">
      <c r="A418" s="1" t="str">
        <f>"0008BH"</f>
        <v>0008BH</v>
      </c>
      <c r="B418" s="1" t="s">
        <v>1938</v>
      </c>
      <c r="C418" s="1" t="s">
        <v>1939</v>
      </c>
      <c r="D418" s="1" t="str">
        <f>"8027224700"</f>
        <v>8027224700</v>
      </c>
      <c r="E418" s="1">
        <v>2005.0</v>
      </c>
      <c r="F418" s="1" t="s">
        <v>44</v>
      </c>
      <c r="G418" s="1" t="s">
        <v>1940</v>
      </c>
      <c r="H418" s="1">
        <v>1.0</v>
      </c>
      <c r="I418" s="1"/>
      <c r="J418" s="1"/>
      <c r="K418" s="1"/>
      <c r="L418" s="1"/>
      <c r="M418" s="1" t="s">
        <v>1941</v>
      </c>
      <c r="N418" s="1" t="s">
        <v>66</v>
      </c>
      <c r="O418" s="1" t="s">
        <v>113</v>
      </c>
      <c r="P418" s="1"/>
      <c r="Q418" s="3">
        <v>36892.0</v>
      </c>
      <c r="R418" s="1"/>
      <c r="S418" s="3">
        <v>32673.0</v>
      </c>
      <c r="T418" s="1" t="s">
        <v>37</v>
      </c>
      <c r="U418" s="1"/>
      <c r="V418" s="1" t="s">
        <v>38</v>
      </c>
      <c r="W418" s="1"/>
      <c r="X418" s="1"/>
      <c r="Y418" s="1" t="s">
        <v>49</v>
      </c>
      <c r="Z418" s="1"/>
      <c r="AA418" s="1" t="s">
        <v>40</v>
      </c>
      <c r="AB418" s="1" t="s">
        <v>114</v>
      </c>
      <c r="AC418" s="1"/>
    </row>
    <row r="419">
      <c r="A419" s="1" t="str">
        <f>"0007C0"</f>
        <v>0007C0</v>
      </c>
      <c r="B419" s="1" t="s">
        <v>1738</v>
      </c>
      <c r="C419" s="1" t="s">
        <v>1739</v>
      </c>
      <c r="D419" s="1" t="str">
        <f>"8023657532"</f>
        <v>8023657532</v>
      </c>
      <c r="E419" s="1">
        <v>2425.0</v>
      </c>
      <c r="F419" s="1" t="s">
        <v>44</v>
      </c>
      <c r="G419" s="1" t="s">
        <v>1942</v>
      </c>
      <c r="H419" s="1">
        <v>2.0</v>
      </c>
      <c r="I419" s="1"/>
      <c r="J419" s="1"/>
      <c r="K419" s="1"/>
      <c r="L419" s="1"/>
      <c r="M419" s="1" t="s">
        <v>1943</v>
      </c>
      <c r="N419" s="1" t="s">
        <v>66</v>
      </c>
      <c r="O419" s="1" t="s">
        <v>1944</v>
      </c>
      <c r="P419" s="1"/>
      <c r="Q419" s="3">
        <v>36892.0</v>
      </c>
      <c r="R419" s="1"/>
      <c r="S419" s="3">
        <v>32720.0</v>
      </c>
      <c r="T419" s="1" t="s">
        <v>37</v>
      </c>
      <c r="U419" s="1"/>
      <c r="V419" s="1" t="s">
        <v>38</v>
      </c>
      <c r="W419" s="1"/>
      <c r="X419" s="1"/>
      <c r="Y419" s="1" t="s">
        <v>49</v>
      </c>
      <c r="Z419" s="1"/>
      <c r="AA419" s="1" t="s">
        <v>40</v>
      </c>
      <c r="AB419" s="1" t="s">
        <v>66</v>
      </c>
      <c r="AC419" s="1"/>
    </row>
    <row r="420">
      <c r="A420" s="1" t="str">
        <f>"0007DM"</f>
        <v>0007DM</v>
      </c>
      <c r="B420" s="1" t="s">
        <v>1945</v>
      </c>
      <c r="C420" s="1" t="s">
        <v>1946</v>
      </c>
      <c r="D420" s="1" t="str">
        <f>"8024361082"</f>
        <v>8024361082</v>
      </c>
      <c r="E420" s="1">
        <v>4069.0</v>
      </c>
      <c r="F420" s="1" t="s">
        <v>44</v>
      </c>
      <c r="G420" s="1" t="s">
        <v>1947</v>
      </c>
      <c r="H420" s="1">
        <v>1.0</v>
      </c>
      <c r="I420" s="1"/>
      <c r="J420" s="1"/>
      <c r="K420" s="1"/>
      <c r="L420" s="1"/>
      <c r="M420" s="1" t="s">
        <v>72</v>
      </c>
      <c r="N420" s="1" t="s">
        <v>34</v>
      </c>
      <c r="O420" s="1" t="s">
        <v>85</v>
      </c>
      <c r="P420" s="1"/>
      <c r="Q420" s="3">
        <v>36892.0</v>
      </c>
      <c r="R420" s="1"/>
      <c r="S420" s="3">
        <v>40011.0</v>
      </c>
      <c r="T420" s="1" t="s">
        <v>37</v>
      </c>
      <c r="U420" s="1"/>
      <c r="V420" s="1" t="s">
        <v>38</v>
      </c>
      <c r="W420" s="1"/>
      <c r="X420" s="1"/>
      <c r="Y420" s="1" t="s">
        <v>49</v>
      </c>
      <c r="Z420" s="1"/>
      <c r="AA420" s="1" t="s">
        <v>40</v>
      </c>
      <c r="AB420" s="1" t="s">
        <v>86</v>
      </c>
      <c r="AC420" s="1"/>
    </row>
    <row r="421">
      <c r="A421" s="1" t="str">
        <f>"0007C7"</f>
        <v>0007C7</v>
      </c>
      <c r="B421" s="1" t="s">
        <v>1948</v>
      </c>
      <c r="C421" s="1" t="s">
        <v>1949</v>
      </c>
      <c r="D421" s="1" t="str">
        <f>"8028854638"</f>
        <v>8028854638</v>
      </c>
      <c r="E421" s="1">
        <v>610.0</v>
      </c>
      <c r="F421" s="1" t="s">
        <v>44</v>
      </c>
      <c r="G421" s="1" t="s">
        <v>1950</v>
      </c>
      <c r="H421" s="1">
        <v>10.0</v>
      </c>
      <c r="I421" s="1"/>
      <c r="J421" s="1"/>
      <c r="K421" s="1"/>
      <c r="L421" s="1"/>
      <c r="M421" s="1" t="s">
        <v>72</v>
      </c>
      <c r="N421" s="1" t="s">
        <v>34</v>
      </c>
      <c r="O421" s="1" t="s">
        <v>642</v>
      </c>
      <c r="P421" s="1"/>
      <c r="Q421" s="3">
        <v>36892.0</v>
      </c>
      <c r="R421" s="1"/>
      <c r="S421" s="3">
        <v>35177.0</v>
      </c>
      <c r="T421" s="1" t="s">
        <v>37</v>
      </c>
      <c r="U421" s="1"/>
      <c r="V421" s="1" t="s">
        <v>38</v>
      </c>
      <c r="W421" s="1"/>
      <c r="X421" s="1"/>
      <c r="Y421" s="1" t="s">
        <v>49</v>
      </c>
      <c r="Z421" s="1"/>
      <c r="AA421" s="1" t="s">
        <v>40</v>
      </c>
      <c r="AB421" s="1" t="s">
        <v>643</v>
      </c>
      <c r="AC421" s="1"/>
    </row>
    <row r="422">
      <c r="A422" s="1" t="str">
        <f>"0008CB"</f>
        <v>0008CB</v>
      </c>
      <c r="B422" s="1" t="s">
        <v>1951</v>
      </c>
      <c r="C422" s="1" t="s">
        <v>1952</v>
      </c>
      <c r="D422" s="1"/>
      <c r="E422" s="1">
        <v>3120.0</v>
      </c>
      <c r="F422" s="1" t="s">
        <v>44</v>
      </c>
      <c r="G422" s="1" t="s">
        <v>1953</v>
      </c>
      <c r="H422" s="1"/>
      <c r="I422" s="1"/>
      <c r="J422" s="1"/>
      <c r="K422" s="1"/>
      <c r="L422" s="1"/>
      <c r="M422" s="1" t="s">
        <v>72</v>
      </c>
      <c r="N422" s="1" t="s">
        <v>414</v>
      </c>
      <c r="O422" s="1" t="s">
        <v>720</v>
      </c>
      <c r="P422" s="1"/>
      <c r="Q422" s="3">
        <v>36892.0</v>
      </c>
      <c r="R422" s="1"/>
      <c r="S422" s="1"/>
      <c r="T422" s="1" t="s">
        <v>37</v>
      </c>
      <c r="U422" s="1"/>
      <c r="V422" s="1" t="s">
        <v>38</v>
      </c>
      <c r="W422" s="1"/>
      <c r="X422" s="1"/>
      <c r="Y422" s="1" t="s">
        <v>49</v>
      </c>
      <c r="Z422" s="1"/>
      <c r="AA422" s="1" t="s">
        <v>40</v>
      </c>
      <c r="AB422" s="1" t="s">
        <v>414</v>
      </c>
      <c r="AC422" s="1"/>
    </row>
    <row r="423">
      <c r="A423" s="1" t="str">
        <f>"00078G"</f>
        <v>00078G</v>
      </c>
      <c r="B423" s="1" t="s">
        <v>1954</v>
      </c>
      <c r="C423" s="1" t="s">
        <v>1955</v>
      </c>
      <c r="D423" s="1" t="str">
        <f>"8028753741"</f>
        <v>8028753741</v>
      </c>
      <c r="E423" s="1">
        <v>429.0</v>
      </c>
      <c r="F423" s="1" t="s">
        <v>117</v>
      </c>
      <c r="G423" s="1" t="s">
        <v>1956</v>
      </c>
      <c r="H423" s="1">
        <v>2.0</v>
      </c>
      <c r="I423" s="2" t="s">
        <v>119</v>
      </c>
      <c r="J423" s="2" t="s">
        <v>119</v>
      </c>
      <c r="K423" s="2" t="s">
        <v>119</v>
      </c>
      <c r="L423" s="1"/>
      <c r="M423" s="1" t="s">
        <v>1957</v>
      </c>
      <c r="N423" s="1" t="s">
        <v>34</v>
      </c>
      <c r="O423" s="1" t="s">
        <v>642</v>
      </c>
      <c r="P423" s="1" t="s">
        <v>1958</v>
      </c>
      <c r="Q423" s="3">
        <v>36892.0</v>
      </c>
      <c r="R423" s="1"/>
      <c r="S423" s="1"/>
      <c r="T423" s="1" t="s">
        <v>37</v>
      </c>
      <c r="U423" s="1"/>
      <c r="V423" s="1" t="s">
        <v>38</v>
      </c>
      <c r="W423" s="1">
        <v>43.2387509425543</v>
      </c>
      <c r="X423" s="1">
        <v>-72.540385723114</v>
      </c>
      <c r="Y423" s="1" t="s">
        <v>1959</v>
      </c>
      <c r="Z423" s="1"/>
      <c r="AA423" s="1" t="s">
        <v>40</v>
      </c>
      <c r="AB423" s="1" t="s">
        <v>643</v>
      </c>
      <c r="AC423" s="1">
        <v>5156.0</v>
      </c>
    </row>
    <row r="424">
      <c r="A424" s="1" t="str">
        <f>"0007WA"</f>
        <v>0007WA</v>
      </c>
      <c r="B424" s="1" t="s">
        <v>157</v>
      </c>
      <c r="C424" s="1" t="s">
        <v>158</v>
      </c>
      <c r="D424" s="1" t="str">
        <f>"8029482057"</f>
        <v>8029482057</v>
      </c>
      <c r="E424" s="1">
        <v>1217.0</v>
      </c>
      <c r="F424" s="1" t="s">
        <v>31</v>
      </c>
      <c r="G424" s="1" t="s">
        <v>1960</v>
      </c>
      <c r="H424" s="1">
        <v>24.0</v>
      </c>
      <c r="I424" s="1"/>
      <c r="J424" s="1"/>
      <c r="K424" s="1"/>
      <c r="L424" s="1"/>
      <c r="M424" s="1" t="s">
        <v>1961</v>
      </c>
      <c r="N424" s="1" t="s">
        <v>57</v>
      </c>
      <c r="O424" s="1" t="s">
        <v>204</v>
      </c>
      <c r="P424" s="1" t="s">
        <v>1962</v>
      </c>
      <c r="Q424" s="3">
        <v>36892.0</v>
      </c>
      <c r="R424" s="1"/>
      <c r="S424" s="3">
        <v>40073.0</v>
      </c>
      <c r="T424" s="1" t="s">
        <v>164</v>
      </c>
      <c r="U424" s="1"/>
      <c r="V424" s="1" t="s">
        <v>38</v>
      </c>
      <c r="W424" s="1">
        <v>44.2874204368889</v>
      </c>
      <c r="X424" s="1">
        <v>-73.1280727389094</v>
      </c>
      <c r="Y424" s="1" t="s">
        <v>1963</v>
      </c>
      <c r="Z424" s="1"/>
      <c r="AA424" s="1" t="s">
        <v>40</v>
      </c>
      <c r="AB424" s="1" t="s">
        <v>205</v>
      </c>
      <c r="AC424" s="1">
        <v>0.0</v>
      </c>
    </row>
    <row r="425">
      <c r="A425" s="1" t="str">
        <f>"0007BJ"</f>
        <v>0007BJ</v>
      </c>
      <c r="B425" s="1" t="s">
        <v>1402</v>
      </c>
      <c r="C425" s="1" t="s">
        <v>1403</v>
      </c>
      <c r="D425" s="1" t="str">
        <f>"8027852206"</f>
        <v>8027852206</v>
      </c>
      <c r="E425" s="1">
        <v>584.0</v>
      </c>
      <c r="F425" s="1" t="s">
        <v>44</v>
      </c>
      <c r="G425" s="1" t="s">
        <v>1964</v>
      </c>
      <c r="H425" s="1">
        <v>2.0</v>
      </c>
      <c r="I425" s="1"/>
      <c r="J425" s="1"/>
      <c r="K425" s="1"/>
      <c r="L425" s="1"/>
      <c r="M425" s="1" t="s">
        <v>1965</v>
      </c>
      <c r="N425" s="1" t="s">
        <v>142</v>
      </c>
      <c r="O425" s="1" t="s">
        <v>143</v>
      </c>
      <c r="P425" s="1"/>
      <c r="Q425" s="3">
        <v>36892.0</v>
      </c>
      <c r="R425" s="1"/>
      <c r="S425" s="3">
        <v>36802.0</v>
      </c>
      <c r="T425" s="1" t="s">
        <v>37</v>
      </c>
      <c r="U425" s="1"/>
      <c r="V425" s="1" t="s">
        <v>38</v>
      </c>
      <c r="W425" s="1"/>
      <c r="X425" s="1"/>
      <c r="Y425" s="1" t="s">
        <v>49</v>
      </c>
      <c r="Z425" s="1"/>
      <c r="AA425" s="1" t="s">
        <v>40</v>
      </c>
      <c r="AB425" s="1" t="s">
        <v>146</v>
      </c>
      <c r="AC425" s="1"/>
    </row>
    <row r="426">
      <c r="A426" s="1" t="str">
        <f>"0008BF"</f>
        <v>0008BF</v>
      </c>
      <c r="B426" s="1" t="s">
        <v>1966</v>
      </c>
      <c r="C426" s="1" t="s">
        <v>1967</v>
      </c>
      <c r="D426" s="1" t="str">
        <f>"8023337025"</f>
        <v>8023337025</v>
      </c>
      <c r="E426" s="1">
        <v>2807.0</v>
      </c>
      <c r="F426" s="1" t="s">
        <v>44</v>
      </c>
      <c r="G426" s="1" t="s">
        <v>1968</v>
      </c>
      <c r="H426" s="1">
        <v>3.0</v>
      </c>
      <c r="I426" s="1"/>
      <c r="J426" s="1"/>
      <c r="K426" s="1"/>
      <c r="L426" s="1"/>
      <c r="M426" s="1" t="s">
        <v>72</v>
      </c>
      <c r="N426" s="1" t="s">
        <v>142</v>
      </c>
      <c r="O426" s="1" t="s">
        <v>143</v>
      </c>
      <c r="P426" s="1"/>
      <c r="Q426" s="3">
        <v>36892.0</v>
      </c>
      <c r="R426" s="1"/>
      <c r="S426" s="3">
        <v>39349.0</v>
      </c>
      <c r="T426" s="1" t="s">
        <v>37</v>
      </c>
      <c r="U426" s="1"/>
      <c r="V426" s="1" t="s">
        <v>38</v>
      </c>
      <c r="W426" s="1">
        <v>43.8877534</v>
      </c>
      <c r="X426" s="1">
        <v>-72.2458225</v>
      </c>
      <c r="Y426" s="1" t="s">
        <v>1969</v>
      </c>
      <c r="Z426" s="1"/>
      <c r="AA426" s="1" t="s">
        <v>40</v>
      </c>
      <c r="AB426" s="1" t="s">
        <v>146</v>
      </c>
      <c r="AC426" s="1">
        <v>5045.0</v>
      </c>
    </row>
    <row r="427">
      <c r="A427" s="1" t="str">
        <f>"0007KQ"</f>
        <v>0007KQ</v>
      </c>
      <c r="B427" s="1" t="s">
        <v>1970</v>
      </c>
      <c r="C427" s="1" t="s">
        <v>1971</v>
      </c>
      <c r="D427" s="1" t="str">
        <f>"8023882936"</f>
        <v>8023882936</v>
      </c>
      <c r="E427" s="1">
        <v>903.0</v>
      </c>
      <c r="F427" s="1" t="s">
        <v>44</v>
      </c>
      <c r="G427" s="1" t="s">
        <v>1972</v>
      </c>
      <c r="H427" s="1"/>
      <c r="I427" s="1"/>
      <c r="J427" s="1"/>
      <c r="K427" s="1"/>
      <c r="L427" s="1"/>
      <c r="M427" s="1" t="s">
        <v>72</v>
      </c>
      <c r="N427" s="1" t="s">
        <v>161</v>
      </c>
      <c r="O427" s="1" t="s">
        <v>943</v>
      </c>
      <c r="P427" s="1"/>
      <c r="Q427" s="3">
        <v>36892.0</v>
      </c>
      <c r="R427" s="1"/>
      <c r="S427" s="1"/>
      <c r="T427" s="1" t="s">
        <v>37</v>
      </c>
      <c r="U427" s="1"/>
      <c r="V427" s="1" t="s">
        <v>38</v>
      </c>
      <c r="W427" s="1"/>
      <c r="X427" s="1"/>
      <c r="Y427" s="1" t="s">
        <v>49</v>
      </c>
      <c r="Z427" s="1"/>
      <c r="AA427" s="1" t="s">
        <v>40</v>
      </c>
      <c r="AB427" s="1" t="s">
        <v>945</v>
      </c>
      <c r="AC427" s="1"/>
    </row>
    <row r="428">
      <c r="A428" s="1" t="str">
        <f>"00089W"</f>
        <v>00089W</v>
      </c>
      <c r="B428" s="1" t="s">
        <v>1691</v>
      </c>
      <c r="C428" s="1" t="s">
        <v>1692</v>
      </c>
      <c r="D428" s="1" t="str">
        <f>"8025923384"</f>
        <v>8025923384</v>
      </c>
      <c r="E428" s="1">
        <v>1926.0</v>
      </c>
      <c r="F428" s="1" t="s">
        <v>44</v>
      </c>
      <c r="G428" s="1" t="s">
        <v>1973</v>
      </c>
      <c r="H428" s="1">
        <v>5.0</v>
      </c>
      <c r="I428" s="1"/>
      <c r="J428" s="1"/>
      <c r="K428" s="1"/>
      <c r="L428" s="1"/>
      <c r="M428" s="1" t="s">
        <v>72</v>
      </c>
      <c r="N428" s="1" t="s">
        <v>128</v>
      </c>
      <c r="O428" s="1" t="s">
        <v>1333</v>
      </c>
      <c r="P428" s="1"/>
      <c r="Q428" s="3">
        <v>36892.0</v>
      </c>
      <c r="R428" s="1"/>
      <c r="S428" s="3">
        <v>36369.0</v>
      </c>
      <c r="T428" s="1" t="s">
        <v>37</v>
      </c>
      <c r="U428" s="1"/>
      <c r="V428" s="1" t="s">
        <v>38</v>
      </c>
      <c r="W428" s="1">
        <v>44.2807409</v>
      </c>
      <c r="X428" s="1">
        <v>-72.1991013</v>
      </c>
      <c r="Y428" s="1" t="s">
        <v>1974</v>
      </c>
      <c r="Z428" s="1"/>
      <c r="AA428" s="1" t="s">
        <v>40</v>
      </c>
      <c r="AB428" s="1" t="s">
        <v>1334</v>
      </c>
      <c r="AC428" s="1">
        <v>5046.0</v>
      </c>
    </row>
    <row r="429">
      <c r="A429" s="1" t="str">
        <f>"00084H"</f>
        <v>00084H</v>
      </c>
      <c r="B429" s="1" t="s">
        <v>1975</v>
      </c>
      <c r="C429" s="1" t="s">
        <v>1976</v>
      </c>
      <c r="D429" s="1" t="str">
        <f>"8023345907"</f>
        <v>8023345907</v>
      </c>
      <c r="E429" s="1">
        <v>1636.0</v>
      </c>
      <c r="F429" s="1" t="s">
        <v>44</v>
      </c>
      <c r="G429" s="1" t="s">
        <v>1977</v>
      </c>
      <c r="H429" s="1">
        <v>2.0</v>
      </c>
      <c r="I429" s="1"/>
      <c r="J429" s="1"/>
      <c r="K429" s="1"/>
      <c r="L429" s="1"/>
      <c r="M429" s="1" t="s">
        <v>425</v>
      </c>
      <c r="N429" s="1" t="s">
        <v>94</v>
      </c>
      <c r="O429" s="1" t="s">
        <v>1019</v>
      </c>
      <c r="P429" s="1"/>
      <c r="Q429" s="3">
        <v>36892.0</v>
      </c>
      <c r="R429" s="1"/>
      <c r="S429" s="3">
        <v>34571.0</v>
      </c>
      <c r="T429" s="1" t="s">
        <v>37</v>
      </c>
      <c r="U429" s="1"/>
      <c r="V429" s="1" t="s">
        <v>38</v>
      </c>
      <c r="W429" s="1"/>
      <c r="X429" s="1"/>
      <c r="Y429" s="1" t="s">
        <v>49</v>
      </c>
      <c r="Z429" s="1"/>
      <c r="AA429" s="1" t="s">
        <v>40</v>
      </c>
      <c r="AB429" s="1" t="s">
        <v>1978</v>
      </c>
      <c r="AC429" s="1"/>
    </row>
    <row r="430">
      <c r="A430" s="1" t="str">
        <f>"0007KH"</f>
        <v>0007KH</v>
      </c>
      <c r="B430" s="1" t="s">
        <v>1979</v>
      </c>
      <c r="C430" s="1" t="s">
        <v>1980</v>
      </c>
      <c r="D430" s="1" t="str">
        <f>"8024363004"</f>
        <v>8024363004</v>
      </c>
      <c r="E430" s="1">
        <v>2991.0</v>
      </c>
      <c r="F430" s="1" t="s">
        <v>44</v>
      </c>
      <c r="G430" s="1" t="s">
        <v>1981</v>
      </c>
      <c r="H430" s="1">
        <v>2.0</v>
      </c>
      <c r="I430" s="1"/>
      <c r="J430" s="1"/>
      <c r="K430" s="1"/>
      <c r="L430" s="1"/>
      <c r="M430" s="1" t="s">
        <v>72</v>
      </c>
      <c r="N430" s="1" t="s">
        <v>34</v>
      </c>
      <c r="O430" s="1" t="s">
        <v>85</v>
      </c>
      <c r="P430" s="1"/>
      <c r="Q430" s="3">
        <v>36892.0</v>
      </c>
      <c r="R430" s="1"/>
      <c r="S430" s="3">
        <v>38117.0</v>
      </c>
      <c r="T430" s="1" t="s">
        <v>37</v>
      </c>
      <c r="U430" s="1"/>
      <c r="V430" s="1" t="s">
        <v>38</v>
      </c>
      <c r="W430" s="1"/>
      <c r="X430" s="1"/>
      <c r="Y430" s="1" t="s">
        <v>49</v>
      </c>
      <c r="Z430" s="1"/>
      <c r="AA430" s="1" t="s">
        <v>40</v>
      </c>
      <c r="AB430" s="1" t="s">
        <v>86</v>
      </c>
      <c r="AC430" s="1"/>
    </row>
    <row r="431">
      <c r="A431" s="1" t="str">
        <f>"0008BB"</f>
        <v>0008BB</v>
      </c>
      <c r="B431" s="1" t="s">
        <v>1982</v>
      </c>
      <c r="C431" s="1" t="s">
        <v>1983</v>
      </c>
      <c r="D431" s="1" t="str">
        <f>"8027665390"</f>
        <v>8027665390</v>
      </c>
      <c r="E431" s="1">
        <v>3605.0</v>
      </c>
      <c r="F431" s="1" t="s">
        <v>44</v>
      </c>
      <c r="G431" s="1" t="s">
        <v>1984</v>
      </c>
      <c r="H431" s="1"/>
      <c r="I431" s="1"/>
      <c r="J431" s="1"/>
      <c r="K431" s="1"/>
      <c r="L431" s="1"/>
      <c r="M431" s="1" t="s">
        <v>72</v>
      </c>
      <c r="N431" s="1" t="s">
        <v>94</v>
      </c>
      <c r="O431" s="1" t="s">
        <v>1019</v>
      </c>
      <c r="P431" s="1"/>
      <c r="Q431" s="3">
        <v>36892.0</v>
      </c>
      <c r="R431" s="1"/>
      <c r="S431" s="1"/>
      <c r="T431" s="1" t="s">
        <v>37</v>
      </c>
      <c r="U431" s="1"/>
      <c r="V431" s="1" t="s">
        <v>38</v>
      </c>
      <c r="W431" s="1"/>
      <c r="X431" s="1"/>
      <c r="Y431" s="1" t="s">
        <v>49</v>
      </c>
      <c r="Z431" s="1"/>
      <c r="AA431" s="1" t="s">
        <v>40</v>
      </c>
      <c r="AB431" s="1" t="s">
        <v>1978</v>
      </c>
      <c r="AC431" s="1"/>
    </row>
    <row r="432">
      <c r="A432" s="1" t="str">
        <f>"0008H0"</f>
        <v>0008H0</v>
      </c>
      <c r="B432" s="1" t="s">
        <v>1985</v>
      </c>
      <c r="C432" s="1" t="s">
        <v>1986</v>
      </c>
      <c r="D432" s="1" t="str">
        <f>"8023886751"</f>
        <v>8023886751</v>
      </c>
      <c r="E432" s="1">
        <v>2730.0</v>
      </c>
      <c r="F432" s="1" t="s">
        <v>117</v>
      </c>
      <c r="G432" s="1" t="s">
        <v>1987</v>
      </c>
      <c r="H432" s="1">
        <v>4.0</v>
      </c>
      <c r="I432" s="2">
        <v>3.0</v>
      </c>
      <c r="J432" s="2">
        <v>0.0</v>
      </c>
      <c r="K432" s="2" t="s">
        <v>119</v>
      </c>
      <c r="L432" s="1"/>
      <c r="M432" s="1" t="s">
        <v>1988</v>
      </c>
      <c r="N432" s="1" t="s">
        <v>161</v>
      </c>
      <c r="O432" s="1" t="s">
        <v>185</v>
      </c>
      <c r="P432" s="1" t="s">
        <v>1989</v>
      </c>
      <c r="Q432" s="3">
        <v>36892.0</v>
      </c>
      <c r="R432" s="1"/>
      <c r="S432" s="1"/>
      <c r="T432" s="1" t="s">
        <v>37</v>
      </c>
      <c r="U432" s="1"/>
      <c r="V432" s="1" t="s">
        <v>38</v>
      </c>
      <c r="W432" s="1"/>
      <c r="X432" s="1"/>
      <c r="Y432" s="1" t="s">
        <v>1990</v>
      </c>
      <c r="Z432" s="1"/>
      <c r="AA432" s="1" t="s">
        <v>40</v>
      </c>
      <c r="AB432" s="1" t="s">
        <v>186</v>
      </c>
      <c r="AC432" s="1">
        <v>5443.0</v>
      </c>
    </row>
    <row r="433">
      <c r="A433" s="1" t="str">
        <f>"0008B9"</f>
        <v>0008B9</v>
      </c>
      <c r="B433" s="1" t="s">
        <v>1991</v>
      </c>
      <c r="C433" s="1" t="s">
        <v>1992</v>
      </c>
      <c r="D433" s="1"/>
      <c r="E433" s="1">
        <v>1992.0</v>
      </c>
      <c r="F433" s="1" t="s">
        <v>44</v>
      </c>
      <c r="G433" s="1" t="s">
        <v>1993</v>
      </c>
      <c r="H433" s="1"/>
      <c r="I433" s="1"/>
      <c r="J433" s="1"/>
      <c r="K433" s="1"/>
      <c r="L433" s="1"/>
      <c r="M433" s="1" t="s">
        <v>72</v>
      </c>
      <c r="N433" s="1" t="s">
        <v>94</v>
      </c>
      <c r="O433" s="1" t="s">
        <v>446</v>
      </c>
      <c r="P433" s="1"/>
      <c r="Q433" s="3">
        <v>36892.0</v>
      </c>
      <c r="R433" s="1"/>
      <c r="S433" s="1"/>
      <c r="T433" s="1" t="s">
        <v>37</v>
      </c>
      <c r="U433" s="1"/>
      <c r="V433" s="1" t="s">
        <v>38</v>
      </c>
      <c r="W433" s="1"/>
      <c r="X433" s="1"/>
      <c r="Y433" s="1" t="s">
        <v>49</v>
      </c>
      <c r="Z433" s="1"/>
      <c r="AA433" s="1" t="s">
        <v>40</v>
      </c>
      <c r="AB433" s="1" t="s">
        <v>447</v>
      </c>
      <c r="AC433" s="1"/>
    </row>
    <row r="434">
      <c r="A434" s="1" t="str">
        <f>"0008B8"</f>
        <v>0008B8</v>
      </c>
      <c r="B434" s="1" t="s">
        <v>1994</v>
      </c>
      <c r="C434" s="1" t="s">
        <v>1995</v>
      </c>
      <c r="D434" s="1" t="str">
        <f>"8028936268"</f>
        <v>8028936268</v>
      </c>
      <c r="E434" s="1">
        <v>1990.0</v>
      </c>
      <c r="F434" s="1" t="s">
        <v>44</v>
      </c>
      <c r="G434" s="1" t="s">
        <v>1996</v>
      </c>
      <c r="H434" s="1">
        <v>15.0</v>
      </c>
      <c r="I434" s="1"/>
      <c r="J434" s="1"/>
      <c r="K434" s="1"/>
      <c r="L434" s="1"/>
      <c r="M434" s="1" t="s">
        <v>1997</v>
      </c>
      <c r="N434" s="1" t="s">
        <v>57</v>
      </c>
      <c r="O434" s="1" t="s">
        <v>256</v>
      </c>
      <c r="P434" s="1"/>
      <c r="Q434" s="3">
        <v>36892.0</v>
      </c>
      <c r="R434" s="1"/>
      <c r="S434" s="3">
        <v>32372.0</v>
      </c>
      <c r="T434" s="1" t="s">
        <v>37</v>
      </c>
      <c r="U434" s="1"/>
      <c r="V434" s="1" t="s">
        <v>38</v>
      </c>
      <c r="W434" s="1"/>
      <c r="X434" s="1"/>
      <c r="Y434" s="1" t="s">
        <v>49</v>
      </c>
      <c r="Z434" s="1"/>
      <c r="AA434" s="1" t="s">
        <v>40</v>
      </c>
      <c r="AB434" s="1" t="s">
        <v>257</v>
      </c>
      <c r="AC434" s="1"/>
    </row>
    <row r="435">
      <c r="A435" s="1" t="str">
        <f>"0008B7"</f>
        <v>0008B7</v>
      </c>
      <c r="B435" s="1" t="s">
        <v>1584</v>
      </c>
      <c r="C435" s="1" t="s">
        <v>1585</v>
      </c>
      <c r="D435" s="1"/>
      <c r="E435" s="1">
        <v>1989.0</v>
      </c>
      <c r="F435" s="1" t="s">
        <v>44</v>
      </c>
      <c r="G435" s="1" t="s">
        <v>1998</v>
      </c>
      <c r="H435" s="1">
        <v>6.0</v>
      </c>
      <c r="I435" s="1"/>
      <c r="J435" s="1"/>
      <c r="K435" s="1"/>
      <c r="L435" s="1"/>
      <c r="M435" s="1" t="s">
        <v>1999</v>
      </c>
      <c r="N435" s="1" t="s">
        <v>94</v>
      </c>
      <c r="O435" s="1" t="s">
        <v>300</v>
      </c>
      <c r="P435" s="1"/>
      <c r="Q435" s="3">
        <v>36892.0</v>
      </c>
      <c r="R435" s="1"/>
      <c r="S435" s="3">
        <v>34571.0</v>
      </c>
      <c r="T435" s="1" t="s">
        <v>37</v>
      </c>
      <c r="U435" s="1"/>
      <c r="V435" s="1" t="s">
        <v>38</v>
      </c>
      <c r="W435" s="1"/>
      <c r="X435" s="1"/>
      <c r="Y435" s="1" t="s">
        <v>49</v>
      </c>
      <c r="Z435" s="1"/>
      <c r="AA435" s="1" t="s">
        <v>40</v>
      </c>
      <c r="AB435" s="1" t="s">
        <v>300</v>
      </c>
      <c r="AC435" s="1"/>
    </row>
    <row r="436">
      <c r="A436" s="1" t="str">
        <f>"0008JH"</f>
        <v>0008JH</v>
      </c>
      <c r="B436" s="1" t="s">
        <v>2000</v>
      </c>
      <c r="C436" s="1" t="s">
        <v>2001</v>
      </c>
      <c r="D436" s="1" t="str">
        <f>"8022874059"</f>
        <v>8022874059</v>
      </c>
      <c r="E436" s="1">
        <v>2792.0</v>
      </c>
      <c r="F436" s="1" t="s">
        <v>44</v>
      </c>
      <c r="G436" s="1" t="s">
        <v>2002</v>
      </c>
      <c r="H436" s="1">
        <v>14.0</v>
      </c>
      <c r="I436" s="1"/>
      <c r="J436" s="1"/>
      <c r="K436" s="1"/>
      <c r="L436" s="1"/>
      <c r="M436" s="1" t="s">
        <v>2003</v>
      </c>
      <c r="N436" s="1" t="s">
        <v>414</v>
      </c>
      <c r="O436" s="1" t="s">
        <v>2004</v>
      </c>
      <c r="P436" s="1"/>
      <c r="Q436" s="3">
        <v>36892.0</v>
      </c>
      <c r="R436" s="1"/>
      <c r="S436" s="3">
        <v>37943.0</v>
      </c>
      <c r="T436" s="1" t="s">
        <v>37</v>
      </c>
      <c r="U436" s="1"/>
      <c r="V436" s="1" t="s">
        <v>38</v>
      </c>
      <c r="W436" s="1"/>
      <c r="X436" s="1"/>
      <c r="Y436" s="1" t="s">
        <v>49</v>
      </c>
      <c r="Z436" s="1"/>
      <c r="AA436" s="1" t="s">
        <v>40</v>
      </c>
      <c r="AB436" s="1" t="s">
        <v>2005</v>
      </c>
      <c r="AC436" s="1"/>
    </row>
    <row r="437">
      <c r="A437" s="1" t="str">
        <f>"0008B5"</f>
        <v>0008B5</v>
      </c>
      <c r="B437" s="1" t="s">
        <v>218</v>
      </c>
      <c r="C437" s="1" t="s">
        <v>219</v>
      </c>
      <c r="D437" s="1" t="str">
        <f>"8024395635"</f>
        <v>8024395635</v>
      </c>
      <c r="E437" s="1">
        <v>2843.0</v>
      </c>
      <c r="F437" s="1" t="s">
        <v>44</v>
      </c>
      <c r="G437" s="1" t="s">
        <v>2006</v>
      </c>
      <c r="H437" s="1">
        <v>2.0</v>
      </c>
      <c r="I437" s="1"/>
      <c r="J437" s="1"/>
      <c r="K437" s="1"/>
      <c r="L437" s="1"/>
      <c r="M437" s="1" t="s">
        <v>72</v>
      </c>
      <c r="N437" s="1" t="s">
        <v>142</v>
      </c>
      <c r="O437" s="1" t="s">
        <v>400</v>
      </c>
      <c r="P437" s="1"/>
      <c r="Q437" s="3">
        <v>36892.0</v>
      </c>
      <c r="R437" s="1"/>
      <c r="S437" s="3">
        <v>34529.0</v>
      </c>
      <c r="T437" s="1" t="s">
        <v>37</v>
      </c>
      <c r="U437" s="1"/>
      <c r="V437" s="1" t="s">
        <v>38</v>
      </c>
      <c r="W437" s="1"/>
      <c r="X437" s="1"/>
      <c r="Y437" s="1" t="s">
        <v>49</v>
      </c>
      <c r="Z437" s="1"/>
      <c r="AA437" s="1" t="s">
        <v>40</v>
      </c>
      <c r="AB437" s="1" t="s">
        <v>401</v>
      </c>
      <c r="AC437" s="1"/>
    </row>
    <row r="438">
      <c r="A438" s="1" t="str">
        <f>"0007JX"</f>
        <v>0007JX</v>
      </c>
      <c r="B438" s="1" t="s">
        <v>2007</v>
      </c>
      <c r="C438" s="1" t="s">
        <v>2008</v>
      </c>
      <c r="D438" s="1" t="str">
        <f>"8022288256"</f>
        <v>8022288256</v>
      </c>
      <c r="E438" s="1">
        <v>3888.0</v>
      </c>
      <c r="F438" s="1" t="s">
        <v>44</v>
      </c>
      <c r="G438" s="1" t="s">
        <v>2009</v>
      </c>
      <c r="H438" s="1">
        <v>3.0</v>
      </c>
      <c r="I438" s="1"/>
      <c r="J438" s="1"/>
      <c r="K438" s="1"/>
      <c r="L438" s="1"/>
      <c r="M438" s="1" t="s">
        <v>72</v>
      </c>
      <c r="N438" s="1" t="s">
        <v>34</v>
      </c>
      <c r="O438" s="1" t="s">
        <v>1237</v>
      </c>
      <c r="P438" s="1"/>
      <c r="Q438" s="3">
        <v>36892.0</v>
      </c>
      <c r="R438" s="1"/>
      <c r="S438" s="3">
        <v>39554.0</v>
      </c>
      <c r="T438" s="1" t="s">
        <v>37</v>
      </c>
      <c r="U438" s="1"/>
      <c r="V438" s="1" t="s">
        <v>38</v>
      </c>
      <c r="W438" s="1"/>
      <c r="X438" s="1"/>
      <c r="Y438" s="1" t="s">
        <v>49</v>
      </c>
      <c r="Z438" s="1"/>
      <c r="AA438" s="1" t="s">
        <v>40</v>
      </c>
      <c r="AB438" s="1" t="s">
        <v>1238</v>
      </c>
      <c r="AC438" s="1"/>
    </row>
    <row r="439">
      <c r="A439" s="1" t="str">
        <f>"0008B3"</f>
        <v>0008B3</v>
      </c>
      <c r="B439" s="1" t="s">
        <v>2010</v>
      </c>
      <c r="C439" s="1" t="s">
        <v>2011</v>
      </c>
      <c r="D439" s="1"/>
      <c r="E439" s="1">
        <v>1985.0</v>
      </c>
      <c r="F439" s="1" t="s">
        <v>44</v>
      </c>
      <c r="G439" s="1" t="s">
        <v>2012</v>
      </c>
      <c r="H439" s="1"/>
      <c r="I439" s="1"/>
      <c r="J439" s="1"/>
      <c r="K439" s="1"/>
      <c r="L439" s="1"/>
      <c r="M439" s="1" t="s">
        <v>1179</v>
      </c>
      <c r="N439" s="1" t="s">
        <v>128</v>
      </c>
      <c r="O439" s="1" t="s">
        <v>1707</v>
      </c>
      <c r="P439" s="1"/>
      <c r="Q439" s="3">
        <v>36892.0</v>
      </c>
      <c r="R439" s="1"/>
      <c r="S439" s="1"/>
      <c r="T439" s="1" t="s">
        <v>37</v>
      </c>
      <c r="U439" s="1"/>
      <c r="V439" s="1" t="s">
        <v>38</v>
      </c>
      <c r="W439" s="1"/>
      <c r="X439" s="1"/>
      <c r="Y439" s="1" t="s">
        <v>49</v>
      </c>
      <c r="Z439" s="1"/>
      <c r="AA439" s="1" t="s">
        <v>40</v>
      </c>
      <c r="AB439" s="1" t="s">
        <v>196</v>
      </c>
      <c r="AC439" s="1"/>
    </row>
    <row r="440">
      <c r="A440" s="1" t="str">
        <f>"0008B2"</f>
        <v>0008B2</v>
      </c>
      <c r="B440" s="1" t="s">
        <v>2013</v>
      </c>
      <c r="C440" s="1" t="s">
        <v>2014</v>
      </c>
      <c r="D440" s="1" t="str">
        <f>"8027963015"</f>
        <v>8027963015</v>
      </c>
      <c r="E440" s="1">
        <v>3846.0</v>
      </c>
      <c r="F440" s="1" t="s">
        <v>117</v>
      </c>
      <c r="G440" s="1" t="s">
        <v>2015</v>
      </c>
      <c r="H440" s="1">
        <v>20.0</v>
      </c>
      <c r="I440" s="1"/>
      <c r="J440" s="1"/>
      <c r="K440" s="1"/>
      <c r="L440" s="1"/>
      <c r="M440" s="1" t="s">
        <v>72</v>
      </c>
      <c r="N440" s="1" t="s">
        <v>107</v>
      </c>
      <c r="O440" s="1" t="s">
        <v>2016</v>
      </c>
      <c r="P440" s="1" t="s">
        <v>2017</v>
      </c>
      <c r="Q440" s="3">
        <v>36892.0</v>
      </c>
      <c r="R440" s="1"/>
      <c r="S440" s="3">
        <v>39293.0</v>
      </c>
      <c r="T440" s="1" t="s">
        <v>37</v>
      </c>
      <c r="U440" s="1"/>
      <c r="V440" s="1" t="s">
        <v>38</v>
      </c>
      <c r="W440" s="1">
        <v>44.91721</v>
      </c>
      <c r="X440" s="1">
        <v>-73.311055</v>
      </c>
      <c r="Y440" s="1" t="s">
        <v>2018</v>
      </c>
      <c r="Z440" s="1"/>
      <c r="AA440" s="1" t="s">
        <v>40</v>
      </c>
      <c r="AB440" s="1" t="s">
        <v>2019</v>
      </c>
      <c r="AC440" s="1">
        <v>5440.0</v>
      </c>
    </row>
    <row r="441">
      <c r="A441" s="1" t="str">
        <f>"0007CM"</f>
        <v>0007CM</v>
      </c>
      <c r="B441" s="1" t="s">
        <v>2020</v>
      </c>
      <c r="C441" s="1" t="s">
        <v>2021</v>
      </c>
      <c r="D441" s="1" t="str">
        <f>"8027633980"</f>
        <v>8027633980</v>
      </c>
      <c r="E441" s="1">
        <v>3737.0</v>
      </c>
      <c r="F441" s="1" t="s">
        <v>44</v>
      </c>
      <c r="G441" s="1" t="s">
        <v>2022</v>
      </c>
      <c r="H441" s="1">
        <v>0.0</v>
      </c>
      <c r="I441" s="1"/>
      <c r="J441" s="1"/>
      <c r="K441" s="1"/>
      <c r="L441" s="1"/>
      <c r="M441" s="1" t="s">
        <v>72</v>
      </c>
      <c r="N441" s="1" t="s">
        <v>34</v>
      </c>
      <c r="O441" s="1" t="s">
        <v>35</v>
      </c>
      <c r="P441" s="1"/>
      <c r="Q441" s="3">
        <v>36892.0</v>
      </c>
      <c r="R441" s="1"/>
      <c r="S441" s="3">
        <v>41417.0</v>
      </c>
      <c r="T441" s="1" t="s">
        <v>37</v>
      </c>
      <c r="U441" s="1"/>
      <c r="V441" s="1" t="s">
        <v>38</v>
      </c>
      <c r="W441" s="1"/>
      <c r="X441" s="1"/>
      <c r="Y441" s="1" t="s">
        <v>49</v>
      </c>
      <c r="Z441" s="1"/>
      <c r="AA441" s="1" t="s">
        <v>40</v>
      </c>
      <c r="AB441" s="1" t="s">
        <v>345</v>
      </c>
      <c r="AC441" s="1"/>
    </row>
    <row r="442">
      <c r="A442" s="1" t="str">
        <f>"00079Q"</f>
        <v>00079Q</v>
      </c>
      <c r="B442" s="1" t="s">
        <v>2023</v>
      </c>
      <c r="C442" s="1" t="s">
        <v>2024</v>
      </c>
      <c r="D442" s="1"/>
      <c r="E442" s="1">
        <v>1982.0</v>
      </c>
      <c r="F442" s="1" t="s">
        <v>44</v>
      </c>
      <c r="G442" s="1" t="s">
        <v>2025</v>
      </c>
      <c r="H442" s="1">
        <v>1.0</v>
      </c>
      <c r="I442" s="1"/>
      <c r="J442" s="1"/>
      <c r="K442" s="1"/>
      <c r="L442" s="1"/>
      <c r="M442" s="1" t="s">
        <v>33</v>
      </c>
      <c r="N442" s="1" t="s">
        <v>128</v>
      </c>
      <c r="O442" s="1" t="s">
        <v>1048</v>
      </c>
      <c r="P442" s="1" t="s">
        <v>36</v>
      </c>
      <c r="Q442" s="3">
        <v>36892.0</v>
      </c>
      <c r="R442" s="1"/>
      <c r="S442" s="1"/>
      <c r="T442" s="1" t="s">
        <v>37</v>
      </c>
      <c r="U442" s="1"/>
      <c r="V442" s="1" t="s">
        <v>38</v>
      </c>
      <c r="W442" s="1">
        <v>44.441025</v>
      </c>
      <c r="X442" s="1">
        <v>-71.9433129999999</v>
      </c>
      <c r="Y442" s="1" t="s">
        <v>2026</v>
      </c>
      <c r="Z442" s="1"/>
      <c r="AA442" s="1" t="s">
        <v>40</v>
      </c>
      <c r="AB442" s="1" t="s">
        <v>2027</v>
      </c>
      <c r="AC442" s="1">
        <v>5819.0</v>
      </c>
    </row>
    <row r="443">
      <c r="A443" s="1" t="str">
        <f>"0008B0"</f>
        <v>0008B0</v>
      </c>
      <c r="B443" s="1" t="s">
        <v>2028</v>
      </c>
      <c r="C443" s="1" t="s">
        <v>2029</v>
      </c>
      <c r="D443" s="1"/>
      <c r="E443" s="1">
        <v>1981.0</v>
      </c>
      <c r="F443" s="1" t="s">
        <v>44</v>
      </c>
      <c r="G443" s="1" t="s">
        <v>2030</v>
      </c>
      <c r="H443" s="1">
        <v>1.0</v>
      </c>
      <c r="I443" s="1"/>
      <c r="J443" s="1"/>
      <c r="K443" s="1"/>
      <c r="L443" s="1"/>
      <c r="M443" s="1" t="s">
        <v>1179</v>
      </c>
      <c r="N443" s="1" t="s">
        <v>34</v>
      </c>
      <c r="O443" s="1" t="s">
        <v>1237</v>
      </c>
      <c r="P443" s="1"/>
      <c r="Q443" s="3">
        <v>36892.0</v>
      </c>
      <c r="R443" s="1"/>
      <c r="S443" s="3">
        <v>32359.0</v>
      </c>
      <c r="T443" s="1" t="s">
        <v>37</v>
      </c>
      <c r="U443" s="1"/>
      <c r="V443" s="1" t="s">
        <v>38</v>
      </c>
      <c r="W443" s="1"/>
      <c r="X443" s="1"/>
      <c r="Y443" s="1" t="s">
        <v>49</v>
      </c>
      <c r="Z443" s="1"/>
      <c r="AA443" s="1" t="s">
        <v>40</v>
      </c>
      <c r="AB443" s="1" t="s">
        <v>1238</v>
      </c>
      <c r="AC443" s="1"/>
    </row>
    <row r="444">
      <c r="A444" s="1" t="str">
        <f>"0008AZ"</f>
        <v>0008AZ</v>
      </c>
      <c r="B444" s="1" t="s">
        <v>2031</v>
      </c>
      <c r="C444" s="1" t="s">
        <v>2032</v>
      </c>
      <c r="D444" s="1"/>
      <c r="E444" s="1">
        <v>1980.0</v>
      </c>
      <c r="F444" s="1" t="s">
        <v>44</v>
      </c>
      <c r="G444" s="1" t="s">
        <v>2033</v>
      </c>
      <c r="H444" s="1">
        <v>2.0</v>
      </c>
      <c r="I444" s="1"/>
      <c r="J444" s="1"/>
      <c r="K444" s="1"/>
      <c r="L444" s="1"/>
      <c r="M444" s="1" t="s">
        <v>2034</v>
      </c>
      <c r="N444" s="1" t="s">
        <v>34</v>
      </c>
      <c r="O444" s="1" t="s">
        <v>1237</v>
      </c>
      <c r="P444" s="1"/>
      <c r="Q444" s="3">
        <v>36892.0</v>
      </c>
      <c r="R444" s="1"/>
      <c r="S444" s="3">
        <v>32356.0</v>
      </c>
      <c r="T444" s="1" t="s">
        <v>37</v>
      </c>
      <c r="U444" s="1"/>
      <c r="V444" s="1" t="s">
        <v>38</v>
      </c>
      <c r="W444" s="1"/>
      <c r="X444" s="1"/>
      <c r="Y444" s="1" t="s">
        <v>49</v>
      </c>
      <c r="Z444" s="1"/>
      <c r="AA444" s="1" t="s">
        <v>40</v>
      </c>
      <c r="AB444" s="1" t="s">
        <v>1238</v>
      </c>
      <c r="AC444" s="1"/>
    </row>
    <row r="445">
      <c r="A445" s="1" t="str">
        <f>"0008AY"</f>
        <v>0008AY</v>
      </c>
      <c r="B445" s="1" t="s">
        <v>2035</v>
      </c>
      <c r="C445" s="1" t="s">
        <v>2036</v>
      </c>
      <c r="D445" s="1" t="str">
        <f>"8022971718"</f>
        <v>8022971718</v>
      </c>
      <c r="E445" s="1">
        <v>2346.0</v>
      </c>
      <c r="F445" s="1" t="s">
        <v>117</v>
      </c>
      <c r="G445" s="1" t="s">
        <v>2037</v>
      </c>
      <c r="H445" s="1">
        <v>2.0</v>
      </c>
      <c r="I445" s="2" t="s">
        <v>119</v>
      </c>
      <c r="J445" s="2" t="s">
        <v>119</v>
      </c>
      <c r="K445" s="2" t="s">
        <v>119</v>
      </c>
      <c r="L445" s="1"/>
      <c r="M445" s="1" t="s">
        <v>2038</v>
      </c>
      <c r="N445" s="1" t="s">
        <v>66</v>
      </c>
      <c r="O445" s="1" t="s">
        <v>751</v>
      </c>
      <c r="P445" s="1" t="s">
        <v>2039</v>
      </c>
      <c r="Q445" s="3">
        <v>36892.0</v>
      </c>
      <c r="R445" s="1"/>
      <c r="S445" s="3">
        <v>35207.0</v>
      </c>
      <c r="T445" s="1" t="s">
        <v>37</v>
      </c>
      <c r="U445" s="1"/>
      <c r="V445" s="1" t="s">
        <v>38</v>
      </c>
      <c r="W445" s="1">
        <v>43.152489</v>
      </c>
      <c r="X445" s="1">
        <v>-72.8536379999999</v>
      </c>
      <c r="Y445" s="1" t="s">
        <v>2040</v>
      </c>
      <c r="Z445" s="1"/>
      <c r="AA445" s="1" t="s">
        <v>40</v>
      </c>
      <c r="AB445" s="1" t="s">
        <v>2041</v>
      </c>
      <c r="AC445" s="1">
        <v>5155.0</v>
      </c>
    </row>
    <row r="446">
      <c r="A446" s="1" t="str">
        <f>"0007J5"</f>
        <v>0007J5</v>
      </c>
      <c r="B446" s="1" t="s">
        <v>777</v>
      </c>
      <c r="C446" s="1" t="s">
        <v>778</v>
      </c>
      <c r="D446" s="1" t="str">
        <f>"8024634954"</f>
        <v>8024634954</v>
      </c>
      <c r="E446" s="1">
        <v>2327.0</v>
      </c>
      <c r="F446" s="1" t="s">
        <v>44</v>
      </c>
      <c r="G446" s="1" t="s">
        <v>2042</v>
      </c>
      <c r="H446" s="1">
        <v>2.0</v>
      </c>
      <c r="I446" s="1"/>
      <c r="J446" s="1"/>
      <c r="K446" s="1"/>
      <c r="L446" s="1"/>
      <c r="M446" s="1" t="s">
        <v>72</v>
      </c>
      <c r="N446" s="1" t="s">
        <v>66</v>
      </c>
      <c r="O446" s="1" t="s">
        <v>1199</v>
      </c>
      <c r="P446" s="1"/>
      <c r="Q446" s="3">
        <v>36892.0</v>
      </c>
      <c r="R446" s="1"/>
      <c r="S446" s="3">
        <v>39975.0</v>
      </c>
      <c r="T446" s="1" t="s">
        <v>37</v>
      </c>
      <c r="U446" s="1"/>
      <c r="V446" s="1" t="s">
        <v>38</v>
      </c>
      <c r="W446" s="1"/>
      <c r="X446" s="1"/>
      <c r="Y446" s="1" t="s">
        <v>49</v>
      </c>
      <c r="Z446" s="1"/>
      <c r="AA446" s="1" t="s">
        <v>40</v>
      </c>
      <c r="AB446" s="1" t="s">
        <v>1200</v>
      </c>
      <c r="AC446" s="1"/>
    </row>
    <row r="447">
      <c r="A447" s="1" t="str">
        <f>"0007J8"</f>
        <v>0007J8</v>
      </c>
      <c r="B447" s="1" t="s">
        <v>2043</v>
      </c>
      <c r="C447" s="1" t="s">
        <v>2044</v>
      </c>
      <c r="D447" s="1" t="str">
        <f>"8027224144"</f>
        <v>8027224144</v>
      </c>
      <c r="E447" s="1">
        <v>818.0</v>
      </c>
      <c r="F447" s="1" t="s">
        <v>44</v>
      </c>
      <c r="G447" s="1" t="s">
        <v>2045</v>
      </c>
      <c r="H447" s="1">
        <v>5.0</v>
      </c>
      <c r="I447" s="1"/>
      <c r="J447" s="1"/>
      <c r="K447" s="1"/>
      <c r="L447" s="1"/>
      <c r="M447" s="1" t="s">
        <v>2046</v>
      </c>
      <c r="N447" s="1" t="s">
        <v>66</v>
      </c>
      <c r="O447" s="1" t="s">
        <v>113</v>
      </c>
      <c r="P447" s="1"/>
      <c r="Q447" s="3">
        <v>36892.0</v>
      </c>
      <c r="R447" s="1"/>
      <c r="S447" s="3">
        <v>32673.0</v>
      </c>
      <c r="T447" s="1" t="s">
        <v>37</v>
      </c>
      <c r="U447" s="1"/>
      <c r="V447" s="1" t="s">
        <v>38</v>
      </c>
      <c r="W447" s="1"/>
      <c r="X447" s="1"/>
      <c r="Y447" s="1" t="s">
        <v>49</v>
      </c>
      <c r="Z447" s="1"/>
      <c r="AA447" s="1" t="s">
        <v>40</v>
      </c>
      <c r="AB447" s="1" t="s">
        <v>114</v>
      </c>
      <c r="AC447" s="1"/>
    </row>
    <row r="448">
      <c r="A448" s="1" t="str">
        <f>"0007G5"</f>
        <v>0007G5</v>
      </c>
      <c r="B448" s="1" t="s">
        <v>2047</v>
      </c>
      <c r="C448" s="1" t="s">
        <v>2048</v>
      </c>
      <c r="D448" s="1" t="str">
        <f>"8023874151"</f>
        <v>8023874151</v>
      </c>
      <c r="E448" s="1">
        <v>728.0</v>
      </c>
      <c r="F448" s="1" t="s">
        <v>44</v>
      </c>
      <c r="G448" s="1" t="s">
        <v>2049</v>
      </c>
      <c r="H448" s="1"/>
      <c r="I448" s="1"/>
      <c r="J448" s="1"/>
      <c r="K448" s="1"/>
      <c r="L448" s="1"/>
      <c r="M448" s="1" t="s">
        <v>2050</v>
      </c>
      <c r="N448" s="1" t="s">
        <v>66</v>
      </c>
      <c r="O448" s="1" t="s">
        <v>593</v>
      </c>
      <c r="P448" s="1"/>
      <c r="Q448" s="3">
        <v>36892.0</v>
      </c>
      <c r="R448" s="1"/>
      <c r="S448" s="1"/>
      <c r="T448" s="1" t="s">
        <v>37</v>
      </c>
      <c r="U448" s="1"/>
      <c r="V448" s="1" t="s">
        <v>38</v>
      </c>
      <c r="W448" s="1"/>
      <c r="X448" s="1"/>
      <c r="Y448" s="1" t="s">
        <v>49</v>
      </c>
      <c r="Z448" s="1"/>
      <c r="AA448" s="1" t="s">
        <v>40</v>
      </c>
      <c r="AB448" s="1" t="s">
        <v>594</v>
      </c>
      <c r="AC448" s="1"/>
    </row>
    <row r="449">
      <c r="A449" s="1" t="str">
        <f>"0007FF"</f>
        <v>0007FF</v>
      </c>
      <c r="B449" s="1" t="s">
        <v>2051</v>
      </c>
      <c r="C449" s="1" t="s">
        <v>2052</v>
      </c>
      <c r="D449" s="1" t="str">
        <f>"8026854386"</f>
        <v>8026854386</v>
      </c>
      <c r="E449" s="1">
        <v>3700.0</v>
      </c>
      <c r="F449" s="1" t="s">
        <v>44</v>
      </c>
      <c r="G449" s="1" t="s">
        <v>2053</v>
      </c>
      <c r="H449" s="1">
        <v>3.0</v>
      </c>
      <c r="I449" s="1"/>
      <c r="J449" s="1"/>
      <c r="K449" s="1"/>
      <c r="L449" s="1"/>
      <c r="M449" s="1" t="s">
        <v>72</v>
      </c>
      <c r="N449" s="1" t="s">
        <v>142</v>
      </c>
      <c r="O449" s="1" t="s">
        <v>844</v>
      </c>
      <c r="P449" s="1"/>
      <c r="Q449" s="3">
        <v>36892.0</v>
      </c>
      <c r="R449" s="1"/>
      <c r="S449" s="3">
        <v>38848.0</v>
      </c>
      <c r="T449" s="1" t="s">
        <v>37</v>
      </c>
      <c r="U449" s="1"/>
      <c r="V449" s="1" t="s">
        <v>38</v>
      </c>
      <c r="W449" s="1"/>
      <c r="X449" s="1"/>
      <c r="Y449" s="1" t="s">
        <v>49</v>
      </c>
      <c r="Z449" s="1"/>
      <c r="AA449" s="1" t="s">
        <v>40</v>
      </c>
      <c r="AB449" s="1" t="s">
        <v>847</v>
      </c>
      <c r="AC449" s="1"/>
    </row>
    <row r="450">
      <c r="A450" s="1" t="str">
        <f>"0008NV"</f>
        <v>0008NV</v>
      </c>
      <c r="B450" s="1" t="s">
        <v>2054</v>
      </c>
      <c r="C450" s="1" t="s">
        <v>2055</v>
      </c>
      <c r="D450" s="1" t="str">
        <f>"8022792898"</f>
        <v>8022792898</v>
      </c>
      <c r="E450" s="1">
        <v>3709.0</v>
      </c>
      <c r="F450" s="1" t="s">
        <v>44</v>
      </c>
      <c r="G450" s="1" t="s">
        <v>2056</v>
      </c>
      <c r="H450" s="1"/>
      <c r="I450" s="1"/>
      <c r="J450" s="1"/>
      <c r="K450" s="1"/>
      <c r="L450" s="1"/>
      <c r="M450" s="1" t="s">
        <v>72</v>
      </c>
      <c r="N450" s="1" t="s">
        <v>213</v>
      </c>
      <c r="O450" s="1" t="s">
        <v>365</v>
      </c>
      <c r="P450" s="1"/>
      <c r="Q450" s="3">
        <v>36892.0</v>
      </c>
      <c r="R450" s="1"/>
      <c r="S450" s="1"/>
      <c r="T450" s="1" t="s">
        <v>37</v>
      </c>
      <c r="U450" s="1"/>
      <c r="V450" s="1" t="s">
        <v>38</v>
      </c>
      <c r="W450" s="1"/>
      <c r="X450" s="1"/>
      <c r="Y450" s="1" t="s">
        <v>49</v>
      </c>
      <c r="Z450" s="1"/>
      <c r="AA450" s="1" t="s">
        <v>40</v>
      </c>
      <c r="AB450" s="1" t="s">
        <v>366</v>
      </c>
      <c r="AC450" s="1"/>
    </row>
    <row r="451">
      <c r="A451" s="1" t="str">
        <f>"0007FN"</f>
        <v>0007FN</v>
      </c>
      <c r="B451" s="1" t="s">
        <v>2057</v>
      </c>
      <c r="C451" s="1" t="s">
        <v>2058</v>
      </c>
      <c r="D451" s="1" t="str">
        <f>"8028773315"</f>
        <v>8028773315</v>
      </c>
      <c r="E451" s="1">
        <v>3356.0</v>
      </c>
      <c r="F451" s="1" t="s">
        <v>44</v>
      </c>
      <c r="G451" s="1" t="s">
        <v>2059</v>
      </c>
      <c r="H451" s="1"/>
      <c r="I451" s="1"/>
      <c r="J451" s="1"/>
      <c r="K451" s="1"/>
      <c r="L451" s="1"/>
      <c r="M451" s="1" t="s">
        <v>2060</v>
      </c>
      <c r="N451" s="1" t="s">
        <v>161</v>
      </c>
      <c r="O451" s="1" t="s">
        <v>394</v>
      </c>
      <c r="P451" s="1"/>
      <c r="Q451" s="3">
        <v>36892.0</v>
      </c>
      <c r="R451" s="1"/>
      <c r="S451" s="1"/>
      <c r="T451" s="1" t="s">
        <v>37</v>
      </c>
      <c r="U451" s="1"/>
      <c r="V451" s="1" t="s">
        <v>38</v>
      </c>
      <c r="W451" s="1"/>
      <c r="X451" s="1"/>
      <c r="Y451" s="1" t="s">
        <v>49</v>
      </c>
      <c r="Z451" s="1"/>
      <c r="AA451" s="1" t="s">
        <v>40</v>
      </c>
      <c r="AB451" s="1" t="s">
        <v>395</v>
      </c>
      <c r="AC451" s="1"/>
    </row>
    <row r="452">
      <c r="A452" s="1" t="str">
        <f>"0007GK"</f>
        <v>0007GK</v>
      </c>
      <c r="B452" s="1" t="s">
        <v>2061</v>
      </c>
      <c r="C452" s="1" t="s">
        <v>2062</v>
      </c>
      <c r="D452" s="1" t="str">
        <f>"8026445680"</f>
        <v>8026445680</v>
      </c>
      <c r="E452" s="1">
        <v>3354.0</v>
      </c>
      <c r="F452" s="1" t="s">
        <v>44</v>
      </c>
      <c r="G452" s="1" t="s">
        <v>2063</v>
      </c>
      <c r="H452" s="1">
        <v>1.0</v>
      </c>
      <c r="I452" s="2"/>
      <c r="J452" s="2"/>
      <c r="K452" s="2"/>
      <c r="L452" s="2"/>
      <c r="M452" s="1" t="s">
        <v>72</v>
      </c>
      <c r="N452" s="1" t="s">
        <v>213</v>
      </c>
      <c r="O452" s="1" t="s">
        <v>620</v>
      </c>
      <c r="P452" s="1"/>
      <c r="Q452" s="3">
        <v>36892.0</v>
      </c>
      <c r="R452" s="1"/>
      <c r="S452" s="3">
        <v>37082.0</v>
      </c>
      <c r="T452" s="1" t="s">
        <v>37</v>
      </c>
      <c r="U452" s="1"/>
      <c r="V452" s="1" t="s">
        <v>38</v>
      </c>
      <c r="W452" s="1"/>
      <c r="X452" s="1"/>
      <c r="Y452" s="1" t="s">
        <v>49</v>
      </c>
      <c r="Z452" s="1"/>
      <c r="AA452" s="1" t="s">
        <v>40</v>
      </c>
      <c r="AB452" s="1" t="s">
        <v>621</v>
      </c>
      <c r="AC452" s="1"/>
    </row>
    <row r="453">
      <c r="A453" s="1" t="str">
        <f>"000M83"</f>
        <v>000M83</v>
      </c>
      <c r="B453" s="1" t="s">
        <v>1435</v>
      </c>
      <c r="C453" s="1" t="s">
        <v>1436</v>
      </c>
      <c r="D453" s="1" t="str">
        <f>"8025373294"</f>
        <v>8025373294</v>
      </c>
      <c r="E453" s="1">
        <v>4622.0</v>
      </c>
      <c r="F453" s="1" t="s">
        <v>117</v>
      </c>
      <c r="G453" s="1" t="s">
        <v>2064</v>
      </c>
      <c r="H453" s="1">
        <v>28.0</v>
      </c>
      <c r="I453" s="2">
        <v>20.0</v>
      </c>
      <c r="J453" s="2">
        <v>20.0</v>
      </c>
      <c r="K453" s="2" t="s">
        <v>119</v>
      </c>
      <c r="L453" s="1"/>
      <c r="M453" s="1" t="s">
        <v>2065</v>
      </c>
      <c r="N453" s="1" t="s">
        <v>78</v>
      </c>
      <c r="O453" s="1" t="s">
        <v>2066</v>
      </c>
      <c r="P453" s="1" t="s">
        <v>2067</v>
      </c>
      <c r="Q453" s="3">
        <v>36892.0</v>
      </c>
      <c r="R453" s="1"/>
      <c r="S453" s="1"/>
      <c r="T453" s="1" t="s">
        <v>37</v>
      </c>
      <c r="U453" s="1"/>
      <c r="V453" s="1" t="s">
        <v>38</v>
      </c>
      <c r="W453" s="1">
        <v>43.6453301575958</v>
      </c>
      <c r="X453" s="1">
        <v>-73.3932638168335</v>
      </c>
      <c r="Y453" s="1" t="s">
        <v>2068</v>
      </c>
      <c r="Z453" s="1"/>
      <c r="AA453" s="1" t="s">
        <v>40</v>
      </c>
      <c r="AB453" s="1" t="s">
        <v>2069</v>
      </c>
      <c r="AC453" s="1">
        <v>0.0</v>
      </c>
    </row>
    <row r="454">
      <c r="A454" s="1" t="str">
        <f>"0008AF"</f>
        <v>0008AF</v>
      </c>
      <c r="B454" s="1" t="s">
        <v>2070</v>
      </c>
      <c r="C454" s="1" t="s">
        <v>2071</v>
      </c>
      <c r="D454" s="1"/>
      <c r="E454" s="1">
        <v>1960.0</v>
      </c>
      <c r="F454" s="1" t="s">
        <v>44</v>
      </c>
      <c r="G454" s="1" t="s">
        <v>2072</v>
      </c>
      <c r="H454" s="1"/>
      <c r="I454" s="1"/>
      <c r="J454" s="1"/>
      <c r="K454" s="1"/>
      <c r="L454" s="1"/>
      <c r="M454" s="1" t="s">
        <v>72</v>
      </c>
      <c r="N454" s="1" t="s">
        <v>128</v>
      </c>
      <c r="O454" s="1" t="s">
        <v>887</v>
      </c>
      <c r="P454" s="1"/>
      <c r="Q454" s="3">
        <v>36892.0</v>
      </c>
      <c r="R454" s="1"/>
      <c r="S454" s="1"/>
      <c r="T454" s="1" t="s">
        <v>37</v>
      </c>
      <c r="U454" s="1"/>
      <c r="V454" s="1" t="s">
        <v>38</v>
      </c>
      <c r="W454" s="1"/>
      <c r="X454" s="1"/>
      <c r="Y454" s="1" t="s">
        <v>49</v>
      </c>
      <c r="Z454" s="1"/>
      <c r="AA454" s="1" t="s">
        <v>40</v>
      </c>
      <c r="AB454" s="1" t="s">
        <v>888</v>
      </c>
      <c r="AC454" s="1"/>
    </row>
    <row r="455">
      <c r="A455" s="1" t="str">
        <f>"0008AD"</f>
        <v>0008AD</v>
      </c>
      <c r="B455" s="1" t="s">
        <v>2073</v>
      </c>
      <c r="C455" s="1" t="s">
        <v>2074</v>
      </c>
      <c r="D455" s="1" t="str">
        <f>"8026269765"</f>
        <v>8026269765</v>
      </c>
      <c r="E455" s="1">
        <v>1959.0</v>
      </c>
      <c r="F455" s="1" t="s">
        <v>44</v>
      </c>
      <c r="G455" s="1" t="s">
        <v>2075</v>
      </c>
      <c r="H455" s="1"/>
      <c r="I455" s="1"/>
      <c r="J455" s="1"/>
      <c r="K455" s="1"/>
      <c r="L455" s="1"/>
      <c r="M455" s="1" t="s">
        <v>72</v>
      </c>
      <c r="N455" s="1" t="s">
        <v>128</v>
      </c>
      <c r="O455" s="1" t="s">
        <v>1218</v>
      </c>
      <c r="P455" s="1"/>
      <c r="Q455" s="3">
        <v>36892.0</v>
      </c>
      <c r="R455" s="1"/>
      <c r="S455" s="1"/>
      <c r="T455" s="1" t="s">
        <v>37</v>
      </c>
      <c r="U455" s="1"/>
      <c r="V455" s="1" t="s">
        <v>38</v>
      </c>
      <c r="W455" s="1"/>
      <c r="X455" s="1"/>
      <c r="Y455" s="1" t="s">
        <v>49</v>
      </c>
      <c r="Z455" s="1"/>
      <c r="AA455" s="1" t="s">
        <v>40</v>
      </c>
      <c r="AB455" s="1" t="s">
        <v>1219</v>
      </c>
      <c r="AC455" s="1"/>
    </row>
    <row r="456">
      <c r="A456" s="1" t="str">
        <f>"0008AC"</f>
        <v>0008AC</v>
      </c>
      <c r="B456" s="1" t="s">
        <v>2076</v>
      </c>
      <c r="C456" s="1" t="s">
        <v>2077</v>
      </c>
      <c r="D456" s="1" t="str">
        <f>"8022584788"</f>
        <v>8022584788</v>
      </c>
      <c r="E456" s="1">
        <v>3725.0</v>
      </c>
      <c r="F456" s="1" t="s">
        <v>44</v>
      </c>
      <c r="G456" s="1" t="s">
        <v>2078</v>
      </c>
      <c r="H456" s="1">
        <v>3.0</v>
      </c>
      <c r="I456" s="1"/>
      <c r="J456" s="1"/>
      <c r="K456" s="1"/>
      <c r="L456" s="1"/>
      <c r="M456" s="1" t="s">
        <v>72</v>
      </c>
      <c r="N456" s="1" t="s">
        <v>66</v>
      </c>
      <c r="O456" s="1" t="s">
        <v>1136</v>
      </c>
      <c r="P456" s="1"/>
      <c r="Q456" s="3">
        <v>36892.0</v>
      </c>
      <c r="R456" s="1"/>
      <c r="S456" s="3">
        <v>38889.0</v>
      </c>
      <c r="T456" s="1" t="s">
        <v>37</v>
      </c>
      <c r="U456" s="1"/>
      <c r="V456" s="1" t="s">
        <v>38</v>
      </c>
      <c r="W456" s="1"/>
      <c r="X456" s="1"/>
      <c r="Y456" s="1" t="s">
        <v>49</v>
      </c>
      <c r="Z456" s="1"/>
      <c r="AA456" s="1" t="s">
        <v>40</v>
      </c>
      <c r="AB456" s="1" t="s">
        <v>1137</v>
      </c>
      <c r="AC456" s="1"/>
    </row>
    <row r="457">
      <c r="A457" s="1" t="str">
        <f>"00092V"</f>
        <v>00092V</v>
      </c>
      <c r="B457" s="1" t="s">
        <v>2079</v>
      </c>
      <c r="C457" s="1" t="s">
        <v>2080</v>
      </c>
      <c r="D457" s="1" t="str">
        <f>"8022763808"</f>
        <v>8022763808</v>
      </c>
      <c r="E457" s="1">
        <v>3784.0</v>
      </c>
      <c r="F457" s="1" t="s">
        <v>117</v>
      </c>
      <c r="G457" s="1" t="s">
        <v>2081</v>
      </c>
      <c r="H457" s="1">
        <v>4.0</v>
      </c>
      <c r="I457" s="1"/>
      <c r="J457" s="1"/>
      <c r="K457" s="1"/>
      <c r="L457" s="1"/>
      <c r="M457" s="1" t="s">
        <v>2082</v>
      </c>
      <c r="N457" s="1" t="s">
        <v>142</v>
      </c>
      <c r="O457" s="1" t="s">
        <v>474</v>
      </c>
      <c r="P457" s="1" t="s">
        <v>2083</v>
      </c>
      <c r="Q457" s="3">
        <v>36892.0</v>
      </c>
      <c r="R457" s="1"/>
      <c r="S457" s="3">
        <v>39945.0</v>
      </c>
      <c r="T457" s="1" t="s">
        <v>37</v>
      </c>
      <c r="U457" s="1"/>
      <c r="V457" s="1" t="s">
        <v>38</v>
      </c>
      <c r="W457" s="1">
        <v>43.974659</v>
      </c>
      <c r="X457" s="1">
        <v>-72.595406</v>
      </c>
      <c r="Y457" s="1" t="s">
        <v>2084</v>
      </c>
      <c r="Z457" s="1"/>
      <c r="AA457" s="1" t="s">
        <v>40</v>
      </c>
      <c r="AB457" s="1" t="s">
        <v>475</v>
      </c>
      <c r="AC457" s="1">
        <v>5060.0</v>
      </c>
    </row>
    <row r="458">
      <c r="A458" s="1" t="str">
        <f>"00071Z"</f>
        <v>00071Z</v>
      </c>
      <c r="B458" s="1" t="s">
        <v>2085</v>
      </c>
      <c r="C458" s="1" t="s">
        <v>2086</v>
      </c>
      <c r="D458" s="1" t="str">
        <f>"8028612232"</f>
        <v>8028612232</v>
      </c>
      <c r="E458" s="1">
        <v>3686.0</v>
      </c>
      <c r="F458" s="1" t="s">
        <v>44</v>
      </c>
      <c r="G458" s="1" t="s">
        <v>2087</v>
      </c>
      <c r="H458" s="1"/>
      <c r="I458" s="1"/>
      <c r="J458" s="1"/>
      <c r="K458" s="1"/>
      <c r="L458" s="1"/>
      <c r="M458" s="1" t="s">
        <v>2088</v>
      </c>
      <c r="N458" s="1" t="s">
        <v>57</v>
      </c>
      <c r="O458" s="1" t="s">
        <v>175</v>
      </c>
      <c r="P458" s="1"/>
      <c r="Q458" s="3">
        <v>36892.0</v>
      </c>
      <c r="R458" s="1"/>
      <c r="S458" s="1"/>
      <c r="T458" s="1" t="s">
        <v>37</v>
      </c>
      <c r="U458" s="1"/>
      <c r="V458" s="1" t="s">
        <v>38</v>
      </c>
      <c r="W458" s="1"/>
      <c r="X458" s="1"/>
      <c r="Y458" s="1" t="s">
        <v>49</v>
      </c>
      <c r="Z458" s="1"/>
      <c r="AA458" s="1" t="s">
        <v>40</v>
      </c>
      <c r="AB458" s="1" t="s">
        <v>176</v>
      </c>
      <c r="AC458" s="1"/>
    </row>
    <row r="459">
      <c r="A459" s="1" t="str">
        <f>"0008A6"</f>
        <v>0008A6</v>
      </c>
      <c r="B459" s="1" t="s">
        <v>2089</v>
      </c>
      <c r="C459" s="1" t="s">
        <v>2090</v>
      </c>
      <c r="D459" s="1" t="str">
        <f>"8028783048"</f>
        <v>8028783048</v>
      </c>
      <c r="E459" s="1">
        <v>2842.0</v>
      </c>
      <c r="F459" s="1" t="s">
        <v>44</v>
      </c>
      <c r="G459" s="1" t="s">
        <v>2091</v>
      </c>
      <c r="H459" s="1"/>
      <c r="I459" s="1"/>
      <c r="J459" s="1"/>
      <c r="K459" s="1"/>
      <c r="L459" s="1"/>
      <c r="M459" s="1" t="s">
        <v>72</v>
      </c>
      <c r="N459" s="1" t="s">
        <v>57</v>
      </c>
      <c r="O459" s="1" t="s">
        <v>2092</v>
      </c>
      <c r="P459" s="1"/>
      <c r="Q459" s="3">
        <v>36892.0</v>
      </c>
      <c r="R459" s="1"/>
      <c r="S459" s="1"/>
      <c r="T459" s="1" t="s">
        <v>37</v>
      </c>
      <c r="U459" s="1"/>
      <c r="V459" s="1" t="s">
        <v>38</v>
      </c>
      <c r="W459" s="1"/>
      <c r="X459" s="1"/>
      <c r="Y459" s="1" t="s">
        <v>49</v>
      </c>
      <c r="Z459" s="1"/>
      <c r="AA459" s="1" t="s">
        <v>40</v>
      </c>
      <c r="AB459" s="1" t="s">
        <v>2093</v>
      </c>
      <c r="AC459" s="1"/>
    </row>
    <row r="460">
      <c r="A460" s="1" t="str">
        <f>"0008Y0"</f>
        <v>0008Y0</v>
      </c>
      <c r="B460" s="1" t="s">
        <v>2094</v>
      </c>
      <c r="C460" s="1" t="s">
        <v>2095</v>
      </c>
      <c r="D460" s="1" t="str">
        <f>"8024344787"</f>
        <v>8024344787</v>
      </c>
      <c r="E460" s="1">
        <v>3863.0</v>
      </c>
      <c r="F460" s="1" t="s">
        <v>44</v>
      </c>
      <c r="G460" s="1" t="s">
        <v>2096</v>
      </c>
      <c r="H460" s="1">
        <v>1.0</v>
      </c>
      <c r="I460" s="1"/>
      <c r="J460" s="1"/>
      <c r="K460" s="1"/>
      <c r="L460" s="1"/>
      <c r="M460" s="1" t="s">
        <v>72</v>
      </c>
      <c r="N460" s="1" t="s">
        <v>57</v>
      </c>
      <c r="O460" s="1" t="s">
        <v>313</v>
      </c>
      <c r="P460" s="1"/>
      <c r="Q460" s="3">
        <v>36892.0</v>
      </c>
      <c r="R460" s="1"/>
      <c r="S460" s="3">
        <v>39338.0</v>
      </c>
      <c r="T460" s="1" t="s">
        <v>37</v>
      </c>
      <c r="U460" s="1"/>
      <c r="V460" s="1" t="s">
        <v>38</v>
      </c>
      <c r="W460" s="1"/>
      <c r="X460" s="1"/>
      <c r="Y460" s="1" t="s">
        <v>49</v>
      </c>
      <c r="Z460" s="1"/>
      <c r="AA460" s="1" t="s">
        <v>40</v>
      </c>
      <c r="AB460" s="1" t="s">
        <v>314</v>
      </c>
      <c r="AC460" s="1"/>
    </row>
    <row r="461">
      <c r="A461" s="1" t="str">
        <f>"0008A4"</f>
        <v>0008A4</v>
      </c>
      <c r="B461" s="1" t="s">
        <v>2097</v>
      </c>
      <c r="C461" s="1" t="s">
        <v>2098</v>
      </c>
      <c r="D461" s="1" t="str">
        <f>"8027283647"</f>
        <v>8027283647</v>
      </c>
      <c r="E461" s="1">
        <v>3621.0</v>
      </c>
      <c r="F461" s="1" t="s">
        <v>44</v>
      </c>
      <c r="G461" s="1" t="s">
        <v>2099</v>
      </c>
      <c r="H461" s="1">
        <v>1.0</v>
      </c>
      <c r="I461" s="1"/>
      <c r="J461" s="1"/>
      <c r="K461" s="1"/>
      <c r="L461" s="1"/>
      <c r="M461" s="1" t="s">
        <v>72</v>
      </c>
      <c r="N461" s="1" t="s">
        <v>142</v>
      </c>
      <c r="O461" s="1" t="s">
        <v>474</v>
      </c>
      <c r="P461" s="1"/>
      <c r="Q461" s="3">
        <v>36892.0</v>
      </c>
      <c r="R461" s="1"/>
      <c r="S461" s="3">
        <v>39945.0</v>
      </c>
      <c r="T461" s="1" t="s">
        <v>37</v>
      </c>
      <c r="U461" s="1"/>
      <c r="V461" s="1" t="s">
        <v>38</v>
      </c>
      <c r="W461" s="1"/>
      <c r="X461" s="1"/>
      <c r="Y461" s="1" t="s">
        <v>49</v>
      </c>
      <c r="Z461" s="1"/>
      <c r="AA461" s="1" t="s">
        <v>40</v>
      </c>
      <c r="AB461" s="1" t="s">
        <v>475</v>
      </c>
      <c r="AC461" s="1"/>
    </row>
    <row r="462">
      <c r="A462" s="1" t="str">
        <f>"0008A3"</f>
        <v>0008A3</v>
      </c>
      <c r="B462" s="1" t="s">
        <v>2100</v>
      </c>
      <c r="C462" s="1" t="s">
        <v>2101</v>
      </c>
      <c r="D462" s="1" t="str">
        <f>"8023627235"</f>
        <v>8023627235</v>
      </c>
      <c r="E462" s="1">
        <v>3951.0</v>
      </c>
      <c r="F462" s="1" t="s">
        <v>44</v>
      </c>
      <c r="G462" s="1" t="s">
        <v>2102</v>
      </c>
      <c r="H462" s="1">
        <v>4.0</v>
      </c>
      <c r="I462" s="1"/>
      <c r="J462" s="1"/>
      <c r="K462" s="1"/>
      <c r="L462" s="1"/>
      <c r="M462" s="1" t="s">
        <v>72</v>
      </c>
      <c r="N462" s="1" t="s">
        <v>414</v>
      </c>
      <c r="O462" s="1" t="s">
        <v>415</v>
      </c>
      <c r="P462" s="1"/>
      <c r="Q462" s="3">
        <v>36892.0</v>
      </c>
      <c r="R462" s="1"/>
      <c r="S462" s="3">
        <v>39640.0</v>
      </c>
      <c r="T462" s="1" t="s">
        <v>37</v>
      </c>
      <c r="U462" s="1"/>
      <c r="V462" s="1" t="s">
        <v>38</v>
      </c>
      <c r="W462" s="1"/>
      <c r="X462" s="1"/>
      <c r="Y462" s="1" t="s">
        <v>49</v>
      </c>
      <c r="Z462" s="1"/>
      <c r="AA462" s="1" t="s">
        <v>40</v>
      </c>
      <c r="AB462" s="1" t="s">
        <v>416</v>
      </c>
      <c r="AC462" s="1"/>
    </row>
    <row r="463">
      <c r="A463" s="1" t="str">
        <f>"0008A2"</f>
        <v>0008A2</v>
      </c>
      <c r="B463" s="1" t="s">
        <v>2103</v>
      </c>
      <c r="C463" s="1" t="s">
        <v>2104</v>
      </c>
      <c r="D463" s="1" t="str">
        <f>"8026269008"</f>
        <v>8026269008</v>
      </c>
      <c r="E463" s="1">
        <v>1940.0</v>
      </c>
      <c r="F463" s="1" t="s">
        <v>44</v>
      </c>
      <c r="G463" s="1" t="s">
        <v>2105</v>
      </c>
      <c r="H463" s="1"/>
      <c r="I463" s="1"/>
      <c r="J463" s="1"/>
      <c r="K463" s="1"/>
      <c r="L463" s="1"/>
      <c r="M463" s="1" t="s">
        <v>72</v>
      </c>
      <c r="N463" s="1" t="s">
        <v>128</v>
      </c>
      <c r="O463" s="1" t="s">
        <v>337</v>
      </c>
      <c r="P463" s="1"/>
      <c r="Q463" s="3">
        <v>36892.0</v>
      </c>
      <c r="R463" s="1"/>
      <c r="S463" s="1"/>
      <c r="T463" s="1" t="s">
        <v>37</v>
      </c>
      <c r="U463" s="1"/>
      <c r="V463" s="1" t="s">
        <v>38</v>
      </c>
      <c r="W463" s="1"/>
      <c r="X463" s="1"/>
      <c r="Y463" s="1" t="s">
        <v>49</v>
      </c>
      <c r="Z463" s="1"/>
      <c r="AA463" s="1" t="s">
        <v>40</v>
      </c>
      <c r="AB463" s="1" t="s">
        <v>338</v>
      </c>
      <c r="AC463" s="1"/>
    </row>
    <row r="464">
      <c r="A464" s="1" t="str">
        <f>"0008A1"</f>
        <v>0008A1</v>
      </c>
      <c r="B464" s="1" t="s">
        <v>2106</v>
      </c>
      <c r="C464" s="1" t="s">
        <v>2107</v>
      </c>
      <c r="D464" s="1" t="str">
        <f>"8026265622"</f>
        <v>8026265622</v>
      </c>
      <c r="E464" s="1">
        <v>1939.0</v>
      </c>
      <c r="F464" s="1" t="s">
        <v>44</v>
      </c>
      <c r="G464" s="1" t="s">
        <v>2108</v>
      </c>
      <c r="H464" s="1">
        <v>2.0</v>
      </c>
      <c r="I464" s="1"/>
      <c r="J464" s="1"/>
      <c r="K464" s="1"/>
      <c r="L464" s="1"/>
      <c r="M464" s="1" t="s">
        <v>72</v>
      </c>
      <c r="N464" s="1" t="s">
        <v>128</v>
      </c>
      <c r="O464" s="1" t="s">
        <v>337</v>
      </c>
      <c r="P464" s="1"/>
      <c r="Q464" s="3">
        <v>36892.0</v>
      </c>
      <c r="R464" s="1"/>
      <c r="S464" s="3">
        <v>32682.0</v>
      </c>
      <c r="T464" s="1" t="s">
        <v>37</v>
      </c>
      <c r="U464" s="1"/>
      <c r="V464" s="1" t="s">
        <v>38</v>
      </c>
      <c r="W464" s="1"/>
      <c r="X464" s="1"/>
      <c r="Y464" s="1" t="s">
        <v>49</v>
      </c>
      <c r="Z464" s="1"/>
      <c r="AA464" s="1" t="s">
        <v>40</v>
      </c>
      <c r="AB464" s="1" t="s">
        <v>338</v>
      </c>
      <c r="AC464" s="1"/>
    </row>
    <row r="465">
      <c r="A465" s="1" t="str">
        <f>"0007N2"</f>
        <v>0007N2</v>
      </c>
      <c r="B465" s="1" t="s">
        <v>2109</v>
      </c>
      <c r="C465" s="1" t="s">
        <v>2110</v>
      </c>
      <c r="D465" s="1" t="str">
        <f>"6037569056"</f>
        <v>6037569056</v>
      </c>
      <c r="E465" s="1">
        <v>982.0</v>
      </c>
      <c r="F465" s="1" t="s">
        <v>44</v>
      </c>
      <c r="G465" s="1" t="s">
        <v>2111</v>
      </c>
      <c r="H465" s="1">
        <v>10.0</v>
      </c>
      <c r="I465" s="1"/>
      <c r="J465" s="1"/>
      <c r="K465" s="1"/>
      <c r="L465" s="1"/>
      <c r="M465" s="1" t="s">
        <v>2112</v>
      </c>
      <c r="N465" s="1" t="s">
        <v>66</v>
      </c>
      <c r="O465" s="1" t="s">
        <v>113</v>
      </c>
      <c r="P465" s="1"/>
      <c r="Q465" s="3">
        <v>36892.0</v>
      </c>
      <c r="R465" s="1"/>
      <c r="S465" s="3">
        <v>36279.0</v>
      </c>
      <c r="T465" s="1" t="s">
        <v>37</v>
      </c>
      <c r="U465" s="1"/>
      <c r="V465" s="1" t="s">
        <v>38</v>
      </c>
      <c r="W465" s="1"/>
      <c r="X465" s="1"/>
      <c r="Y465" s="1" t="s">
        <v>49</v>
      </c>
      <c r="Z465" s="1"/>
      <c r="AA465" s="1" t="s">
        <v>40</v>
      </c>
      <c r="AB465" s="1" t="s">
        <v>114</v>
      </c>
      <c r="AC465" s="1"/>
    </row>
    <row r="466">
      <c r="A466" s="1" t="str">
        <f>"0008A0"</f>
        <v>0008A0</v>
      </c>
      <c r="B466" s="1" t="s">
        <v>2113</v>
      </c>
      <c r="C466" s="1" t="s">
        <v>2114</v>
      </c>
      <c r="D466" s="1"/>
      <c r="E466" s="1">
        <v>1933.0</v>
      </c>
      <c r="F466" s="1" t="s">
        <v>44</v>
      </c>
      <c r="G466" s="1" t="s">
        <v>2115</v>
      </c>
      <c r="H466" s="1"/>
      <c r="I466" s="1"/>
      <c r="J466" s="1"/>
      <c r="K466" s="1"/>
      <c r="L466" s="1"/>
      <c r="M466" s="1" t="s">
        <v>72</v>
      </c>
      <c r="N466" s="1" t="s">
        <v>128</v>
      </c>
      <c r="O466" s="1" t="s">
        <v>1079</v>
      </c>
      <c r="P466" s="1"/>
      <c r="Q466" s="3">
        <v>36892.0</v>
      </c>
      <c r="R466" s="1"/>
      <c r="S466" s="1"/>
      <c r="T466" s="1" t="s">
        <v>37</v>
      </c>
      <c r="U466" s="1"/>
      <c r="V466" s="1" t="s">
        <v>38</v>
      </c>
      <c r="W466" s="1"/>
      <c r="X466" s="1"/>
      <c r="Y466" s="1" t="s">
        <v>49</v>
      </c>
      <c r="Z466" s="1"/>
      <c r="AA466" s="1" t="s">
        <v>40</v>
      </c>
      <c r="AB466" s="1" t="s">
        <v>1080</v>
      </c>
      <c r="AC466" s="1"/>
    </row>
    <row r="467">
      <c r="A467" s="1" t="str">
        <f t="shared" ref="A467:A468" si="33">"0007P4"</f>
        <v>0007P4</v>
      </c>
      <c r="B467" s="1" t="s">
        <v>1258</v>
      </c>
      <c r="C467" s="1" t="s">
        <v>1259</v>
      </c>
      <c r="D467" s="1" t="str">
        <f t="shared" ref="D467:D468" si="34">"8022237316"</f>
        <v>8022237316</v>
      </c>
      <c r="E467" s="1">
        <v>1021.0</v>
      </c>
      <c r="F467" s="1" t="s">
        <v>117</v>
      </c>
      <c r="G467" s="1" t="s">
        <v>2116</v>
      </c>
      <c r="H467" s="1">
        <v>17.0</v>
      </c>
      <c r="I467" s="2">
        <v>3.0</v>
      </c>
      <c r="J467" s="2">
        <v>3.0</v>
      </c>
      <c r="K467" s="2" t="s">
        <v>119</v>
      </c>
      <c r="L467" s="2" t="s">
        <v>2117</v>
      </c>
      <c r="M467" s="1" t="s">
        <v>2118</v>
      </c>
      <c r="N467" s="1" t="s">
        <v>57</v>
      </c>
      <c r="O467" s="1" t="s">
        <v>1633</v>
      </c>
      <c r="P467" s="1" t="s">
        <v>2119</v>
      </c>
      <c r="Q467" s="3">
        <v>36892.0</v>
      </c>
      <c r="R467" s="1"/>
      <c r="S467" s="3">
        <v>41912.0</v>
      </c>
      <c r="T467" s="1" t="s">
        <v>37</v>
      </c>
      <c r="U467" s="1"/>
      <c r="V467" s="1" t="s">
        <v>38</v>
      </c>
      <c r="W467" s="1">
        <v>44.3129504677416</v>
      </c>
      <c r="X467" s="1">
        <v>-73.1951639056205</v>
      </c>
      <c r="Y467" s="1" t="s">
        <v>2120</v>
      </c>
      <c r="Z467" s="1"/>
      <c r="AA467" s="1" t="s">
        <v>40</v>
      </c>
      <c r="AB467" s="1" t="s">
        <v>2121</v>
      </c>
      <c r="AC467" s="1">
        <v>5445.0</v>
      </c>
    </row>
    <row r="468">
      <c r="A468" s="1" t="str">
        <f t="shared" si="33"/>
        <v>0007P4</v>
      </c>
      <c r="B468" s="1" t="s">
        <v>1258</v>
      </c>
      <c r="C468" s="1" t="s">
        <v>1259</v>
      </c>
      <c r="D468" s="1" t="str">
        <f t="shared" si="34"/>
        <v>8022237316</v>
      </c>
      <c r="E468" s="1">
        <v>1021.0</v>
      </c>
      <c r="F468" s="1" t="s">
        <v>117</v>
      </c>
      <c r="G468" s="1" t="s">
        <v>2122</v>
      </c>
      <c r="H468" s="1">
        <v>14.0</v>
      </c>
      <c r="I468" s="2">
        <v>6.0</v>
      </c>
      <c r="J468" s="2">
        <v>6.0</v>
      </c>
      <c r="K468" s="2" t="s">
        <v>119</v>
      </c>
      <c r="L468" s="2" t="s">
        <v>1261</v>
      </c>
      <c r="M468" s="1" t="s">
        <v>2123</v>
      </c>
      <c r="N468" s="1" t="s">
        <v>57</v>
      </c>
      <c r="O468" s="1" t="s">
        <v>1633</v>
      </c>
      <c r="P468" s="1" t="s">
        <v>2124</v>
      </c>
      <c r="Q468" s="3">
        <v>36892.0</v>
      </c>
      <c r="R468" s="1"/>
      <c r="S468" s="3">
        <v>41912.0</v>
      </c>
      <c r="T468" s="1" t="s">
        <v>37</v>
      </c>
      <c r="U468" s="1"/>
      <c r="V468" s="1" t="s">
        <v>38</v>
      </c>
      <c r="W468" s="1">
        <v>44.3209159847947</v>
      </c>
      <c r="X468" s="1">
        <v>-73.1742238998413</v>
      </c>
      <c r="Y468" s="1" t="s">
        <v>2125</v>
      </c>
      <c r="Z468" s="1"/>
      <c r="AA468" s="1" t="s">
        <v>40</v>
      </c>
      <c r="AB468" s="1" t="s">
        <v>1634</v>
      </c>
      <c r="AC468" s="1">
        <v>5000.0</v>
      </c>
    </row>
    <row r="469">
      <c r="A469" s="1" t="str">
        <f>"0008F0"</f>
        <v>0008F0</v>
      </c>
      <c r="B469" s="1" t="s">
        <v>2126</v>
      </c>
      <c r="C469" s="1" t="s">
        <v>2127</v>
      </c>
      <c r="D469" s="1" t="str">
        <f>"8027753632"</f>
        <v>8027753632</v>
      </c>
      <c r="E469" s="1">
        <v>3867.0</v>
      </c>
      <c r="F469" s="1" t="s">
        <v>44</v>
      </c>
      <c r="G469" s="1" t="s">
        <v>2128</v>
      </c>
      <c r="H469" s="1"/>
      <c r="I469" s="1"/>
      <c r="J469" s="1"/>
      <c r="K469" s="1"/>
      <c r="L469" s="1"/>
      <c r="M469" s="1" t="s">
        <v>72</v>
      </c>
      <c r="N469" s="1" t="s">
        <v>78</v>
      </c>
      <c r="O469" s="1" t="s">
        <v>702</v>
      </c>
      <c r="P469" s="1"/>
      <c r="Q469" s="3">
        <v>36892.0</v>
      </c>
      <c r="R469" s="1"/>
      <c r="S469" s="1"/>
      <c r="T469" s="1" t="s">
        <v>37</v>
      </c>
      <c r="U469" s="1"/>
      <c r="V469" s="1" t="s">
        <v>38</v>
      </c>
      <c r="W469" s="1"/>
      <c r="X469" s="1"/>
      <c r="Y469" s="1" t="s">
        <v>49</v>
      </c>
      <c r="Z469" s="1"/>
      <c r="AA469" s="1" t="s">
        <v>40</v>
      </c>
      <c r="AB469" s="1" t="s">
        <v>702</v>
      </c>
      <c r="AC469" s="1"/>
    </row>
    <row r="470">
      <c r="A470" s="1" t="str">
        <f>"00089X"</f>
        <v>00089X</v>
      </c>
      <c r="B470" s="1" t="s">
        <v>2129</v>
      </c>
      <c r="C470" s="1" t="s">
        <v>2130</v>
      </c>
      <c r="D470" s="1"/>
      <c r="E470" s="1">
        <v>1929.0</v>
      </c>
      <c r="F470" s="1" t="s">
        <v>44</v>
      </c>
      <c r="G470" s="1" t="s">
        <v>2131</v>
      </c>
      <c r="H470" s="1">
        <v>2.0</v>
      </c>
      <c r="I470" s="1"/>
      <c r="J470" s="1"/>
      <c r="K470" s="1"/>
      <c r="L470" s="1"/>
      <c r="M470" s="1" t="s">
        <v>2132</v>
      </c>
      <c r="N470" s="1" t="s">
        <v>128</v>
      </c>
      <c r="O470" s="1" t="s">
        <v>1079</v>
      </c>
      <c r="P470" s="1"/>
      <c r="Q470" s="3">
        <v>36892.0</v>
      </c>
      <c r="R470" s="1"/>
      <c r="S470" s="3">
        <v>32310.0</v>
      </c>
      <c r="T470" s="1" t="s">
        <v>37</v>
      </c>
      <c r="U470" s="1"/>
      <c r="V470" s="1" t="s">
        <v>38</v>
      </c>
      <c r="W470" s="1"/>
      <c r="X470" s="1"/>
      <c r="Y470" s="1" t="s">
        <v>49</v>
      </c>
      <c r="Z470" s="1"/>
      <c r="AA470" s="1" t="s">
        <v>40</v>
      </c>
      <c r="AB470" s="1" t="s">
        <v>1080</v>
      </c>
      <c r="AC470" s="1"/>
    </row>
    <row r="471">
      <c r="A471" s="1" t="str">
        <f>"00081Q"</f>
        <v>00081Q</v>
      </c>
      <c r="B471" s="1" t="s">
        <v>2133</v>
      </c>
      <c r="C471" s="1" t="s">
        <v>2134</v>
      </c>
      <c r="D471" s="1" t="str">
        <f>"8023874315"</f>
        <v>8023874315</v>
      </c>
      <c r="E471" s="1">
        <v>2938.0</v>
      </c>
      <c r="F471" s="1" t="s">
        <v>44</v>
      </c>
      <c r="G471" s="1" t="s">
        <v>2135</v>
      </c>
      <c r="H471" s="1">
        <v>2.0</v>
      </c>
      <c r="I471" s="1"/>
      <c r="J471" s="1"/>
      <c r="K471" s="1"/>
      <c r="L471" s="1"/>
      <c r="M471" s="1" t="s">
        <v>72</v>
      </c>
      <c r="N471" s="1" t="s">
        <v>66</v>
      </c>
      <c r="O471" s="1" t="s">
        <v>593</v>
      </c>
      <c r="P471" s="1"/>
      <c r="Q471" s="3">
        <v>36892.0</v>
      </c>
      <c r="R471" s="1"/>
      <c r="S471" s="3">
        <v>35607.0</v>
      </c>
      <c r="T471" s="1" t="s">
        <v>37</v>
      </c>
      <c r="U471" s="1"/>
      <c r="V471" s="1" t="s">
        <v>38</v>
      </c>
      <c r="W471" s="1"/>
      <c r="X471" s="1"/>
      <c r="Y471" s="1" t="s">
        <v>49</v>
      </c>
      <c r="Z471" s="1"/>
      <c r="AA471" s="1" t="s">
        <v>40</v>
      </c>
      <c r="AB471" s="1" t="s">
        <v>594</v>
      </c>
      <c r="AC471" s="1"/>
    </row>
    <row r="472">
      <c r="A472" s="1" t="str">
        <f>"00089V"</f>
        <v>00089V</v>
      </c>
      <c r="B472" s="1" t="s">
        <v>2136</v>
      </c>
      <c r="C472" s="1" t="s">
        <v>2137</v>
      </c>
      <c r="D472" s="1"/>
      <c r="E472" s="1">
        <v>1925.0</v>
      </c>
      <c r="F472" s="1" t="s">
        <v>44</v>
      </c>
      <c r="G472" s="1" t="s">
        <v>2138</v>
      </c>
      <c r="H472" s="1"/>
      <c r="I472" s="1"/>
      <c r="J472" s="1"/>
      <c r="K472" s="1"/>
      <c r="L472" s="1"/>
      <c r="M472" s="1" t="s">
        <v>2139</v>
      </c>
      <c r="N472" s="1" t="s">
        <v>128</v>
      </c>
      <c r="O472" s="1" t="s">
        <v>1048</v>
      </c>
      <c r="P472" s="1"/>
      <c r="Q472" s="3">
        <v>36892.0</v>
      </c>
      <c r="R472" s="1"/>
      <c r="S472" s="1"/>
      <c r="T472" s="1" t="s">
        <v>37</v>
      </c>
      <c r="U472" s="1"/>
      <c r="V472" s="1" t="s">
        <v>38</v>
      </c>
      <c r="W472" s="1"/>
      <c r="X472" s="1"/>
      <c r="Y472" s="1" t="s">
        <v>49</v>
      </c>
      <c r="Z472" s="1"/>
      <c r="AA472" s="1" t="s">
        <v>40</v>
      </c>
      <c r="AB472" s="1" t="s">
        <v>1049</v>
      </c>
      <c r="AC472" s="1"/>
    </row>
    <row r="473">
      <c r="A473" s="1" t="str">
        <f>"0008P3"</f>
        <v>0008P3</v>
      </c>
      <c r="B473" s="1" t="s">
        <v>2140</v>
      </c>
      <c r="C473" s="1" t="s">
        <v>2141</v>
      </c>
      <c r="D473" s="1" t="str">
        <f>"8022732166"</f>
        <v>8022732166</v>
      </c>
      <c r="E473" s="1">
        <v>3599.0</v>
      </c>
      <c r="F473" s="1" t="s">
        <v>44</v>
      </c>
      <c r="G473" s="1" t="s">
        <v>2142</v>
      </c>
      <c r="H473" s="1">
        <v>1.0</v>
      </c>
      <c r="I473" s="1"/>
      <c r="J473" s="1"/>
      <c r="K473" s="1"/>
      <c r="L473" s="1"/>
      <c r="M473" s="1" t="s">
        <v>72</v>
      </c>
      <c r="N473" s="1" t="s">
        <v>78</v>
      </c>
      <c r="O473" s="1" t="s">
        <v>855</v>
      </c>
      <c r="P473" s="1"/>
      <c r="Q473" s="3">
        <v>36892.0</v>
      </c>
      <c r="R473" s="1"/>
      <c r="S473" s="3">
        <v>38540.0</v>
      </c>
      <c r="T473" s="1" t="s">
        <v>37</v>
      </c>
      <c r="U473" s="1"/>
      <c r="V473" s="1" t="s">
        <v>38</v>
      </c>
      <c r="W473" s="1"/>
      <c r="X473" s="1"/>
      <c r="Y473" s="1" t="s">
        <v>49</v>
      </c>
      <c r="Z473" s="1"/>
      <c r="AA473" s="1" t="s">
        <v>40</v>
      </c>
      <c r="AB473" s="1" t="s">
        <v>857</v>
      </c>
      <c r="AC473" s="1"/>
    </row>
    <row r="474">
      <c r="A474" s="1" t="str">
        <f>"00089M"</f>
        <v>00089M</v>
      </c>
      <c r="B474" s="1" t="s">
        <v>2143</v>
      </c>
      <c r="C474" s="1" t="s">
        <v>2144</v>
      </c>
      <c r="D474" s="1"/>
      <c r="E474" s="1">
        <v>2629.0</v>
      </c>
      <c r="F474" s="1" t="s">
        <v>44</v>
      </c>
      <c r="G474" s="1" t="s">
        <v>2145</v>
      </c>
      <c r="H474" s="1">
        <v>1.0</v>
      </c>
      <c r="I474" s="1"/>
      <c r="J474" s="1"/>
      <c r="K474" s="1"/>
      <c r="L474" s="1"/>
      <c r="M474" s="1" t="s">
        <v>2146</v>
      </c>
      <c r="N474" s="1" t="s">
        <v>66</v>
      </c>
      <c r="O474" s="1" t="s">
        <v>1199</v>
      </c>
      <c r="P474" s="1"/>
      <c r="Q474" s="3">
        <v>36892.0</v>
      </c>
      <c r="R474" s="1"/>
      <c r="S474" s="3">
        <v>32723.0</v>
      </c>
      <c r="T474" s="1" t="s">
        <v>37</v>
      </c>
      <c r="U474" s="1"/>
      <c r="V474" s="1" t="s">
        <v>38</v>
      </c>
      <c r="W474" s="1"/>
      <c r="X474" s="1"/>
      <c r="Y474" s="1" t="s">
        <v>49</v>
      </c>
      <c r="Z474" s="1"/>
      <c r="AA474" s="1" t="s">
        <v>40</v>
      </c>
      <c r="AB474" s="1" t="s">
        <v>1200</v>
      </c>
      <c r="AC474" s="1"/>
    </row>
    <row r="475">
      <c r="A475" s="1" t="str">
        <f>"00089J"</f>
        <v>00089J</v>
      </c>
      <c r="B475" s="1" t="s">
        <v>2147</v>
      </c>
      <c r="C475" s="1" t="s">
        <v>2148</v>
      </c>
      <c r="D475" s="1"/>
      <c r="E475" s="1">
        <v>1912.0</v>
      </c>
      <c r="F475" s="1" t="s">
        <v>44</v>
      </c>
      <c r="G475" s="1" t="s">
        <v>2149</v>
      </c>
      <c r="H475" s="1"/>
      <c r="I475" s="1"/>
      <c r="J475" s="1"/>
      <c r="K475" s="1"/>
      <c r="L475" s="1"/>
      <c r="M475" s="1" t="s">
        <v>72</v>
      </c>
      <c r="N475" s="1" t="s">
        <v>128</v>
      </c>
      <c r="O475" s="1" t="s">
        <v>129</v>
      </c>
      <c r="P475" s="1"/>
      <c r="Q475" s="3">
        <v>36892.0</v>
      </c>
      <c r="R475" s="1"/>
      <c r="S475" s="1"/>
      <c r="T475" s="1" t="s">
        <v>37</v>
      </c>
      <c r="U475" s="1"/>
      <c r="V475" s="1" t="s">
        <v>38</v>
      </c>
      <c r="W475" s="1"/>
      <c r="X475" s="1"/>
      <c r="Y475" s="1" t="s">
        <v>49</v>
      </c>
      <c r="Z475" s="1"/>
      <c r="AA475" s="1" t="s">
        <v>40</v>
      </c>
      <c r="AB475" s="1" t="s">
        <v>130</v>
      </c>
      <c r="AC475" s="1"/>
    </row>
    <row r="476">
      <c r="A476" s="1" t="str">
        <f>"00089G"</f>
        <v>00089G</v>
      </c>
      <c r="B476" s="1" t="s">
        <v>2150</v>
      </c>
      <c r="C476" s="1" t="s">
        <v>2151</v>
      </c>
      <c r="D476" s="1" t="str">
        <f>"8027489678"</f>
        <v>8027489678</v>
      </c>
      <c r="E476" s="1">
        <v>1910.0</v>
      </c>
      <c r="F476" s="1" t="s">
        <v>44</v>
      </c>
      <c r="G476" s="1" t="s">
        <v>2152</v>
      </c>
      <c r="H476" s="1">
        <v>4.0</v>
      </c>
      <c r="I476" s="1"/>
      <c r="J476" s="1"/>
      <c r="K476" s="1"/>
      <c r="L476" s="1"/>
      <c r="M476" s="1" t="s">
        <v>72</v>
      </c>
      <c r="N476" s="1" t="s">
        <v>128</v>
      </c>
      <c r="O476" s="1" t="s">
        <v>1707</v>
      </c>
      <c r="P476" s="1"/>
      <c r="Q476" s="3">
        <v>36892.0</v>
      </c>
      <c r="R476" s="1"/>
      <c r="S476" s="3">
        <v>32711.0</v>
      </c>
      <c r="T476" s="1" t="s">
        <v>37</v>
      </c>
      <c r="U476" s="1"/>
      <c r="V476" s="1" t="s">
        <v>38</v>
      </c>
      <c r="W476" s="1"/>
      <c r="X476" s="1"/>
      <c r="Y476" s="1" t="s">
        <v>49</v>
      </c>
      <c r="Z476" s="1"/>
      <c r="AA476" s="1" t="s">
        <v>40</v>
      </c>
      <c r="AB476" s="1" t="s">
        <v>196</v>
      </c>
      <c r="AC476" s="1"/>
    </row>
    <row r="477">
      <c r="A477" s="1" t="str">
        <f>"0007HJ"</f>
        <v>0007HJ</v>
      </c>
      <c r="B477" s="1" t="s">
        <v>2153</v>
      </c>
      <c r="C477" s="1" t="s">
        <v>2154</v>
      </c>
      <c r="D477" s="1" t="str">
        <f>"8028887456"</f>
        <v>8028887456</v>
      </c>
      <c r="E477" s="1">
        <v>3117.0</v>
      </c>
      <c r="F477" s="1" t="s">
        <v>44</v>
      </c>
      <c r="G477" s="1" t="s">
        <v>2155</v>
      </c>
      <c r="H477" s="1">
        <v>2.0</v>
      </c>
      <c r="I477" s="1"/>
      <c r="J477" s="1"/>
      <c r="K477" s="1"/>
      <c r="L477" s="1"/>
      <c r="M477" s="1" t="s">
        <v>33</v>
      </c>
      <c r="N477" s="1" t="s">
        <v>213</v>
      </c>
      <c r="O477" s="1" t="s">
        <v>2156</v>
      </c>
      <c r="P477" s="1" t="s">
        <v>36</v>
      </c>
      <c r="Q477" s="3">
        <v>36892.0</v>
      </c>
      <c r="R477" s="1"/>
      <c r="S477" s="1"/>
      <c r="T477" s="1" t="s">
        <v>37</v>
      </c>
      <c r="U477" s="1"/>
      <c r="V477" s="1" t="s">
        <v>38</v>
      </c>
      <c r="W477" s="1"/>
      <c r="X477" s="1"/>
      <c r="Y477" s="1" t="s">
        <v>49</v>
      </c>
      <c r="Z477" s="1"/>
      <c r="AA477" s="1" t="s">
        <v>40</v>
      </c>
      <c r="AB477" s="1" t="s">
        <v>2157</v>
      </c>
      <c r="AC477" s="1"/>
    </row>
    <row r="478">
      <c r="A478" s="1" t="str">
        <f>"0008X4"</f>
        <v>0008X4</v>
      </c>
      <c r="B478" s="1" t="s">
        <v>2158</v>
      </c>
      <c r="C478" s="1" t="s">
        <v>2159</v>
      </c>
      <c r="D478" s="1" t="str">
        <f>"8029335240"</f>
        <v>8029335240</v>
      </c>
      <c r="E478" s="1">
        <v>3420.0</v>
      </c>
      <c r="F478" s="1" t="s">
        <v>44</v>
      </c>
      <c r="G478" s="1" t="s">
        <v>2160</v>
      </c>
      <c r="H478" s="1">
        <v>1.0</v>
      </c>
      <c r="I478" s="1"/>
      <c r="J478" s="1"/>
      <c r="K478" s="1"/>
      <c r="L478" s="1"/>
      <c r="M478" s="1" t="s">
        <v>72</v>
      </c>
      <c r="N478" s="1" t="s">
        <v>47</v>
      </c>
      <c r="O478" s="1" t="s">
        <v>100</v>
      </c>
      <c r="P478" s="1"/>
      <c r="Q478" s="3">
        <v>36892.0</v>
      </c>
      <c r="R478" s="1"/>
      <c r="S478" s="3">
        <v>37788.0</v>
      </c>
      <c r="T478" s="1" t="s">
        <v>37</v>
      </c>
      <c r="U478" s="1"/>
      <c r="V478" s="1" t="s">
        <v>38</v>
      </c>
      <c r="W478" s="1"/>
      <c r="X478" s="1"/>
      <c r="Y478" s="1" t="s">
        <v>49</v>
      </c>
      <c r="Z478" s="1"/>
      <c r="AA478" s="1" t="s">
        <v>40</v>
      </c>
      <c r="AB478" s="1" t="s">
        <v>102</v>
      </c>
      <c r="AC478" s="1"/>
    </row>
    <row r="479">
      <c r="A479" s="1" t="str">
        <f>"00089C"</f>
        <v>00089C</v>
      </c>
      <c r="B479" s="1" t="s">
        <v>2161</v>
      </c>
      <c r="C479" s="1" t="s">
        <v>2162</v>
      </c>
      <c r="D479" s="1" t="str">
        <f>"8027488515"</f>
        <v>8027488515</v>
      </c>
      <c r="E479" s="1">
        <v>1898.0</v>
      </c>
      <c r="F479" s="1" t="s">
        <v>44</v>
      </c>
      <c r="G479" s="1" t="s">
        <v>2163</v>
      </c>
      <c r="H479" s="1">
        <v>2.0</v>
      </c>
      <c r="I479" s="1"/>
      <c r="J479" s="1"/>
      <c r="K479" s="1"/>
      <c r="L479" s="1"/>
      <c r="M479" s="1" t="s">
        <v>72</v>
      </c>
      <c r="N479" s="1" t="s">
        <v>128</v>
      </c>
      <c r="O479" s="1" t="s">
        <v>194</v>
      </c>
      <c r="P479" s="1"/>
      <c r="Q479" s="3">
        <v>36892.0</v>
      </c>
      <c r="R479" s="1"/>
      <c r="S479" s="3">
        <v>38201.0</v>
      </c>
      <c r="T479" s="1" t="s">
        <v>37</v>
      </c>
      <c r="U479" s="1"/>
      <c r="V479" s="1" t="s">
        <v>38</v>
      </c>
      <c r="W479" s="1"/>
      <c r="X479" s="1"/>
      <c r="Y479" s="1" t="s">
        <v>49</v>
      </c>
      <c r="Z479" s="1"/>
      <c r="AA479" s="1" t="s">
        <v>40</v>
      </c>
      <c r="AB479" s="1" t="s">
        <v>291</v>
      </c>
      <c r="AC479" s="1"/>
    </row>
    <row r="480">
      <c r="A480" s="1" t="str">
        <f>"0007KV"</f>
        <v>0007KV</v>
      </c>
      <c r="B480" s="1" t="s">
        <v>2164</v>
      </c>
      <c r="C480" s="1" t="s">
        <v>2165</v>
      </c>
      <c r="D480" s="1"/>
      <c r="E480" s="1">
        <v>2939.0</v>
      </c>
      <c r="F480" s="1" t="s">
        <v>44</v>
      </c>
      <c r="G480" s="1" t="s">
        <v>2166</v>
      </c>
      <c r="H480" s="1"/>
      <c r="I480" s="1"/>
      <c r="J480" s="1"/>
      <c r="K480" s="1"/>
      <c r="L480" s="1"/>
      <c r="M480" s="1" t="s">
        <v>2167</v>
      </c>
      <c r="N480" s="1" t="s">
        <v>66</v>
      </c>
      <c r="O480" s="1" t="s">
        <v>67</v>
      </c>
      <c r="P480" s="1"/>
      <c r="Q480" s="3">
        <v>36892.0</v>
      </c>
      <c r="R480" s="1"/>
      <c r="S480" s="1"/>
      <c r="T480" s="1" t="s">
        <v>37</v>
      </c>
      <c r="U480" s="1"/>
      <c r="V480" s="1" t="s">
        <v>38</v>
      </c>
      <c r="W480" s="1"/>
      <c r="X480" s="1"/>
      <c r="Y480" s="1" t="s">
        <v>49</v>
      </c>
      <c r="Z480" s="1"/>
      <c r="AA480" s="1" t="s">
        <v>40</v>
      </c>
      <c r="AB480" s="1" t="s">
        <v>68</v>
      </c>
      <c r="AC480" s="1"/>
    </row>
    <row r="481">
      <c r="A481" s="1" t="str">
        <f>"000898"</f>
        <v>000898</v>
      </c>
      <c r="B481" s="1" t="s">
        <v>2168</v>
      </c>
      <c r="C481" s="1" t="s">
        <v>2169</v>
      </c>
      <c r="D481" s="1" t="str">
        <f>"8026445368"</f>
        <v>8026445368</v>
      </c>
      <c r="E481" s="1">
        <v>1893.0</v>
      </c>
      <c r="F481" s="1" t="s">
        <v>31</v>
      </c>
      <c r="G481" s="1" t="s">
        <v>2170</v>
      </c>
      <c r="H481" s="1">
        <v>1.0</v>
      </c>
      <c r="I481" s="1"/>
      <c r="J481" s="1"/>
      <c r="K481" s="1"/>
      <c r="L481" s="1"/>
      <c r="M481" s="1" t="s">
        <v>33</v>
      </c>
      <c r="N481" s="1" t="s">
        <v>213</v>
      </c>
      <c r="O481" s="1" t="s">
        <v>2171</v>
      </c>
      <c r="P481" s="1" t="s">
        <v>36</v>
      </c>
      <c r="Q481" s="3">
        <v>36892.0</v>
      </c>
      <c r="R481" s="1"/>
      <c r="S481" s="3">
        <v>32335.0</v>
      </c>
      <c r="T481" s="1" t="s">
        <v>37</v>
      </c>
      <c r="U481" s="1"/>
      <c r="V481" s="1" t="s">
        <v>38</v>
      </c>
      <c r="W481" s="1">
        <v>44.71546</v>
      </c>
      <c r="X481" s="1">
        <v>-72.7558338999999</v>
      </c>
      <c r="Y481" s="1" t="s">
        <v>2172</v>
      </c>
      <c r="Z481" s="1"/>
      <c r="AA481" s="1" t="s">
        <v>40</v>
      </c>
      <c r="AB481" s="1" t="s">
        <v>2173</v>
      </c>
      <c r="AC481" s="1">
        <v>5492.0</v>
      </c>
    </row>
    <row r="482">
      <c r="A482" s="1" t="str">
        <f>"000897"</f>
        <v>000897</v>
      </c>
      <c r="B482" s="1" t="s">
        <v>2174</v>
      </c>
      <c r="C482" s="1" t="s">
        <v>2175</v>
      </c>
      <c r="D482" s="1" t="str">
        <f>"8026442763"</f>
        <v>8026442763</v>
      </c>
      <c r="E482" s="1">
        <v>1892.0</v>
      </c>
      <c r="F482" s="1" t="s">
        <v>117</v>
      </c>
      <c r="G482" s="1" t="s">
        <v>2176</v>
      </c>
      <c r="H482" s="1">
        <v>1.0</v>
      </c>
      <c r="I482" s="2" t="s">
        <v>119</v>
      </c>
      <c r="J482" s="2">
        <v>1.0</v>
      </c>
      <c r="K482" s="2" t="s">
        <v>119</v>
      </c>
      <c r="L482" s="1"/>
      <c r="M482" s="1" t="s">
        <v>2177</v>
      </c>
      <c r="N482" s="1" t="s">
        <v>213</v>
      </c>
      <c r="O482" s="1"/>
      <c r="P482" s="1" t="s">
        <v>2178</v>
      </c>
      <c r="Q482" s="3">
        <v>36892.0</v>
      </c>
      <c r="R482" s="1"/>
      <c r="S482" s="3">
        <v>42640.0</v>
      </c>
      <c r="T482" s="1" t="s">
        <v>37</v>
      </c>
      <c r="U482" s="1"/>
      <c r="V482" s="1" t="s">
        <v>38</v>
      </c>
      <c r="W482" s="1">
        <v>44.7596255</v>
      </c>
      <c r="X482" s="1">
        <v>-72.6704765</v>
      </c>
      <c r="Y482" s="1" t="s">
        <v>2179</v>
      </c>
      <c r="Z482" s="1"/>
      <c r="AA482" s="1" t="s">
        <v>40</v>
      </c>
      <c r="AB482" s="1" t="s">
        <v>2180</v>
      </c>
      <c r="AC482" s="1">
        <v>5442.0</v>
      </c>
    </row>
    <row r="483">
      <c r="A483" s="1" t="str">
        <f>"000896"</f>
        <v>000896</v>
      </c>
      <c r="B483" s="1" t="s">
        <v>2181</v>
      </c>
      <c r="C483" s="1" t="s">
        <v>2182</v>
      </c>
      <c r="D483" s="1" t="str">
        <f>"8022537795"</f>
        <v>8022537795</v>
      </c>
      <c r="E483" s="1">
        <v>1891.0</v>
      </c>
      <c r="F483" s="1" t="s">
        <v>44</v>
      </c>
      <c r="G483" s="1" t="s">
        <v>2183</v>
      </c>
      <c r="H483" s="1">
        <v>5.0</v>
      </c>
      <c r="I483" s="1"/>
      <c r="J483" s="1"/>
      <c r="K483" s="1"/>
      <c r="L483" s="1"/>
      <c r="M483" s="1" t="s">
        <v>72</v>
      </c>
      <c r="N483" s="1" t="s">
        <v>213</v>
      </c>
      <c r="O483" s="1" t="s">
        <v>365</v>
      </c>
      <c r="P483" s="1"/>
      <c r="Q483" s="3">
        <v>36892.0</v>
      </c>
      <c r="R483" s="1"/>
      <c r="S483" s="3">
        <v>33038.0</v>
      </c>
      <c r="T483" s="1" t="s">
        <v>37</v>
      </c>
      <c r="U483" s="1"/>
      <c r="V483" s="1" t="s">
        <v>38</v>
      </c>
      <c r="W483" s="1"/>
      <c r="X483" s="1"/>
      <c r="Y483" s="1" t="s">
        <v>49</v>
      </c>
      <c r="Z483" s="1"/>
      <c r="AA483" s="1" t="s">
        <v>40</v>
      </c>
      <c r="AB483" s="1" t="s">
        <v>366</v>
      </c>
      <c r="AC483" s="1"/>
    </row>
    <row r="484">
      <c r="A484" s="1" t="str">
        <f>"00097Q"</f>
        <v>00097Q</v>
      </c>
      <c r="B484" s="1" t="s">
        <v>2184</v>
      </c>
      <c r="C484" s="1" t="s">
        <v>2185</v>
      </c>
      <c r="D484" s="1" t="str">
        <f>"5082217831"</f>
        <v>5082217831</v>
      </c>
      <c r="E484" s="1">
        <v>4041.0</v>
      </c>
      <c r="F484" s="1" t="s">
        <v>44</v>
      </c>
      <c r="G484" s="1" t="s">
        <v>2186</v>
      </c>
      <c r="H484" s="1"/>
      <c r="I484" s="1"/>
      <c r="J484" s="1"/>
      <c r="K484" s="1"/>
      <c r="L484" s="1"/>
      <c r="M484" s="1" t="s">
        <v>2187</v>
      </c>
      <c r="N484" s="1" t="s">
        <v>78</v>
      </c>
      <c r="O484" s="1" t="s">
        <v>251</v>
      </c>
      <c r="P484" s="1"/>
      <c r="Q484" s="3">
        <v>36892.0</v>
      </c>
      <c r="R484" s="1"/>
      <c r="S484" s="1"/>
      <c r="T484" s="1" t="s">
        <v>37</v>
      </c>
      <c r="U484" s="1"/>
      <c r="V484" s="1" t="s">
        <v>38</v>
      </c>
      <c r="W484" s="1"/>
      <c r="X484" s="1"/>
      <c r="Y484" s="1" t="s">
        <v>49</v>
      </c>
      <c r="Z484" s="1"/>
      <c r="AA484" s="1" t="s">
        <v>40</v>
      </c>
      <c r="AB484" s="1" t="s">
        <v>252</v>
      </c>
      <c r="AC484" s="1"/>
    </row>
    <row r="485">
      <c r="A485" s="1" t="str">
        <f>"00098N"</f>
        <v>00098N</v>
      </c>
      <c r="B485" s="1" t="s">
        <v>2188</v>
      </c>
      <c r="C485" s="1" t="s">
        <v>2189</v>
      </c>
      <c r="D485" s="1" t="str">
        <f>"8022889566"</f>
        <v>8022889566</v>
      </c>
      <c r="E485" s="1">
        <v>4072.0</v>
      </c>
      <c r="F485" s="1" t="s">
        <v>44</v>
      </c>
      <c r="G485" s="1" t="s">
        <v>2190</v>
      </c>
      <c r="H485" s="1">
        <v>2.0</v>
      </c>
      <c r="I485" s="1"/>
      <c r="J485" s="1"/>
      <c r="K485" s="1"/>
      <c r="L485" s="1"/>
      <c r="M485" s="1" t="s">
        <v>72</v>
      </c>
      <c r="N485" s="1" t="s">
        <v>57</v>
      </c>
      <c r="O485" s="1" t="s">
        <v>509</v>
      </c>
      <c r="P485" s="1"/>
      <c r="Q485" s="3">
        <v>36892.0</v>
      </c>
      <c r="R485" s="1"/>
      <c r="S485" s="3">
        <v>40057.0</v>
      </c>
      <c r="T485" s="1" t="s">
        <v>37</v>
      </c>
      <c r="U485" s="1"/>
      <c r="V485" s="1" t="s">
        <v>38</v>
      </c>
      <c r="W485" s="1"/>
      <c r="X485" s="1"/>
      <c r="Y485" s="1" t="s">
        <v>49</v>
      </c>
      <c r="Z485" s="1"/>
      <c r="AA485" s="1" t="s">
        <v>40</v>
      </c>
      <c r="AB485" s="1" t="s">
        <v>331</v>
      </c>
      <c r="AC485" s="1"/>
    </row>
    <row r="486">
      <c r="A486" s="1" t="str">
        <f>"00098M"</f>
        <v>00098M</v>
      </c>
      <c r="B486" s="1" t="s">
        <v>2191</v>
      </c>
      <c r="C486" s="1" t="s">
        <v>2192</v>
      </c>
      <c r="D486" s="1" t="str">
        <f>"8024856942"</f>
        <v>8024856942</v>
      </c>
      <c r="E486" s="1">
        <v>4071.0</v>
      </c>
      <c r="F486" s="1" t="s">
        <v>117</v>
      </c>
      <c r="G486" s="1" t="s">
        <v>2193</v>
      </c>
      <c r="H486" s="1">
        <v>4.0</v>
      </c>
      <c r="I486" s="2">
        <v>3.0</v>
      </c>
      <c r="J486" s="2">
        <v>3.0</v>
      </c>
      <c r="K486" s="2" t="s">
        <v>829</v>
      </c>
      <c r="L486" s="1"/>
      <c r="M486" s="1" t="s">
        <v>2194</v>
      </c>
      <c r="N486" s="1" t="s">
        <v>135</v>
      </c>
      <c r="O486" s="1" t="s">
        <v>136</v>
      </c>
      <c r="P486" s="1" t="s">
        <v>2195</v>
      </c>
      <c r="Q486" s="3">
        <v>36892.0</v>
      </c>
      <c r="R486" s="1"/>
      <c r="S486" s="1"/>
      <c r="T486" s="1" t="s">
        <v>37</v>
      </c>
      <c r="U486" s="1"/>
      <c r="V486" s="1" t="s">
        <v>38</v>
      </c>
      <c r="W486" s="1">
        <v>44.1440373670626</v>
      </c>
      <c r="X486" s="1">
        <v>-72.6558601856231</v>
      </c>
      <c r="Y486" s="1" t="s">
        <v>2196</v>
      </c>
      <c r="Z486" s="1"/>
      <c r="AA486" s="1" t="s">
        <v>40</v>
      </c>
      <c r="AB486" s="1" t="s">
        <v>2197</v>
      </c>
      <c r="AC486" s="1">
        <v>5664.0</v>
      </c>
    </row>
    <row r="487">
      <c r="A487" s="1" t="str">
        <f>"0007X7"</f>
        <v>0007X7</v>
      </c>
      <c r="B487" s="1" t="s">
        <v>2198</v>
      </c>
      <c r="C487" s="1" t="s">
        <v>2199</v>
      </c>
      <c r="D487" s="1" t="str">
        <f>"8024263432"</f>
        <v>8024263432</v>
      </c>
      <c r="E487" s="1">
        <v>3027.0</v>
      </c>
      <c r="F487" s="1" t="s">
        <v>44</v>
      </c>
      <c r="G487" s="1" t="s">
        <v>2200</v>
      </c>
      <c r="H487" s="1"/>
      <c r="I487" s="1"/>
      <c r="J487" s="1"/>
      <c r="K487" s="1"/>
      <c r="L487" s="1"/>
      <c r="M487" s="1" t="s">
        <v>2201</v>
      </c>
      <c r="N487" s="1" t="s">
        <v>135</v>
      </c>
      <c r="O487" s="1" t="s">
        <v>409</v>
      </c>
      <c r="P487" s="1"/>
      <c r="Q487" s="3">
        <v>36892.0</v>
      </c>
      <c r="R487" s="1"/>
      <c r="S487" s="1"/>
      <c r="T487" s="1" t="s">
        <v>37</v>
      </c>
      <c r="U487" s="1"/>
      <c r="V487" s="1" t="s">
        <v>38</v>
      </c>
      <c r="W487" s="1"/>
      <c r="X487" s="1"/>
      <c r="Y487" s="1" t="s">
        <v>49</v>
      </c>
      <c r="Z487" s="1"/>
      <c r="AA487" s="1" t="s">
        <v>40</v>
      </c>
      <c r="AB487" s="1" t="s">
        <v>410</v>
      </c>
      <c r="AC487" s="1"/>
    </row>
    <row r="488">
      <c r="A488" s="1" t="str">
        <f>"00098K"</f>
        <v>00098K</v>
      </c>
      <c r="B488" s="1" t="s">
        <v>2202</v>
      </c>
      <c r="C488" s="1" t="s">
        <v>2203</v>
      </c>
      <c r="D488" s="1" t="str">
        <f>"8027229617"</f>
        <v>8027229617</v>
      </c>
      <c r="E488" s="1">
        <v>4067.0</v>
      </c>
      <c r="F488" s="1" t="s">
        <v>44</v>
      </c>
      <c r="G488" s="1" t="s">
        <v>2204</v>
      </c>
      <c r="H488" s="1">
        <v>3.0</v>
      </c>
      <c r="I488" s="1"/>
      <c r="J488" s="1"/>
      <c r="K488" s="1"/>
      <c r="L488" s="1"/>
      <c r="M488" s="1" t="s">
        <v>72</v>
      </c>
      <c r="N488" s="1" t="s">
        <v>66</v>
      </c>
      <c r="O488" s="1" t="s">
        <v>113</v>
      </c>
      <c r="P488" s="1"/>
      <c r="Q488" s="3">
        <v>36892.0</v>
      </c>
      <c r="R488" s="1"/>
      <c r="S488" s="3">
        <v>39975.0</v>
      </c>
      <c r="T488" s="1" t="s">
        <v>37</v>
      </c>
      <c r="U488" s="1"/>
      <c r="V488" s="1" t="s">
        <v>38</v>
      </c>
      <c r="W488" s="1"/>
      <c r="X488" s="1"/>
      <c r="Y488" s="1" t="s">
        <v>49</v>
      </c>
      <c r="Z488" s="1"/>
      <c r="AA488" s="1" t="s">
        <v>40</v>
      </c>
      <c r="AB488" s="1" t="s">
        <v>114</v>
      </c>
      <c r="AC488" s="1"/>
    </row>
    <row r="489">
      <c r="A489" s="1" t="str">
        <f>"00098J"</f>
        <v>00098J</v>
      </c>
      <c r="B489" s="1" t="s">
        <v>2205</v>
      </c>
      <c r="C489" s="1" t="s">
        <v>2206</v>
      </c>
      <c r="D489" s="1" t="str">
        <f>"8024640181"</f>
        <v>8024640181</v>
      </c>
      <c r="E489" s="1">
        <v>4066.0</v>
      </c>
      <c r="F489" s="1" t="s">
        <v>44</v>
      </c>
      <c r="G489" s="1" t="s">
        <v>2207</v>
      </c>
      <c r="H489" s="1"/>
      <c r="I489" s="1"/>
      <c r="J489" s="1"/>
      <c r="K489" s="1"/>
      <c r="L489" s="1"/>
      <c r="M489" s="1" t="s">
        <v>72</v>
      </c>
      <c r="N489" s="1" t="s">
        <v>414</v>
      </c>
      <c r="O489" s="1" t="s">
        <v>2208</v>
      </c>
      <c r="P489" s="1"/>
      <c r="Q489" s="3">
        <v>36892.0</v>
      </c>
      <c r="R489" s="1"/>
      <c r="S489" s="1"/>
      <c r="T489" s="1" t="s">
        <v>37</v>
      </c>
      <c r="U489" s="1"/>
      <c r="V489" s="1" t="s">
        <v>38</v>
      </c>
      <c r="W489" s="1"/>
      <c r="X489" s="1"/>
      <c r="Y489" s="1" t="s">
        <v>49</v>
      </c>
      <c r="Z489" s="1"/>
      <c r="AA489" s="1" t="s">
        <v>40</v>
      </c>
      <c r="AB489" s="1" t="s">
        <v>2209</v>
      </c>
      <c r="AC489" s="1"/>
    </row>
    <row r="490">
      <c r="A490" s="1" t="str">
        <f>"0007XX"</f>
        <v>0007XX</v>
      </c>
      <c r="B490" s="1" t="s">
        <v>2210</v>
      </c>
      <c r="C490" s="1" t="s">
        <v>2211</v>
      </c>
      <c r="D490" s="1" t="str">
        <f>"8028674408"</f>
        <v>8028674408</v>
      </c>
      <c r="E490" s="1">
        <v>2690.0</v>
      </c>
      <c r="F490" s="1" t="s">
        <v>44</v>
      </c>
      <c r="G490" s="1" t="s">
        <v>2212</v>
      </c>
      <c r="H490" s="1">
        <v>6.0</v>
      </c>
      <c r="I490" s="1"/>
      <c r="J490" s="1"/>
      <c r="K490" s="1"/>
      <c r="L490" s="1"/>
      <c r="M490" s="1" t="s">
        <v>2213</v>
      </c>
      <c r="N490" s="1" t="s">
        <v>414</v>
      </c>
      <c r="O490" s="1" t="s">
        <v>415</v>
      </c>
      <c r="P490" s="1"/>
      <c r="Q490" s="3">
        <v>36892.0</v>
      </c>
      <c r="R490" s="1"/>
      <c r="S490" s="3">
        <v>33065.0</v>
      </c>
      <c r="T490" s="1" t="s">
        <v>37</v>
      </c>
      <c r="U490" s="1"/>
      <c r="V490" s="1" t="s">
        <v>38</v>
      </c>
      <c r="W490" s="1"/>
      <c r="X490" s="1"/>
      <c r="Y490" s="1" t="s">
        <v>49</v>
      </c>
      <c r="Z490" s="1"/>
      <c r="AA490" s="1" t="s">
        <v>40</v>
      </c>
      <c r="AB490" s="1" t="s">
        <v>416</v>
      </c>
      <c r="AC490" s="1"/>
    </row>
    <row r="491">
      <c r="A491" s="1" t="str">
        <f>"0007H1"</f>
        <v>0007H1</v>
      </c>
      <c r="B491" s="1" t="s">
        <v>2214</v>
      </c>
      <c r="C491" s="1" t="s">
        <v>2215</v>
      </c>
      <c r="D491" s="1" t="str">
        <f>"8025844358"</f>
        <v>8025844358</v>
      </c>
      <c r="E491" s="1">
        <v>2995.0</v>
      </c>
      <c r="F491" s="1" t="s">
        <v>44</v>
      </c>
      <c r="G491" s="1" t="s">
        <v>2216</v>
      </c>
      <c r="H491" s="1">
        <v>1.0</v>
      </c>
      <c r="I491" s="1"/>
      <c r="J491" s="1"/>
      <c r="K491" s="1"/>
      <c r="L491" s="1"/>
      <c r="M491" s="1" t="s">
        <v>72</v>
      </c>
      <c r="N491" s="1" t="s">
        <v>128</v>
      </c>
      <c r="O491" s="1" t="s">
        <v>1048</v>
      </c>
      <c r="P491" s="1"/>
      <c r="Q491" s="3">
        <v>36892.0</v>
      </c>
      <c r="R491" s="1"/>
      <c r="S491" s="3">
        <v>35649.0</v>
      </c>
      <c r="T491" s="1" t="s">
        <v>37</v>
      </c>
      <c r="U491" s="1"/>
      <c r="V491" s="1" t="s">
        <v>38</v>
      </c>
      <c r="W491" s="1">
        <v>44.1906705297955</v>
      </c>
      <c r="X491" s="1">
        <v>-72.1508967876434</v>
      </c>
      <c r="Y491" s="1" t="s">
        <v>2217</v>
      </c>
      <c r="Z491" s="1"/>
      <c r="AA491" s="1" t="s">
        <v>40</v>
      </c>
      <c r="AB491" s="1" t="s">
        <v>2218</v>
      </c>
      <c r="AC491" s="1">
        <v>5069.0</v>
      </c>
    </row>
    <row r="492">
      <c r="A492" s="1" t="str">
        <f>"000892"</f>
        <v>000892</v>
      </c>
      <c r="B492" s="1" t="s">
        <v>2219</v>
      </c>
      <c r="C492" s="1" t="s">
        <v>2220</v>
      </c>
      <c r="D492" s="1" t="str">
        <f>"8028882965"</f>
        <v>8028882965</v>
      </c>
      <c r="E492" s="1">
        <v>1875.0</v>
      </c>
      <c r="F492" s="1" t="s">
        <v>117</v>
      </c>
      <c r="G492" s="1" t="s">
        <v>2221</v>
      </c>
      <c r="H492" s="1">
        <v>2.0</v>
      </c>
      <c r="I492" s="2" t="s">
        <v>119</v>
      </c>
      <c r="J492" s="2">
        <v>1.0</v>
      </c>
      <c r="K492" s="2" t="s">
        <v>119</v>
      </c>
      <c r="L492" s="2" t="s">
        <v>2222</v>
      </c>
      <c r="M492" s="1" t="s">
        <v>2223</v>
      </c>
      <c r="N492" s="1" t="s">
        <v>213</v>
      </c>
      <c r="O492" s="1" t="s">
        <v>2156</v>
      </c>
      <c r="P492" s="1" t="s">
        <v>2224</v>
      </c>
      <c r="Q492" s="3">
        <v>36892.0</v>
      </c>
      <c r="R492" s="1"/>
      <c r="S492" s="3">
        <v>38197.0</v>
      </c>
      <c r="T492" s="1" t="s">
        <v>37</v>
      </c>
      <c r="U492" s="1"/>
      <c r="V492" s="1" t="s">
        <v>38</v>
      </c>
      <c r="W492" s="1">
        <v>44.538338</v>
      </c>
      <c r="X492" s="1">
        <v>-72.5219879</v>
      </c>
      <c r="Y492" s="1" t="s">
        <v>2225</v>
      </c>
      <c r="Z492" s="1"/>
      <c r="AA492" s="1" t="s">
        <v>40</v>
      </c>
      <c r="AB492" s="1" t="s">
        <v>2226</v>
      </c>
      <c r="AC492" s="1">
        <v>5657.0</v>
      </c>
    </row>
    <row r="493">
      <c r="A493" s="1" t="str">
        <f>"000890"</f>
        <v>000890</v>
      </c>
      <c r="B493" s="1" t="s">
        <v>2227</v>
      </c>
      <c r="C493" s="1" t="s">
        <v>2228</v>
      </c>
      <c r="D493" s="1"/>
      <c r="E493" s="1">
        <v>1873.0</v>
      </c>
      <c r="F493" s="1" t="s">
        <v>44</v>
      </c>
      <c r="G493" s="1" t="s">
        <v>2229</v>
      </c>
      <c r="H493" s="1"/>
      <c r="I493" s="1"/>
      <c r="J493" s="1"/>
      <c r="K493" s="1"/>
      <c r="L493" s="1"/>
      <c r="M493" s="1" t="s">
        <v>2230</v>
      </c>
      <c r="N493" s="1" t="s">
        <v>213</v>
      </c>
      <c r="O493" s="1" t="s">
        <v>214</v>
      </c>
      <c r="P493" s="1"/>
      <c r="Q493" s="3">
        <v>36892.0</v>
      </c>
      <c r="R493" s="1"/>
      <c r="S493" s="1"/>
      <c r="T493" s="1" t="s">
        <v>37</v>
      </c>
      <c r="U493" s="1"/>
      <c r="V493" s="1" t="s">
        <v>38</v>
      </c>
      <c r="W493" s="1"/>
      <c r="X493" s="1"/>
      <c r="Y493" s="1" t="s">
        <v>49</v>
      </c>
      <c r="Z493" s="1"/>
      <c r="AA493" s="1" t="s">
        <v>40</v>
      </c>
      <c r="AB493" s="1" t="s">
        <v>217</v>
      </c>
      <c r="AC493" s="1"/>
    </row>
    <row r="494">
      <c r="A494" s="1" t="str">
        <f t="shared" ref="A494:A495" si="35">"0007WA"</f>
        <v>0007WA</v>
      </c>
      <c r="B494" s="1" t="s">
        <v>157</v>
      </c>
      <c r="C494" s="1" t="s">
        <v>158</v>
      </c>
      <c r="D494" s="1" t="str">
        <f t="shared" ref="D494:D495" si="36">"8029482057"</f>
        <v>8029482057</v>
      </c>
      <c r="E494" s="1">
        <v>1217.0</v>
      </c>
      <c r="F494" s="1" t="s">
        <v>31</v>
      </c>
      <c r="G494" s="1" t="s">
        <v>2231</v>
      </c>
      <c r="H494" s="1">
        <v>26.0</v>
      </c>
      <c r="I494" s="1"/>
      <c r="J494" s="1"/>
      <c r="K494" s="1"/>
      <c r="L494" s="1"/>
      <c r="M494" s="1" t="s">
        <v>2232</v>
      </c>
      <c r="N494" s="1" t="s">
        <v>78</v>
      </c>
      <c r="O494" s="1" t="s">
        <v>426</v>
      </c>
      <c r="P494" s="1" t="s">
        <v>2233</v>
      </c>
      <c r="Q494" s="3">
        <v>36892.0</v>
      </c>
      <c r="R494" s="1"/>
      <c r="S494" s="3">
        <v>37882.0</v>
      </c>
      <c r="T494" s="1" t="s">
        <v>37</v>
      </c>
      <c r="U494" s="1"/>
      <c r="V494" s="1" t="s">
        <v>38</v>
      </c>
      <c r="W494" s="1">
        <v>43.6543667</v>
      </c>
      <c r="X494" s="1">
        <v>-73.3214481</v>
      </c>
      <c r="Y494" s="1" t="s">
        <v>2234</v>
      </c>
      <c r="Z494" s="1"/>
      <c r="AA494" s="1" t="s">
        <v>40</v>
      </c>
      <c r="AB494" s="1" t="s">
        <v>427</v>
      </c>
      <c r="AC494" s="1">
        <v>0.0</v>
      </c>
    </row>
    <row r="495">
      <c r="A495" s="1" t="str">
        <f t="shared" si="35"/>
        <v>0007WA</v>
      </c>
      <c r="B495" s="1" t="s">
        <v>157</v>
      </c>
      <c r="C495" s="1" t="s">
        <v>158</v>
      </c>
      <c r="D495" s="1" t="str">
        <f t="shared" si="36"/>
        <v>8029482057</v>
      </c>
      <c r="E495" s="1">
        <v>1217.0</v>
      </c>
      <c r="F495" s="1" t="s">
        <v>31</v>
      </c>
      <c r="G495" s="1" t="s">
        <v>2235</v>
      </c>
      <c r="H495" s="1">
        <v>32.0</v>
      </c>
      <c r="I495" s="1"/>
      <c r="J495" s="1"/>
      <c r="K495" s="1"/>
      <c r="L495" s="1"/>
      <c r="M495" s="1" t="s">
        <v>2236</v>
      </c>
      <c r="N495" s="1" t="s">
        <v>78</v>
      </c>
      <c r="O495" s="1" t="s">
        <v>426</v>
      </c>
      <c r="P495" s="1" t="s">
        <v>2237</v>
      </c>
      <c r="Q495" s="3">
        <v>36892.0</v>
      </c>
      <c r="R495" s="1"/>
      <c r="S495" s="3">
        <v>38260.0</v>
      </c>
      <c r="T495" s="1" t="s">
        <v>164</v>
      </c>
      <c r="U495" s="1"/>
      <c r="V495" s="1" t="s">
        <v>38</v>
      </c>
      <c r="W495" s="1">
        <v>43.6974398</v>
      </c>
      <c r="X495" s="1">
        <v>-73.3115149999999</v>
      </c>
      <c r="Y495" s="1" t="s">
        <v>2238</v>
      </c>
      <c r="Z495" s="1"/>
      <c r="AA495" s="1" t="s">
        <v>40</v>
      </c>
      <c r="AB495" s="1" t="s">
        <v>427</v>
      </c>
      <c r="AC495" s="1">
        <v>0.0</v>
      </c>
    </row>
    <row r="496">
      <c r="A496" s="1" t="str">
        <f>"00088N"</f>
        <v>00088N</v>
      </c>
      <c r="B496" s="1" t="s">
        <v>2239</v>
      </c>
      <c r="C496" s="1" t="s">
        <v>2240</v>
      </c>
      <c r="D496" s="1" t="str">
        <f>"8024857349"</f>
        <v>8024857349</v>
      </c>
      <c r="E496" s="1">
        <v>2588.0</v>
      </c>
      <c r="F496" s="1" t="s">
        <v>44</v>
      </c>
      <c r="G496" s="1" t="s">
        <v>2241</v>
      </c>
      <c r="H496" s="1">
        <v>4.0</v>
      </c>
      <c r="I496" s="1"/>
      <c r="J496" s="1"/>
      <c r="K496" s="1"/>
      <c r="L496" s="1"/>
      <c r="M496" s="1" t="s">
        <v>2242</v>
      </c>
      <c r="N496" s="1" t="s">
        <v>135</v>
      </c>
      <c r="O496" s="1" t="s">
        <v>2243</v>
      </c>
      <c r="P496" s="1"/>
      <c r="Q496" s="3">
        <v>36892.0</v>
      </c>
      <c r="R496" s="1"/>
      <c r="S496" s="3">
        <v>32680.0</v>
      </c>
      <c r="T496" s="1" t="s">
        <v>37</v>
      </c>
      <c r="U496" s="1"/>
      <c r="V496" s="1" t="s">
        <v>38</v>
      </c>
      <c r="W496" s="1"/>
      <c r="X496" s="1"/>
      <c r="Y496" s="1" t="s">
        <v>49</v>
      </c>
      <c r="Z496" s="1"/>
      <c r="AA496" s="1" t="s">
        <v>40</v>
      </c>
      <c r="AB496" s="1" t="s">
        <v>2244</v>
      </c>
      <c r="AC496" s="1"/>
    </row>
    <row r="497">
      <c r="A497" s="1" t="str">
        <f>"0007K1"</f>
        <v>0007K1</v>
      </c>
      <c r="B497" s="1" t="s">
        <v>2245</v>
      </c>
      <c r="C497" s="1" t="s">
        <v>2246</v>
      </c>
      <c r="D497" s="1" t="str">
        <f>"8027964469"</f>
        <v>8027964469</v>
      </c>
      <c r="E497" s="1">
        <v>3287.0</v>
      </c>
      <c r="F497" s="1" t="s">
        <v>44</v>
      </c>
      <c r="G497" s="1" t="s">
        <v>2247</v>
      </c>
      <c r="H497" s="1">
        <v>6.0</v>
      </c>
      <c r="I497" s="1"/>
      <c r="J497" s="1"/>
      <c r="K497" s="1"/>
      <c r="L497" s="1"/>
      <c r="M497" s="1" t="s">
        <v>2248</v>
      </c>
      <c r="N497" s="1" t="s">
        <v>47</v>
      </c>
      <c r="O497" s="1" t="s">
        <v>48</v>
      </c>
      <c r="P497" s="1"/>
      <c r="Q497" s="3">
        <v>36892.0</v>
      </c>
      <c r="R497" s="1"/>
      <c r="S497" s="3">
        <v>37111.0</v>
      </c>
      <c r="T497" s="1" t="s">
        <v>37</v>
      </c>
      <c r="U497" s="1"/>
      <c r="V497" s="1" t="s">
        <v>38</v>
      </c>
      <c r="W497" s="1"/>
      <c r="X497" s="1"/>
      <c r="Y497" s="1" t="s">
        <v>49</v>
      </c>
      <c r="Z497" s="1"/>
      <c r="AA497" s="1" t="s">
        <v>40</v>
      </c>
      <c r="AB497" s="1" t="s">
        <v>50</v>
      </c>
      <c r="AC497" s="1"/>
    </row>
    <row r="498">
      <c r="A498" s="1" t="str">
        <f>"00088D"</f>
        <v>00088D</v>
      </c>
      <c r="B498" s="1" t="s">
        <v>2249</v>
      </c>
      <c r="C498" s="1" t="s">
        <v>2250</v>
      </c>
      <c r="D498" s="1"/>
      <c r="E498" s="1">
        <v>1838.0</v>
      </c>
      <c r="F498" s="1" t="s">
        <v>44</v>
      </c>
      <c r="G498" s="1" t="s">
        <v>2251</v>
      </c>
      <c r="H498" s="1">
        <v>2.0</v>
      </c>
      <c r="I498" s="1"/>
      <c r="J498" s="1"/>
      <c r="K498" s="1"/>
      <c r="L498" s="1"/>
      <c r="M498" s="1" t="s">
        <v>2252</v>
      </c>
      <c r="N498" s="1" t="s">
        <v>142</v>
      </c>
      <c r="O498" s="1" t="s">
        <v>2253</v>
      </c>
      <c r="P498" s="1"/>
      <c r="Q498" s="3">
        <v>36892.0</v>
      </c>
      <c r="R498" s="1"/>
      <c r="S498" s="3">
        <v>32336.0</v>
      </c>
      <c r="T498" s="1" t="s">
        <v>37</v>
      </c>
      <c r="U498" s="1"/>
      <c r="V498" s="1" t="s">
        <v>38</v>
      </c>
      <c r="W498" s="1"/>
      <c r="X498" s="1"/>
      <c r="Y498" s="1" t="s">
        <v>49</v>
      </c>
      <c r="Z498" s="1"/>
      <c r="AA498" s="1" t="s">
        <v>40</v>
      </c>
      <c r="AB498" s="1" t="s">
        <v>2254</v>
      </c>
      <c r="AC498" s="1"/>
    </row>
    <row r="499">
      <c r="A499" s="1" t="str">
        <f>"0008D0"</f>
        <v>0008D0</v>
      </c>
      <c r="B499" s="1" t="s">
        <v>2255</v>
      </c>
      <c r="C499" s="1" t="s">
        <v>2256</v>
      </c>
      <c r="D499" s="1" t="str">
        <f>"8023756713"</f>
        <v>8023756713</v>
      </c>
      <c r="E499" s="1">
        <v>2473.0</v>
      </c>
      <c r="F499" s="1" t="s">
        <v>44</v>
      </c>
      <c r="G499" s="1" t="s">
        <v>2257</v>
      </c>
      <c r="H499" s="1">
        <v>1.0</v>
      </c>
      <c r="I499" s="1"/>
      <c r="J499" s="1"/>
      <c r="K499" s="1"/>
      <c r="L499" s="1"/>
      <c r="M499" s="1" t="s">
        <v>2258</v>
      </c>
      <c r="N499" s="1" t="s">
        <v>414</v>
      </c>
      <c r="O499" s="1" t="s">
        <v>1160</v>
      </c>
      <c r="P499" s="1"/>
      <c r="Q499" s="3">
        <v>36892.0</v>
      </c>
      <c r="R499" s="1"/>
      <c r="S499" s="3">
        <v>32331.0</v>
      </c>
      <c r="T499" s="1" t="s">
        <v>37</v>
      </c>
      <c r="U499" s="1"/>
      <c r="V499" s="1" t="s">
        <v>38</v>
      </c>
      <c r="W499" s="1"/>
      <c r="X499" s="1"/>
      <c r="Y499" s="1" t="s">
        <v>49</v>
      </c>
      <c r="Z499" s="1"/>
      <c r="AA499" s="1" t="s">
        <v>40</v>
      </c>
      <c r="AB499" s="1" t="s">
        <v>1161</v>
      </c>
      <c r="AC499" s="1"/>
    </row>
    <row r="500">
      <c r="A500" s="1" t="str">
        <f>"0009A3"</f>
        <v>0009A3</v>
      </c>
      <c r="B500" s="1" t="s">
        <v>2259</v>
      </c>
      <c r="C500" s="1" t="s">
        <v>2260</v>
      </c>
      <c r="D500" s="1" t="str">
        <f>"8024723711"</f>
        <v>8024723711</v>
      </c>
      <c r="E500" s="1">
        <v>4127.0</v>
      </c>
      <c r="F500" s="1" t="s">
        <v>117</v>
      </c>
      <c r="G500" s="1" t="s">
        <v>2261</v>
      </c>
      <c r="H500" s="1">
        <v>1.0</v>
      </c>
      <c r="I500" s="2">
        <v>1.0</v>
      </c>
      <c r="J500" s="2">
        <v>1.0</v>
      </c>
      <c r="K500" s="2" t="s">
        <v>119</v>
      </c>
      <c r="L500" s="1"/>
      <c r="M500" s="1" t="s">
        <v>2262</v>
      </c>
      <c r="N500" s="1" t="s">
        <v>128</v>
      </c>
      <c r="O500" s="1" t="s">
        <v>1079</v>
      </c>
      <c r="P500" s="1" t="s">
        <v>2263</v>
      </c>
      <c r="Q500" s="3">
        <v>36892.0</v>
      </c>
      <c r="R500" s="1"/>
      <c r="S500" s="1"/>
      <c r="T500" s="1" t="s">
        <v>37</v>
      </c>
      <c r="U500" s="1"/>
      <c r="V500" s="1" t="s">
        <v>38</v>
      </c>
      <c r="W500" s="1">
        <v>44.476597</v>
      </c>
      <c r="X500" s="1">
        <v>-72.3178409999999</v>
      </c>
      <c r="Y500" s="1" t="s">
        <v>2264</v>
      </c>
      <c r="Z500" s="1"/>
      <c r="AA500" s="1" t="s">
        <v>40</v>
      </c>
      <c r="AB500" s="1" t="s">
        <v>1080</v>
      </c>
      <c r="AC500" s="1">
        <v>5843.0</v>
      </c>
    </row>
    <row r="501">
      <c r="A501" s="1" t="str">
        <f>"000889"</f>
        <v>000889</v>
      </c>
      <c r="B501" s="1" t="s">
        <v>2265</v>
      </c>
      <c r="C501" s="1" t="s">
        <v>2266</v>
      </c>
      <c r="D501" s="1" t="str">
        <f>"8024335406"</f>
        <v>8024335406</v>
      </c>
      <c r="E501" s="1">
        <v>1834.0</v>
      </c>
      <c r="F501" s="1" t="s">
        <v>31</v>
      </c>
      <c r="G501" s="1" t="s">
        <v>2267</v>
      </c>
      <c r="H501" s="1"/>
      <c r="I501" s="1"/>
      <c r="J501" s="1"/>
      <c r="K501" s="1"/>
      <c r="L501" s="1"/>
      <c r="M501" s="1" t="s">
        <v>2268</v>
      </c>
      <c r="N501" s="1" t="s">
        <v>142</v>
      </c>
      <c r="O501" s="1" t="s">
        <v>2253</v>
      </c>
      <c r="P501" s="1"/>
      <c r="Q501" s="3">
        <v>36892.0</v>
      </c>
      <c r="R501" s="1"/>
      <c r="S501" s="1"/>
      <c r="T501" s="1" t="s">
        <v>37</v>
      </c>
      <c r="U501" s="1"/>
      <c r="V501" s="1" t="s">
        <v>38</v>
      </c>
      <c r="W501" s="1"/>
      <c r="X501" s="1"/>
      <c r="Y501" s="1" t="s">
        <v>49</v>
      </c>
      <c r="Z501" s="1"/>
      <c r="AA501" s="1" t="s">
        <v>40</v>
      </c>
      <c r="AB501" s="1" t="s">
        <v>2254</v>
      </c>
      <c r="AC501" s="1"/>
    </row>
    <row r="502">
      <c r="A502" s="1" t="str">
        <f>"000888"</f>
        <v>000888</v>
      </c>
      <c r="B502" s="1" t="s">
        <v>2269</v>
      </c>
      <c r="C502" s="1" t="s">
        <v>2270</v>
      </c>
      <c r="D502" s="1"/>
      <c r="E502" s="1">
        <v>1825.0</v>
      </c>
      <c r="F502" s="1" t="s">
        <v>44</v>
      </c>
      <c r="G502" s="1" t="s">
        <v>2271</v>
      </c>
      <c r="H502" s="1"/>
      <c r="I502" s="1"/>
      <c r="J502" s="1"/>
      <c r="K502" s="1"/>
      <c r="L502" s="1"/>
      <c r="M502" s="1" t="s">
        <v>72</v>
      </c>
      <c r="N502" s="1" t="s">
        <v>142</v>
      </c>
      <c r="O502" s="1" t="s">
        <v>2272</v>
      </c>
      <c r="P502" s="1"/>
      <c r="Q502" s="3">
        <v>36892.0</v>
      </c>
      <c r="R502" s="1"/>
      <c r="S502" s="1"/>
      <c r="T502" s="1" t="s">
        <v>37</v>
      </c>
      <c r="U502" s="1"/>
      <c r="V502" s="1" t="s">
        <v>38</v>
      </c>
      <c r="W502" s="1"/>
      <c r="X502" s="1"/>
      <c r="Y502" s="1" t="s">
        <v>49</v>
      </c>
      <c r="Z502" s="1"/>
      <c r="AA502" s="1" t="s">
        <v>40</v>
      </c>
      <c r="AB502" s="1" t="s">
        <v>2273</v>
      </c>
      <c r="AC502" s="1"/>
    </row>
    <row r="503">
      <c r="A503" s="1" t="str">
        <f>"000885"</f>
        <v>000885</v>
      </c>
      <c r="B503" s="1" t="s">
        <v>2274</v>
      </c>
      <c r="C503" s="1" t="s">
        <v>2275</v>
      </c>
      <c r="D503" s="1" t="str">
        <f>"8028839386"</f>
        <v>8028839386</v>
      </c>
      <c r="E503" s="1">
        <v>1819.0</v>
      </c>
      <c r="F503" s="1" t="s">
        <v>44</v>
      </c>
      <c r="G503" s="1" t="s">
        <v>2276</v>
      </c>
      <c r="H503" s="1">
        <v>8.0</v>
      </c>
      <c r="I503" s="1"/>
      <c r="J503" s="1"/>
      <c r="K503" s="1"/>
      <c r="L503" s="1"/>
      <c r="M503" s="1" t="s">
        <v>72</v>
      </c>
      <c r="N503" s="1" t="s">
        <v>142</v>
      </c>
      <c r="O503" s="1" t="s">
        <v>1026</v>
      </c>
      <c r="P503" s="1"/>
      <c r="Q503" s="3">
        <v>36892.0</v>
      </c>
      <c r="R503" s="1"/>
      <c r="S503" s="3">
        <v>39954.0</v>
      </c>
      <c r="T503" s="1" t="s">
        <v>37</v>
      </c>
      <c r="U503" s="1"/>
      <c r="V503" s="1" t="s">
        <v>38</v>
      </c>
      <c r="W503" s="1"/>
      <c r="X503" s="1"/>
      <c r="Y503" s="1" t="s">
        <v>49</v>
      </c>
      <c r="Z503" s="1"/>
      <c r="AA503" s="1" t="s">
        <v>40</v>
      </c>
      <c r="AB503" s="1" t="s">
        <v>135</v>
      </c>
      <c r="AC503" s="1"/>
    </row>
    <row r="504">
      <c r="A504" s="1" t="str">
        <f>"000884"</f>
        <v>000884</v>
      </c>
      <c r="B504" s="1" t="s">
        <v>2277</v>
      </c>
      <c r="C504" s="1" t="s">
        <v>2278</v>
      </c>
      <c r="D504" s="1" t="str">
        <f>"8025355219"</f>
        <v>8025355219</v>
      </c>
      <c r="E504" s="1">
        <v>3580.0</v>
      </c>
      <c r="F504" s="1" t="s">
        <v>44</v>
      </c>
      <c r="G504" s="1" t="s">
        <v>2279</v>
      </c>
      <c r="H504" s="1">
        <v>0.0</v>
      </c>
      <c r="I504" s="1"/>
      <c r="J504" s="1"/>
      <c r="K504" s="1"/>
      <c r="L504" s="1"/>
      <c r="M504" s="1" t="s">
        <v>72</v>
      </c>
      <c r="N504" s="1" t="s">
        <v>128</v>
      </c>
      <c r="O504" s="1" t="s">
        <v>286</v>
      </c>
      <c r="P504" s="1"/>
      <c r="Q504" s="3">
        <v>36892.0</v>
      </c>
      <c r="R504" s="1"/>
      <c r="S504" s="1"/>
      <c r="T504" s="1" t="s">
        <v>37</v>
      </c>
      <c r="U504" s="1"/>
      <c r="V504" s="1" t="s">
        <v>38</v>
      </c>
      <c r="W504" s="1">
        <v>44.6416444</v>
      </c>
      <c r="X504" s="1">
        <v>-71.9836473</v>
      </c>
      <c r="Y504" s="1" t="s">
        <v>2280</v>
      </c>
      <c r="Z504" s="1"/>
      <c r="AA504" s="1" t="s">
        <v>40</v>
      </c>
      <c r="AB504" s="1" t="s">
        <v>2281</v>
      </c>
      <c r="AC504" s="1">
        <v>5871.0</v>
      </c>
    </row>
    <row r="505">
      <c r="A505" s="1" t="str">
        <f>"0008B5"</f>
        <v>0008B5</v>
      </c>
      <c r="B505" s="1" t="s">
        <v>218</v>
      </c>
      <c r="C505" s="1" t="s">
        <v>219</v>
      </c>
      <c r="D505" s="1" t="str">
        <f>"8024395635"</f>
        <v>8024395635</v>
      </c>
      <c r="E505" s="1">
        <v>2843.0</v>
      </c>
      <c r="F505" s="1" t="s">
        <v>44</v>
      </c>
      <c r="G505" s="1" t="s">
        <v>2282</v>
      </c>
      <c r="H505" s="1">
        <v>4.0</v>
      </c>
      <c r="I505" s="1"/>
      <c r="J505" s="1"/>
      <c r="K505" s="1"/>
      <c r="L505" s="1"/>
      <c r="M505" s="1" t="s">
        <v>2283</v>
      </c>
      <c r="N505" s="1" t="s">
        <v>142</v>
      </c>
      <c r="O505" s="1" t="s">
        <v>400</v>
      </c>
      <c r="P505" s="1"/>
      <c r="Q505" s="3">
        <v>36892.0</v>
      </c>
      <c r="R505" s="1"/>
      <c r="S505" s="3">
        <v>32720.0</v>
      </c>
      <c r="T505" s="1" t="s">
        <v>37</v>
      </c>
      <c r="U505" s="1"/>
      <c r="V505" s="1" t="s">
        <v>38</v>
      </c>
      <c r="W505" s="1"/>
      <c r="X505" s="1"/>
      <c r="Y505" s="1" t="s">
        <v>49</v>
      </c>
      <c r="Z505" s="1"/>
      <c r="AA505" s="1" t="s">
        <v>40</v>
      </c>
      <c r="AB505" s="1" t="s">
        <v>401</v>
      </c>
      <c r="AC505" s="1"/>
    </row>
    <row r="506">
      <c r="A506" s="1" t="str">
        <f>"000882"</f>
        <v>000882</v>
      </c>
      <c r="B506" s="1" t="s">
        <v>2284</v>
      </c>
      <c r="C506" s="1" t="s">
        <v>2285</v>
      </c>
      <c r="D506" s="1" t="str">
        <f>"8024396921"</f>
        <v>8024396921</v>
      </c>
      <c r="E506" s="1">
        <v>3583.0</v>
      </c>
      <c r="F506" s="1" t="s">
        <v>44</v>
      </c>
      <c r="G506" s="1" t="s">
        <v>2286</v>
      </c>
      <c r="H506" s="1">
        <v>1.0</v>
      </c>
      <c r="I506" s="1"/>
      <c r="J506" s="1"/>
      <c r="K506" s="1"/>
      <c r="L506" s="1"/>
      <c r="M506" s="1" t="s">
        <v>72</v>
      </c>
      <c r="N506" s="1" t="s">
        <v>142</v>
      </c>
      <c r="O506" s="1" t="s">
        <v>400</v>
      </c>
      <c r="P506" s="1"/>
      <c r="Q506" s="3">
        <v>36892.0</v>
      </c>
      <c r="R506" s="1"/>
      <c r="S506" s="3">
        <v>38631.0</v>
      </c>
      <c r="T506" s="1" t="s">
        <v>37</v>
      </c>
      <c r="U506" s="1"/>
      <c r="V506" s="1" t="s">
        <v>38</v>
      </c>
      <c r="W506" s="1"/>
      <c r="X506" s="1"/>
      <c r="Y506" s="1" t="s">
        <v>49</v>
      </c>
      <c r="Z506" s="1"/>
      <c r="AA506" s="1" t="s">
        <v>40</v>
      </c>
      <c r="AB506" s="1" t="s">
        <v>401</v>
      </c>
      <c r="AC506" s="1"/>
    </row>
    <row r="507">
      <c r="A507" s="1" t="str">
        <f t="shared" ref="A507:A508" si="37">"000881"</f>
        <v>000881</v>
      </c>
      <c r="B507" s="1" t="s">
        <v>2287</v>
      </c>
      <c r="C507" s="1" t="s">
        <v>1210</v>
      </c>
      <c r="D507" s="1"/>
      <c r="E507" s="1">
        <v>1810.0</v>
      </c>
      <c r="F507" s="1" t="s">
        <v>44</v>
      </c>
      <c r="G507" s="1" t="s">
        <v>2288</v>
      </c>
      <c r="H507" s="1"/>
      <c r="I507" s="1"/>
      <c r="J507" s="1"/>
      <c r="K507" s="1"/>
      <c r="L507" s="1"/>
      <c r="M507" s="1" t="s">
        <v>2289</v>
      </c>
      <c r="N507" s="1" t="s">
        <v>142</v>
      </c>
      <c r="O507" s="1" t="s">
        <v>1213</v>
      </c>
      <c r="P507" s="1"/>
      <c r="Q507" s="3">
        <v>36892.0</v>
      </c>
      <c r="R507" s="1"/>
      <c r="S507" s="1"/>
      <c r="T507" s="1" t="s">
        <v>37</v>
      </c>
      <c r="U507" s="1"/>
      <c r="V507" s="1" t="s">
        <v>38</v>
      </c>
      <c r="W507" s="1"/>
      <c r="X507" s="1"/>
      <c r="Y507" s="1" t="s">
        <v>49</v>
      </c>
      <c r="Z507" s="1"/>
      <c r="AA507" s="1" t="s">
        <v>40</v>
      </c>
      <c r="AB507" s="1" t="s">
        <v>1214</v>
      </c>
      <c r="AC507" s="1"/>
    </row>
    <row r="508">
      <c r="A508" s="1" t="str">
        <f t="shared" si="37"/>
        <v>000881</v>
      </c>
      <c r="B508" s="1" t="s">
        <v>2287</v>
      </c>
      <c r="C508" s="1" t="s">
        <v>1210</v>
      </c>
      <c r="D508" s="1"/>
      <c r="E508" s="1">
        <v>1810.0</v>
      </c>
      <c r="F508" s="1" t="s">
        <v>44</v>
      </c>
      <c r="G508" s="1" t="s">
        <v>2290</v>
      </c>
      <c r="H508" s="1"/>
      <c r="I508" s="1"/>
      <c r="J508" s="1"/>
      <c r="K508" s="1"/>
      <c r="L508" s="1"/>
      <c r="M508" s="1" t="s">
        <v>72</v>
      </c>
      <c r="N508" s="1" t="s">
        <v>142</v>
      </c>
      <c r="O508" s="1" t="s">
        <v>1213</v>
      </c>
      <c r="P508" s="1"/>
      <c r="Q508" s="3">
        <v>36892.0</v>
      </c>
      <c r="R508" s="1"/>
      <c r="S508" s="1"/>
      <c r="T508" s="1" t="s">
        <v>37</v>
      </c>
      <c r="U508" s="1"/>
      <c r="V508" s="1" t="s">
        <v>38</v>
      </c>
      <c r="W508" s="1"/>
      <c r="X508" s="1"/>
      <c r="Y508" s="1" t="s">
        <v>49</v>
      </c>
      <c r="Z508" s="1"/>
      <c r="AA508" s="1" t="s">
        <v>40</v>
      </c>
      <c r="AB508" s="1" t="s">
        <v>1214</v>
      </c>
      <c r="AC508" s="1"/>
    </row>
    <row r="509">
      <c r="A509" s="1" t="str">
        <f>"0008X1"</f>
        <v>0008X1</v>
      </c>
      <c r="B509" s="1" t="s">
        <v>2291</v>
      </c>
      <c r="C509" s="1" t="s">
        <v>2292</v>
      </c>
      <c r="D509" s="1" t="str">
        <f>"8028785992"</f>
        <v>8028785992</v>
      </c>
      <c r="E509" s="1">
        <v>3417.0</v>
      </c>
      <c r="F509" s="1" t="s">
        <v>44</v>
      </c>
      <c r="G509" s="1" t="s">
        <v>2293</v>
      </c>
      <c r="H509" s="1">
        <v>2.0</v>
      </c>
      <c r="I509" s="1"/>
      <c r="J509" s="1"/>
      <c r="K509" s="1"/>
      <c r="L509" s="1"/>
      <c r="M509" s="1" t="s">
        <v>72</v>
      </c>
      <c r="N509" s="1" t="s">
        <v>57</v>
      </c>
      <c r="O509" s="1" t="s">
        <v>559</v>
      </c>
      <c r="P509" s="1"/>
      <c r="Q509" s="3">
        <v>36892.0</v>
      </c>
      <c r="R509" s="1"/>
      <c r="S509" s="3">
        <v>38526.0</v>
      </c>
      <c r="T509" s="1" t="s">
        <v>37</v>
      </c>
      <c r="U509" s="1"/>
      <c r="V509" s="1" t="s">
        <v>38</v>
      </c>
      <c r="W509" s="1"/>
      <c r="X509" s="1"/>
      <c r="Y509" s="1" t="s">
        <v>49</v>
      </c>
      <c r="Z509" s="1"/>
      <c r="AA509" s="1" t="s">
        <v>40</v>
      </c>
      <c r="AB509" s="1" t="s">
        <v>560</v>
      </c>
      <c r="AC509" s="1"/>
    </row>
    <row r="510">
      <c r="A510" s="1" t="str">
        <f>"00087Z"</f>
        <v>00087Z</v>
      </c>
      <c r="B510" s="1" t="s">
        <v>2294</v>
      </c>
      <c r="C510" s="1" t="s">
        <v>2295</v>
      </c>
      <c r="D510" s="1" t="str">
        <f>"8022224495"</f>
        <v>8022224495</v>
      </c>
      <c r="E510" s="1">
        <v>3691.0</v>
      </c>
      <c r="F510" s="1" t="s">
        <v>44</v>
      </c>
      <c r="G510" s="1" t="s">
        <v>2296</v>
      </c>
      <c r="H510" s="1">
        <v>0.0</v>
      </c>
      <c r="I510" s="1"/>
      <c r="J510" s="1"/>
      <c r="K510" s="1"/>
      <c r="L510" s="1"/>
      <c r="M510" s="1" t="s">
        <v>72</v>
      </c>
      <c r="N510" s="1" t="s">
        <v>142</v>
      </c>
      <c r="O510" s="1" t="s">
        <v>227</v>
      </c>
      <c r="P510" s="1"/>
      <c r="Q510" s="3">
        <v>36892.0</v>
      </c>
      <c r="R510" s="1"/>
      <c r="S510" s="1"/>
      <c r="T510" s="1" t="s">
        <v>37</v>
      </c>
      <c r="U510" s="1"/>
      <c r="V510" s="1" t="s">
        <v>38</v>
      </c>
      <c r="W510" s="1">
        <v>44.037833</v>
      </c>
      <c r="X510" s="1">
        <v>-72.1422878999999</v>
      </c>
      <c r="Y510" s="1" t="s">
        <v>2297</v>
      </c>
      <c r="Z510" s="1"/>
      <c r="AA510" s="1" t="s">
        <v>40</v>
      </c>
      <c r="AB510" s="1" t="s">
        <v>228</v>
      </c>
      <c r="AC510" s="1">
        <v>5033.0</v>
      </c>
    </row>
    <row r="511">
      <c r="A511" s="1" t="str">
        <f>"0007Y0"</f>
        <v>0007Y0</v>
      </c>
      <c r="B511" s="1" t="s">
        <v>2298</v>
      </c>
      <c r="C511" s="1" t="s">
        <v>2299</v>
      </c>
      <c r="D511" s="1" t="str">
        <f>"8023872540"</f>
        <v>8023872540</v>
      </c>
      <c r="E511" s="1">
        <v>3002.0</v>
      </c>
      <c r="F511" s="1" t="s">
        <v>44</v>
      </c>
      <c r="G511" s="1" t="s">
        <v>2300</v>
      </c>
      <c r="H511" s="1">
        <v>3.0</v>
      </c>
      <c r="I511" s="1"/>
      <c r="J511" s="1"/>
      <c r="K511" s="1"/>
      <c r="L511" s="1"/>
      <c r="M511" s="1" t="s">
        <v>72</v>
      </c>
      <c r="N511" s="1" t="s">
        <v>66</v>
      </c>
      <c r="O511" s="1" t="s">
        <v>593</v>
      </c>
      <c r="P511" s="1"/>
      <c r="Q511" s="3">
        <v>36892.0</v>
      </c>
      <c r="R511" s="1"/>
      <c r="S511" s="3">
        <v>37931.0</v>
      </c>
      <c r="T511" s="1" t="s">
        <v>37</v>
      </c>
      <c r="U511" s="1"/>
      <c r="V511" s="1" t="s">
        <v>38</v>
      </c>
      <c r="W511" s="1"/>
      <c r="X511" s="1"/>
      <c r="Y511" s="1" t="s">
        <v>49</v>
      </c>
      <c r="Z511" s="1"/>
      <c r="AA511" s="1" t="s">
        <v>40</v>
      </c>
      <c r="AB511" s="1" t="s">
        <v>594</v>
      </c>
      <c r="AC511" s="1"/>
    </row>
    <row r="512">
      <c r="A512" s="1" t="str">
        <f>"00087W"</f>
        <v>00087W</v>
      </c>
      <c r="B512" s="1" t="s">
        <v>2301</v>
      </c>
      <c r="C512" s="1" t="s">
        <v>2302</v>
      </c>
      <c r="D512" s="1" t="str">
        <f>"8028895539"</f>
        <v>8028895539</v>
      </c>
      <c r="E512" s="1">
        <v>1804.0</v>
      </c>
      <c r="F512" s="1" t="s">
        <v>44</v>
      </c>
      <c r="G512" s="1" t="s">
        <v>2303</v>
      </c>
      <c r="H512" s="1"/>
      <c r="I512" s="1"/>
      <c r="J512" s="1"/>
      <c r="K512" s="1"/>
      <c r="L512" s="1"/>
      <c r="M512" s="1" t="s">
        <v>2304</v>
      </c>
      <c r="N512" s="1" t="s">
        <v>142</v>
      </c>
      <c r="O512" s="1" t="s">
        <v>648</v>
      </c>
      <c r="P512" s="1"/>
      <c r="Q512" s="3">
        <v>36892.0</v>
      </c>
      <c r="R512" s="1"/>
      <c r="S512" s="1"/>
      <c r="T512" s="1" t="s">
        <v>37</v>
      </c>
      <c r="U512" s="1"/>
      <c r="V512" s="1" t="s">
        <v>38</v>
      </c>
      <c r="W512" s="1"/>
      <c r="X512" s="1"/>
      <c r="Y512" s="1" t="s">
        <v>49</v>
      </c>
      <c r="Z512" s="1"/>
      <c r="AA512" s="1" t="s">
        <v>40</v>
      </c>
      <c r="AB512" s="1" t="s">
        <v>650</v>
      </c>
      <c r="AC512" s="1"/>
    </row>
    <row r="513">
      <c r="A513" s="1" t="str">
        <f>"00087Q"</f>
        <v>00087Q</v>
      </c>
      <c r="B513" s="1" t="s">
        <v>2305</v>
      </c>
      <c r="C513" s="1" t="s">
        <v>2306</v>
      </c>
      <c r="D513" s="1"/>
      <c r="E513" s="1">
        <v>4103.0</v>
      </c>
      <c r="F513" s="1" t="s">
        <v>44</v>
      </c>
      <c r="G513" s="1" t="s">
        <v>2307</v>
      </c>
      <c r="H513" s="1"/>
      <c r="I513" s="1"/>
      <c r="J513" s="1"/>
      <c r="K513" s="1"/>
      <c r="L513" s="1"/>
      <c r="M513" s="1" t="s">
        <v>2308</v>
      </c>
      <c r="N513" s="1" t="s">
        <v>128</v>
      </c>
      <c r="O513" s="1" t="s">
        <v>194</v>
      </c>
      <c r="P513" s="1"/>
      <c r="Q513" s="3">
        <v>36892.0</v>
      </c>
      <c r="R513" s="1"/>
      <c r="S513" s="1"/>
      <c r="T513" s="1" t="s">
        <v>37</v>
      </c>
      <c r="U513" s="1"/>
      <c r="V513" s="1" t="s">
        <v>38</v>
      </c>
      <c r="W513" s="1"/>
      <c r="X513" s="1"/>
      <c r="Y513" s="1" t="s">
        <v>49</v>
      </c>
      <c r="Z513" s="1"/>
      <c r="AA513" s="1" t="s">
        <v>40</v>
      </c>
      <c r="AB513" s="1" t="s">
        <v>291</v>
      </c>
      <c r="AC513" s="1"/>
    </row>
    <row r="514">
      <c r="A514" s="1" t="str">
        <f>"0008N9"</f>
        <v>0008N9</v>
      </c>
      <c r="B514" s="1" t="s">
        <v>2309</v>
      </c>
      <c r="C514" s="1" t="s">
        <v>2310</v>
      </c>
      <c r="D514" s="1" t="str">
        <f>"8024534319"</f>
        <v>8024534319</v>
      </c>
      <c r="E514" s="1">
        <v>3179.0</v>
      </c>
      <c r="F514" s="1" t="s">
        <v>44</v>
      </c>
      <c r="G514" s="1" t="s">
        <v>2311</v>
      </c>
      <c r="H514" s="1">
        <v>3.0</v>
      </c>
      <c r="I514" s="1"/>
      <c r="J514" s="1"/>
      <c r="K514" s="1"/>
      <c r="L514" s="1"/>
      <c r="M514" s="1" t="s">
        <v>2312</v>
      </c>
      <c r="N514" s="1" t="s">
        <v>161</v>
      </c>
      <c r="O514" s="1" t="s">
        <v>307</v>
      </c>
      <c r="P514" s="1"/>
      <c r="Q514" s="3">
        <v>36892.0</v>
      </c>
      <c r="R514" s="1"/>
      <c r="S514" s="3">
        <v>38593.0</v>
      </c>
      <c r="T514" s="1" t="s">
        <v>37</v>
      </c>
      <c r="U514" s="1"/>
      <c r="V514" s="1" t="s">
        <v>38</v>
      </c>
      <c r="W514" s="1"/>
      <c r="X514" s="1"/>
      <c r="Y514" s="1" t="s">
        <v>49</v>
      </c>
      <c r="Z514" s="1"/>
      <c r="AA514" s="1" t="s">
        <v>40</v>
      </c>
      <c r="AB514" s="1" t="s">
        <v>308</v>
      </c>
      <c r="AC514" s="1"/>
    </row>
    <row r="515">
      <c r="A515" s="1" t="str">
        <f>"0007WV"</f>
        <v>0007WV</v>
      </c>
      <c r="B515" s="1" t="s">
        <v>2313</v>
      </c>
      <c r="C515" s="1" t="s">
        <v>2314</v>
      </c>
      <c r="D515" s="1" t="str">
        <f>"8022763529"</f>
        <v>8022763529</v>
      </c>
      <c r="E515" s="1">
        <v>3123.0</v>
      </c>
      <c r="F515" s="1" t="s">
        <v>44</v>
      </c>
      <c r="G515" s="1" t="s">
        <v>2315</v>
      </c>
      <c r="H515" s="1">
        <v>2.0</v>
      </c>
      <c r="I515" s="1"/>
      <c r="J515" s="1"/>
      <c r="K515" s="1"/>
      <c r="L515" s="1"/>
      <c r="M515" s="1" t="s">
        <v>72</v>
      </c>
      <c r="N515" s="1" t="s">
        <v>142</v>
      </c>
      <c r="O515" s="1" t="s">
        <v>353</v>
      </c>
      <c r="P515" s="1"/>
      <c r="Q515" s="3">
        <v>36892.0</v>
      </c>
      <c r="R515" s="1"/>
      <c r="S515" s="3">
        <v>38548.0</v>
      </c>
      <c r="T515" s="1" t="s">
        <v>37</v>
      </c>
      <c r="U515" s="1"/>
      <c r="V515" s="1" t="s">
        <v>38</v>
      </c>
      <c r="W515" s="1">
        <v>44.064392</v>
      </c>
      <c r="X515" s="1">
        <v>-72.6038889999999</v>
      </c>
      <c r="Y515" s="1" t="s">
        <v>2316</v>
      </c>
      <c r="Z515" s="1"/>
      <c r="AA515" s="1" t="s">
        <v>40</v>
      </c>
      <c r="AB515" s="1" t="s">
        <v>355</v>
      </c>
      <c r="AC515" s="1">
        <v>5036.0</v>
      </c>
    </row>
    <row r="516">
      <c r="A516" s="1" t="str">
        <f>"0007ZQ"</f>
        <v>0007ZQ</v>
      </c>
      <c r="B516" s="1" t="s">
        <v>1064</v>
      </c>
      <c r="C516" s="1" t="s">
        <v>1065</v>
      </c>
      <c r="D516" s="1" t="str">
        <f>"8022256051"</f>
        <v>8022256051</v>
      </c>
      <c r="E516" s="1">
        <v>1395.0</v>
      </c>
      <c r="F516" s="1" t="s">
        <v>117</v>
      </c>
      <c r="G516" s="1" t="s">
        <v>2317</v>
      </c>
      <c r="H516" s="1">
        <v>0.0</v>
      </c>
      <c r="I516" s="2" t="s">
        <v>119</v>
      </c>
      <c r="J516" s="2" t="s">
        <v>119</v>
      </c>
      <c r="K516" s="2" t="s">
        <v>119</v>
      </c>
      <c r="L516" s="1"/>
      <c r="M516" s="1" t="s">
        <v>2318</v>
      </c>
      <c r="N516" s="1" t="s">
        <v>47</v>
      </c>
      <c r="O516" s="1" t="s">
        <v>2319</v>
      </c>
      <c r="P516" s="1"/>
      <c r="Q516" s="3">
        <v>36892.0</v>
      </c>
      <c r="R516" s="3">
        <v>42736.0</v>
      </c>
      <c r="S516" s="3">
        <v>39736.0</v>
      </c>
      <c r="T516" s="1" t="s">
        <v>37</v>
      </c>
      <c r="U516" s="1"/>
      <c r="V516" s="1" t="s">
        <v>38</v>
      </c>
      <c r="W516" s="1"/>
      <c r="X516" s="1"/>
      <c r="Y516" s="1" t="s">
        <v>49</v>
      </c>
      <c r="Z516" s="1"/>
      <c r="AA516" s="1" t="s">
        <v>40</v>
      </c>
      <c r="AB516" s="1" t="s">
        <v>47</v>
      </c>
      <c r="AC516" s="1">
        <v>0.0</v>
      </c>
    </row>
    <row r="517">
      <c r="A517" s="1" t="str">
        <f>"00085C"</f>
        <v>00085C</v>
      </c>
      <c r="B517" s="1" t="s">
        <v>2320</v>
      </c>
      <c r="C517" s="1" t="s">
        <v>2321</v>
      </c>
      <c r="D517" s="1" t="str">
        <f>"8024683036"</f>
        <v>8024683036</v>
      </c>
      <c r="E517" s="1">
        <v>3672.0</v>
      </c>
      <c r="F517" s="1" t="s">
        <v>44</v>
      </c>
      <c r="G517" s="1" t="s">
        <v>2322</v>
      </c>
      <c r="H517" s="1">
        <v>14.0</v>
      </c>
      <c r="I517" s="1"/>
      <c r="J517" s="1"/>
      <c r="K517" s="1"/>
      <c r="L517" s="1"/>
      <c r="M517" s="1" t="s">
        <v>2323</v>
      </c>
      <c r="N517" s="1" t="s">
        <v>78</v>
      </c>
      <c r="O517" s="1" t="s">
        <v>426</v>
      </c>
      <c r="P517" s="1"/>
      <c r="Q517" s="3">
        <v>36892.0</v>
      </c>
      <c r="R517" s="1"/>
      <c r="S517" s="3">
        <v>41198.0</v>
      </c>
      <c r="T517" s="1" t="s">
        <v>37</v>
      </c>
      <c r="U517" s="1"/>
      <c r="V517" s="1" t="s">
        <v>38</v>
      </c>
      <c r="W517" s="1"/>
      <c r="X517" s="1"/>
      <c r="Y517" s="1" t="s">
        <v>49</v>
      </c>
      <c r="Z517" s="1"/>
      <c r="AA517" s="1" t="s">
        <v>40</v>
      </c>
      <c r="AB517" s="1" t="s">
        <v>427</v>
      </c>
      <c r="AC517" s="1"/>
    </row>
    <row r="518">
      <c r="A518" s="1" t="str">
        <f>"00087J"</f>
        <v>00087J</v>
      </c>
      <c r="B518" s="1" t="s">
        <v>2324</v>
      </c>
      <c r="C518" s="1" t="s">
        <v>2325</v>
      </c>
      <c r="D518" s="1" t="str">
        <f>"8024966109"</f>
        <v>8024966109</v>
      </c>
      <c r="E518" s="1">
        <v>3670.0</v>
      </c>
      <c r="F518" s="1" t="s">
        <v>44</v>
      </c>
      <c r="G518" s="1" t="s">
        <v>2326</v>
      </c>
      <c r="H518" s="1">
        <v>0.0</v>
      </c>
      <c r="I518" s="1"/>
      <c r="J518" s="1"/>
      <c r="K518" s="1"/>
      <c r="L518" s="1"/>
      <c r="M518" s="1" t="s">
        <v>72</v>
      </c>
      <c r="N518" s="1" t="s">
        <v>135</v>
      </c>
      <c r="O518" s="1" t="s">
        <v>1798</v>
      </c>
      <c r="P518" s="1"/>
      <c r="Q518" s="3">
        <v>36892.0</v>
      </c>
      <c r="R518" s="1"/>
      <c r="S518" s="3">
        <v>38567.0</v>
      </c>
      <c r="T518" s="1" t="s">
        <v>37</v>
      </c>
      <c r="U518" s="1"/>
      <c r="V518" s="1" t="s">
        <v>38</v>
      </c>
      <c r="W518" s="1"/>
      <c r="X518" s="1"/>
      <c r="Y518" s="1" t="s">
        <v>49</v>
      </c>
      <c r="Z518" s="1"/>
      <c r="AA518" s="1" t="s">
        <v>40</v>
      </c>
      <c r="AB518" s="1" t="s">
        <v>1799</v>
      </c>
      <c r="AC518" s="1"/>
    </row>
    <row r="519">
      <c r="A519" s="1" t="str">
        <f>"00081M"</f>
        <v>00081M</v>
      </c>
      <c r="B519" s="1" t="s">
        <v>2327</v>
      </c>
      <c r="C519" s="1" t="s">
        <v>2328</v>
      </c>
      <c r="D519" s="1" t="str">
        <f>"8024967150"</f>
        <v>8024967150</v>
      </c>
      <c r="E519" s="1">
        <v>3481.0</v>
      </c>
      <c r="F519" s="1" t="s">
        <v>117</v>
      </c>
      <c r="G519" s="1" t="s">
        <v>2329</v>
      </c>
      <c r="H519" s="1">
        <v>1.0</v>
      </c>
      <c r="I519" s="2" t="s">
        <v>119</v>
      </c>
      <c r="J519" s="2" t="s">
        <v>119</v>
      </c>
      <c r="K519" s="2" t="s">
        <v>119</v>
      </c>
      <c r="L519" s="1"/>
      <c r="M519" s="1" t="s">
        <v>2330</v>
      </c>
      <c r="N519" s="1" t="s">
        <v>135</v>
      </c>
      <c r="O519" s="1" t="s">
        <v>2331</v>
      </c>
      <c r="P519" s="1"/>
      <c r="Q519" s="3">
        <v>36892.0</v>
      </c>
      <c r="R519" s="3">
        <v>38065.0</v>
      </c>
      <c r="S519" s="1"/>
      <c r="T519" s="1" t="s">
        <v>37</v>
      </c>
      <c r="U519" s="1"/>
      <c r="V519" s="1" t="s">
        <v>38</v>
      </c>
      <c r="W519" s="1"/>
      <c r="X519" s="1"/>
      <c r="Y519" s="1" t="s">
        <v>49</v>
      </c>
      <c r="Z519" s="1"/>
      <c r="AA519" s="1" t="s">
        <v>40</v>
      </c>
      <c r="AB519" s="1" t="s">
        <v>2332</v>
      </c>
      <c r="AC519" s="1">
        <v>5660.0</v>
      </c>
    </row>
    <row r="520">
      <c r="A520" s="1" t="str">
        <f>"00085P"</f>
        <v>00085P</v>
      </c>
      <c r="B520" s="1" t="s">
        <v>812</v>
      </c>
      <c r="C520" s="1" t="s">
        <v>813</v>
      </c>
      <c r="D520" s="1" t="str">
        <f>"8028993978"</f>
        <v>8028993978</v>
      </c>
      <c r="E520" s="1">
        <v>3071.0</v>
      </c>
      <c r="F520" s="1" t="s">
        <v>117</v>
      </c>
      <c r="G520" s="1" t="s">
        <v>2333</v>
      </c>
      <c r="H520" s="1">
        <v>4.0</v>
      </c>
      <c r="I520" s="2" t="s">
        <v>119</v>
      </c>
      <c r="J520" s="2">
        <v>2.0</v>
      </c>
      <c r="K520" s="2" t="s">
        <v>119</v>
      </c>
      <c r="L520" s="1"/>
      <c r="M520" s="1" t="s">
        <v>2334</v>
      </c>
      <c r="N520" s="1" t="s">
        <v>57</v>
      </c>
      <c r="O520" s="1" t="s">
        <v>58</v>
      </c>
      <c r="P520" s="1" t="s">
        <v>2335</v>
      </c>
      <c r="Q520" s="3">
        <v>36892.0</v>
      </c>
      <c r="R520" s="1"/>
      <c r="S520" s="3">
        <v>40673.0</v>
      </c>
      <c r="T520" s="1" t="s">
        <v>37</v>
      </c>
      <c r="U520" s="1"/>
      <c r="V520" s="1" t="s">
        <v>38</v>
      </c>
      <c r="W520" s="1">
        <v>44.5233337200478</v>
      </c>
      <c r="X520" s="1">
        <v>-72.8947001695633</v>
      </c>
      <c r="Y520" s="1" t="s">
        <v>2336</v>
      </c>
      <c r="Z520" s="1"/>
      <c r="AA520" s="1" t="s">
        <v>40</v>
      </c>
      <c r="AB520" s="1" t="s">
        <v>2337</v>
      </c>
      <c r="AC520" s="1">
        <v>5490.0</v>
      </c>
    </row>
    <row r="521">
      <c r="A521" s="1" t="str">
        <f>"00087F"</f>
        <v>00087F</v>
      </c>
      <c r="B521" s="1" t="s">
        <v>2338</v>
      </c>
      <c r="C521" s="1" t="s">
        <v>2339</v>
      </c>
      <c r="D521" s="1"/>
      <c r="E521" s="1">
        <v>1786.0</v>
      </c>
      <c r="F521" s="1" t="s">
        <v>44</v>
      </c>
      <c r="G521" s="1" t="s">
        <v>2340</v>
      </c>
      <c r="H521" s="1"/>
      <c r="I521" s="1"/>
      <c r="J521" s="1"/>
      <c r="K521" s="1"/>
      <c r="L521" s="1"/>
      <c r="M521" s="1" t="s">
        <v>2341</v>
      </c>
      <c r="N521" s="1" t="s">
        <v>142</v>
      </c>
      <c r="O521" s="1" t="s">
        <v>143</v>
      </c>
      <c r="P521" s="1"/>
      <c r="Q521" s="3">
        <v>36892.0</v>
      </c>
      <c r="R521" s="1"/>
      <c r="S521" s="1"/>
      <c r="T521" s="1" t="s">
        <v>37</v>
      </c>
      <c r="U521" s="1"/>
      <c r="V521" s="1" t="s">
        <v>38</v>
      </c>
      <c r="W521" s="1"/>
      <c r="X521" s="1"/>
      <c r="Y521" s="1" t="s">
        <v>49</v>
      </c>
      <c r="Z521" s="1"/>
      <c r="AA521" s="1" t="s">
        <v>40</v>
      </c>
      <c r="AB521" s="1" t="s">
        <v>146</v>
      </c>
      <c r="AC521" s="1"/>
    </row>
    <row r="522">
      <c r="A522" s="1" t="str">
        <f>"00070K"</f>
        <v>00070K</v>
      </c>
      <c r="B522" s="1" t="s">
        <v>2342</v>
      </c>
      <c r="C522" s="1" t="s">
        <v>2343</v>
      </c>
      <c r="D522" s="1" t="str">
        <f>"8022579256"</f>
        <v>8022579256</v>
      </c>
      <c r="E522" s="1">
        <v>3111.0</v>
      </c>
      <c r="F522" s="1" t="s">
        <v>31</v>
      </c>
      <c r="G522" s="1" t="s">
        <v>2344</v>
      </c>
      <c r="H522" s="1">
        <v>2.0</v>
      </c>
      <c r="I522" s="1"/>
      <c r="J522" s="1"/>
      <c r="K522" s="1"/>
      <c r="L522" s="1"/>
      <c r="M522" s="1" t="s">
        <v>2345</v>
      </c>
      <c r="N522" s="1" t="s">
        <v>66</v>
      </c>
      <c r="O522" s="1" t="s">
        <v>2346</v>
      </c>
      <c r="P522" s="1" t="s">
        <v>2347</v>
      </c>
      <c r="Q522" s="3">
        <v>36892.0</v>
      </c>
      <c r="R522" s="1"/>
      <c r="S522" s="3">
        <v>37089.0</v>
      </c>
      <c r="T522" s="1" t="s">
        <v>37</v>
      </c>
      <c r="U522" s="1"/>
      <c r="V522" s="1" t="s">
        <v>38</v>
      </c>
      <c r="W522" s="1">
        <v>42.84775</v>
      </c>
      <c r="X522" s="1">
        <v>-72.641648</v>
      </c>
      <c r="Y522" s="1" t="s">
        <v>2348</v>
      </c>
      <c r="Z522" s="1"/>
      <c r="AA522" s="1" t="s">
        <v>40</v>
      </c>
      <c r="AB522" s="1" t="s">
        <v>2349</v>
      </c>
      <c r="AC522" s="1">
        <v>5301.0</v>
      </c>
    </row>
    <row r="523">
      <c r="A523" s="1" t="str">
        <f>"00087A"</f>
        <v>00087A</v>
      </c>
      <c r="B523" s="1" t="s">
        <v>2350</v>
      </c>
      <c r="C523" s="1" t="s">
        <v>2351</v>
      </c>
      <c r="D523" s="1"/>
      <c r="E523" s="1">
        <v>1777.0</v>
      </c>
      <c r="F523" s="1" t="s">
        <v>44</v>
      </c>
      <c r="G523" s="1" t="s">
        <v>2352</v>
      </c>
      <c r="H523" s="1"/>
      <c r="I523" s="1"/>
      <c r="J523" s="1"/>
      <c r="K523" s="1"/>
      <c r="L523" s="1"/>
      <c r="M523" s="1" t="s">
        <v>2353</v>
      </c>
      <c r="N523" s="1" t="s">
        <v>142</v>
      </c>
      <c r="O523" s="1" t="s">
        <v>243</v>
      </c>
      <c r="P523" s="1"/>
      <c r="Q523" s="3">
        <v>36892.0</v>
      </c>
      <c r="R523" s="1"/>
      <c r="S523" s="1"/>
      <c r="T523" s="1" t="s">
        <v>37</v>
      </c>
      <c r="U523" s="1"/>
      <c r="V523" s="1" t="s">
        <v>38</v>
      </c>
      <c r="W523" s="1"/>
      <c r="X523" s="1"/>
      <c r="Y523" s="1" t="s">
        <v>49</v>
      </c>
      <c r="Z523" s="1"/>
      <c r="AA523" s="1" t="s">
        <v>40</v>
      </c>
      <c r="AB523" s="1" t="s">
        <v>246</v>
      </c>
      <c r="AC523" s="1"/>
    </row>
    <row r="524">
      <c r="A524" s="1" t="str">
        <f>"0007WA"</f>
        <v>0007WA</v>
      </c>
      <c r="B524" s="1" t="s">
        <v>157</v>
      </c>
      <c r="C524" s="1" t="s">
        <v>158</v>
      </c>
      <c r="D524" s="1" t="str">
        <f>"8029482057"</f>
        <v>8029482057</v>
      </c>
      <c r="E524" s="1">
        <v>1217.0</v>
      </c>
      <c r="F524" s="1" t="s">
        <v>31</v>
      </c>
      <c r="G524" s="1" t="s">
        <v>2354</v>
      </c>
      <c r="H524" s="1">
        <v>0.0</v>
      </c>
      <c r="I524" s="1"/>
      <c r="J524" s="1"/>
      <c r="K524" s="1"/>
      <c r="L524" s="1"/>
      <c r="M524" s="1" t="s">
        <v>2355</v>
      </c>
      <c r="N524" s="1" t="s">
        <v>57</v>
      </c>
      <c r="O524" s="1" t="s">
        <v>201</v>
      </c>
      <c r="P524" s="1"/>
      <c r="Q524" s="3">
        <v>36892.0</v>
      </c>
      <c r="R524" s="3">
        <v>42156.0</v>
      </c>
      <c r="S524" s="3">
        <v>38910.0</v>
      </c>
      <c r="T524" s="1" t="s">
        <v>37</v>
      </c>
      <c r="U524" s="1"/>
      <c r="V524" s="1" t="s">
        <v>38</v>
      </c>
      <c r="W524" s="1"/>
      <c r="X524" s="1"/>
      <c r="Y524" s="1" t="s">
        <v>49</v>
      </c>
      <c r="Z524" s="1"/>
      <c r="AA524" s="1" t="s">
        <v>40</v>
      </c>
      <c r="AB524" s="1" t="s">
        <v>202</v>
      </c>
      <c r="AC524" s="1">
        <v>0.0</v>
      </c>
    </row>
    <row r="525">
      <c r="A525" s="1" t="str">
        <f>"000876"</f>
        <v>000876</v>
      </c>
      <c r="B525" s="1" t="s">
        <v>2356</v>
      </c>
      <c r="C525" s="1" t="s">
        <v>2357</v>
      </c>
      <c r="D525" s="1" t="str">
        <f>"8027654075"</f>
        <v>8027654075</v>
      </c>
      <c r="E525" s="1">
        <v>1771.0</v>
      </c>
      <c r="F525" s="1" t="s">
        <v>44</v>
      </c>
      <c r="G525" s="1" t="s">
        <v>2358</v>
      </c>
      <c r="H525" s="1">
        <v>1.0</v>
      </c>
      <c r="I525" s="1"/>
      <c r="J525" s="1"/>
      <c r="K525" s="1"/>
      <c r="L525" s="1"/>
      <c r="M525" s="1" t="s">
        <v>72</v>
      </c>
      <c r="N525" s="1" t="s">
        <v>142</v>
      </c>
      <c r="O525" s="1" t="s">
        <v>243</v>
      </c>
      <c r="P525" s="1"/>
      <c r="Q525" s="3">
        <v>36892.0</v>
      </c>
      <c r="R525" s="1"/>
      <c r="S525" s="3">
        <v>35640.0</v>
      </c>
      <c r="T525" s="1" t="s">
        <v>37</v>
      </c>
      <c r="U525" s="1"/>
      <c r="V525" s="1" t="s">
        <v>38</v>
      </c>
      <c r="W525" s="1"/>
      <c r="X525" s="1"/>
      <c r="Y525" s="1" t="s">
        <v>49</v>
      </c>
      <c r="Z525" s="1"/>
      <c r="AA525" s="1" t="s">
        <v>40</v>
      </c>
      <c r="AB525" s="1" t="s">
        <v>246</v>
      </c>
      <c r="AC525" s="1"/>
    </row>
    <row r="526">
      <c r="A526" s="1" t="str">
        <f>"000875"</f>
        <v>000875</v>
      </c>
      <c r="B526" s="1" t="s">
        <v>2359</v>
      </c>
      <c r="C526" s="1" t="s">
        <v>2360</v>
      </c>
      <c r="D526" s="1"/>
      <c r="E526" s="1">
        <v>1767.0</v>
      </c>
      <c r="F526" s="1" t="s">
        <v>44</v>
      </c>
      <c r="G526" s="1" t="s">
        <v>2361</v>
      </c>
      <c r="H526" s="1"/>
      <c r="I526" s="1"/>
      <c r="J526" s="1"/>
      <c r="K526" s="1"/>
      <c r="L526" s="1"/>
      <c r="M526" s="1" t="s">
        <v>72</v>
      </c>
      <c r="N526" s="1" t="s">
        <v>142</v>
      </c>
      <c r="O526" s="1" t="s">
        <v>474</v>
      </c>
      <c r="P526" s="1"/>
      <c r="Q526" s="3">
        <v>36892.0</v>
      </c>
      <c r="R526" s="1"/>
      <c r="S526" s="1"/>
      <c r="T526" s="1" t="s">
        <v>37</v>
      </c>
      <c r="U526" s="1"/>
      <c r="V526" s="1" t="s">
        <v>38</v>
      </c>
      <c r="W526" s="1"/>
      <c r="X526" s="1"/>
      <c r="Y526" s="1" t="s">
        <v>49</v>
      </c>
      <c r="Z526" s="1"/>
      <c r="AA526" s="1" t="s">
        <v>40</v>
      </c>
      <c r="AB526" s="1" t="s">
        <v>475</v>
      </c>
      <c r="AC526" s="1"/>
    </row>
    <row r="527">
      <c r="A527" s="1" t="str">
        <f>"000874"</f>
        <v>000874</v>
      </c>
      <c r="B527" s="1" t="s">
        <v>2362</v>
      </c>
      <c r="C527" s="1" t="s">
        <v>2363</v>
      </c>
      <c r="D527" s="1" t="str">
        <f>"8027289947"</f>
        <v>8027289947</v>
      </c>
      <c r="E527" s="1">
        <v>1766.0</v>
      </c>
      <c r="F527" s="1" t="s">
        <v>44</v>
      </c>
      <c r="G527" s="1" t="s">
        <v>2364</v>
      </c>
      <c r="H527" s="1"/>
      <c r="I527" s="1"/>
      <c r="J527" s="1"/>
      <c r="K527" s="1"/>
      <c r="L527" s="1"/>
      <c r="M527" s="1" t="s">
        <v>2365</v>
      </c>
      <c r="N527" s="1" t="s">
        <v>142</v>
      </c>
      <c r="O527" s="1" t="s">
        <v>474</v>
      </c>
      <c r="P527" s="1"/>
      <c r="Q527" s="3">
        <v>36892.0</v>
      </c>
      <c r="R527" s="1"/>
      <c r="S527" s="1"/>
      <c r="T527" s="1" t="s">
        <v>37</v>
      </c>
      <c r="U527" s="1"/>
      <c r="V527" s="1" t="s">
        <v>38</v>
      </c>
      <c r="W527" s="1"/>
      <c r="X527" s="1"/>
      <c r="Y527" s="1" t="s">
        <v>49</v>
      </c>
      <c r="Z527" s="1"/>
      <c r="AA527" s="1" t="s">
        <v>40</v>
      </c>
      <c r="AB527" s="1" t="s">
        <v>475</v>
      </c>
      <c r="AC527" s="1"/>
    </row>
    <row r="528">
      <c r="A528" s="1" t="str">
        <f>"000873"</f>
        <v>000873</v>
      </c>
      <c r="B528" s="1" t="s">
        <v>2366</v>
      </c>
      <c r="C528" s="1" t="s">
        <v>2367</v>
      </c>
      <c r="D528" s="1"/>
      <c r="E528" s="1">
        <v>2641.0</v>
      </c>
      <c r="F528" s="1" t="s">
        <v>44</v>
      </c>
      <c r="G528" s="1" t="s">
        <v>2368</v>
      </c>
      <c r="H528" s="1"/>
      <c r="I528" s="1"/>
      <c r="J528" s="1"/>
      <c r="K528" s="1"/>
      <c r="L528" s="1"/>
      <c r="M528" s="1" t="s">
        <v>2369</v>
      </c>
      <c r="N528" s="1" t="s">
        <v>78</v>
      </c>
      <c r="O528" s="1" t="s">
        <v>79</v>
      </c>
      <c r="P528" s="1"/>
      <c r="Q528" s="3">
        <v>36892.0</v>
      </c>
      <c r="R528" s="1"/>
      <c r="S528" s="1"/>
      <c r="T528" s="1" t="s">
        <v>37</v>
      </c>
      <c r="U528" s="1"/>
      <c r="V528" s="1" t="s">
        <v>38</v>
      </c>
      <c r="W528" s="1"/>
      <c r="X528" s="1"/>
      <c r="Y528" s="1" t="s">
        <v>49</v>
      </c>
      <c r="Z528" s="1"/>
      <c r="AA528" s="1" t="s">
        <v>40</v>
      </c>
      <c r="AB528" s="1" t="s">
        <v>80</v>
      </c>
      <c r="AC528" s="1"/>
    </row>
    <row r="529">
      <c r="A529" s="1" t="str">
        <f>"000872"</f>
        <v>000872</v>
      </c>
      <c r="B529" s="1" t="s">
        <v>2370</v>
      </c>
      <c r="C529" s="1" t="s">
        <v>2371</v>
      </c>
      <c r="D529" s="1" t="str">
        <f>"8023346349"</f>
        <v>8023346349</v>
      </c>
      <c r="E529" s="1">
        <v>3802.0</v>
      </c>
      <c r="F529" s="1" t="s">
        <v>44</v>
      </c>
      <c r="G529" s="1" t="s">
        <v>2372</v>
      </c>
      <c r="H529" s="1">
        <v>0.0</v>
      </c>
      <c r="I529" s="1"/>
      <c r="J529" s="1"/>
      <c r="K529" s="1"/>
      <c r="L529" s="1"/>
      <c r="M529" s="1" t="s">
        <v>72</v>
      </c>
      <c r="N529" s="1" t="s">
        <v>94</v>
      </c>
      <c r="O529" s="1" t="s">
        <v>637</v>
      </c>
      <c r="P529" s="1"/>
      <c r="Q529" s="3">
        <v>36892.0</v>
      </c>
      <c r="R529" s="1"/>
      <c r="S529" s="1"/>
      <c r="T529" s="1" t="s">
        <v>37</v>
      </c>
      <c r="U529" s="1"/>
      <c r="V529" s="1" t="s">
        <v>38</v>
      </c>
      <c r="W529" s="1">
        <v>44.9955329999999</v>
      </c>
      <c r="X529" s="1">
        <v>-72.1977309999999</v>
      </c>
      <c r="Y529" s="1" t="s">
        <v>2373</v>
      </c>
      <c r="Z529" s="1"/>
      <c r="AA529" s="1" t="s">
        <v>40</v>
      </c>
      <c r="AB529" s="1" t="s">
        <v>1022</v>
      </c>
      <c r="AC529" s="1">
        <v>5855.0</v>
      </c>
    </row>
    <row r="530">
      <c r="A530" s="1" t="str">
        <f>"0008B5"</f>
        <v>0008B5</v>
      </c>
      <c r="B530" s="1" t="s">
        <v>218</v>
      </c>
      <c r="C530" s="1" t="s">
        <v>219</v>
      </c>
      <c r="D530" s="1" t="str">
        <f>"8024395635"</f>
        <v>8024395635</v>
      </c>
      <c r="E530" s="1">
        <v>2843.0</v>
      </c>
      <c r="F530" s="1" t="s">
        <v>44</v>
      </c>
      <c r="G530" s="1" t="s">
        <v>2374</v>
      </c>
      <c r="H530" s="1">
        <v>6.0</v>
      </c>
      <c r="I530" s="1"/>
      <c r="J530" s="1"/>
      <c r="K530" s="1"/>
      <c r="L530" s="1"/>
      <c r="M530" s="1" t="s">
        <v>2375</v>
      </c>
      <c r="N530" s="1" t="s">
        <v>142</v>
      </c>
      <c r="O530" s="1" t="s">
        <v>2376</v>
      </c>
      <c r="P530" s="1"/>
      <c r="Q530" s="3">
        <v>36892.0</v>
      </c>
      <c r="R530" s="1"/>
      <c r="S530" s="3">
        <v>35562.0</v>
      </c>
      <c r="T530" s="1" t="s">
        <v>37</v>
      </c>
      <c r="U530" s="1"/>
      <c r="V530" s="1" t="s">
        <v>38</v>
      </c>
      <c r="W530" s="1"/>
      <c r="X530" s="1"/>
      <c r="Y530" s="1" t="s">
        <v>49</v>
      </c>
      <c r="Z530" s="1"/>
      <c r="AA530" s="1" t="s">
        <v>40</v>
      </c>
      <c r="AB530" s="1" t="s">
        <v>142</v>
      </c>
      <c r="AC530" s="1"/>
    </row>
    <row r="531">
      <c r="A531" s="1" t="str">
        <f>"000870"</f>
        <v>000870</v>
      </c>
      <c r="B531" s="1" t="s">
        <v>2377</v>
      </c>
      <c r="C531" s="1" t="s">
        <v>2378</v>
      </c>
      <c r="D531" s="1"/>
      <c r="E531" s="1">
        <v>1757.0</v>
      </c>
      <c r="F531" s="1" t="s">
        <v>44</v>
      </c>
      <c r="G531" s="1" t="s">
        <v>2379</v>
      </c>
      <c r="H531" s="1">
        <v>1.0</v>
      </c>
      <c r="I531" s="1"/>
      <c r="J531" s="1"/>
      <c r="K531" s="1"/>
      <c r="L531" s="1"/>
      <c r="M531" s="1" t="s">
        <v>2380</v>
      </c>
      <c r="N531" s="1" t="s">
        <v>142</v>
      </c>
      <c r="O531" s="1" t="s">
        <v>474</v>
      </c>
      <c r="P531" s="1"/>
      <c r="Q531" s="3">
        <v>36892.0</v>
      </c>
      <c r="R531" s="1"/>
      <c r="S531" s="3">
        <v>32338.0</v>
      </c>
      <c r="T531" s="1" t="s">
        <v>37</v>
      </c>
      <c r="U531" s="1"/>
      <c r="V531" s="1" t="s">
        <v>38</v>
      </c>
      <c r="W531" s="1"/>
      <c r="X531" s="1"/>
      <c r="Y531" s="1" t="s">
        <v>49</v>
      </c>
      <c r="Z531" s="1"/>
      <c r="AA531" s="1" t="s">
        <v>40</v>
      </c>
      <c r="AB531" s="1" t="s">
        <v>475</v>
      </c>
      <c r="AC531" s="1"/>
    </row>
    <row r="532">
      <c r="A532" s="1" t="str">
        <f>"00086Z"</f>
        <v>00086Z</v>
      </c>
      <c r="B532" s="1" t="s">
        <v>2381</v>
      </c>
      <c r="C532" s="1" t="s">
        <v>2382</v>
      </c>
      <c r="D532" s="1" t="str">
        <f>"8024967606"</f>
        <v>8024967606</v>
      </c>
      <c r="E532" s="1">
        <v>3668.0</v>
      </c>
      <c r="F532" s="1" t="s">
        <v>44</v>
      </c>
      <c r="G532" s="1" t="s">
        <v>2383</v>
      </c>
      <c r="H532" s="1">
        <v>0.0</v>
      </c>
      <c r="I532" s="1"/>
      <c r="J532" s="1"/>
      <c r="K532" s="1"/>
      <c r="L532" s="1"/>
      <c r="M532" s="1" t="s">
        <v>72</v>
      </c>
      <c r="N532" s="1" t="s">
        <v>135</v>
      </c>
      <c r="O532" s="1" t="s">
        <v>2384</v>
      </c>
      <c r="P532" s="1"/>
      <c r="Q532" s="3">
        <v>36892.0</v>
      </c>
      <c r="R532" s="1"/>
      <c r="S532" s="1"/>
      <c r="T532" s="1" t="s">
        <v>37</v>
      </c>
      <c r="U532" s="1"/>
      <c r="V532" s="1" t="s">
        <v>38</v>
      </c>
      <c r="W532" s="1">
        <v>44.1744627</v>
      </c>
      <c r="X532" s="1">
        <v>-72.8901576</v>
      </c>
      <c r="Y532" s="1" t="s">
        <v>2385</v>
      </c>
      <c r="Z532" s="1"/>
      <c r="AA532" s="1" t="s">
        <v>40</v>
      </c>
      <c r="AB532" s="1" t="s">
        <v>2386</v>
      </c>
      <c r="AC532" s="1">
        <v>5673.0</v>
      </c>
    </row>
    <row r="533">
      <c r="A533" s="1" t="str">
        <f>"00086Y"</f>
        <v>00086Y</v>
      </c>
      <c r="B533" s="1" t="s">
        <v>2387</v>
      </c>
      <c r="C533" s="1" t="s">
        <v>2388</v>
      </c>
      <c r="D533" s="1" t="str">
        <f>"8023104047"</f>
        <v>8023104047</v>
      </c>
      <c r="E533" s="1">
        <v>3671.0</v>
      </c>
      <c r="F533" s="1" t="s">
        <v>44</v>
      </c>
      <c r="G533" s="1" t="s">
        <v>2389</v>
      </c>
      <c r="H533" s="1">
        <v>2.0</v>
      </c>
      <c r="I533" s="1"/>
      <c r="J533" s="1"/>
      <c r="K533" s="1"/>
      <c r="L533" s="1"/>
      <c r="M533" s="1" t="s">
        <v>2390</v>
      </c>
      <c r="N533" s="1" t="s">
        <v>135</v>
      </c>
      <c r="O533" s="1" t="s">
        <v>2384</v>
      </c>
      <c r="P533" s="1" t="s">
        <v>2391</v>
      </c>
      <c r="Q533" s="3">
        <v>36892.0</v>
      </c>
      <c r="R533" s="1"/>
      <c r="S533" s="3">
        <v>42896.0</v>
      </c>
      <c r="T533" s="1" t="s">
        <v>37</v>
      </c>
      <c r="U533" s="1"/>
      <c r="V533" s="1" t="s">
        <v>38</v>
      </c>
      <c r="W533" s="1">
        <v>44.1834780750631</v>
      </c>
      <c r="X533" s="1">
        <v>-72.8527212515473</v>
      </c>
      <c r="Y533" s="1" t="s">
        <v>2392</v>
      </c>
      <c r="Z533" s="1"/>
      <c r="AA533" s="1" t="s">
        <v>40</v>
      </c>
      <c r="AB533" s="1" t="s">
        <v>2386</v>
      </c>
      <c r="AC533" s="1">
        <v>5673.0</v>
      </c>
    </row>
    <row r="534">
      <c r="A534" s="1" t="str">
        <f>"00084K"</f>
        <v>00084K</v>
      </c>
      <c r="B534" s="1" t="s">
        <v>2393</v>
      </c>
      <c r="C534" s="1" t="s">
        <v>2394</v>
      </c>
      <c r="D534" s="1" t="str">
        <f>"8027488508"</f>
        <v>8027488508</v>
      </c>
      <c r="E534" s="1">
        <v>1640.0</v>
      </c>
      <c r="F534" s="1" t="s">
        <v>117</v>
      </c>
      <c r="G534" s="1" t="s">
        <v>2395</v>
      </c>
      <c r="H534" s="1">
        <v>0.0</v>
      </c>
      <c r="I534" s="2" t="s">
        <v>119</v>
      </c>
      <c r="J534" s="2" t="s">
        <v>119</v>
      </c>
      <c r="K534" s="2" t="s">
        <v>119</v>
      </c>
      <c r="L534" s="1"/>
      <c r="M534" s="1" t="s">
        <v>2396</v>
      </c>
      <c r="N534" s="1" t="s">
        <v>128</v>
      </c>
      <c r="O534" s="1" t="s">
        <v>1707</v>
      </c>
      <c r="P534" s="1"/>
      <c r="Q534" s="3">
        <v>36892.0</v>
      </c>
      <c r="R534" s="3">
        <v>42156.0</v>
      </c>
      <c r="S534" s="3">
        <v>37427.0</v>
      </c>
      <c r="T534" s="1" t="s">
        <v>37</v>
      </c>
      <c r="U534" s="1"/>
      <c r="V534" s="1" t="s">
        <v>38</v>
      </c>
      <c r="W534" s="1">
        <v>44.4316646</v>
      </c>
      <c r="X534" s="1">
        <v>-72.0097248</v>
      </c>
      <c r="Y534" s="1" t="s">
        <v>2397</v>
      </c>
      <c r="Z534" s="1"/>
      <c r="AA534" s="1" t="s">
        <v>40</v>
      </c>
      <c r="AB534" s="1" t="s">
        <v>196</v>
      </c>
      <c r="AC534" s="1">
        <v>5819.0</v>
      </c>
    </row>
    <row r="535">
      <c r="A535" s="1" t="str">
        <f>"0008NJ"</f>
        <v>0008NJ</v>
      </c>
      <c r="B535" s="1" t="s">
        <v>2398</v>
      </c>
      <c r="C535" s="1" t="s">
        <v>2399</v>
      </c>
      <c r="D535" s="1" t="str">
        <f>"8024395902"</f>
        <v>8024395902</v>
      </c>
      <c r="E535" s="1">
        <v>3194.0</v>
      </c>
      <c r="F535" s="1" t="s">
        <v>44</v>
      </c>
      <c r="G535" s="1" t="s">
        <v>2400</v>
      </c>
      <c r="H535" s="1">
        <v>2.0</v>
      </c>
      <c r="I535" s="1"/>
      <c r="J535" s="1"/>
      <c r="K535" s="1"/>
      <c r="L535" s="1"/>
      <c r="M535" s="1" t="s">
        <v>72</v>
      </c>
      <c r="N535" s="1" t="s">
        <v>142</v>
      </c>
      <c r="O535" s="1" t="s">
        <v>400</v>
      </c>
      <c r="P535" s="1"/>
      <c r="Q535" s="3">
        <v>36892.0</v>
      </c>
      <c r="R535" s="1"/>
      <c r="S535" s="3">
        <v>36335.0</v>
      </c>
      <c r="T535" s="1" t="s">
        <v>37</v>
      </c>
      <c r="U535" s="1"/>
      <c r="V535" s="1" t="s">
        <v>38</v>
      </c>
      <c r="W535" s="1"/>
      <c r="X535" s="1"/>
      <c r="Y535" s="1" t="s">
        <v>49</v>
      </c>
      <c r="Z535" s="1"/>
      <c r="AA535" s="1" t="s">
        <v>40</v>
      </c>
      <c r="AB535" s="1" t="s">
        <v>401</v>
      </c>
      <c r="AC535" s="1"/>
    </row>
    <row r="536">
      <c r="A536" s="1" t="str">
        <f>"000743"</f>
        <v>000743</v>
      </c>
      <c r="B536" s="1" t="s">
        <v>2401</v>
      </c>
      <c r="C536" s="1" t="s">
        <v>2402</v>
      </c>
      <c r="D536" s="1" t="str">
        <f>"8023874071"</f>
        <v>8023874071</v>
      </c>
      <c r="E536" s="1">
        <v>3392.0</v>
      </c>
      <c r="F536" s="1" t="s">
        <v>44</v>
      </c>
      <c r="G536" s="1" t="s">
        <v>2403</v>
      </c>
      <c r="H536" s="1"/>
      <c r="I536" s="1"/>
      <c r="J536" s="1"/>
      <c r="K536" s="1"/>
      <c r="L536" s="1"/>
      <c r="M536" s="1" t="s">
        <v>72</v>
      </c>
      <c r="N536" s="1" t="s">
        <v>66</v>
      </c>
      <c r="O536" s="1" t="s">
        <v>1256</v>
      </c>
      <c r="P536" s="1"/>
      <c r="Q536" s="3">
        <v>36892.0</v>
      </c>
      <c r="R536" s="1"/>
      <c r="S536" s="1"/>
      <c r="T536" s="1" t="s">
        <v>37</v>
      </c>
      <c r="U536" s="1"/>
      <c r="V536" s="1" t="s">
        <v>38</v>
      </c>
      <c r="W536" s="1"/>
      <c r="X536" s="1"/>
      <c r="Y536" s="1" t="s">
        <v>49</v>
      </c>
      <c r="Z536" s="1"/>
      <c r="AA536" s="1" t="s">
        <v>40</v>
      </c>
      <c r="AB536" s="1" t="s">
        <v>1257</v>
      </c>
      <c r="AC536" s="1"/>
    </row>
    <row r="537">
      <c r="A537" s="1" t="str">
        <f>"00086V"</f>
        <v>00086V</v>
      </c>
      <c r="B537" s="1" t="s">
        <v>2404</v>
      </c>
      <c r="C537" s="1" t="s">
        <v>2405</v>
      </c>
      <c r="D537" s="1" t="str">
        <f>"8028665650"</f>
        <v>8028665650</v>
      </c>
      <c r="E537" s="1">
        <v>1744.0</v>
      </c>
      <c r="F537" s="1" t="s">
        <v>117</v>
      </c>
      <c r="G537" s="1" t="s">
        <v>2406</v>
      </c>
      <c r="H537" s="1">
        <v>0.0</v>
      </c>
      <c r="I537" s="2" t="s">
        <v>119</v>
      </c>
      <c r="J537" s="2" t="s">
        <v>119</v>
      </c>
      <c r="K537" s="2" t="s">
        <v>119</v>
      </c>
      <c r="L537" s="1"/>
      <c r="M537" s="1" t="s">
        <v>2407</v>
      </c>
      <c r="N537" s="1" t="s">
        <v>142</v>
      </c>
      <c r="O537" s="1" t="s">
        <v>540</v>
      </c>
      <c r="P537" s="1" t="s">
        <v>2408</v>
      </c>
      <c r="Q537" s="3">
        <v>36892.0</v>
      </c>
      <c r="R537" s="1"/>
      <c r="S537" s="3">
        <v>34458.0</v>
      </c>
      <c r="T537" s="1" t="s">
        <v>37</v>
      </c>
      <c r="U537" s="1"/>
      <c r="V537" s="1" t="s">
        <v>38</v>
      </c>
      <c r="W537" s="1">
        <v>44.0681768</v>
      </c>
      <c r="X537" s="1">
        <v>-72.0536068999999</v>
      </c>
      <c r="Y537" s="1" t="s">
        <v>2409</v>
      </c>
      <c r="Z537" s="1"/>
      <c r="AA537" s="1" t="s">
        <v>40</v>
      </c>
      <c r="AB537" s="1" t="s">
        <v>541</v>
      </c>
      <c r="AC537" s="1">
        <v>5051.0</v>
      </c>
    </row>
    <row r="538">
      <c r="A538" s="1" t="str">
        <f>"000975"</f>
        <v>000975</v>
      </c>
      <c r="B538" s="1" t="s">
        <v>2410</v>
      </c>
      <c r="C538" s="1" t="s">
        <v>2411</v>
      </c>
      <c r="D538" s="1" t="str">
        <f>"8027528283"</f>
        <v>8027528283</v>
      </c>
      <c r="E538" s="1">
        <v>4019.0</v>
      </c>
      <c r="F538" s="1" t="s">
        <v>44</v>
      </c>
      <c r="G538" s="1" t="s">
        <v>2412</v>
      </c>
      <c r="H538" s="1"/>
      <c r="I538" s="1"/>
      <c r="J538" s="1"/>
      <c r="K538" s="1"/>
      <c r="L538" s="1"/>
      <c r="M538" s="1" t="s">
        <v>72</v>
      </c>
      <c r="N538" s="1" t="s">
        <v>47</v>
      </c>
      <c r="O538" s="1" t="s">
        <v>1112</v>
      </c>
      <c r="P538" s="1"/>
      <c r="Q538" s="3">
        <v>36892.0</v>
      </c>
      <c r="R538" s="1"/>
      <c r="S538" s="1"/>
      <c r="T538" s="1" t="s">
        <v>37</v>
      </c>
      <c r="U538" s="1"/>
      <c r="V538" s="1" t="s">
        <v>38</v>
      </c>
      <c r="W538" s="1"/>
      <c r="X538" s="1"/>
      <c r="Y538" s="1" t="s">
        <v>49</v>
      </c>
      <c r="Z538" s="1"/>
      <c r="AA538" s="1" t="s">
        <v>40</v>
      </c>
      <c r="AB538" s="1" t="s">
        <v>1115</v>
      </c>
      <c r="AC538" s="1"/>
    </row>
    <row r="539">
      <c r="A539" s="1" t="str">
        <f>"00086P"</f>
        <v>00086P</v>
      </c>
      <c r="B539" s="1" t="s">
        <v>2413</v>
      </c>
      <c r="C539" s="1" t="s">
        <v>2414</v>
      </c>
      <c r="D539" s="1"/>
      <c r="E539" s="1">
        <v>1740.0</v>
      </c>
      <c r="F539" s="1" t="s">
        <v>44</v>
      </c>
      <c r="G539" s="1" t="s">
        <v>2415</v>
      </c>
      <c r="H539" s="1"/>
      <c r="I539" s="1"/>
      <c r="J539" s="1"/>
      <c r="K539" s="1"/>
      <c r="L539" s="1"/>
      <c r="M539" s="1" t="s">
        <v>2218</v>
      </c>
      <c r="N539" s="1" t="s">
        <v>142</v>
      </c>
      <c r="O539" s="1" t="s">
        <v>540</v>
      </c>
      <c r="P539" s="1"/>
      <c r="Q539" s="3">
        <v>36892.0</v>
      </c>
      <c r="R539" s="1"/>
      <c r="S539" s="1"/>
      <c r="T539" s="1" t="s">
        <v>37</v>
      </c>
      <c r="U539" s="1"/>
      <c r="V539" s="1" t="s">
        <v>38</v>
      </c>
      <c r="W539" s="1"/>
      <c r="X539" s="1"/>
      <c r="Y539" s="1" t="s">
        <v>49</v>
      </c>
      <c r="Z539" s="1"/>
      <c r="AA539" s="1" t="s">
        <v>40</v>
      </c>
      <c r="AB539" s="1" t="s">
        <v>541</v>
      </c>
      <c r="AC539" s="1"/>
    </row>
    <row r="540">
      <c r="A540" s="1" t="str">
        <f>"000499"</f>
        <v>000499</v>
      </c>
      <c r="B540" s="1" t="s">
        <v>536</v>
      </c>
      <c r="C540" s="1" t="s">
        <v>537</v>
      </c>
      <c r="D540" s="1" t="str">
        <f>"8028663342"</f>
        <v>8028663342</v>
      </c>
      <c r="E540" s="1">
        <v>1737.0</v>
      </c>
      <c r="F540" s="1" t="s">
        <v>44</v>
      </c>
      <c r="G540" s="1" t="s">
        <v>2416</v>
      </c>
      <c r="H540" s="1">
        <v>3.0</v>
      </c>
      <c r="I540" s="1"/>
      <c r="J540" s="1"/>
      <c r="K540" s="1"/>
      <c r="L540" s="1"/>
      <c r="M540" s="1" t="s">
        <v>2417</v>
      </c>
      <c r="N540" s="1" t="s">
        <v>142</v>
      </c>
      <c r="O540" s="1" t="s">
        <v>540</v>
      </c>
      <c r="P540" s="1"/>
      <c r="Q540" s="3">
        <v>36892.0</v>
      </c>
      <c r="R540" s="1"/>
      <c r="S540" s="3">
        <v>38190.0</v>
      </c>
      <c r="T540" s="1" t="s">
        <v>37</v>
      </c>
      <c r="U540" s="1"/>
      <c r="V540" s="1" t="s">
        <v>38</v>
      </c>
      <c r="W540" s="1"/>
      <c r="X540" s="1"/>
      <c r="Y540" s="1" t="s">
        <v>49</v>
      </c>
      <c r="Z540" s="1"/>
      <c r="AA540" s="1" t="s">
        <v>40</v>
      </c>
      <c r="AB540" s="1" t="s">
        <v>541</v>
      </c>
      <c r="AC540" s="1"/>
    </row>
    <row r="541">
      <c r="A541" s="1" t="str">
        <f>"00086J"</f>
        <v>00086J</v>
      </c>
      <c r="B541" s="1" t="s">
        <v>2418</v>
      </c>
      <c r="C541" s="1" t="s">
        <v>2419</v>
      </c>
      <c r="D541" s="1"/>
      <c r="E541" s="1">
        <v>1736.0</v>
      </c>
      <c r="F541" s="1" t="s">
        <v>44</v>
      </c>
      <c r="G541" s="1" t="s">
        <v>2420</v>
      </c>
      <c r="H541" s="1">
        <v>3.0</v>
      </c>
      <c r="I541" s="1"/>
      <c r="J541" s="1"/>
      <c r="K541" s="1"/>
      <c r="L541" s="1"/>
      <c r="M541" s="1" t="s">
        <v>72</v>
      </c>
      <c r="N541" s="1" t="s">
        <v>142</v>
      </c>
      <c r="O541" s="1" t="s">
        <v>540</v>
      </c>
      <c r="P541" s="1"/>
      <c r="Q541" s="3">
        <v>36892.0</v>
      </c>
      <c r="R541" s="1"/>
      <c r="S541" s="3">
        <v>34458.0</v>
      </c>
      <c r="T541" s="1" t="s">
        <v>37</v>
      </c>
      <c r="U541" s="1"/>
      <c r="V541" s="1" t="s">
        <v>38</v>
      </c>
      <c r="W541" s="1"/>
      <c r="X541" s="1"/>
      <c r="Y541" s="1" t="s">
        <v>49</v>
      </c>
      <c r="Z541" s="1"/>
      <c r="AA541" s="1" t="s">
        <v>40</v>
      </c>
      <c r="AB541" s="1" t="s">
        <v>541</v>
      </c>
      <c r="AC541" s="1"/>
    </row>
    <row r="542">
      <c r="A542" s="1" t="str">
        <f>"00086F"</f>
        <v>00086F</v>
      </c>
      <c r="B542" s="1" t="s">
        <v>2421</v>
      </c>
      <c r="C542" s="1" t="s">
        <v>2422</v>
      </c>
      <c r="D542" s="1" t="str">
        <f>"8022224530"</f>
        <v>8022224530</v>
      </c>
      <c r="E542" s="1">
        <v>1731.0</v>
      </c>
      <c r="F542" s="1" t="s">
        <v>44</v>
      </c>
      <c r="G542" s="1" t="s">
        <v>2423</v>
      </c>
      <c r="H542" s="1">
        <v>2.0</v>
      </c>
      <c r="I542" s="1"/>
      <c r="J542" s="1"/>
      <c r="K542" s="1"/>
      <c r="L542" s="1"/>
      <c r="M542" s="1" t="s">
        <v>2424</v>
      </c>
      <c r="N542" s="1" t="s">
        <v>142</v>
      </c>
      <c r="O542" s="1" t="s">
        <v>227</v>
      </c>
      <c r="P542" s="1"/>
      <c r="Q542" s="3">
        <v>36892.0</v>
      </c>
      <c r="R542" s="1"/>
      <c r="S542" s="3">
        <v>34835.0</v>
      </c>
      <c r="T542" s="1" t="s">
        <v>37</v>
      </c>
      <c r="U542" s="1"/>
      <c r="V542" s="1" t="s">
        <v>38</v>
      </c>
      <c r="W542" s="1"/>
      <c r="X542" s="1"/>
      <c r="Y542" s="1" t="s">
        <v>49</v>
      </c>
      <c r="Z542" s="1"/>
      <c r="AA542" s="1" t="s">
        <v>40</v>
      </c>
      <c r="AB542" s="1" t="s">
        <v>228</v>
      </c>
      <c r="AC542" s="1"/>
    </row>
    <row r="543">
      <c r="A543" s="1" t="str">
        <f>"0008NA"</f>
        <v>0008NA</v>
      </c>
      <c r="B543" s="1" t="s">
        <v>2425</v>
      </c>
      <c r="C543" s="1" t="s">
        <v>2426</v>
      </c>
      <c r="D543" s="1" t="str">
        <f>"8023882032"</f>
        <v>8023882032</v>
      </c>
      <c r="E543" s="1">
        <v>3180.0</v>
      </c>
      <c r="F543" s="1" t="s">
        <v>44</v>
      </c>
      <c r="G543" s="1" t="s">
        <v>2427</v>
      </c>
      <c r="H543" s="1"/>
      <c r="I543" s="1"/>
      <c r="J543" s="1"/>
      <c r="K543" s="1"/>
      <c r="L543" s="1"/>
      <c r="M543" s="1" t="s">
        <v>2428</v>
      </c>
      <c r="N543" s="1" t="s">
        <v>161</v>
      </c>
      <c r="O543" s="1" t="s">
        <v>162</v>
      </c>
      <c r="P543" s="1"/>
      <c r="Q543" s="3">
        <v>36892.0</v>
      </c>
      <c r="R543" s="1"/>
      <c r="S543" s="1"/>
      <c r="T543" s="1" t="s">
        <v>37</v>
      </c>
      <c r="U543" s="1"/>
      <c r="V543" s="1" t="s">
        <v>38</v>
      </c>
      <c r="W543" s="1"/>
      <c r="X543" s="1"/>
      <c r="Y543" s="1" t="s">
        <v>49</v>
      </c>
      <c r="Z543" s="1"/>
      <c r="AA543" s="1" t="s">
        <v>40</v>
      </c>
      <c r="AB543" s="1" t="s">
        <v>166</v>
      </c>
      <c r="AC543" s="1"/>
    </row>
    <row r="544">
      <c r="A544" s="1" t="str">
        <f>"0008NG"</f>
        <v>0008NG</v>
      </c>
      <c r="B544" s="1" t="s">
        <v>2429</v>
      </c>
      <c r="C544" s="1" t="s">
        <v>2430</v>
      </c>
      <c r="D544" s="1" t="str">
        <f>"8027931132"</f>
        <v>8027931132</v>
      </c>
      <c r="E544" s="1">
        <v>4083.0</v>
      </c>
      <c r="F544" s="1" t="s">
        <v>44</v>
      </c>
      <c r="G544" s="1" t="s">
        <v>2431</v>
      </c>
      <c r="H544" s="1">
        <v>1.0</v>
      </c>
      <c r="I544" s="2" t="s">
        <v>119</v>
      </c>
      <c r="J544" s="2">
        <v>1.0</v>
      </c>
      <c r="K544" s="2" t="s">
        <v>119</v>
      </c>
      <c r="L544" s="1"/>
      <c r="M544" s="1" t="s">
        <v>33</v>
      </c>
      <c r="N544" s="1" t="s">
        <v>135</v>
      </c>
      <c r="O544" s="1" t="s">
        <v>440</v>
      </c>
      <c r="P544" s="1" t="s">
        <v>36</v>
      </c>
      <c r="Q544" s="3">
        <v>36892.0</v>
      </c>
      <c r="R544" s="1"/>
      <c r="S544" s="3">
        <v>42151.0</v>
      </c>
      <c r="T544" s="1" t="s">
        <v>37</v>
      </c>
      <c r="U544" s="1"/>
      <c r="V544" s="1" t="s">
        <v>38</v>
      </c>
      <c r="W544" s="1">
        <v>44.183255</v>
      </c>
      <c r="X544" s="1">
        <v>-72.82208</v>
      </c>
      <c r="Y544" s="1" t="s">
        <v>2432</v>
      </c>
      <c r="Z544" s="1"/>
      <c r="AA544" s="1" t="s">
        <v>40</v>
      </c>
      <c r="AB544" s="1" t="s">
        <v>441</v>
      </c>
      <c r="AC544" s="1">
        <v>5673.0</v>
      </c>
    </row>
    <row r="545">
      <c r="A545" s="1" t="str">
        <f>"0008NN"</f>
        <v>0008NN</v>
      </c>
      <c r="B545" s="1" t="s">
        <v>2433</v>
      </c>
      <c r="C545" s="1" t="s">
        <v>2434</v>
      </c>
      <c r="D545" s="1" t="str">
        <f>"8027334761"</f>
        <v>8027334761</v>
      </c>
      <c r="E545" s="1">
        <v>3190.0</v>
      </c>
      <c r="F545" s="1" t="s">
        <v>117</v>
      </c>
      <c r="G545" s="1" t="s">
        <v>2435</v>
      </c>
      <c r="H545" s="1">
        <v>186.0</v>
      </c>
      <c r="I545" s="2" t="s">
        <v>119</v>
      </c>
      <c r="J545" s="2" t="s">
        <v>119</v>
      </c>
      <c r="K545" s="2" t="s">
        <v>119</v>
      </c>
      <c r="L545" s="1"/>
      <c r="M545" s="1" t="s">
        <v>2436</v>
      </c>
      <c r="N545" s="1" t="s">
        <v>414</v>
      </c>
      <c r="O545" s="1" t="s">
        <v>1160</v>
      </c>
      <c r="P545" s="1" t="s">
        <v>2437</v>
      </c>
      <c r="Q545" s="3">
        <v>36892.0</v>
      </c>
      <c r="R545" s="1"/>
      <c r="S545" s="3">
        <v>42502.0</v>
      </c>
      <c r="T545" s="1" t="s">
        <v>164</v>
      </c>
      <c r="U545" s="1"/>
      <c r="V545" s="1" t="s">
        <v>38</v>
      </c>
      <c r="W545" s="1">
        <v>42.96467</v>
      </c>
      <c r="X545" s="1">
        <v>-73.2280559999999</v>
      </c>
      <c r="Y545" s="1" t="s">
        <v>2438</v>
      </c>
      <c r="Z545" s="1"/>
      <c r="AA545" s="1" t="s">
        <v>40</v>
      </c>
      <c r="AB545" s="1" t="s">
        <v>1161</v>
      </c>
      <c r="AC545" s="1">
        <v>5262.0</v>
      </c>
    </row>
    <row r="546">
      <c r="A546" s="1" t="str">
        <f>"00086A"</f>
        <v>00086A</v>
      </c>
      <c r="B546" s="1" t="s">
        <v>2439</v>
      </c>
      <c r="C546" s="1" t="s">
        <v>2440</v>
      </c>
      <c r="D546" s="1"/>
      <c r="E546" s="1">
        <v>1722.0</v>
      </c>
      <c r="F546" s="1" t="s">
        <v>31</v>
      </c>
      <c r="G546" s="1" t="s">
        <v>2441</v>
      </c>
      <c r="H546" s="1">
        <v>1.0</v>
      </c>
      <c r="I546" s="1"/>
      <c r="J546" s="1"/>
      <c r="K546" s="1"/>
      <c r="L546" s="1"/>
      <c r="M546" s="1" t="s">
        <v>837</v>
      </c>
      <c r="N546" s="1" t="s">
        <v>142</v>
      </c>
      <c r="O546" s="1"/>
      <c r="P546" s="1" t="s">
        <v>2442</v>
      </c>
      <c r="Q546" s="3">
        <v>36892.0</v>
      </c>
      <c r="R546" s="1"/>
      <c r="S546" s="3">
        <v>38631.0</v>
      </c>
      <c r="T546" s="1" t="s">
        <v>37</v>
      </c>
      <c r="U546" s="1"/>
      <c r="V546" s="1" t="s">
        <v>38</v>
      </c>
      <c r="W546" s="1">
        <v>44.058002</v>
      </c>
      <c r="X546" s="1">
        <v>-72.2228549999999</v>
      </c>
      <c r="Y546" s="1" t="s">
        <v>2443</v>
      </c>
      <c r="Z546" s="1"/>
      <c r="AA546" s="1" t="s">
        <v>40</v>
      </c>
      <c r="AB546" s="1" t="s">
        <v>223</v>
      </c>
      <c r="AC546" s="1">
        <v>5040.0</v>
      </c>
    </row>
    <row r="547">
      <c r="A547" s="1" t="str">
        <f>"000869"</f>
        <v>000869</v>
      </c>
      <c r="B547" s="1" t="s">
        <v>2444</v>
      </c>
      <c r="C547" s="1" t="s">
        <v>2445</v>
      </c>
      <c r="D547" s="1"/>
      <c r="E547" s="1">
        <v>1721.0</v>
      </c>
      <c r="F547" s="1" t="s">
        <v>44</v>
      </c>
      <c r="G547" s="1" t="s">
        <v>2446</v>
      </c>
      <c r="H547" s="1"/>
      <c r="I547" s="1"/>
      <c r="J547" s="1"/>
      <c r="K547" s="1"/>
      <c r="L547" s="1"/>
      <c r="M547" s="1" t="s">
        <v>72</v>
      </c>
      <c r="N547" s="1" t="s">
        <v>142</v>
      </c>
      <c r="O547" s="1" t="s">
        <v>222</v>
      </c>
      <c r="P547" s="1"/>
      <c r="Q547" s="3">
        <v>36892.0</v>
      </c>
      <c r="R547" s="1"/>
      <c r="S547" s="1"/>
      <c r="T547" s="1" t="s">
        <v>37</v>
      </c>
      <c r="U547" s="1"/>
      <c r="V547" s="1" t="s">
        <v>38</v>
      </c>
      <c r="W547" s="1"/>
      <c r="X547" s="1"/>
      <c r="Y547" s="1" t="s">
        <v>49</v>
      </c>
      <c r="Z547" s="1"/>
      <c r="AA547" s="1" t="s">
        <v>40</v>
      </c>
      <c r="AB547" s="1" t="s">
        <v>223</v>
      </c>
      <c r="AC547" s="1"/>
    </row>
    <row r="548">
      <c r="A548" s="1" t="str">
        <f>"000868"</f>
        <v>000868</v>
      </c>
      <c r="B548" s="1" t="s">
        <v>2447</v>
      </c>
      <c r="C548" s="1" t="s">
        <v>2448</v>
      </c>
      <c r="D548" s="1" t="str">
        <f>"8026951119"</f>
        <v>8026951119</v>
      </c>
      <c r="E548" s="1">
        <v>3382.0</v>
      </c>
      <c r="F548" s="1" t="s">
        <v>44</v>
      </c>
      <c r="G548" s="1" t="s">
        <v>2449</v>
      </c>
      <c r="H548" s="1"/>
      <c r="I548" s="1"/>
      <c r="J548" s="1"/>
      <c r="K548" s="1"/>
      <c r="L548" s="1"/>
      <c r="M548" s="1" t="s">
        <v>2450</v>
      </c>
      <c r="N548" s="1" t="s">
        <v>331</v>
      </c>
      <c r="O548" s="1" t="s">
        <v>1015</v>
      </c>
      <c r="P548" s="1"/>
      <c r="Q548" s="3">
        <v>36892.0</v>
      </c>
      <c r="R548" s="1"/>
      <c r="S548" s="1"/>
      <c r="T548" s="1" t="s">
        <v>37</v>
      </c>
      <c r="U548" s="1"/>
      <c r="V548" s="1" t="s">
        <v>38</v>
      </c>
      <c r="W548" s="1"/>
      <c r="X548" s="1"/>
      <c r="Y548" s="1" t="s">
        <v>49</v>
      </c>
      <c r="Z548" s="1"/>
      <c r="AA548" s="1" t="s">
        <v>40</v>
      </c>
      <c r="AB548" s="1" t="s">
        <v>1016</v>
      </c>
      <c r="AC548" s="1"/>
    </row>
    <row r="549">
      <c r="A549" s="1" t="str">
        <f>"000867"</f>
        <v>000867</v>
      </c>
      <c r="B549" s="1" t="s">
        <v>2451</v>
      </c>
      <c r="C549" s="1" t="s">
        <v>2452</v>
      </c>
      <c r="D549" s="1"/>
      <c r="E549" s="1">
        <v>3721.0</v>
      </c>
      <c r="F549" s="1" t="s">
        <v>44</v>
      </c>
      <c r="G549" s="1" t="s">
        <v>2453</v>
      </c>
      <c r="H549" s="1">
        <v>1.0</v>
      </c>
      <c r="I549" s="1"/>
      <c r="J549" s="1"/>
      <c r="K549" s="1"/>
      <c r="L549" s="1"/>
      <c r="M549" s="1" t="s">
        <v>72</v>
      </c>
      <c r="N549" s="1" t="s">
        <v>135</v>
      </c>
      <c r="O549" s="1" t="s">
        <v>136</v>
      </c>
      <c r="P549" s="1"/>
      <c r="Q549" s="3">
        <v>36892.0</v>
      </c>
      <c r="R549" s="1"/>
      <c r="S549" s="3">
        <v>38895.0</v>
      </c>
      <c r="T549" s="1" t="s">
        <v>37</v>
      </c>
      <c r="U549" s="1"/>
      <c r="V549" s="1" t="s">
        <v>38</v>
      </c>
      <c r="W549" s="1"/>
      <c r="X549" s="1"/>
      <c r="Y549" s="1" t="s">
        <v>2454</v>
      </c>
      <c r="Z549" s="1"/>
      <c r="AA549" s="1" t="s">
        <v>40</v>
      </c>
      <c r="AB549" s="1" t="s">
        <v>137</v>
      </c>
      <c r="AC549" s="1">
        <v>5663.0</v>
      </c>
    </row>
    <row r="550">
      <c r="A550" s="1" t="str">
        <f>"000866"</f>
        <v>000866</v>
      </c>
      <c r="B550" s="1" t="s">
        <v>1826</v>
      </c>
      <c r="C550" s="1" t="s">
        <v>1827</v>
      </c>
      <c r="D550" s="1" t="str">
        <f>"8024395435"</f>
        <v>8024395435</v>
      </c>
      <c r="E550" s="1">
        <v>1717.0</v>
      </c>
      <c r="F550" s="1" t="s">
        <v>31</v>
      </c>
      <c r="G550" s="1" t="s">
        <v>2455</v>
      </c>
      <c r="H550" s="1">
        <v>6.0</v>
      </c>
      <c r="I550" s="1"/>
      <c r="J550" s="1"/>
      <c r="K550" s="1"/>
      <c r="L550" s="1"/>
      <c r="M550" s="1" t="s">
        <v>72</v>
      </c>
      <c r="N550" s="1" t="s">
        <v>142</v>
      </c>
      <c r="O550" s="1" t="s">
        <v>222</v>
      </c>
      <c r="P550" s="1"/>
      <c r="Q550" s="3">
        <v>36892.0</v>
      </c>
      <c r="R550" s="1"/>
      <c r="S550" s="3">
        <v>37469.0</v>
      </c>
      <c r="T550" s="1" t="s">
        <v>37</v>
      </c>
      <c r="U550" s="1"/>
      <c r="V550" s="1" t="s">
        <v>38</v>
      </c>
      <c r="W550" s="1"/>
      <c r="X550" s="1"/>
      <c r="Y550" s="1" t="s">
        <v>49</v>
      </c>
      <c r="Z550" s="1"/>
      <c r="AA550" s="1" t="s">
        <v>40</v>
      </c>
      <c r="AB550" s="1" t="s">
        <v>223</v>
      </c>
      <c r="AC550" s="1"/>
    </row>
    <row r="551">
      <c r="A551" s="1" t="str">
        <f>"000865"</f>
        <v>000865</v>
      </c>
      <c r="B551" s="1" t="s">
        <v>2456</v>
      </c>
      <c r="C551" s="1" t="s">
        <v>2457</v>
      </c>
      <c r="D551" s="1" t="str">
        <f>"8024396260"</f>
        <v>8024396260</v>
      </c>
      <c r="E551" s="1">
        <v>2568.0</v>
      </c>
      <c r="F551" s="1" t="s">
        <v>44</v>
      </c>
      <c r="G551" s="1" t="s">
        <v>2458</v>
      </c>
      <c r="H551" s="1">
        <v>1.0</v>
      </c>
      <c r="I551" s="1"/>
      <c r="J551" s="1"/>
      <c r="K551" s="1"/>
      <c r="L551" s="1"/>
      <c r="M551" s="1" t="s">
        <v>2459</v>
      </c>
      <c r="N551" s="1" t="s">
        <v>142</v>
      </c>
      <c r="O551" s="1" t="s">
        <v>222</v>
      </c>
      <c r="P551" s="1"/>
      <c r="Q551" s="3">
        <v>36892.0</v>
      </c>
      <c r="R551" s="1"/>
      <c r="S551" s="3">
        <v>33103.0</v>
      </c>
      <c r="T551" s="1" t="s">
        <v>37</v>
      </c>
      <c r="U551" s="1"/>
      <c r="V551" s="1" t="s">
        <v>38</v>
      </c>
      <c r="W551" s="1"/>
      <c r="X551" s="1"/>
      <c r="Y551" s="1" t="s">
        <v>49</v>
      </c>
      <c r="Z551" s="1"/>
      <c r="AA551" s="1" t="s">
        <v>40</v>
      </c>
      <c r="AB551" s="1" t="s">
        <v>223</v>
      </c>
      <c r="AC551" s="1"/>
    </row>
    <row r="552">
      <c r="A552" s="1" t="str">
        <f>"0008JY"</f>
        <v>0008JY</v>
      </c>
      <c r="B552" s="1" t="s">
        <v>2460</v>
      </c>
      <c r="C552" s="1" t="s">
        <v>2461</v>
      </c>
      <c r="D552" s="1" t="str">
        <f>"8024790884"</f>
        <v>8024790884</v>
      </c>
      <c r="E552" s="1">
        <v>3607.0</v>
      </c>
      <c r="F552" s="1" t="s">
        <v>44</v>
      </c>
      <c r="G552" s="1" t="s">
        <v>2462</v>
      </c>
      <c r="H552" s="1"/>
      <c r="I552" s="1"/>
      <c r="J552" s="1"/>
      <c r="K552" s="1"/>
      <c r="L552" s="1"/>
      <c r="M552" s="1" t="s">
        <v>72</v>
      </c>
      <c r="N552" s="1" t="s">
        <v>142</v>
      </c>
      <c r="O552" s="1" t="s">
        <v>2376</v>
      </c>
      <c r="P552" s="1"/>
      <c r="Q552" s="3">
        <v>36892.0</v>
      </c>
      <c r="R552" s="1"/>
      <c r="S552" s="1"/>
      <c r="T552" s="1" t="s">
        <v>37</v>
      </c>
      <c r="U552" s="1"/>
      <c r="V552" s="1" t="s">
        <v>38</v>
      </c>
      <c r="W552" s="1"/>
      <c r="X552" s="1"/>
      <c r="Y552" s="1" t="s">
        <v>49</v>
      </c>
      <c r="Z552" s="1"/>
      <c r="AA552" s="1" t="s">
        <v>40</v>
      </c>
      <c r="AB552" s="1" t="s">
        <v>142</v>
      </c>
      <c r="AC552" s="1"/>
    </row>
    <row r="553">
      <c r="A553" s="1" t="str">
        <f>"00088H"</f>
        <v>00088H</v>
      </c>
      <c r="B553" s="1" t="s">
        <v>2463</v>
      </c>
      <c r="C553" s="1" t="s">
        <v>2464</v>
      </c>
      <c r="D553" s="1" t="str">
        <f>"8027442007"</f>
        <v>8027442007</v>
      </c>
      <c r="E553" s="1">
        <v>3222.0</v>
      </c>
      <c r="F553" s="1" t="s">
        <v>117</v>
      </c>
      <c r="G553" s="1" t="s">
        <v>2465</v>
      </c>
      <c r="H553" s="1">
        <v>32.0</v>
      </c>
      <c r="I553" s="1"/>
      <c r="J553" s="1"/>
      <c r="K553" s="1"/>
      <c r="L553" s="1"/>
      <c r="M553" s="1" t="s">
        <v>2466</v>
      </c>
      <c r="N553" s="1" t="s">
        <v>94</v>
      </c>
      <c r="O553" s="1" t="s">
        <v>637</v>
      </c>
      <c r="P553" s="1" t="s">
        <v>2467</v>
      </c>
      <c r="Q553" s="3">
        <v>36892.0</v>
      </c>
      <c r="R553" s="1"/>
      <c r="S553" s="3">
        <v>42234.0</v>
      </c>
      <c r="T553" s="1" t="s">
        <v>37</v>
      </c>
      <c r="U553" s="1"/>
      <c r="V553" s="1" t="s">
        <v>38</v>
      </c>
      <c r="W553" s="1">
        <v>44.8904779</v>
      </c>
      <c r="X553" s="1">
        <v>-72.3365084999999</v>
      </c>
      <c r="Y553" s="1" t="s">
        <v>2468</v>
      </c>
      <c r="Z553" s="1"/>
      <c r="AA553" s="1" t="s">
        <v>40</v>
      </c>
      <c r="AB553" s="1" t="s">
        <v>637</v>
      </c>
      <c r="AC553" s="1">
        <v>5857.0</v>
      </c>
    </row>
    <row r="554">
      <c r="A554" s="1" t="str">
        <f>"000861"</f>
        <v>000861</v>
      </c>
      <c r="B554" s="1" t="s">
        <v>2469</v>
      </c>
      <c r="C554" s="1" t="s">
        <v>2470</v>
      </c>
      <c r="D554" s="1" t="str">
        <f>"8026853812"</f>
        <v>8026853812</v>
      </c>
      <c r="E554" s="1">
        <v>1710.0</v>
      </c>
      <c r="F554" s="1" t="s">
        <v>44</v>
      </c>
      <c r="G554" s="1" t="s">
        <v>2471</v>
      </c>
      <c r="H554" s="1">
        <v>2.0</v>
      </c>
      <c r="I554" s="1"/>
      <c r="J554" s="1"/>
      <c r="K554" s="1"/>
      <c r="L554" s="1"/>
      <c r="M554" s="1" t="s">
        <v>72</v>
      </c>
      <c r="N554" s="1" t="s">
        <v>142</v>
      </c>
      <c r="O554" s="1" t="s">
        <v>222</v>
      </c>
      <c r="P554" s="1"/>
      <c r="Q554" s="3">
        <v>36892.0</v>
      </c>
      <c r="R554" s="1"/>
      <c r="S554" s="3">
        <v>39644.0</v>
      </c>
      <c r="T554" s="1" t="s">
        <v>37</v>
      </c>
      <c r="U554" s="1"/>
      <c r="V554" s="1" t="s">
        <v>38</v>
      </c>
      <c r="W554" s="1"/>
      <c r="X554" s="1"/>
      <c r="Y554" s="1" t="s">
        <v>49</v>
      </c>
      <c r="Z554" s="1"/>
      <c r="AA554" s="1" t="s">
        <v>40</v>
      </c>
      <c r="AB554" s="1" t="s">
        <v>223</v>
      </c>
      <c r="AC554" s="1"/>
    </row>
    <row r="555">
      <c r="A555" s="1" t="str">
        <f>"000866"</f>
        <v>000866</v>
      </c>
      <c r="B555" s="1" t="s">
        <v>1826</v>
      </c>
      <c r="C555" s="1" t="s">
        <v>1827</v>
      </c>
      <c r="D555" s="1" t="str">
        <f>"8024395435"</f>
        <v>8024395435</v>
      </c>
      <c r="E555" s="1">
        <v>1717.0</v>
      </c>
      <c r="F555" s="1" t="s">
        <v>31</v>
      </c>
      <c r="G555" s="1" t="s">
        <v>2472</v>
      </c>
      <c r="H555" s="1">
        <v>0.0</v>
      </c>
      <c r="I555" s="1"/>
      <c r="J555" s="1"/>
      <c r="K555" s="1"/>
      <c r="L555" s="1"/>
      <c r="M555" s="1" t="s">
        <v>2473</v>
      </c>
      <c r="N555" s="1" t="s">
        <v>142</v>
      </c>
      <c r="O555" s="1" t="s">
        <v>2474</v>
      </c>
      <c r="P555" s="1"/>
      <c r="Q555" s="3">
        <v>36892.0</v>
      </c>
      <c r="R555" s="1"/>
      <c r="S555" s="3">
        <v>39216.0</v>
      </c>
      <c r="T555" s="1" t="s">
        <v>37</v>
      </c>
      <c r="U555" s="1"/>
      <c r="V555" s="1" t="s">
        <v>38</v>
      </c>
      <c r="W555" s="1"/>
      <c r="X555" s="1"/>
      <c r="Y555" s="1" t="s">
        <v>49</v>
      </c>
      <c r="Z555" s="1"/>
      <c r="AA555" s="1" t="s">
        <v>40</v>
      </c>
      <c r="AB555" s="1" t="s">
        <v>2475</v>
      </c>
      <c r="AC555" s="1">
        <v>5039.0</v>
      </c>
    </row>
    <row r="556">
      <c r="A556" s="1" t="str">
        <f>"00085Z"</f>
        <v>00085Z</v>
      </c>
      <c r="B556" s="1" t="s">
        <v>2476</v>
      </c>
      <c r="C556" s="1" t="s">
        <v>2477</v>
      </c>
      <c r="D556" s="1"/>
      <c r="E556" s="1">
        <v>1708.0</v>
      </c>
      <c r="F556" s="1" t="s">
        <v>44</v>
      </c>
      <c r="G556" s="1" t="s">
        <v>2478</v>
      </c>
      <c r="H556" s="1"/>
      <c r="I556" s="1"/>
      <c r="J556" s="1"/>
      <c r="K556" s="1"/>
      <c r="L556" s="1"/>
      <c r="M556" s="1" t="s">
        <v>72</v>
      </c>
      <c r="N556" s="1" t="s">
        <v>142</v>
      </c>
      <c r="O556" s="1" t="s">
        <v>222</v>
      </c>
      <c r="P556" s="1"/>
      <c r="Q556" s="3">
        <v>36892.0</v>
      </c>
      <c r="R556" s="1"/>
      <c r="S556" s="1"/>
      <c r="T556" s="1" t="s">
        <v>37</v>
      </c>
      <c r="U556" s="1"/>
      <c r="V556" s="1" t="s">
        <v>38</v>
      </c>
      <c r="W556" s="1"/>
      <c r="X556" s="1"/>
      <c r="Y556" s="1" t="s">
        <v>49</v>
      </c>
      <c r="Z556" s="1"/>
      <c r="AA556" s="1" t="s">
        <v>40</v>
      </c>
      <c r="AB556" s="1" t="s">
        <v>223</v>
      </c>
      <c r="AC556" s="1"/>
    </row>
    <row r="557">
      <c r="A557" s="1" t="str">
        <f>"0007A1"</f>
        <v>0007A1</v>
      </c>
      <c r="B557" s="1" t="s">
        <v>2479</v>
      </c>
      <c r="C557" s="1" t="s">
        <v>2480</v>
      </c>
      <c r="D557" s="1" t="str">
        <f>"8028883242"</f>
        <v>8028883242</v>
      </c>
      <c r="E557" s="1">
        <v>3591.0</v>
      </c>
      <c r="F557" s="1" t="s">
        <v>117</v>
      </c>
      <c r="G557" s="1" t="s">
        <v>2481</v>
      </c>
      <c r="H557" s="1">
        <v>2.0</v>
      </c>
      <c r="I557" s="2">
        <v>6.0</v>
      </c>
      <c r="J557" s="2">
        <v>6.0</v>
      </c>
      <c r="K557" s="2" t="s">
        <v>119</v>
      </c>
      <c r="L557" s="2" t="s">
        <v>2482</v>
      </c>
      <c r="M557" s="1" t="s">
        <v>2483</v>
      </c>
      <c r="N557" s="1" t="s">
        <v>213</v>
      </c>
      <c r="O557" s="1" t="s">
        <v>214</v>
      </c>
      <c r="P557" s="1" t="s">
        <v>2484</v>
      </c>
      <c r="Q557" s="3">
        <v>36892.0</v>
      </c>
      <c r="R557" s="1"/>
      <c r="S557" s="1"/>
      <c r="T557" s="1" t="s">
        <v>37</v>
      </c>
      <c r="U557" s="1"/>
      <c r="V557" s="1" t="s">
        <v>38</v>
      </c>
      <c r="W557" s="1">
        <v>44.550823</v>
      </c>
      <c r="X557" s="1">
        <v>-72.6793748999999</v>
      </c>
      <c r="Y557" s="1" t="s">
        <v>2485</v>
      </c>
      <c r="Z557" s="1"/>
      <c r="AA557" s="1" t="s">
        <v>40</v>
      </c>
      <c r="AB557" s="1" t="s">
        <v>217</v>
      </c>
      <c r="AC557" s="1">
        <v>5661.0</v>
      </c>
    </row>
    <row r="558">
      <c r="A558" s="1" t="str">
        <f>"00085X"</f>
        <v>00085X</v>
      </c>
      <c r="B558" s="1" t="s">
        <v>2486</v>
      </c>
      <c r="C558" s="1" t="s">
        <v>2487</v>
      </c>
      <c r="D558" s="1"/>
      <c r="E558" s="1">
        <v>1704.0</v>
      </c>
      <c r="F558" s="1" t="s">
        <v>44</v>
      </c>
      <c r="G558" s="1" t="s">
        <v>2488</v>
      </c>
      <c r="H558" s="1">
        <v>2.0</v>
      </c>
      <c r="I558" s="1"/>
      <c r="J558" s="1"/>
      <c r="K558" s="1"/>
      <c r="L558" s="1"/>
      <c r="M558" s="1" t="s">
        <v>2489</v>
      </c>
      <c r="N558" s="1" t="s">
        <v>142</v>
      </c>
      <c r="O558" s="1" t="s">
        <v>353</v>
      </c>
      <c r="P558" s="1"/>
      <c r="Q558" s="3">
        <v>36892.0</v>
      </c>
      <c r="R558" s="1"/>
      <c r="S558" s="3">
        <v>33822.0</v>
      </c>
      <c r="T558" s="1" t="s">
        <v>37</v>
      </c>
      <c r="U558" s="1"/>
      <c r="V558" s="1" t="s">
        <v>38</v>
      </c>
      <c r="W558" s="1"/>
      <c r="X558" s="1"/>
      <c r="Y558" s="1" t="s">
        <v>49</v>
      </c>
      <c r="Z558" s="1"/>
      <c r="AA558" s="1" t="s">
        <v>40</v>
      </c>
      <c r="AB558" s="1" t="s">
        <v>355</v>
      </c>
      <c r="AC558" s="1"/>
    </row>
    <row r="559">
      <c r="A559" s="1" t="str">
        <f>"00085W"</f>
        <v>00085W</v>
      </c>
      <c r="B559" s="1" t="s">
        <v>2490</v>
      </c>
      <c r="C559" s="1" t="s">
        <v>2491</v>
      </c>
      <c r="D559" s="1" t="str">
        <f>"8027734572"</f>
        <v>8027734572</v>
      </c>
      <c r="E559" s="1">
        <v>3663.0</v>
      </c>
      <c r="F559" s="1" t="s">
        <v>44</v>
      </c>
      <c r="G559" s="1" t="s">
        <v>2492</v>
      </c>
      <c r="H559" s="1">
        <v>3.0</v>
      </c>
      <c r="I559" s="1"/>
      <c r="J559" s="1"/>
      <c r="K559" s="1"/>
      <c r="L559" s="1"/>
      <c r="M559" s="1" t="s">
        <v>72</v>
      </c>
      <c r="N559" s="1" t="s">
        <v>78</v>
      </c>
      <c r="O559" s="1" t="s">
        <v>2493</v>
      </c>
      <c r="P559" s="1"/>
      <c r="Q559" s="3">
        <v>36892.0</v>
      </c>
      <c r="R559" s="1"/>
      <c r="S559" s="3">
        <v>38981.0</v>
      </c>
      <c r="T559" s="1" t="s">
        <v>37</v>
      </c>
      <c r="U559" s="1"/>
      <c r="V559" s="1" t="s">
        <v>38</v>
      </c>
      <c r="W559" s="1"/>
      <c r="X559" s="1"/>
      <c r="Y559" s="1" t="s">
        <v>49</v>
      </c>
      <c r="Z559" s="1"/>
      <c r="AA559" s="1" t="s">
        <v>40</v>
      </c>
      <c r="AB559" s="1" t="s">
        <v>2494</v>
      </c>
      <c r="AC559" s="1"/>
    </row>
    <row r="560">
      <c r="A560" s="1" t="str">
        <f>"00085V"</f>
        <v>00085V</v>
      </c>
      <c r="B560" s="1" t="s">
        <v>2495</v>
      </c>
      <c r="C560" s="1" t="s">
        <v>2496</v>
      </c>
      <c r="D560" s="1" t="str">
        <f>"8024858266"</f>
        <v>8024858266</v>
      </c>
      <c r="E560" s="1">
        <v>1699.0</v>
      </c>
      <c r="F560" s="1" t="s">
        <v>44</v>
      </c>
      <c r="G560" s="1" t="s">
        <v>2497</v>
      </c>
      <c r="H560" s="1">
        <v>1.0</v>
      </c>
      <c r="I560" s="1"/>
      <c r="J560" s="1"/>
      <c r="K560" s="1"/>
      <c r="L560" s="1"/>
      <c r="M560" s="1" t="s">
        <v>72</v>
      </c>
      <c r="N560" s="1" t="s">
        <v>142</v>
      </c>
      <c r="O560" s="1" t="s">
        <v>353</v>
      </c>
      <c r="P560" s="1"/>
      <c r="Q560" s="3">
        <v>36892.0</v>
      </c>
      <c r="R560" s="1"/>
      <c r="S560" s="3">
        <v>38748.0</v>
      </c>
      <c r="T560" s="1" t="s">
        <v>37</v>
      </c>
      <c r="U560" s="1"/>
      <c r="V560" s="1" t="s">
        <v>38</v>
      </c>
      <c r="W560" s="1">
        <v>44.0740719</v>
      </c>
      <c r="X560" s="1">
        <v>-72.6320465</v>
      </c>
      <c r="Y560" s="1" t="s">
        <v>2498</v>
      </c>
      <c r="Z560" s="1"/>
      <c r="AA560" s="1" t="s">
        <v>40</v>
      </c>
      <c r="AB560" s="1" t="s">
        <v>355</v>
      </c>
      <c r="AC560" s="1">
        <v>5036.0</v>
      </c>
    </row>
    <row r="561">
      <c r="A561" s="1" t="str">
        <f>"00085Q"</f>
        <v>00085Q</v>
      </c>
      <c r="B561" s="1" t="s">
        <v>2499</v>
      </c>
      <c r="C561" s="1" t="s">
        <v>2500</v>
      </c>
      <c r="D561" s="1" t="str">
        <f>"8024533969"</f>
        <v>8024533969</v>
      </c>
      <c r="E561" s="1">
        <v>2976.0</v>
      </c>
      <c r="F561" s="1" t="s">
        <v>44</v>
      </c>
      <c r="G561" s="1" t="s">
        <v>2501</v>
      </c>
      <c r="H561" s="1">
        <v>2.0</v>
      </c>
      <c r="I561" s="1"/>
      <c r="J561" s="1"/>
      <c r="K561" s="1"/>
      <c r="L561" s="1"/>
      <c r="M561" s="1" t="s">
        <v>72</v>
      </c>
      <c r="N561" s="1" t="s">
        <v>161</v>
      </c>
      <c r="O561" s="1" t="s">
        <v>307</v>
      </c>
      <c r="P561" s="1"/>
      <c r="Q561" s="3">
        <v>36892.0</v>
      </c>
      <c r="R561" s="1"/>
      <c r="S561" s="3">
        <v>37572.0</v>
      </c>
      <c r="T561" s="1" t="s">
        <v>37</v>
      </c>
      <c r="U561" s="1"/>
      <c r="V561" s="1" t="s">
        <v>38</v>
      </c>
      <c r="W561" s="1"/>
      <c r="X561" s="1"/>
      <c r="Y561" s="1" t="s">
        <v>49</v>
      </c>
      <c r="Z561" s="1"/>
      <c r="AA561" s="1" t="s">
        <v>40</v>
      </c>
      <c r="AB561" s="1" t="s">
        <v>308</v>
      </c>
      <c r="AC561" s="1"/>
    </row>
    <row r="562">
      <c r="A562" s="1" t="str">
        <f>"00086B"</f>
        <v>00086B</v>
      </c>
      <c r="B562" s="1" t="s">
        <v>2502</v>
      </c>
      <c r="C562" s="1" t="s">
        <v>2503</v>
      </c>
      <c r="D562" s="1" t="str">
        <f>"8024253357"</f>
        <v>8024253357</v>
      </c>
      <c r="E562" s="1">
        <v>3083.0</v>
      </c>
      <c r="F562" s="1" t="s">
        <v>44</v>
      </c>
      <c r="G562" s="1" t="s">
        <v>2504</v>
      </c>
      <c r="H562" s="1">
        <v>4.0</v>
      </c>
      <c r="I562" s="1"/>
      <c r="J562" s="1"/>
      <c r="K562" s="1"/>
      <c r="L562" s="1"/>
      <c r="M562" s="1" t="s">
        <v>72</v>
      </c>
      <c r="N562" s="1" t="s">
        <v>57</v>
      </c>
      <c r="O562" s="1" t="s">
        <v>1633</v>
      </c>
      <c r="P562" s="1"/>
      <c r="Q562" s="3">
        <v>36892.0</v>
      </c>
      <c r="R562" s="1"/>
      <c r="S562" s="3">
        <v>38189.0</v>
      </c>
      <c r="T562" s="1" t="s">
        <v>37</v>
      </c>
      <c r="U562" s="1"/>
      <c r="V562" s="1" t="s">
        <v>38</v>
      </c>
      <c r="W562" s="1"/>
      <c r="X562" s="1"/>
      <c r="Y562" s="1" t="s">
        <v>49</v>
      </c>
      <c r="Z562" s="1"/>
      <c r="AA562" s="1" t="s">
        <v>40</v>
      </c>
      <c r="AB562" s="1" t="s">
        <v>1634</v>
      </c>
      <c r="AC562" s="1"/>
    </row>
    <row r="563">
      <c r="A563" s="1" t="str">
        <f>"00085N"</f>
        <v>00085N</v>
      </c>
      <c r="B563" s="1" t="s">
        <v>2505</v>
      </c>
      <c r="C563" s="1" t="s">
        <v>2506</v>
      </c>
      <c r="D563" s="1"/>
      <c r="E563" s="1">
        <v>1696.0</v>
      </c>
      <c r="F563" s="1" t="s">
        <v>44</v>
      </c>
      <c r="G563" s="1" t="s">
        <v>2507</v>
      </c>
      <c r="H563" s="1">
        <v>2.0</v>
      </c>
      <c r="I563" s="1"/>
      <c r="J563" s="1"/>
      <c r="K563" s="1"/>
      <c r="L563" s="1"/>
      <c r="M563" s="1" t="s">
        <v>2508</v>
      </c>
      <c r="N563" s="1" t="s">
        <v>142</v>
      </c>
      <c r="O563" s="1" t="s">
        <v>353</v>
      </c>
      <c r="P563" s="1"/>
      <c r="Q563" s="3">
        <v>36892.0</v>
      </c>
      <c r="R563" s="1"/>
      <c r="S563" s="3">
        <v>32357.0</v>
      </c>
      <c r="T563" s="1" t="s">
        <v>37</v>
      </c>
      <c r="U563" s="1"/>
      <c r="V563" s="1" t="s">
        <v>38</v>
      </c>
      <c r="W563" s="1"/>
      <c r="X563" s="1"/>
      <c r="Y563" s="1" t="s">
        <v>49</v>
      </c>
      <c r="Z563" s="1"/>
      <c r="AA563" s="1" t="s">
        <v>40</v>
      </c>
      <c r="AB563" s="1" t="s">
        <v>355</v>
      </c>
      <c r="AC563" s="1"/>
    </row>
    <row r="564">
      <c r="A564" s="1" t="str">
        <f>"00087N"</f>
        <v>00087N</v>
      </c>
      <c r="B564" s="1" t="s">
        <v>2509</v>
      </c>
      <c r="C564" s="1" t="s">
        <v>2510</v>
      </c>
      <c r="D564" s="1" t="str">
        <f>"8022445287"</f>
        <v>8022445287</v>
      </c>
      <c r="E564" s="1">
        <v>3080.0</v>
      </c>
      <c r="F564" s="1" t="s">
        <v>44</v>
      </c>
      <c r="G564" s="1" t="s">
        <v>2511</v>
      </c>
      <c r="H564" s="1"/>
      <c r="I564" s="1"/>
      <c r="J564" s="1"/>
      <c r="K564" s="1"/>
      <c r="L564" s="1"/>
      <c r="M564" s="1" t="s">
        <v>72</v>
      </c>
      <c r="N564" s="1" t="s">
        <v>135</v>
      </c>
      <c r="O564" s="1" t="s">
        <v>775</v>
      </c>
      <c r="P564" s="1"/>
      <c r="Q564" s="3">
        <v>36892.0</v>
      </c>
      <c r="R564" s="1"/>
      <c r="S564" s="1"/>
      <c r="T564" s="1" t="s">
        <v>37</v>
      </c>
      <c r="U564" s="1"/>
      <c r="V564" s="1" t="s">
        <v>38</v>
      </c>
      <c r="W564" s="1"/>
      <c r="X564" s="1"/>
      <c r="Y564" s="1" t="s">
        <v>49</v>
      </c>
      <c r="Z564" s="1"/>
      <c r="AA564" s="1" t="s">
        <v>40</v>
      </c>
      <c r="AB564" s="1" t="s">
        <v>776</v>
      </c>
      <c r="AC564" s="1"/>
    </row>
    <row r="565">
      <c r="A565" s="1" t="str">
        <f>"0007PD"</f>
        <v>0007PD</v>
      </c>
      <c r="B565" s="1" t="s">
        <v>2512</v>
      </c>
      <c r="C565" s="1" t="s">
        <v>2513</v>
      </c>
      <c r="D565" s="1"/>
      <c r="E565" s="1">
        <v>2527.0</v>
      </c>
      <c r="F565" s="1" t="s">
        <v>44</v>
      </c>
      <c r="G565" s="1" t="s">
        <v>2514</v>
      </c>
      <c r="H565" s="1">
        <v>1.0</v>
      </c>
      <c r="I565" s="1"/>
      <c r="J565" s="1"/>
      <c r="K565" s="1"/>
      <c r="L565" s="1"/>
      <c r="M565" s="1" t="s">
        <v>2515</v>
      </c>
      <c r="N565" s="1" t="s">
        <v>34</v>
      </c>
      <c r="O565" s="1" t="s">
        <v>1286</v>
      </c>
      <c r="P565" s="1"/>
      <c r="Q565" s="3">
        <v>36892.0</v>
      </c>
      <c r="R565" s="1"/>
      <c r="S565" s="3">
        <v>32337.0</v>
      </c>
      <c r="T565" s="1" t="s">
        <v>37</v>
      </c>
      <c r="U565" s="1"/>
      <c r="V565" s="1" t="s">
        <v>38</v>
      </c>
      <c r="W565" s="1"/>
      <c r="X565" s="1"/>
      <c r="Y565" s="1" t="s">
        <v>49</v>
      </c>
      <c r="Z565" s="1"/>
      <c r="AA565" s="1" t="s">
        <v>40</v>
      </c>
      <c r="AB565" s="1" t="s">
        <v>1287</v>
      </c>
      <c r="AC565" s="1"/>
    </row>
    <row r="566">
      <c r="A566" s="1" t="str">
        <f>"00085J"</f>
        <v>00085J</v>
      </c>
      <c r="B566" s="1" t="s">
        <v>2516</v>
      </c>
      <c r="C566" s="1" t="s">
        <v>2517</v>
      </c>
      <c r="D566" s="1"/>
      <c r="E566" s="1">
        <v>1693.0</v>
      </c>
      <c r="F566" s="1" t="s">
        <v>44</v>
      </c>
      <c r="G566" s="1" t="s">
        <v>2518</v>
      </c>
      <c r="H566" s="1">
        <v>0.0</v>
      </c>
      <c r="I566" s="1"/>
      <c r="J566" s="1"/>
      <c r="K566" s="1"/>
      <c r="L566" s="1"/>
      <c r="M566" s="1" t="s">
        <v>72</v>
      </c>
      <c r="N566" s="1" t="s">
        <v>142</v>
      </c>
      <c r="O566" s="1" t="s">
        <v>359</v>
      </c>
      <c r="P566" s="1"/>
      <c r="Q566" s="3">
        <v>36892.0</v>
      </c>
      <c r="R566" s="1"/>
      <c r="S566" s="1"/>
      <c r="T566" s="1" t="s">
        <v>37</v>
      </c>
      <c r="U566" s="1"/>
      <c r="V566" s="1" t="s">
        <v>38</v>
      </c>
      <c r="W566" s="1">
        <v>43.9502211</v>
      </c>
      <c r="X566" s="1">
        <v>-72.7078846</v>
      </c>
      <c r="Y566" s="1" t="s">
        <v>2519</v>
      </c>
      <c r="Z566" s="1"/>
      <c r="AA566" s="1" t="s">
        <v>40</v>
      </c>
      <c r="AB566" s="1" t="s">
        <v>361</v>
      </c>
      <c r="AC566" s="1">
        <v>5060.0</v>
      </c>
    </row>
    <row r="567">
      <c r="A567" s="1" t="str">
        <f>"000925"</f>
        <v>000925</v>
      </c>
      <c r="B567" s="1" t="s">
        <v>2520</v>
      </c>
      <c r="C567" s="1" t="s">
        <v>2521</v>
      </c>
      <c r="D567" s="1" t="str">
        <f>"8022352593"</f>
        <v>8022352593</v>
      </c>
      <c r="E567" s="1">
        <v>3760.0</v>
      </c>
      <c r="F567" s="1" t="s">
        <v>44</v>
      </c>
      <c r="G567" s="1" t="s">
        <v>2522</v>
      </c>
      <c r="H567" s="1">
        <v>1.0</v>
      </c>
      <c r="I567" s="1"/>
      <c r="J567" s="1"/>
      <c r="K567" s="1"/>
      <c r="L567" s="1"/>
      <c r="M567" s="1" t="s">
        <v>2523</v>
      </c>
      <c r="N567" s="1" t="s">
        <v>78</v>
      </c>
      <c r="O567" s="1" t="s">
        <v>420</v>
      </c>
      <c r="P567" s="1"/>
      <c r="Q567" s="3">
        <v>36892.0</v>
      </c>
      <c r="R567" s="1"/>
      <c r="S567" s="3">
        <v>39631.0</v>
      </c>
      <c r="T567" s="1" t="s">
        <v>37</v>
      </c>
      <c r="U567" s="1"/>
      <c r="V567" s="1" t="s">
        <v>38</v>
      </c>
      <c r="W567" s="1"/>
      <c r="X567" s="1"/>
      <c r="Y567" s="1" t="s">
        <v>49</v>
      </c>
      <c r="Z567" s="1"/>
      <c r="AA567" s="1" t="s">
        <v>40</v>
      </c>
      <c r="AB567" s="1" t="s">
        <v>421</v>
      </c>
      <c r="AC567" s="1"/>
    </row>
    <row r="568">
      <c r="A568" s="1" t="str">
        <f>"00090H"</f>
        <v>00090H</v>
      </c>
      <c r="B568" s="1" t="s">
        <v>2524</v>
      </c>
      <c r="C568" s="1" t="s">
        <v>2525</v>
      </c>
      <c r="D568" s="1" t="str">
        <f>"8024725008"</f>
        <v>8024725008</v>
      </c>
      <c r="E568" s="1">
        <v>3572.0</v>
      </c>
      <c r="F568" s="1" t="s">
        <v>44</v>
      </c>
      <c r="G568" s="1" t="s">
        <v>2526</v>
      </c>
      <c r="H568" s="1"/>
      <c r="I568" s="1"/>
      <c r="J568" s="1"/>
      <c r="K568" s="1"/>
      <c r="L568" s="1"/>
      <c r="M568" s="1" t="s">
        <v>2527</v>
      </c>
      <c r="N568" s="1" t="s">
        <v>128</v>
      </c>
      <c r="O568" s="1" t="s">
        <v>1079</v>
      </c>
      <c r="P568" s="1"/>
      <c r="Q568" s="3">
        <v>36892.0</v>
      </c>
      <c r="R568" s="1"/>
      <c r="S568" s="1"/>
      <c r="T568" s="1" t="s">
        <v>37</v>
      </c>
      <c r="U568" s="1"/>
      <c r="V568" s="1" t="s">
        <v>38</v>
      </c>
      <c r="W568" s="1"/>
      <c r="X568" s="1"/>
      <c r="Y568" s="1" t="s">
        <v>49</v>
      </c>
      <c r="Z568" s="1"/>
      <c r="AA568" s="1" t="s">
        <v>40</v>
      </c>
      <c r="AB568" s="1" t="s">
        <v>1080</v>
      </c>
      <c r="AC568" s="1"/>
    </row>
    <row r="569">
      <c r="A569" s="1" t="str">
        <f>"00085D"</f>
        <v>00085D</v>
      </c>
      <c r="B569" s="1" t="s">
        <v>2528</v>
      </c>
      <c r="C569" s="1" t="s">
        <v>2529</v>
      </c>
      <c r="D569" s="1" t="str">
        <f>"8022294163"</f>
        <v>8022294163</v>
      </c>
      <c r="E569" s="1">
        <v>2653.0</v>
      </c>
      <c r="F569" s="1" t="s">
        <v>44</v>
      </c>
      <c r="G569" s="1" t="s">
        <v>2530</v>
      </c>
      <c r="H569" s="1">
        <v>1.0</v>
      </c>
      <c r="I569" s="1"/>
      <c r="J569" s="1"/>
      <c r="K569" s="1"/>
      <c r="L569" s="1"/>
      <c r="M569" s="1" t="s">
        <v>2531</v>
      </c>
      <c r="N569" s="1" t="s">
        <v>135</v>
      </c>
      <c r="O569" s="1" t="s">
        <v>1142</v>
      </c>
      <c r="P569" s="1"/>
      <c r="Q569" s="3">
        <v>36892.0</v>
      </c>
      <c r="R569" s="1"/>
      <c r="S569" s="3">
        <v>36417.0</v>
      </c>
      <c r="T569" s="1" t="s">
        <v>37</v>
      </c>
      <c r="U569" s="1"/>
      <c r="V569" s="1" t="s">
        <v>38</v>
      </c>
      <c r="W569" s="1"/>
      <c r="X569" s="1"/>
      <c r="Y569" s="1" t="s">
        <v>49</v>
      </c>
      <c r="Z569" s="1"/>
      <c r="AA569" s="1" t="s">
        <v>40</v>
      </c>
      <c r="AB569" s="1" t="s">
        <v>1145</v>
      </c>
      <c r="AC569" s="1"/>
    </row>
    <row r="570">
      <c r="A570" s="1" t="str">
        <f>"00085C"</f>
        <v>00085C</v>
      </c>
      <c r="B570" s="1" t="s">
        <v>2320</v>
      </c>
      <c r="C570" s="1" t="s">
        <v>2321</v>
      </c>
      <c r="D570" s="1" t="str">
        <f>"8024683036"</f>
        <v>8024683036</v>
      </c>
      <c r="E570" s="1">
        <v>3672.0</v>
      </c>
      <c r="F570" s="1" t="s">
        <v>44</v>
      </c>
      <c r="G570" s="1" t="s">
        <v>2532</v>
      </c>
      <c r="H570" s="1">
        <v>3.0</v>
      </c>
      <c r="I570" s="1"/>
      <c r="J570" s="1"/>
      <c r="K570" s="1"/>
      <c r="L570" s="1"/>
      <c r="M570" s="1" t="s">
        <v>72</v>
      </c>
      <c r="N570" s="1" t="s">
        <v>78</v>
      </c>
      <c r="O570" s="1" t="s">
        <v>855</v>
      </c>
      <c r="P570" s="1"/>
      <c r="Q570" s="3">
        <v>36892.0</v>
      </c>
      <c r="R570" s="1"/>
      <c r="S570" s="3">
        <v>38884.0</v>
      </c>
      <c r="T570" s="1" t="s">
        <v>37</v>
      </c>
      <c r="U570" s="1"/>
      <c r="V570" s="1" t="s">
        <v>38</v>
      </c>
      <c r="W570" s="1"/>
      <c r="X570" s="1"/>
      <c r="Y570" s="1" t="s">
        <v>49</v>
      </c>
      <c r="Z570" s="1"/>
      <c r="AA570" s="1" t="s">
        <v>40</v>
      </c>
      <c r="AB570" s="1" t="s">
        <v>857</v>
      </c>
      <c r="AC570" s="1"/>
    </row>
    <row r="571">
      <c r="A571" s="1" t="str">
        <f>"00085B"</f>
        <v>00085B</v>
      </c>
      <c r="B571" s="1" t="s">
        <v>2533</v>
      </c>
      <c r="C571" s="1" t="s">
        <v>2534</v>
      </c>
      <c r="D571" s="1"/>
      <c r="E571" s="1">
        <v>1681.0</v>
      </c>
      <c r="F571" s="1" t="s">
        <v>44</v>
      </c>
      <c r="G571" s="1" t="s">
        <v>2535</v>
      </c>
      <c r="H571" s="1"/>
      <c r="I571" s="1"/>
      <c r="J571" s="1"/>
      <c r="K571" s="1"/>
      <c r="L571" s="1"/>
      <c r="M571" s="1" t="s">
        <v>2536</v>
      </c>
      <c r="N571" s="1" t="s">
        <v>142</v>
      </c>
      <c r="O571" s="1" t="s">
        <v>227</v>
      </c>
      <c r="P571" s="1"/>
      <c r="Q571" s="3">
        <v>36892.0</v>
      </c>
      <c r="R571" s="1"/>
      <c r="S571" s="1"/>
      <c r="T571" s="1" t="s">
        <v>37</v>
      </c>
      <c r="U571" s="1"/>
      <c r="V571" s="1" t="s">
        <v>38</v>
      </c>
      <c r="W571" s="1"/>
      <c r="X571" s="1"/>
      <c r="Y571" s="1" t="s">
        <v>49</v>
      </c>
      <c r="Z571" s="1"/>
      <c r="AA571" s="1" t="s">
        <v>40</v>
      </c>
      <c r="AB571" s="1" t="s">
        <v>228</v>
      </c>
      <c r="AC571" s="1"/>
    </row>
    <row r="572">
      <c r="A572" s="1" t="str">
        <f>"00085A"</f>
        <v>00085A</v>
      </c>
      <c r="B572" s="1" t="s">
        <v>2537</v>
      </c>
      <c r="C572" s="1" t="s">
        <v>2538</v>
      </c>
      <c r="D572" s="1" t="str">
        <f>"8028751555"</f>
        <v>8028751555</v>
      </c>
      <c r="E572" s="1">
        <v>3639.0</v>
      </c>
      <c r="F572" s="1" t="s">
        <v>44</v>
      </c>
      <c r="G572" s="1" t="s">
        <v>2539</v>
      </c>
      <c r="H572" s="1"/>
      <c r="I572" s="1"/>
      <c r="J572" s="1"/>
      <c r="K572" s="1"/>
      <c r="L572" s="1"/>
      <c r="M572" s="1" t="s">
        <v>72</v>
      </c>
      <c r="N572" s="1" t="s">
        <v>66</v>
      </c>
      <c r="O572" s="1" t="s">
        <v>1944</v>
      </c>
      <c r="P572" s="1"/>
      <c r="Q572" s="3">
        <v>36892.0</v>
      </c>
      <c r="R572" s="1"/>
      <c r="S572" s="1"/>
      <c r="T572" s="1" t="s">
        <v>37</v>
      </c>
      <c r="U572" s="1"/>
      <c r="V572" s="1" t="s">
        <v>38</v>
      </c>
      <c r="W572" s="1"/>
      <c r="X572" s="1"/>
      <c r="Y572" s="1" t="s">
        <v>49</v>
      </c>
      <c r="Z572" s="1"/>
      <c r="AA572" s="1" t="s">
        <v>40</v>
      </c>
      <c r="AB572" s="1" t="s">
        <v>66</v>
      </c>
      <c r="AC572" s="1"/>
    </row>
    <row r="573">
      <c r="A573" s="1" t="str">
        <f>"000858"</f>
        <v>000858</v>
      </c>
      <c r="B573" s="1" t="s">
        <v>2540</v>
      </c>
      <c r="C573" s="1" t="s">
        <v>2541</v>
      </c>
      <c r="D573" s="1" t="str">
        <f>"8024342034"</f>
        <v>8024342034</v>
      </c>
      <c r="E573" s="1">
        <v>1673.0</v>
      </c>
      <c r="F573" s="1" t="s">
        <v>117</v>
      </c>
      <c r="G573" s="1" t="s">
        <v>2542</v>
      </c>
      <c r="H573" s="1">
        <v>3.0</v>
      </c>
      <c r="I573" s="2" t="s">
        <v>119</v>
      </c>
      <c r="J573" s="2">
        <v>4.0</v>
      </c>
      <c r="K573" s="2">
        <v>0.0</v>
      </c>
      <c r="L573" s="2" t="s">
        <v>2543</v>
      </c>
      <c r="M573" s="1" t="s">
        <v>72</v>
      </c>
      <c r="N573" s="1" t="s">
        <v>57</v>
      </c>
      <c r="O573" s="1" t="s">
        <v>201</v>
      </c>
      <c r="P573" s="1" t="s">
        <v>2544</v>
      </c>
      <c r="Q573" s="3">
        <v>36892.0</v>
      </c>
      <c r="R573" s="1"/>
      <c r="S573" s="3">
        <v>37104.0</v>
      </c>
      <c r="T573" s="1" t="s">
        <v>37</v>
      </c>
      <c r="U573" s="1"/>
      <c r="V573" s="1" t="s">
        <v>38</v>
      </c>
      <c r="W573" s="1">
        <v>44.4225641</v>
      </c>
      <c r="X573" s="1">
        <v>-73.0072659</v>
      </c>
      <c r="Y573" s="1" t="s">
        <v>2545</v>
      </c>
      <c r="Z573" s="1"/>
      <c r="AA573" s="1" t="s">
        <v>40</v>
      </c>
      <c r="AB573" s="1" t="s">
        <v>202</v>
      </c>
      <c r="AC573" s="1">
        <v>5477.0</v>
      </c>
    </row>
    <row r="574">
      <c r="A574" s="1" t="str">
        <f>"000743"</f>
        <v>000743</v>
      </c>
      <c r="B574" s="1" t="s">
        <v>2401</v>
      </c>
      <c r="C574" s="1" t="s">
        <v>2402</v>
      </c>
      <c r="D574" s="1" t="str">
        <f>"8023874071"</f>
        <v>8023874071</v>
      </c>
      <c r="E574" s="1">
        <v>3392.0</v>
      </c>
      <c r="F574" s="1" t="s">
        <v>44</v>
      </c>
      <c r="G574" s="1" t="s">
        <v>2546</v>
      </c>
      <c r="H574" s="1"/>
      <c r="I574" s="1"/>
      <c r="J574" s="1"/>
      <c r="K574" s="1"/>
      <c r="L574" s="1"/>
      <c r="M574" s="1" t="s">
        <v>2547</v>
      </c>
      <c r="N574" s="1" t="s">
        <v>66</v>
      </c>
      <c r="O574" s="1" t="s">
        <v>593</v>
      </c>
      <c r="P574" s="1"/>
      <c r="Q574" s="3">
        <v>36892.0</v>
      </c>
      <c r="R574" s="1"/>
      <c r="S574" s="1"/>
      <c r="T574" s="1" t="s">
        <v>37</v>
      </c>
      <c r="U574" s="1"/>
      <c r="V574" s="1" t="s">
        <v>38</v>
      </c>
      <c r="W574" s="1"/>
      <c r="X574" s="1"/>
      <c r="Y574" s="1" t="s">
        <v>49</v>
      </c>
      <c r="Z574" s="1"/>
      <c r="AA574" s="1" t="s">
        <v>40</v>
      </c>
      <c r="AB574" s="1" t="s">
        <v>594</v>
      </c>
      <c r="AC574" s="1"/>
    </row>
    <row r="575">
      <c r="A575" s="1" t="str">
        <f>"00073F"</f>
        <v>00073F</v>
      </c>
      <c r="B575" s="1" t="s">
        <v>2548</v>
      </c>
      <c r="C575" s="1" t="s">
        <v>2549</v>
      </c>
      <c r="D575" s="1" t="str">
        <f>"8028274454"</f>
        <v>8028274454</v>
      </c>
      <c r="E575" s="1">
        <v>3704.0</v>
      </c>
      <c r="F575" s="1" t="s">
        <v>44</v>
      </c>
      <c r="G575" s="1" t="s">
        <v>2550</v>
      </c>
      <c r="H575" s="1"/>
      <c r="I575" s="1"/>
      <c r="J575" s="1"/>
      <c r="K575" s="1"/>
      <c r="L575" s="1"/>
      <c r="M575" s="1" t="s">
        <v>72</v>
      </c>
      <c r="N575" s="1" t="s">
        <v>47</v>
      </c>
      <c r="O575" s="1" t="s">
        <v>928</v>
      </c>
      <c r="P575" s="1"/>
      <c r="Q575" s="3">
        <v>36892.0</v>
      </c>
      <c r="R575" s="1"/>
      <c r="S575" s="1"/>
      <c r="T575" s="1" t="s">
        <v>37</v>
      </c>
      <c r="U575" s="1"/>
      <c r="V575" s="1" t="s">
        <v>38</v>
      </c>
      <c r="W575" s="1"/>
      <c r="X575" s="1"/>
      <c r="Y575" s="1" t="s">
        <v>49</v>
      </c>
      <c r="Z575" s="1"/>
      <c r="AA575" s="1" t="s">
        <v>40</v>
      </c>
      <c r="AB575" s="1" t="s">
        <v>929</v>
      </c>
      <c r="AC575" s="1"/>
    </row>
    <row r="576">
      <c r="A576" s="1" t="str">
        <f>"000854"</f>
        <v>000854</v>
      </c>
      <c r="B576" s="1" t="s">
        <v>2551</v>
      </c>
      <c r="C576" s="1" t="s">
        <v>2552</v>
      </c>
      <c r="D576" s="1" t="str">
        <f>"8028934348"</f>
        <v>8028934348</v>
      </c>
      <c r="E576" s="1">
        <v>4005.0</v>
      </c>
      <c r="F576" s="1" t="s">
        <v>44</v>
      </c>
      <c r="G576" s="1" t="s">
        <v>2553</v>
      </c>
      <c r="H576" s="1"/>
      <c r="I576" s="1"/>
      <c r="J576" s="1"/>
      <c r="K576" s="1"/>
      <c r="L576" s="1"/>
      <c r="M576" s="1" t="s">
        <v>72</v>
      </c>
      <c r="N576" s="1" t="s">
        <v>57</v>
      </c>
      <c r="O576" s="1" t="s">
        <v>256</v>
      </c>
      <c r="P576" s="1"/>
      <c r="Q576" s="3">
        <v>36892.0</v>
      </c>
      <c r="R576" s="1"/>
      <c r="S576" s="1"/>
      <c r="T576" s="1" t="s">
        <v>37</v>
      </c>
      <c r="U576" s="1"/>
      <c r="V576" s="1" t="s">
        <v>38</v>
      </c>
      <c r="W576" s="1"/>
      <c r="X576" s="1"/>
      <c r="Y576" s="1" t="s">
        <v>49</v>
      </c>
      <c r="Z576" s="1"/>
      <c r="AA576" s="1" t="s">
        <v>40</v>
      </c>
      <c r="AB576" s="1" t="s">
        <v>257</v>
      </c>
      <c r="AC576" s="1"/>
    </row>
    <row r="577">
      <c r="A577" s="1" t="str">
        <f>"000855"</f>
        <v>000855</v>
      </c>
      <c r="B577" s="1" t="s">
        <v>2554</v>
      </c>
      <c r="C577" s="1" t="s">
        <v>2555</v>
      </c>
      <c r="D577" s="1" t="str">
        <f>"8028883001"</f>
        <v>8028883001</v>
      </c>
      <c r="E577" s="1">
        <v>1668.0</v>
      </c>
      <c r="F577" s="1" t="s">
        <v>44</v>
      </c>
      <c r="G577" s="1" t="s">
        <v>2556</v>
      </c>
      <c r="H577" s="1"/>
      <c r="I577" s="1"/>
      <c r="J577" s="1"/>
      <c r="K577" s="1"/>
      <c r="L577" s="1"/>
      <c r="M577" s="1" t="s">
        <v>2557</v>
      </c>
      <c r="N577" s="1" t="s">
        <v>213</v>
      </c>
      <c r="O577" s="1" t="s">
        <v>214</v>
      </c>
      <c r="P577" s="1"/>
      <c r="Q577" s="3">
        <v>36892.0</v>
      </c>
      <c r="R577" s="1"/>
      <c r="S577" s="1"/>
      <c r="T577" s="1" t="s">
        <v>37</v>
      </c>
      <c r="U577" s="1"/>
      <c r="V577" s="1" t="s">
        <v>38</v>
      </c>
      <c r="W577" s="1"/>
      <c r="X577" s="1"/>
      <c r="Y577" s="1" t="s">
        <v>49</v>
      </c>
      <c r="Z577" s="1"/>
      <c r="AA577" s="1" t="s">
        <v>40</v>
      </c>
      <c r="AB577" s="1" t="s">
        <v>217</v>
      </c>
      <c r="AC577" s="1"/>
    </row>
    <row r="578">
      <c r="A578" s="1" t="str">
        <f>"00074G"</f>
        <v>00074G</v>
      </c>
      <c r="B578" s="1" t="s">
        <v>2558</v>
      </c>
      <c r="C578" s="1" t="s">
        <v>2559</v>
      </c>
      <c r="D578" s="1" t="str">
        <f>"8028885373"</f>
        <v>8028885373</v>
      </c>
      <c r="E578" s="1">
        <v>3054.0</v>
      </c>
      <c r="F578" s="1" t="s">
        <v>44</v>
      </c>
      <c r="G578" s="1" t="s">
        <v>2560</v>
      </c>
      <c r="H578" s="1"/>
      <c r="I578" s="1"/>
      <c r="J578" s="1"/>
      <c r="K578" s="1"/>
      <c r="L578" s="1"/>
      <c r="M578" s="1" t="s">
        <v>2561</v>
      </c>
      <c r="N578" s="1" t="s">
        <v>213</v>
      </c>
      <c r="O578" s="1" t="s">
        <v>2562</v>
      </c>
      <c r="P578" s="1"/>
      <c r="Q578" s="3">
        <v>36892.0</v>
      </c>
      <c r="R578" s="1"/>
      <c r="S578" s="1"/>
      <c r="T578" s="1" t="s">
        <v>37</v>
      </c>
      <c r="U578" s="1"/>
      <c r="V578" s="1" t="s">
        <v>38</v>
      </c>
      <c r="W578" s="1"/>
      <c r="X578" s="1"/>
      <c r="Y578" s="1" t="s">
        <v>49</v>
      </c>
      <c r="Z578" s="1"/>
      <c r="AA578" s="1" t="s">
        <v>40</v>
      </c>
      <c r="AB578" s="1" t="s">
        <v>2563</v>
      </c>
      <c r="AC578" s="1"/>
    </row>
    <row r="579">
      <c r="A579" s="1" t="str">
        <f>"00083V"</f>
        <v>00083V</v>
      </c>
      <c r="B579" s="1" t="s">
        <v>2564</v>
      </c>
      <c r="C579" s="1" t="s">
        <v>2565</v>
      </c>
      <c r="D579" s="1" t="str">
        <f>"8023346744"</f>
        <v>8023346744</v>
      </c>
      <c r="E579" s="1">
        <v>1664.0</v>
      </c>
      <c r="F579" s="1" t="s">
        <v>44</v>
      </c>
      <c r="G579" s="1" t="s">
        <v>2566</v>
      </c>
      <c r="H579" s="1"/>
      <c r="I579" s="1"/>
      <c r="J579" s="1"/>
      <c r="K579" s="1"/>
      <c r="L579" s="1"/>
      <c r="M579" s="1" t="s">
        <v>2567</v>
      </c>
      <c r="N579" s="1" t="s">
        <v>94</v>
      </c>
      <c r="O579" s="1" t="s">
        <v>1058</v>
      </c>
      <c r="P579" s="1"/>
      <c r="Q579" s="3">
        <v>36892.0</v>
      </c>
      <c r="R579" s="1"/>
      <c r="S579" s="1"/>
      <c r="T579" s="1" t="s">
        <v>37</v>
      </c>
      <c r="U579" s="1"/>
      <c r="V579" s="1" t="s">
        <v>38</v>
      </c>
      <c r="W579" s="1"/>
      <c r="X579" s="1"/>
      <c r="Y579" s="1" t="s">
        <v>49</v>
      </c>
      <c r="Z579" s="1"/>
      <c r="AA579" s="1" t="s">
        <v>40</v>
      </c>
      <c r="AB579" s="1" t="s">
        <v>1059</v>
      </c>
      <c r="AC579" s="1"/>
    </row>
    <row r="580">
      <c r="A580" s="1" t="str">
        <f>"0008NK"</f>
        <v>0008NK</v>
      </c>
      <c r="B580" s="1" t="s">
        <v>2568</v>
      </c>
      <c r="C580" s="1" t="s">
        <v>2569</v>
      </c>
      <c r="D580" s="1" t="str">
        <f>"8024822831"</f>
        <v>8024822831</v>
      </c>
      <c r="E580" s="1">
        <v>3188.0</v>
      </c>
      <c r="F580" s="1" t="s">
        <v>44</v>
      </c>
      <c r="G580" s="1" t="s">
        <v>2570</v>
      </c>
      <c r="H580" s="1">
        <v>1.0</v>
      </c>
      <c r="I580" s="1"/>
      <c r="J580" s="1"/>
      <c r="K580" s="1"/>
      <c r="L580" s="1"/>
      <c r="M580" s="1" t="s">
        <v>72</v>
      </c>
      <c r="N580" s="1" t="s">
        <v>57</v>
      </c>
      <c r="O580" s="1" t="s">
        <v>204</v>
      </c>
      <c r="P580" s="1"/>
      <c r="Q580" s="3">
        <v>36892.0</v>
      </c>
      <c r="R580" s="1"/>
      <c r="S580" s="3">
        <v>36789.0</v>
      </c>
      <c r="T580" s="1" t="s">
        <v>37</v>
      </c>
      <c r="U580" s="1"/>
      <c r="V580" s="1" t="s">
        <v>38</v>
      </c>
      <c r="W580" s="1"/>
      <c r="X580" s="1"/>
      <c r="Y580" s="1" t="s">
        <v>49</v>
      </c>
      <c r="Z580" s="1"/>
      <c r="AA580" s="1" t="s">
        <v>40</v>
      </c>
      <c r="AB580" s="1" t="s">
        <v>205</v>
      </c>
      <c r="AC580" s="1"/>
    </row>
    <row r="581">
      <c r="A581" s="1" t="str">
        <f>"000891"</f>
        <v>000891</v>
      </c>
      <c r="B581" s="1" t="s">
        <v>2571</v>
      </c>
      <c r="C581" s="1" t="s">
        <v>2572</v>
      </c>
      <c r="D581" s="1" t="str">
        <f>"8022472846"</f>
        <v>8022472846</v>
      </c>
      <c r="E581" s="1">
        <v>4013.0</v>
      </c>
      <c r="F581" s="1" t="s">
        <v>44</v>
      </c>
      <c r="G581" s="1" t="s">
        <v>2573</v>
      </c>
      <c r="H581" s="1"/>
      <c r="I581" s="1"/>
      <c r="J581" s="1"/>
      <c r="K581" s="1"/>
      <c r="L581" s="1"/>
      <c r="M581" s="1" t="s">
        <v>72</v>
      </c>
      <c r="N581" s="1" t="s">
        <v>78</v>
      </c>
      <c r="O581" s="1" t="s">
        <v>2574</v>
      </c>
      <c r="P581" s="1"/>
      <c r="Q581" s="3">
        <v>36892.0</v>
      </c>
      <c r="R581" s="1"/>
      <c r="S581" s="1"/>
      <c r="T581" s="1" t="s">
        <v>37</v>
      </c>
      <c r="U581" s="1"/>
      <c r="V581" s="1" t="s">
        <v>38</v>
      </c>
      <c r="W581" s="1"/>
      <c r="X581" s="1"/>
      <c r="Y581" s="1" t="s">
        <v>49</v>
      </c>
      <c r="Z581" s="1"/>
      <c r="AA581" s="1" t="s">
        <v>40</v>
      </c>
      <c r="AB581" s="1" t="s">
        <v>2575</v>
      </c>
      <c r="AC581" s="1"/>
    </row>
    <row r="582">
      <c r="A582" s="1" t="str">
        <f>"00084Z"</f>
        <v>00084Z</v>
      </c>
      <c r="B582" s="1" t="s">
        <v>2576</v>
      </c>
      <c r="C582" s="1" t="s">
        <v>2577</v>
      </c>
      <c r="D582" s="1" t="str">
        <f>"8024858524"</f>
        <v>8024858524</v>
      </c>
      <c r="E582" s="1">
        <v>1659.0</v>
      </c>
      <c r="F582" s="1" t="s">
        <v>44</v>
      </c>
      <c r="G582" s="1" t="s">
        <v>2578</v>
      </c>
      <c r="H582" s="1"/>
      <c r="I582" s="1"/>
      <c r="J582" s="1"/>
      <c r="K582" s="1"/>
      <c r="L582" s="1"/>
      <c r="M582" s="1" t="s">
        <v>2579</v>
      </c>
      <c r="N582" s="1" t="s">
        <v>135</v>
      </c>
      <c r="O582" s="1" t="s">
        <v>136</v>
      </c>
      <c r="P582" s="1"/>
      <c r="Q582" s="3">
        <v>36892.0</v>
      </c>
      <c r="R582" s="1"/>
      <c r="S582" s="1"/>
      <c r="T582" s="1" t="s">
        <v>37</v>
      </c>
      <c r="U582" s="1"/>
      <c r="V582" s="1" t="s">
        <v>38</v>
      </c>
      <c r="W582" s="1"/>
      <c r="X582" s="1"/>
      <c r="Y582" s="1" t="s">
        <v>49</v>
      </c>
      <c r="Z582" s="1"/>
      <c r="AA582" s="1" t="s">
        <v>40</v>
      </c>
      <c r="AB582" s="1" t="s">
        <v>137</v>
      </c>
      <c r="AC582" s="1"/>
    </row>
    <row r="583">
      <c r="A583" s="1" t="str">
        <f>"00084Y"</f>
        <v>00084Y</v>
      </c>
      <c r="B583" s="1" t="s">
        <v>2580</v>
      </c>
      <c r="C583" s="1" t="s">
        <v>2581</v>
      </c>
      <c r="D583" s="1" t="str">
        <f>"8025632084"</f>
        <v>8025632084</v>
      </c>
      <c r="E583" s="1">
        <v>1657.0</v>
      </c>
      <c r="F583" s="1" t="s">
        <v>44</v>
      </c>
      <c r="G583" s="1" t="s">
        <v>2582</v>
      </c>
      <c r="H583" s="1">
        <v>1.0</v>
      </c>
      <c r="I583" s="1"/>
      <c r="J583" s="1"/>
      <c r="K583" s="1"/>
      <c r="L583" s="1"/>
      <c r="M583" s="1" t="s">
        <v>72</v>
      </c>
      <c r="N583" s="1" t="s">
        <v>128</v>
      </c>
      <c r="O583" s="1" t="s">
        <v>1695</v>
      </c>
      <c r="P583" s="1"/>
      <c r="Q583" s="3">
        <v>36892.0</v>
      </c>
      <c r="R583" s="1"/>
      <c r="S583" s="3">
        <v>32614.0</v>
      </c>
      <c r="T583" s="1" t="s">
        <v>37</v>
      </c>
      <c r="U583" s="1"/>
      <c r="V583" s="1" t="s">
        <v>38</v>
      </c>
      <c r="W583" s="1"/>
      <c r="X583" s="1"/>
      <c r="Y583" s="1" t="s">
        <v>49</v>
      </c>
      <c r="Z583" s="1"/>
      <c r="AA583" s="1" t="s">
        <v>40</v>
      </c>
      <c r="AB583" s="1" t="s">
        <v>1696</v>
      </c>
      <c r="AC583" s="1"/>
    </row>
    <row r="584">
      <c r="A584" s="1" t="str">
        <f>"00084X"</f>
        <v>00084X</v>
      </c>
      <c r="B584" s="1" t="s">
        <v>2583</v>
      </c>
      <c r="C584" s="1" t="s">
        <v>2584</v>
      </c>
      <c r="D584" s="1" t="str">
        <f>"8026491560"</f>
        <v>8026491560</v>
      </c>
      <c r="E584" s="1">
        <v>1653.0</v>
      </c>
      <c r="F584" s="1" t="s">
        <v>44</v>
      </c>
      <c r="G584" s="1" t="s">
        <v>2585</v>
      </c>
      <c r="H584" s="1">
        <v>1.0</v>
      </c>
      <c r="I584" s="1"/>
      <c r="J584" s="1"/>
      <c r="K584" s="1"/>
      <c r="L584" s="1"/>
      <c r="M584" s="1" t="s">
        <v>2586</v>
      </c>
      <c r="N584" s="1" t="s">
        <v>34</v>
      </c>
      <c r="O584" s="1" t="s">
        <v>463</v>
      </c>
      <c r="P584" s="1"/>
      <c r="Q584" s="3">
        <v>36892.0</v>
      </c>
      <c r="R584" s="1"/>
      <c r="S584" s="3">
        <v>32338.0</v>
      </c>
      <c r="T584" s="1" t="s">
        <v>37</v>
      </c>
      <c r="U584" s="1"/>
      <c r="V584" s="1" t="s">
        <v>38</v>
      </c>
      <c r="W584" s="1"/>
      <c r="X584" s="1"/>
      <c r="Y584" s="1" t="s">
        <v>49</v>
      </c>
      <c r="Z584" s="1"/>
      <c r="AA584" s="1" t="s">
        <v>40</v>
      </c>
      <c r="AB584" s="1" t="s">
        <v>466</v>
      </c>
      <c r="AC584" s="1"/>
    </row>
    <row r="585">
      <c r="A585" s="1" t="str">
        <f>"00091M"</f>
        <v>00091M</v>
      </c>
      <c r="B585" s="1" t="s">
        <v>2587</v>
      </c>
      <c r="C585" s="1" t="s">
        <v>2588</v>
      </c>
      <c r="D585" s="1" t="str">
        <f>"8025358825"</f>
        <v>8025358825</v>
      </c>
      <c r="E585" s="1">
        <v>3735.0</v>
      </c>
      <c r="F585" s="1" t="s">
        <v>44</v>
      </c>
      <c r="G585" s="1" t="s">
        <v>2589</v>
      </c>
      <c r="H585" s="1"/>
      <c r="I585" s="1"/>
      <c r="J585" s="1"/>
      <c r="K585" s="1"/>
      <c r="L585" s="1"/>
      <c r="M585" s="1" t="s">
        <v>72</v>
      </c>
      <c r="N585" s="1" t="s">
        <v>128</v>
      </c>
      <c r="O585" s="1" t="s">
        <v>1701</v>
      </c>
      <c r="P585" s="1"/>
      <c r="Q585" s="3">
        <v>36892.0</v>
      </c>
      <c r="R585" s="1"/>
      <c r="S585" s="1"/>
      <c r="T585" s="1" t="s">
        <v>37</v>
      </c>
      <c r="U585" s="1"/>
      <c r="V585" s="1" t="s">
        <v>38</v>
      </c>
      <c r="W585" s="1"/>
      <c r="X585" s="1"/>
      <c r="Y585" s="1" t="s">
        <v>49</v>
      </c>
      <c r="Z585" s="1"/>
      <c r="AA585" s="1" t="s">
        <v>40</v>
      </c>
      <c r="AB585" s="1" t="s">
        <v>1702</v>
      </c>
      <c r="AC585" s="1"/>
    </row>
    <row r="586">
      <c r="A586" s="1" t="str">
        <f>"00084V"</f>
        <v>00084V</v>
      </c>
      <c r="B586" s="1" t="s">
        <v>2590</v>
      </c>
      <c r="C586" s="1" t="s">
        <v>2591</v>
      </c>
      <c r="D586" s="1" t="str">
        <f>"8024790986"</f>
        <v>8024790986</v>
      </c>
      <c r="E586" s="1">
        <v>1650.0</v>
      </c>
      <c r="F586" s="1" t="s">
        <v>44</v>
      </c>
      <c r="G586" s="1" t="s">
        <v>2592</v>
      </c>
      <c r="H586" s="1">
        <v>1.0</v>
      </c>
      <c r="I586" s="1"/>
      <c r="J586" s="1"/>
      <c r="K586" s="1"/>
      <c r="L586" s="1"/>
      <c r="M586" s="1" t="s">
        <v>2593</v>
      </c>
      <c r="N586" s="1" t="s">
        <v>142</v>
      </c>
      <c r="O586" s="1" t="s">
        <v>2376</v>
      </c>
      <c r="P586" s="1"/>
      <c r="Q586" s="3">
        <v>36892.0</v>
      </c>
      <c r="R586" s="1"/>
      <c r="S586" s="3">
        <v>32718.0</v>
      </c>
      <c r="T586" s="1" t="s">
        <v>37</v>
      </c>
      <c r="U586" s="1"/>
      <c r="V586" s="1" t="s">
        <v>38</v>
      </c>
      <c r="W586" s="1"/>
      <c r="X586" s="1"/>
      <c r="Y586" s="1" t="s">
        <v>49</v>
      </c>
      <c r="Z586" s="1"/>
      <c r="AA586" s="1" t="s">
        <v>40</v>
      </c>
      <c r="AB586" s="1" t="s">
        <v>142</v>
      </c>
      <c r="AC586" s="1"/>
    </row>
    <row r="587">
      <c r="A587" s="1" t="str">
        <f>"00084Q"</f>
        <v>00084Q</v>
      </c>
      <c r="B587" s="1" t="s">
        <v>2594</v>
      </c>
      <c r="C587" s="1" t="s">
        <v>2595</v>
      </c>
      <c r="D587" s="1" t="str">
        <f>"8022346323"</f>
        <v>8022346323</v>
      </c>
      <c r="E587" s="1">
        <v>2465.0</v>
      </c>
      <c r="F587" s="1" t="s">
        <v>44</v>
      </c>
      <c r="G587" s="1" t="s">
        <v>2596</v>
      </c>
      <c r="H587" s="1">
        <v>1.0</v>
      </c>
      <c r="I587" s="1"/>
      <c r="J587" s="1"/>
      <c r="K587" s="1"/>
      <c r="L587" s="1"/>
      <c r="M587" s="1" t="s">
        <v>2597</v>
      </c>
      <c r="N587" s="1" t="s">
        <v>34</v>
      </c>
      <c r="O587" s="1" t="s">
        <v>150</v>
      </c>
      <c r="P587" s="1"/>
      <c r="Q587" s="3">
        <v>36892.0</v>
      </c>
      <c r="R587" s="1"/>
      <c r="S587" s="3">
        <v>35234.0</v>
      </c>
      <c r="T587" s="1" t="s">
        <v>37</v>
      </c>
      <c r="U587" s="1"/>
      <c r="V587" s="1" t="s">
        <v>38</v>
      </c>
      <c r="W587" s="1"/>
      <c r="X587" s="1"/>
      <c r="Y587" s="1" t="s">
        <v>49</v>
      </c>
      <c r="Z587" s="1"/>
      <c r="AA587" s="1" t="s">
        <v>40</v>
      </c>
      <c r="AB587" s="1" t="s">
        <v>151</v>
      </c>
      <c r="AC587" s="1"/>
    </row>
    <row r="588">
      <c r="A588" s="1" t="str">
        <f>"00084N"</f>
        <v>00084N</v>
      </c>
      <c r="B588" s="1" t="s">
        <v>2598</v>
      </c>
      <c r="C588" s="1" t="s">
        <v>2599</v>
      </c>
      <c r="D588" s="1" t="str">
        <f>"8028782434"</f>
        <v>8028782434</v>
      </c>
      <c r="E588" s="1">
        <v>1644.0</v>
      </c>
      <c r="F588" s="1" t="s">
        <v>44</v>
      </c>
      <c r="G588" s="1" t="s">
        <v>2600</v>
      </c>
      <c r="H588" s="1">
        <v>7.0</v>
      </c>
      <c r="I588" s="1"/>
      <c r="J588" s="1"/>
      <c r="K588" s="1"/>
      <c r="L588" s="1"/>
      <c r="M588" s="1" t="s">
        <v>72</v>
      </c>
      <c r="N588" s="1" t="s">
        <v>57</v>
      </c>
      <c r="O588" s="1" t="s">
        <v>155</v>
      </c>
      <c r="P588" s="1"/>
      <c r="Q588" s="3">
        <v>36892.0</v>
      </c>
      <c r="R588" s="1"/>
      <c r="S588" s="3">
        <v>37833.0</v>
      </c>
      <c r="T588" s="1" t="s">
        <v>37</v>
      </c>
      <c r="U588" s="1"/>
      <c r="V588" s="1" t="s">
        <v>38</v>
      </c>
      <c r="W588" s="1"/>
      <c r="X588" s="1"/>
      <c r="Y588" s="1" t="s">
        <v>49</v>
      </c>
      <c r="Z588" s="1"/>
      <c r="AA588" s="1" t="s">
        <v>40</v>
      </c>
      <c r="AB588" s="1" t="s">
        <v>156</v>
      </c>
      <c r="AC588" s="1"/>
    </row>
    <row r="589">
      <c r="A589" s="1" t="str">
        <f t="shared" ref="A589:A590" si="38">"00084M"</f>
        <v>00084M</v>
      </c>
      <c r="B589" s="1" t="s">
        <v>2601</v>
      </c>
      <c r="C589" s="1" t="s">
        <v>2602</v>
      </c>
      <c r="D589" s="1" t="str">
        <f t="shared" ref="D589:D590" si="39">"8024736222"</f>
        <v>8024736222</v>
      </c>
      <c r="E589" s="1">
        <v>1642.0</v>
      </c>
      <c r="F589" s="1" t="s">
        <v>44</v>
      </c>
      <c r="G589" s="1" t="s">
        <v>2603</v>
      </c>
      <c r="H589" s="1">
        <v>10.0</v>
      </c>
      <c r="I589" s="1"/>
      <c r="J589" s="1"/>
      <c r="K589" s="1"/>
      <c r="L589" s="1"/>
      <c r="M589" s="1" t="s">
        <v>2604</v>
      </c>
      <c r="N589" s="1" t="s">
        <v>128</v>
      </c>
      <c r="O589" s="1" t="s">
        <v>1707</v>
      </c>
      <c r="P589" s="1"/>
      <c r="Q589" s="3">
        <v>36892.0</v>
      </c>
      <c r="R589" s="1"/>
      <c r="S589" s="3">
        <v>32622.0</v>
      </c>
      <c r="T589" s="1" t="s">
        <v>37</v>
      </c>
      <c r="U589" s="1"/>
      <c r="V589" s="1" t="s">
        <v>38</v>
      </c>
      <c r="W589" s="1"/>
      <c r="X589" s="1"/>
      <c r="Y589" s="1" t="s">
        <v>49</v>
      </c>
      <c r="Z589" s="1"/>
      <c r="AA589" s="1" t="s">
        <v>40</v>
      </c>
      <c r="AB589" s="1" t="s">
        <v>196</v>
      </c>
      <c r="AC589" s="1"/>
    </row>
    <row r="590">
      <c r="A590" s="1" t="str">
        <f t="shared" si="38"/>
        <v>00084M</v>
      </c>
      <c r="B590" s="1" t="s">
        <v>2601</v>
      </c>
      <c r="C590" s="1" t="s">
        <v>2602</v>
      </c>
      <c r="D590" s="1" t="str">
        <f t="shared" si="39"/>
        <v>8024736222</v>
      </c>
      <c r="E590" s="1">
        <v>1642.0</v>
      </c>
      <c r="F590" s="1" t="s">
        <v>44</v>
      </c>
      <c r="G590" s="1" t="s">
        <v>2605</v>
      </c>
      <c r="H590" s="1">
        <v>15.0</v>
      </c>
      <c r="I590" s="1"/>
      <c r="J590" s="1"/>
      <c r="K590" s="1"/>
      <c r="L590" s="1"/>
      <c r="M590" s="1" t="s">
        <v>72</v>
      </c>
      <c r="N590" s="1" t="s">
        <v>128</v>
      </c>
      <c r="O590" s="1" t="s">
        <v>1707</v>
      </c>
      <c r="P590" s="1"/>
      <c r="Q590" s="3">
        <v>36892.0</v>
      </c>
      <c r="R590" s="1"/>
      <c r="S590" s="3">
        <v>33042.0</v>
      </c>
      <c r="T590" s="1" t="s">
        <v>37</v>
      </c>
      <c r="U590" s="1"/>
      <c r="V590" s="1" t="s">
        <v>38</v>
      </c>
      <c r="W590" s="1">
        <v>44.478798</v>
      </c>
      <c r="X590" s="1">
        <v>-72.005348</v>
      </c>
      <c r="Y590" s="1" t="s">
        <v>2606</v>
      </c>
      <c r="Z590" s="1"/>
      <c r="AA590" s="1" t="s">
        <v>40</v>
      </c>
      <c r="AB590" s="1" t="s">
        <v>196</v>
      </c>
      <c r="AC590" s="1">
        <v>5819.0</v>
      </c>
    </row>
    <row r="591">
      <c r="A591" s="1" t="str">
        <f>"000871"</f>
        <v>000871</v>
      </c>
      <c r="B591" s="1" t="s">
        <v>972</v>
      </c>
      <c r="C591" s="1" t="s">
        <v>973</v>
      </c>
      <c r="D591" s="1" t="str">
        <f>"8027632439"</f>
        <v>8027632439</v>
      </c>
      <c r="E591" s="1">
        <v>2992.0</v>
      </c>
      <c r="F591" s="1" t="s">
        <v>117</v>
      </c>
      <c r="G591" s="1" t="s">
        <v>2607</v>
      </c>
      <c r="H591" s="1">
        <v>8.0</v>
      </c>
      <c r="I591" s="1"/>
      <c r="J591" s="1"/>
      <c r="K591" s="1"/>
      <c r="L591" s="1"/>
      <c r="M591" s="1" t="s">
        <v>2608</v>
      </c>
      <c r="N591" s="1" t="s">
        <v>34</v>
      </c>
      <c r="O591" s="1" t="s">
        <v>35</v>
      </c>
      <c r="P591" s="1"/>
      <c r="Q591" s="3">
        <v>36892.0</v>
      </c>
      <c r="R591" s="1"/>
      <c r="S591" s="3">
        <v>39745.0</v>
      </c>
      <c r="T591" s="1" t="s">
        <v>37</v>
      </c>
      <c r="U591" s="1"/>
      <c r="V591" s="1" t="s">
        <v>38</v>
      </c>
      <c r="W591" s="1"/>
      <c r="X591" s="1"/>
      <c r="Y591" s="1" t="s">
        <v>49</v>
      </c>
      <c r="Z591" s="1"/>
      <c r="AA591" s="1" t="s">
        <v>40</v>
      </c>
      <c r="AB591" s="1" t="s">
        <v>345</v>
      </c>
      <c r="AC591" s="1"/>
    </row>
    <row r="592">
      <c r="A592" s="1" t="str">
        <f>"0008HP"</f>
        <v>0008HP</v>
      </c>
      <c r="B592" s="1" t="s">
        <v>2609</v>
      </c>
      <c r="C592" s="1" t="s">
        <v>2610</v>
      </c>
      <c r="D592" s="1" t="str">
        <f>"8028835586"</f>
        <v>8028835586</v>
      </c>
      <c r="E592" s="1">
        <v>2838.0</v>
      </c>
      <c r="F592" s="1" t="s">
        <v>44</v>
      </c>
      <c r="G592" s="1" t="s">
        <v>2611</v>
      </c>
      <c r="H592" s="1"/>
      <c r="I592" s="1"/>
      <c r="J592" s="1"/>
      <c r="K592" s="1"/>
      <c r="L592" s="1"/>
      <c r="M592" s="1" t="s">
        <v>72</v>
      </c>
      <c r="N592" s="1" t="s">
        <v>142</v>
      </c>
      <c r="O592" s="1" t="s">
        <v>1026</v>
      </c>
      <c r="P592" s="1"/>
      <c r="Q592" s="3">
        <v>36892.0</v>
      </c>
      <c r="R592" s="1"/>
      <c r="S592" s="1"/>
      <c r="T592" s="1" t="s">
        <v>37</v>
      </c>
      <c r="U592" s="1"/>
      <c r="V592" s="1" t="s">
        <v>38</v>
      </c>
      <c r="W592" s="1"/>
      <c r="X592" s="1"/>
      <c r="Y592" s="1" t="s">
        <v>49</v>
      </c>
      <c r="Z592" s="1"/>
      <c r="AA592" s="1" t="s">
        <v>40</v>
      </c>
      <c r="AB592" s="1" t="s">
        <v>135</v>
      </c>
      <c r="AC592" s="1"/>
    </row>
    <row r="593">
      <c r="A593" s="1" t="str">
        <f>"00084J"</f>
        <v>00084J</v>
      </c>
      <c r="B593" s="1" t="s">
        <v>2612</v>
      </c>
      <c r="C593" s="1" t="s">
        <v>2613</v>
      </c>
      <c r="D593" s="1" t="str">
        <f>"8027235924"</f>
        <v>8027235924</v>
      </c>
      <c r="E593" s="1">
        <v>1639.0</v>
      </c>
      <c r="F593" s="1" t="s">
        <v>44</v>
      </c>
      <c r="G593" s="1" t="s">
        <v>2614</v>
      </c>
      <c r="H593" s="1"/>
      <c r="I593" s="1"/>
      <c r="J593" s="1"/>
      <c r="K593" s="1"/>
      <c r="L593" s="1"/>
      <c r="M593" s="1" t="s">
        <v>2615</v>
      </c>
      <c r="N593" s="1" t="s">
        <v>128</v>
      </c>
      <c r="O593" s="1" t="s">
        <v>2616</v>
      </c>
      <c r="P593" s="1"/>
      <c r="Q593" s="3">
        <v>36892.0</v>
      </c>
      <c r="R593" s="1"/>
      <c r="S593" s="1"/>
      <c r="T593" s="1" t="s">
        <v>37</v>
      </c>
      <c r="U593" s="1"/>
      <c r="V593" s="1" t="s">
        <v>38</v>
      </c>
      <c r="W593" s="1"/>
      <c r="X593" s="1"/>
      <c r="Y593" s="1" t="s">
        <v>49</v>
      </c>
      <c r="Z593" s="1"/>
      <c r="AA593" s="1" t="s">
        <v>40</v>
      </c>
      <c r="AB593" s="1" t="s">
        <v>2617</v>
      </c>
      <c r="AC593" s="1"/>
    </row>
    <row r="594">
      <c r="A594" s="1" t="str">
        <f t="shared" ref="A594:A595" si="40">"00084H"</f>
        <v>00084H</v>
      </c>
      <c r="B594" s="1" t="s">
        <v>1975</v>
      </c>
      <c r="C594" s="1" t="s">
        <v>1976</v>
      </c>
      <c r="D594" s="1" t="str">
        <f t="shared" ref="D594:D595" si="41">"8023345907"</f>
        <v>8023345907</v>
      </c>
      <c r="E594" s="1">
        <v>1636.0</v>
      </c>
      <c r="F594" s="1" t="s">
        <v>44</v>
      </c>
      <c r="G594" s="1" t="s">
        <v>2618</v>
      </c>
      <c r="H594" s="1">
        <v>1.0</v>
      </c>
      <c r="I594" s="1"/>
      <c r="J594" s="1"/>
      <c r="K594" s="1"/>
      <c r="L594" s="1"/>
      <c r="M594" s="1" t="s">
        <v>2619</v>
      </c>
      <c r="N594" s="1" t="s">
        <v>94</v>
      </c>
      <c r="O594" s="1" t="s">
        <v>637</v>
      </c>
      <c r="P594" s="1"/>
      <c r="Q594" s="3">
        <v>36892.0</v>
      </c>
      <c r="R594" s="1"/>
      <c r="S594" s="3">
        <v>34960.0</v>
      </c>
      <c r="T594" s="1" t="s">
        <v>37</v>
      </c>
      <c r="U594" s="1"/>
      <c r="V594" s="1" t="s">
        <v>38</v>
      </c>
      <c r="W594" s="1"/>
      <c r="X594" s="1"/>
      <c r="Y594" s="1" t="s">
        <v>49</v>
      </c>
      <c r="Z594" s="1"/>
      <c r="AA594" s="1" t="s">
        <v>40</v>
      </c>
      <c r="AB594" s="1" t="s">
        <v>637</v>
      </c>
      <c r="AC594" s="1"/>
    </row>
    <row r="595">
      <c r="A595" s="1" t="str">
        <f t="shared" si="40"/>
        <v>00084H</v>
      </c>
      <c r="B595" s="1" t="s">
        <v>1975</v>
      </c>
      <c r="C595" s="1" t="s">
        <v>1976</v>
      </c>
      <c r="D595" s="1" t="str">
        <f t="shared" si="41"/>
        <v>8023345907</v>
      </c>
      <c r="E595" s="1">
        <v>1636.0</v>
      </c>
      <c r="F595" s="1" t="s">
        <v>44</v>
      </c>
      <c r="G595" s="1" t="s">
        <v>2620</v>
      </c>
      <c r="H595" s="1">
        <v>4.0</v>
      </c>
      <c r="I595" s="1"/>
      <c r="J595" s="1"/>
      <c r="K595" s="1"/>
      <c r="L595" s="1"/>
      <c r="M595" s="1" t="s">
        <v>2621</v>
      </c>
      <c r="N595" s="1" t="s">
        <v>94</v>
      </c>
      <c r="O595" s="1" t="s">
        <v>1019</v>
      </c>
      <c r="P595" s="1"/>
      <c r="Q595" s="3">
        <v>36892.0</v>
      </c>
      <c r="R595" s="1"/>
      <c r="S595" s="3">
        <v>34960.0</v>
      </c>
      <c r="T595" s="1" t="s">
        <v>37</v>
      </c>
      <c r="U595" s="1"/>
      <c r="V595" s="1" t="s">
        <v>38</v>
      </c>
      <c r="W595" s="1"/>
      <c r="X595" s="1"/>
      <c r="Y595" s="1" t="s">
        <v>49</v>
      </c>
      <c r="Z595" s="1"/>
      <c r="AA595" s="1" t="s">
        <v>40</v>
      </c>
      <c r="AB595" s="1" t="s">
        <v>1978</v>
      </c>
      <c r="AC595" s="1"/>
    </row>
    <row r="596">
      <c r="A596" s="1" t="str">
        <f>"00080Q"</f>
        <v>00080Q</v>
      </c>
      <c r="B596" s="1" t="s">
        <v>2622</v>
      </c>
      <c r="C596" s="1" t="s">
        <v>2623</v>
      </c>
      <c r="D596" s="1" t="str">
        <f>"8028788856"</f>
        <v>8028788856</v>
      </c>
      <c r="E596" s="1">
        <v>1454.0</v>
      </c>
      <c r="F596" s="1" t="s">
        <v>44</v>
      </c>
      <c r="G596" s="1" t="s">
        <v>2624</v>
      </c>
      <c r="H596" s="1">
        <v>3.0</v>
      </c>
      <c r="I596" s="1"/>
      <c r="J596" s="1"/>
      <c r="K596" s="1"/>
      <c r="L596" s="1"/>
      <c r="M596" s="1" t="s">
        <v>2625</v>
      </c>
      <c r="N596" s="1" t="s">
        <v>57</v>
      </c>
      <c r="O596" s="1" t="s">
        <v>155</v>
      </c>
      <c r="P596" s="1"/>
      <c r="Q596" s="3">
        <v>36892.0</v>
      </c>
      <c r="R596" s="1"/>
      <c r="S596" s="3">
        <v>32645.0</v>
      </c>
      <c r="T596" s="1" t="s">
        <v>37</v>
      </c>
      <c r="U596" s="1"/>
      <c r="V596" s="1" t="s">
        <v>38</v>
      </c>
      <c r="W596" s="1"/>
      <c r="X596" s="1"/>
      <c r="Y596" s="1" t="s">
        <v>49</v>
      </c>
      <c r="Z596" s="1"/>
      <c r="AA596" s="1" t="s">
        <v>40</v>
      </c>
      <c r="AB596" s="1" t="s">
        <v>156</v>
      </c>
      <c r="AC596" s="1"/>
    </row>
    <row r="597">
      <c r="A597" s="1" t="str">
        <f>"0008CZ"</f>
        <v>0008CZ</v>
      </c>
      <c r="B597" s="1" t="s">
        <v>2626</v>
      </c>
      <c r="C597" s="1" t="s">
        <v>2627</v>
      </c>
      <c r="D597" s="1" t="str">
        <f>"8025785439"</f>
        <v>8025785439</v>
      </c>
      <c r="E597" s="1">
        <v>4016.0</v>
      </c>
      <c r="F597" s="1" t="s">
        <v>44</v>
      </c>
      <c r="G597" s="1" t="s">
        <v>2628</v>
      </c>
      <c r="H597" s="1">
        <v>2.0</v>
      </c>
      <c r="I597" s="1"/>
      <c r="J597" s="1"/>
      <c r="K597" s="1"/>
      <c r="L597" s="1"/>
      <c r="M597" s="1" t="s">
        <v>2629</v>
      </c>
      <c r="N597" s="1" t="s">
        <v>57</v>
      </c>
      <c r="O597" s="1" t="s">
        <v>175</v>
      </c>
      <c r="P597" s="1" t="s">
        <v>2630</v>
      </c>
      <c r="Q597" s="3">
        <v>36892.0</v>
      </c>
      <c r="R597" s="1"/>
      <c r="S597" s="1"/>
      <c r="T597" s="1" t="s">
        <v>37</v>
      </c>
      <c r="U597" s="1"/>
      <c r="V597" s="1" t="s">
        <v>38</v>
      </c>
      <c r="W597" s="1"/>
      <c r="X597" s="1"/>
      <c r="Y597" s="1" t="s">
        <v>2631</v>
      </c>
      <c r="Z597" s="1"/>
      <c r="AA597" s="1" t="s">
        <v>40</v>
      </c>
      <c r="AB597" s="1" t="s">
        <v>176</v>
      </c>
      <c r="AC597" s="1">
        <v>5401.0</v>
      </c>
    </row>
    <row r="598">
      <c r="A598" s="1" t="str">
        <f>"00089P"</f>
        <v>00089P</v>
      </c>
      <c r="B598" s="1" t="s">
        <v>2632</v>
      </c>
      <c r="C598" s="1" t="s">
        <v>2633</v>
      </c>
      <c r="D598" s="1"/>
      <c r="E598" s="1">
        <v>2965.0</v>
      </c>
      <c r="F598" s="1" t="s">
        <v>44</v>
      </c>
      <c r="G598" s="1" t="s">
        <v>2634</v>
      </c>
      <c r="H598" s="1">
        <v>2.0</v>
      </c>
      <c r="I598" s="1"/>
      <c r="J598" s="1"/>
      <c r="K598" s="1"/>
      <c r="L598" s="1"/>
      <c r="M598" s="1" t="s">
        <v>2635</v>
      </c>
      <c r="N598" s="1" t="s">
        <v>47</v>
      </c>
      <c r="O598" s="1" t="s">
        <v>980</v>
      </c>
      <c r="P598" s="1"/>
      <c r="Q598" s="3">
        <v>36892.0</v>
      </c>
      <c r="R598" s="1"/>
      <c r="S598" s="3">
        <v>35284.0</v>
      </c>
      <c r="T598" s="1" t="s">
        <v>37</v>
      </c>
      <c r="U598" s="1"/>
      <c r="V598" s="1" t="s">
        <v>38</v>
      </c>
      <c r="W598" s="1"/>
      <c r="X598" s="1"/>
      <c r="Y598" s="1" t="s">
        <v>49</v>
      </c>
      <c r="Z598" s="1"/>
      <c r="AA598" s="1" t="s">
        <v>40</v>
      </c>
      <c r="AB598" s="1" t="s">
        <v>981</v>
      </c>
      <c r="AC598" s="1"/>
    </row>
    <row r="599">
      <c r="A599" s="1" t="str">
        <f>"0008J7"</f>
        <v>0008J7</v>
      </c>
      <c r="B599" s="1" t="s">
        <v>2636</v>
      </c>
      <c r="C599" s="1" t="s">
        <v>2637</v>
      </c>
      <c r="D599" s="1" t="str">
        <f>"8026352928"</f>
        <v>8026352928</v>
      </c>
      <c r="E599" s="1">
        <v>2780.0</v>
      </c>
      <c r="F599" s="1" t="s">
        <v>44</v>
      </c>
      <c r="G599" s="1" t="s">
        <v>2638</v>
      </c>
      <c r="H599" s="1">
        <v>0.0</v>
      </c>
      <c r="I599" s="1"/>
      <c r="J599" s="1"/>
      <c r="K599" s="1"/>
      <c r="L599" s="1"/>
      <c r="M599" s="1" t="s">
        <v>72</v>
      </c>
      <c r="N599" s="1" t="s">
        <v>213</v>
      </c>
      <c r="O599" s="1" t="s">
        <v>1154</v>
      </c>
      <c r="P599" s="1"/>
      <c r="Q599" s="3">
        <v>36892.0</v>
      </c>
      <c r="R599" s="1"/>
      <c r="S599" s="3">
        <v>39687.0</v>
      </c>
      <c r="T599" s="1" t="s">
        <v>37</v>
      </c>
      <c r="U599" s="1"/>
      <c r="V599" s="1" t="s">
        <v>38</v>
      </c>
      <c r="W599" s="1"/>
      <c r="X599" s="1"/>
      <c r="Y599" s="1" t="s">
        <v>49</v>
      </c>
      <c r="Z599" s="1"/>
      <c r="AA599" s="1" t="s">
        <v>40</v>
      </c>
      <c r="AB599" s="1" t="s">
        <v>1155</v>
      </c>
      <c r="AC599" s="1"/>
    </row>
    <row r="600">
      <c r="A600" s="1" t="str">
        <f>"00084C"</f>
        <v>00084C</v>
      </c>
      <c r="B600" s="1" t="s">
        <v>2639</v>
      </c>
      <c r="C600" s="1" t="s">
        <v>2640</v>
      </c>
      <c r="D600" s="1"/>
      <c r="E600" s="1">
        <v>1630.0</v>
      </c>
      <c r="F600" s="1" t="s">
        <v>44</v>
      </c>
      <c r="G600" s="1" t="s">
        <v>2641</v>
      </c>
      <c r="H600" s="1"/>
      <c r="I600" s="1"/>
      <c r="J600" s="1"/>
      <c r="K600" s="1"/>
      <c r="L600" s="1"/>
      <c r="M600" s="1" t="s">
        <v>2642</v>
      </c>
      <c r="N600" s="1" t="s">
        <v>414</v>
      </c>
      <c r="O600" s="1" t="s">
        <v>1160</v>
      </c>
      <c r="P600" s="1"/>
      <c r="Q600" s="3">
        <v>36892.0</v>
      </c>
      <c r="R600" s="1"/>
      <c r="S600" s="1"/>
      <c r="T600" s="1" t="s">
        <v>37</v>
      </c>
      <c r="U600" s="1"/>
      <c r="V600" s="1" t="s">
        <v>38</v>
      </c>
      <c r="W600" s="1"/>
      <c r="X600" s="1"/>
      <c r="Y600" s="1" t="s">
        <v>49</v>
      </c>
      <c r="Z600" s="1"/>
      <c r="AA600" s="1" t="s">
        <v>40</v>
      </c>
      <c r="AB600" s="1" t="s">
        <v>1161</v>
      </c>
      <c r="AC600" s="1"/>
    </row>
    <row r="601">
      <c r="A601" s="1" t="str">
        <f>"0008W2"</f>
        <v>0008W2</v>
      </c>
      <c r="B601" s="1" t="s">
        <v>2643</v>
      </c>
      <c r="C601" s="1" t="s">
        <v>2644</v>
      </c>
      <c r="D601" s="1" t="str">
        <f>"8025356067"</f>
        <v>8025356067</v>
      </c>
      <c r="E601" s="1">
        <v>3340.0</v>
      </c>
      <c r="F601" s="1" t="s">
        <v>44</v>
      </c>
      <c r="G601" s="1" t="s">
        <v>2645</v>
      </c>
      <c r="H601" s="1">
        <v>1.0</v>
      </c>
      <c r="I601" s="1"/>
      <c r="J601" s="1"/>
      <c r="K601" s="1"/>
      <c r="L601" s="1"/>
      <c r="M601" s="1" t="s">
        <v>72</v>
      </c>
      <c r="N601" s="1" t="s">
        <v>128</v>
      </c>
      <c r="O601" s="1" t="s">
        <v>129</v>
      </c>
      <c r="P601" s="1"/>
      <c r="Q601" s="3">
        <v>36892.0</v>
      </c>
      <c r="R601" s="1"/>
      <c r="S601" s="1"/>
      <c r="T601" s="1" t="s">
        <v>37</v>
      </c>
      <c r="U601" s="1"/>
      <c r="V601" s="1" t="s">
        <v>38</v>
      </c>
      <c r="W601" s="1">
        <v>44.449329</v>
      </c>
      <c r="X601" s="1">
        <v>-72.119319</v>
      </c>
      <c r="Y601" s="1" t="s">
        <v>2646</v>
      </c>
      <c r="Z601" s="1"/>
      <c r="AA601" s="1" t="s">
        <v>40</v>
      </c>
      <c r="AB601" s="1" t="s">
        <v>130</v>
      </c>
      <c r="AC601" s="1">
        <v>5828.0</v>
      </c>
    </row>
    <row r="602">
      <c r="A602" s="1" t="str">
        <f>"000849"</f>
        <v>000849</v>
      </c>
      <c r="B602" s="1" t="s">
        <v>2647</v>
      </c>
      <c r="C602" s="1" t="s">
        <v>2648</v>
      </c>
      <c r="D602" s="1" t="str">
        <f>"8022763883"</f>
        <v>8022763883</v>
      </c>
      <c r="E602" s="1">
        <v>3673.0</v>
      </c>
      <c r="F602" s="1" t="s">
        <v>44</v>
      </c>
      <c r="G602" s="1" t="s">
        <v>2649</v>
      </c>
      <c r="H602" s="1">
        <v>1.0</v>
      </c>
      <c r="I602" s="1"/>
      <c r="J602" s="1"/>
      <c r="K602" s="1"/>
      <c r="L602" s="1"/>
      <c r="M602" s="1" t="s">
        <v>72</v>
      </c>
      <c r="N602" s="1" t="s">
        <v>142</v>
      </c>
      <c r="O602" s="1" t="s">
        <v>353</v>
      </c>
      <c r="P602" s="1"/>
      <c r="Q602" s="3">
        <v>36892.0</v>
      </c>
      <c r="R602" s="1"/>
      <c r="S602" s="3">
        <v>39702.0</v>
      </c>
      <c r="T602" s="1" t="s">
        <v>37</v>
      </c>
      <c r="U602" s="1"/>
      <c r="V602" s="1" t="s">
        <v>38</v>
      </c>
      <c r="W602" s="1"/>
      <c r="X602" s="1"/>
      <c r="Y602" s="1" t="s">
        <v>49</v>
      </c>
      <c r="Z602" s="1"/>
      <c r="AA602" s="1" t="s">
        <v>40</v>
      </c>
      <c r="AB602" s="1" t="s">
        <v>355</v>
      </c>
      <c r="AC602" s="1"/>
    </row>
    <row r="603">
      <c r="A603" s="1" t="str">
        <f>"000499"</f>
        <v>000499</v>
      </c>
      <c r="B603" s="1" t="s">
        <v>536</v>
      </c>
      <c r="C603" s="1" t="s">
        <v>537</v>
      </c>
      <c r="D603" s="1" t="str">
        <f>"8028663342"</f>
        <v>8028663342</v>
      </c>
      <c r="E603" s="1">
        <v>1737.0</v>
      </c>
      <c r="F603" s="1" t="s">
        <v>44</v>
      </c>
      <c r="G603" s="1" t="s">
        <v>2650</v>
      </c>
      <c r="H603" s="1">
        <v>3.0</v>
      </c>
      <c r="I603" s="1"/>
      <c r="J603" s="1"/>
      <c r="K603" s="1"/>
      <c r="L603" s="1"/>
      <c r="M603" s="1" t="s">
        <v>2651</v>
      </c>
      <c r="N603" s="1" t="s">
        <v>142</v>
      </c>
      <c r="O603" s="1" t="s">
        <v>540</v>
      </c>
      <c r="P603" s="1"/>
      <c r="Q603" s="3">
        <v>36892.0</v>
      </c>
      <c r="R603" s="1"/>
      <c r="S603" s="3">
        <v>38190.0</v>
      </c>
      <c r="T603" s="1" t="s">
        <v>37</v>
      </c>
      <c r="U603" s="1"/>
      <c r="V603" s="1" t="s">
        <v>38</v>
      </c>
      <c r="W603" s="1"/>
      <c r="X603" s="1"/>
      <c r="Y603" s="1" t="s">
        <v>49</v>
      </c>
      <c r="Z603" s="1"/>
      <c r="AA603" s="1" t="s">
        <v>40</v>
      </c>
      <c r="AB603" s="1" t="s">
        <v>541</v>
      </c>
      <c r="AC603" s="1"/>
    </row>
    <row r="604">
      <c r="A604" s="1" t="str">
        <f t="shared" ref="A604:A605" si="42">"0007ZF"</f>
        <v>0007ZF</v>
      </c>
      <c r="B604" s="1" t="s">
        <v>2652</v>
      </c>
      <c r="C604" s="1" t="s">
        <v>2653</v>
      </c>
      <c r="D604" s="1" t="str">
        <f t="shared" ref="D604:D605" si="43">"8028993253"</f>
        <v>8028993253</v>
      </c>
      <c r="E604" s="1">
        <v>1376.0</v>
      </c>
      <c r="F604" s="1" t="s">
        <v>44</v>
      </c>
      <c r="G604" s="1" t="s">
        <v>2654</v>
      </c>
      <c r="H604" s="1">
        <v>1.0</v>
      </c>
      <c r="I604" s="1"/>
      <c r="J604" s="1"/>
      <c r="K604" s="1"/>
      <c r="L604" s="1"/>
      <c r="M604" s="1" t="s">
        <v>2655</v>
      </c>
      <c r="N604" s="1" t="s">
        <v>57</v>
      </c>
      <c r="O604" s="1" t="s">
        <v>58</v>
      </c>
      <c r="P604" s="1"/>
      <c r="Q604" s="3">
        <v>36892.0</v>
      </c>
      <c r="R604" s="1"/>
      <c r="S604" s="3">
        <v>32737.0</v>
      </c>
      <c r="T604" s="1" t="s">
        <v>37</v>
      </c>
      <c r="U604" s="1"/>
      <c r="V604" s="1" t="s">
        <v>38</v>
      </c>
      <c r="W604" s="1"/>
      <c r="X604" s="1"/>
      <c r="Y604" s="1" t="s">
        <v>49</v>
      </c>
      <c r="Z604" s="1"/>
      <c r="AA604" s="1" t="s">
        <v>40</v>
      </c>
      <c r="AB604" s="1" t="s">
        <v>61</v>
      </c>
      <c r="AC604" s="1"/>
    </row>
    <row r="605">
      <c r="A605" s="1" t="str">
        <f t="shared" si="42"/>
        <v>0007ZF</v>
      </c>
      <c r="B605" s="1" t="s">
        <v>2652</v>
      </c>
      <c r="C605" s="1" t="s">
        <v>2653</v>
      </c>
      <c r="D605" s="1" t="str">
        <f t="shared" si="43"/>
        <v>8028993253</v>
      </c>
      <c r="E605" s="1">
        <v>1376.0</v>
      </c>
      <c r="F605" s="1" t="s">
        <v>44</v>
      </c>
      <c r="G605" s="1" t="s">
        <v>2656</v>
      </c>
      <c r="H605" s="1"/>
      <c r="I605" s="1"/>
      <c r="J605" s="1"/>
      <c r="K605" s="1"/>
      <c r="L605" s="1"/>
      <c r="M605" s="1" t="s">
        <v>2657</v>
      </c>
      <c r="N605" s="1" t="s">
        <v>57</v>
      </c>
      <c r="O605" s="1" t="s">
        <v>745</v>
      </c>
      <c r="P605" s="1"/>
      <c r="Q605" s="3">
        <v>36892.0</v>
      </c>
      <c r="R605" s="1"/>
      <c r="S605" s="1"/>
      <c r="T605" s="1" t="s">
        <v>37</v>
      </c>
      <c r="U605" s="1"/>
      <c r="V605" s="1" t="s">
        <v>38</v>
      </c>
      <c r="W605" s="1"/>
      <c r="X605" s="1"/>
      <c r="Y605" s="1" t="s">
        <v>49</v>
      </c>
      <c r="Z605" s="1"/>
      <c r="AA605" s="1" t="s">
        <v>40</v>
      </c>
      <c r="AB605" s="1" t="s">
        <v>746</v>
      </c>
      <c r="AC605" s="1"/>
    </row>
    <row r="606">
      <c r="A606" s="1" t="str">
        <f>"000847"</f>
        <v>000847</v>
      </c>
      <c r="B606" s="1" t="s">
        <v>2658</v>
      </c>
      <c r="C606" s="1" t="s">
        <v>2659</v>
      </c>
      <c r="D606" s="1" t="str">
        <f>"8022233790"</f>
        <v>8022233790</v>
      </c>
      <c r="E606" s="1">
        <v>2396.0</v>
      </c>
      <c r="F606" s="1" t="s">
        <v>44</v>
      </c>
      <c r="G606" s="1" t="s">
        <v>2660</v>
      </c>
      <c r="H606" s="1">
        <v>1.0</v>
      </c>
      <c r="I606" s="1"/>
      <c r="J606" s="1"/>
      <c r="K606" s="1"/>
      <c r="L606" s="1"/>
      <c r="M606" s="1" t="s">
        <v>72</v>
      </c>
      <c r="N606" s="1" t="s">
        <v>135</v>
      </c>
      <c r="O606" s="1" t="s">
        <v>279</v>
      </c>
      <c r="P606" s="1"/>
      <c r="Q606" s="3">
        <v>36892.0</v>
      </c>
      <c r="R606" s="1"/>
      <c r="S606" s="3">
        <v>33784.0</v>
      </c>
      <c r="T606" s="1" t="s">
        <v>37</v>
      </c>
      <c r="U606" s="1"/>
      <c r="V606" s="1" t="s">
        <v>38</v>
      </c>
      <c r="W606" s="1"/>
      <c r="X606" s="1"/>
      <c r="Y606" s="1" t="s">
        <v>49</v>
      </c>
      <c r="Z606" s="1"/>
      <c r="AA606" s="1" t="s">
        <v>40</v>
      </c>
      <c r="AB606" s="1" t="s">
        <v>281</v>
      </c>
      <c r="AC606" s="1"/>
    </row>
    <row r="607">
      <c r="A607" s="1" t="str">
        <f>"000846"</f>
        <v>000846</v>
      </c>
      <c r="B607" s="1" t="s">
        <v>2661</v>
      </c>
      <c r="C607" s="1" t="s">
        <v>2662</v>
      </c>
      <c r="D607" s="1"/>
      <c r="E607" s="1">
        <v>1623.0</v>
      </c>
      <c r="F607" s="1" t="s">
        <v>44</v>
      </c>
      <c r="G607" s="1" t="s">
        <v>2663</v>
      </c>
      <c r="H607" s="1">
        <v>4.0</v>
      </c>
      <c r="I607" s="1"/>
      <c r="J607" s="1"/>
      <c r="K607" s="1"/>
      <c r="L607" s="1"/>
      <c r="M607" s="1" t="s">
        <v>2664</v>
      </c>
      <c r="N607" s="1" t="s">
        <v>107</v>
      </c>
      <c r="O607" s="1" t="s">
        <v>2665</v>
      </c>
      <c r="P607" s="1"/>
      <c r="Q607" s="3">
        <v>36892.0</v>
      </c>
      <c r="R607" s="1"/>
      <c r="S607" s="3">
        <v>32695.0</v>
      </c>
      <c r="T607" s="1" t="s">
        <v>37</v>
      </c>
      <c r="U607" s="1"/>
      <c r="V607" s="1" t="s">
        <v>38</v>
      </c>
      <c r="W607" s="1"/>
      <c r="X607" s="1"/>
      <c r="Y607" s="1" t="s">
        <v>49</v>
      </c>
      <c r="Z607" s="1"/>
      <c r="AA607" s="1" t="s">
        <v>40</v>
      </c>
      <c r="AB607" s="1" t="s">
        <v>2666</v>
      </c>
      <c r="AC607" s="1"/>
    </row>
    <row r="608">
      <c r="A608" s="1" t="str">
        <f>"00083Q"</f>
        <v>00083Q</v>
      </c>
      <c r="B608" s="1" t="s">
        <v>2667</v>
      </c>
      <c r="C608" s="1" t="s">
        <v>2668</v>
      </c>
      <c r="D608" s="1" t="str">
        <f>"8024573577"</f>
        <v>8024573577</v>
      </c>
      <c r="E608" s="1">
        <v>2982.0</v>
      </c>
      <c r="F608" s="1" t="s">
        <v>44</v>
      </c>
      <c r="G608" s="1" t="s">
        <v>2669</v>
      </c>
      <c r="H608" s="1">
        <v>0.0</v>
      </c>
      <c r="I608" s="1"/>
      <c r="J608" s="1"/>
      <c r="K608" s="1"/>
      <c r="L608" s="1"/>
      <c r="M608" s="1" t="s">
        <v>72</v>
      </c>
      <c r="N608" s="1" t="s">
        <v>34</v>
      </c>
      <c r="O608" s="1" t="s">
        <v>324</v>
      </c>
      <c r="P608" s="1"/>
      <c r="Q608" s="3">
        <v>36892.0</v>
      </c>
      <c r="R608" s="1"/>
      <c r="S608" s="3">
        <v>38251.0</v>
      </c>
      <c r="T608" s="1" t="s">
        <v>37</v>
      </c>
      <c r="U608" s="1"/>
      <c r="V608" s="1" t="s">
        <v>38</v>
      </c>
      <c r="W608" s="1"/>
      <c r="X608" s="1"/>
      <c r="Y608" s="1" t="s">
        <v>49</v>
      </c>
      <c r="Z608" s="1"/>
      <c r="AA608" s="1" t="s">
        <v>40</v>
      </c>
      <c r="AB608" s="1" t="s">
        <v>326</v>
      </c>
      <c r="AC608" s="1"/>
    </row>
    <row r="609">
      <c r="A609" s="1" t="str">
        <f>"000905"</f>
        <v>000905</v>
      </c>
      <c r="B609" s="1" t="s">
        <v>2670</v>
      </c>
      <c r="C609" s="1" t="s">
        <v>2671</v>
      </c>
      <c r="D609" s="1"/>
      <c r="E609" s="1">
        <v>3559.0</v>
      </c>
      <c r="F609" s="1" t="s">
        <v>44</v>
      </c>
      <c r="G609" s="1" t="s">
        <v>2672</v>
      </c>
      <c r="H609" s="1"/>
      <c r="I609" s="1"/>
      <c r="J609" s="1"/>
      <c r="K609" s="1"/>
      <c r="L609" s="1"/>
      <c r="M609" s="1" t="s">
        <v>72</v>
      </c>
      <c r="N609" s="1" t="s">
        <v>57</v>
      </c>
      <c r="O609" s="1" t="s">
        <v>175</v>
      </c>
      <c r="P609" s="1"/>
      <c r="Q609" s="3">
        <v>36892.0</v>
      </c>
      <c r="R609" s="1"/>
      <c r="S609" s="1"/>
      <c r="T609" s="1" t="s">
        <v>37</v>
      </c>
      <c r="U609" s="1"/>
      <c r="V609" s="1" t="s">
        <v>38</v>
      </c>
      <c r="W609" s="1"/>
      <c r="X609" s="1"/>
      <c r="Y609" s="1" t="s">
        <v>49</v>
      </c>
      <c r="Z609" s="1"/>
      <c r="AA609" s="1" t="s">
        <v>40</v>
      </c>
      <c r="AB609" s="1" t="s">
        <v>176</v>
      </c>
      <c r="AC609" s="1"/>
    </row>
    <row r="610">
      <c r="A610" s="1" t="str">
        <f>"0008YK"</f>
        <v>0008YK</v>
      </c>
      <c r="B610" s="1" t="s">
        <v>2673</v>
      </c>
      <c r="C610" s="1" t="s">
        <v>2674</v>
      </c>
      <c r="D610" s="1" t="str">
        <f>"8029482255"</f>
        <v>8029482255</v>
      </c>
      <c r="E610" s="1">
        <v>3494.0</v>
      </c>
      <c r="F610" s="1" t="s">
        <v>44</v>
      </c>
      <c r="G610" s="1" t="s">
        <v>2675</v>
      </c>
      <c r="H610" s="1">
        <v>2.0</v>
      </c>
      <c r="I610" s="1"/>
      <c r="J610" s="1"/>
      <c r="K610" s="1"/>
      <c r="L610" s="1"/>
      <c r="M610" s="1" t="s">
        <v>72</v>
      </c>
      <c r="N610" s="1" t="s">
        <v>161</v>
      </c>
      <c r="O610" s="1" t="s">
        <v>531</v>
      </c>
      <c r="P610" s="1"/>
      <c r="Q610" s="3">
        <v>36892.0</v>
      </c>
      <c r="R610" s="1"/>
      <c r="S610" s="3">
        <v>38506.0</v>
      </c>
      <c r="T610" s="1" t="s">
        <v>37</v>
      </c>
      <c r="U610" s="1"/>
      <c r="V610" s="1" t="s">
        <v>38</v>
      </c>
      <c r="W610" s="1"/>
      <c r="X610" s="1"/>
      <c r="Y610" s="1" t="s">
        <v>49</v>
      </c>
      <c r="Z610" s="1"/>
      <c r="AA610" s="1" t="s">
        <v>40</v>
      </c>
      <c r="AB610" s="1" t="s">
        <v>532</v>
      </c>
      <c r="AC610" s="1"/>
    </row>
    <row r="611">
      <c r="A611" s="1" t="str">
        <f>"000819"</f>
        <v>000819</v>
      </c>
      <c r="B611" s="1" t="s">
        <v>2676</v>
      </c>
      <c r="C611" s="1" t="s">
        <v>2677</v>
      </c>
      <c r="D611" s="1"/>
      <c r="E611" s="1">
        <v>2988.0</v>
      </c>
      <c r="F611" s="1" t="s">
        <v>44</v>
      </c>
      <c r="G611" s="1" t="s">
        <v>2678</v>
      </c>
      <c r="H611" s="1">
        <v>3.0</v>
      </c>
      <c r="I611" s="1"/>
      <c r="J611" s="1"/>
      <c r="K611" s="1"/>
      <c r="L611" s="1"/>
      <c r="M611" s="1" t="s">
        <v>72</v>
      </c>
      <c r="N611" s="1" t="s">
        <v>142</v>
      </c>
      <c r="O611" s="1" t="s">
        <v>2376</v>
      </c>
      <c r="P611" s="1"/>
      <c r="Q611" s="3">
        <v>36892.0</v>
      </c>
      <c r="R611" s="1"/>
      <c r="S611" s="3">
        <v>35541.0</v>
      </c>
      <c r="T611" s="1" t="s">
        <v>37</v>
      </c>
      <c r="U611" s="1"/>
      <c r="V611" s="1" t="s">
        <v>38</v>
      </c>
      <c r="W611" s="1"/>
      <c r="X611" s="1"/>
      <c r="Y611" s="1" t="s">
        <v>49</v>
      </c>
      <c r="Z611" s="1"/>
      <c r="AA611" s="1" t="s">
        <v>40</v>
      </c>
      <c r="AB611" s="1" t="s">
        <v>142</v>
      </c>
      <c r="AC611" s="1"/>
    </row>
    <row r="612">
      <c r="A612" s="1" t="str">
        <f>"000843"</f>
        <v>000843</v>
      </c>
      <c r="B612" s="1" t="s">
        <v>2679</v>
      </c>
      <c r="C612" s="1" t="s">
        <v>2680</v>
      </c>
      <c r="D612" s="1" t="str">
        <f>"8028682632"</f>
        <v>8028682632</v>
      </c>
      <c r="E612" s="1">
        <v>1620.0</v>
      </c>
      <c r="F612" s="1" t="s">
        <v>44</v>
      </c>
      <c r="G612" s="1" t="s">
        <v>2681</v>
      </c>
      <c r="H612" s="1"/>
      <c r="I612" s="1"/>
      <c r="J612" s="1"/>
      <c r="K612" s="1"/>
      <c r="L612" s="1"/>
      <c r="M612" s="1" t="s">
        <v>2682</v>
      </c>
      <c r="N612" s="1" t="s">
        <v>107</v>
      </c>
      <c r="O612" s="1" t="s">
        <v>2016</v>
      </c>
      <c r="P612" s="1"/>
      <c r="Q612" s="3">
        <v>36892.0</v>
      </c>
      <c r="R612" s="1"/>
      <c r="S612" s="1"/>
      <c r="T612" s="1" t="s">
        <v>37</v>
      </c>
      <c r="U612" s="1"/>
      <c r="V612" s="1" t="s">
        <v>38</v>
      </c>
      <c r="W612" s="1"/>
      <c r="X612" s="1"/>
      <c r="Y612" s="1" t="s">
        <v>49</v>
      </c>
      <c r="Z612" s="1"/>
      <c r="AA612" s="1" t="s">
        <v>40</v>
      </c>
      <c r="AB612" s="1" t="s">
        <v>2019</v>
      </c>
      <c r="AC612" s="1"/>
    </row>
    <row r="613">
      <c r="A613" s="1" t="str">
        <f>"000842"</f>
        <v>000842</v>
      </c>
      <c r="B613" s="1" t="s">
        <v>2683</v>
      </c>
      <c r="C613" s="1" t="s">
        <v>2684</v>
      </c>
      <c r="D613" s="1"/>
      <c r="E613" s="1">
        <v>1619.0</v>
      </c>
      <c r="F613" s="1" t="s">
        <v>44</v>
      </c>
      <c r="G613" s="1" t="s">
        <v>2685</v>
      </c>
      <c r="H613" s="1">
        <v>4.0</v>
      </c>
      <c r="I613" s="1"/>
      <c r="J613" s="1"/>
      <c r="K613" s="1"/>
      <c r="L613" s="1"/>
      <c r="M613" s="1" t="s">
        <v>2686</v>
      </c>
      <c r="N613" s="1" t="s">
        <v>107</v>
      </c>
      <c r="O613" s="1" t="s">
        <v>2016</v>
      </c>
      <c r="P613" s="1"/>
      <c r="Q613" s="3">
        <v>36892.0</v>
      </c>
      <c r="R613" s="1"/>
      <c r="S613" s="3">
        <v>32696.0</v>
      </c>
      <c r="T613" s="1" t="s">
        <v>37</v>
      </c>
      <c r="U613" s="1"/>
      <c r="V613" s="1" t="s">
        <v>38</v>
      </c>
      <c r="W613" s="1"/>
      <c r="X613" s="1"/>
      <c r="Y613" s="1" t="s">
        <v>49</v>
      </c>
      <c r="Z613" s="1"/>
      <c r="AA613" s="1" t="s">
        <v>40</v>
      </c>
      <c r="AB613" s="1" t="s">
        <v>2019</v>
      </c>
      <c r="AC613" s="1"/>
    </row>
    <row r="614">
      <c r="A614" s="1" t="str">
        <f>"000906"</f>
        <v>000906</v>
      </c>
      <c r="B614" s="1" t="s">
        <v>2687</v>
      </c>
      <c r="C614" s="1" t="s">
        <v>2688</v>
      </c>
      <c r="D614" s="1" t="str">
        <f>"8026356603"</f>
        <v>8026356603</v>
      </c>
      <c r="E614" s="1">
        <v>3560.0</v>
      </c>
      <c r="F614" s="1" t="s">
        <v>44</v>
      </c>
      <c r="G614" s="1" t="s">
        <v>2689</v>
      </c>
      <c r="H614" s="1"/>
      <c r="I614" s="1"/>
      <c r="J614" s="1"/>
      <c r="K614" s="1"/>
      <c r="L614" s="1"/>
      <c r="M614" s="1" t="s">
        <v>72</v>
      </c>
      <c r="N614" s="1" t="s">
        <v>213</v>
      </c>
      <c r="O614" s="1" t="s">
        <v>1154</v>
      </c>
      <c r="P614" s="1"/>
      <c r="Q614" s="3">
        <v>36892.0</v>
      </c>
      <c r="R614" s="1"/>
      <c r="S614" s="1"/>
      <c r="T614" s="1" t="s">
        <v>37</v>
      </c>
      <c r="U614" s="1"/>
      <c r="V614" s="1" t="s">
        <v>38</v>
      </c>
      <c r="W614" s="1"/>
      <c r="X614" s="1"/>
      <c r="Y614" s="1" t="s">
        <v>49</v>
      </c>
      <c r="Z614" s="1"/>
      <c r="AA614" s="1" t="s">
        <v>40</v>
      </c>
      <c r="AB614" s="1" t="s">
        <v>1155</v>
      </c>
      <c r="AC614" s="1"/>
    </row>
    <row r="615">
      <c r="A615" s="1" t="str">
        <f>"00083Y"</f>
        <v>00083Y</v>
      </c>
      <c r="B615" s="1" t="s">
        <v>2690</v>
      </c>
      <c r="C615" s="1" t="s">
        <v>2691</v>
      </c>
      <c r="D615" s="1"/>
      <c r="E615" s="1">
        <v>1613.0</v>
      </c>
      <c r="F615" s="1" t="s">
        <v>44</v>
      </c>
      <c r="G615" s="1" t="s">
        <v>2692</v>
      </c>
      <c r="H615" s="1">
        <v>1.0</v>
      </c>
      <c r="I615" s="1"/>
      <c r="J615" s="1"/>
      <c r="K615" s="1"/>
      <c r="L615" s="1"/>
      <c r="M615" s="1" t="s">
        <v>2693</v>
      </c>
      <c r="N615" s="1" t="s">
        <v>107</v>
      </c>
      <c r="O615" s="1" t="s">
        <v>821</v>
      </c>
      <c r="P615" s="1"/>
      <c r="Q615" s="3">
        <v>36892.0</v>
      </c>
      <c r="R615" s="1"/>
      <c r="S615" s="3">
        <v>32696.0</v>
      </c>
      <c r="T615" s="1" t="s">
        <v>37</v>
      </c>
      <c r="U615" s="1"/>
      <c r="V615" s="1" t="s">
        <v>38</v>
      </c>
      <c r="W615" s="1"/>
      <c r="X615" s="1"/>
      <c r="Y615" s="1" t="s">
        <v>49</v>
      </c>
      <c r="Z615" s="1"/>
      <c r="AA615" s="1" t="s">
        <v>40</v>
      </c>
      <c r="AB615" s="1" t="s">
        <v>822</v>
      </c>
      <c r="AC615" s="1"/>
    </row>
    <row r="616">
      <c r="A616" s="1" t="str">
        <f>"00085Q"</f>
        <v>00085Q</v>
      </c>
      <c r="B616" s="1" t="s">
        <v>2499</v>
      </c>
      <c r="C616" s="1" t="s">
        <v>2500</v>
      </c>
      <c r="D616" s="1" t="str">
        <f>"8024533969"</f>
        <v>8024533969</v>
      </c>
      <c r="E616" s="1">
        <v>2976.0</v>
      </c>
      <c r="F616" s="1" t="s">
        <v>44</v>
      </c>
      <c r="G616" s="1" t="s">
        <v>2694</v>
      </c>
      <c r="H616" s="1"/>
      <c r="I616" s="1"/>
      <c r="J616" s="1"/>
      <c r="K616" s="1"/>
      <c r="L616" s="1"/>
      <c r="M616" s="1" t="s">
        <v>2695</v>
      </c>
      <c r="N616" s="1" t="s">
        <v>161</v>
      </c>
      <c r="O616" s="1" t="s">
        <v>307</v>
      </c>
      <c r="P616" s="1"/>
      <c r="Q616" s="3">
        <v>36892.0</v>
      </c>
      <c r="R616" s="1"/>
      <c r="S616" s="1"/>
      <c r="T616" s="1" t="s">
        <v>37</v>
      </c>
      <c r="U616" s="1"/>
      <c r="V616" s="1" t="s">
        <v>38</v>
      </c>
      <c r="W616" s="1"/>
      <c r="X616" s="1"/>
      <c r="Y616" s="1" t="s">
        <v>49</v>
      </c>
      <c r="Z616" s="1"/>
      <c r="AA616" s="1" t="s">
        <v>40</v>
      </c>
      <c r="AB616" s="1" t="s">
        <v>308</v>
      </c>
      <c r="AC616" s="1"/>
    </row>
    <row r="617">
      <c r="A617" s="1" t="str">
        <f>"0007JV"</f>
        <v>0007JV</v>
      </c>
      <c r="B617" s="1" t="s">
        <v>2696</v>
      </c>
      <c r="C617" s="1" t="s">
        <v>2697</v>
      </c>
      <c r="D617" s="1" t="str">
        <f>"8025277755"</f>
        <v>8025277755</v>
      </c>
      <c r="E617" s="1">
        <v>2694.0</v>
      </c>
      <c r="F617" s="1" t="s">
        <v>44</v>
      </c>
      <c r="G617" s="1" t="s">
        <v>2698</v>
      </c>
      <c r="H617" s="1">
        <v>3.0</v>
      </c>
      <c r="I617" s="1"/>
      <c r="J617" s="1"/>
      <c r="K617" s="1"/>
      <c r="L617" s="1"/>
      <c r="M617" s="1" t="s">
        <v>2699</v>
      </c>
      <c r="N617" s="1" t="s">
        <v>47</v>
      </c>
      <c r="O617" s="1" t="s">
        <v>582</v>
      </c>
      <c r="P617" s="1"/>
      <c r="Q617" s="3">
        <v>36892.0</v>
      </c>
      <c r="R617" s="1"/>
      <c r="S617" s="3">
        <v>33031.0</v>
      </c>
      <c r="T617" s="1" t="s">
        <v>37</v>
      </c>
      <c r="U617" s="1"/>
      <c r="V617" s="1" t="s">
        <v>38</v>
      </c>
      <c r="W617" s="1"/>
      <c r="X617" s="1"/>
      <c r="Y617" s="1" t="s">
        <v>49</v>
      </c>
      <c r="Z617" s="1"/>
      <c r="AA617" s="1" t="s">
        <v>40</v>
      </c>
      <c r="AB617" s="1" t="s">
        <v>583</v>
      </c>
      <c r="AC617" s="1"/>
    </row>
    <row r="618">
      <c r="A618" s="1" t="str">
        <f>"0008H6"</f>
        <v>0008H6</v>
      </c>
      <c r="B618" s="1" t="s">
        <v>2700</v>
      </c>
      <c r="C618" s="1" t="s">
        <v>2701</v>
      </c>
      <c r="D618" s="1"/>
      <c r="E618" s="1">
        <v>2736.0</v>
      </c>
      <c r="F618" s="1" t="s">
        <v>44</v>
      </c>
      <c r="G618" s="1" t="s">
        <v>2702</v>
      </c>
      <c r="H618" s="1">
        <v>3.0</v>
      </c>
      <c r="I618" s="1"/>
      <c r="J618" s="1"/>
      <c r="K618" s="1"/>
      <c r="L618" s="1"/>
      <c r="M618" s="1" t="s">
        <v>72</v>
      </c>
      <c r="N618" s="1" t="s">
        <v>414</v>
      </c>
      <c r="O618" s="1" t="s">
        <v>2703</v>
      </c>
      <c r="P618" s="1"/>
      <c r="Q618" s="3">
        <v>36892.0</v>
      </c>
      <c r="R618" s="1"/>
      <c r="S618" s="3">
        <v>34535.0</v>
      </c>
      <c r="T618" s="1" t="s">
        <v>37</v>
      </c>
      <c r="U618" s="1"/>
      <c r="V618" s="1" t="s">
        <v>38</v>
      </c>
      <c r="W618" s="1"/>
      <c r="X618" s="1"/>
      <c r="Y618" s="1" t="s">
        <v>49</v>
      </c>
      <c r="Z618" s="1"/>
      <c r="AA618" s="1" t="s">
        <v>40</v>
      </c>
      <c r="AB618" s="1" t="s">
        <v>2704</v>
      </c>
      <c r="AC618" s="1"/>
    </row>
    <row r="619">
      <c r="A619" s="1" t="str">
        <f>"00074W"</f>
        <v>00074W</v>
      </c>
      <c r="B619" s="1" t="s">
        <v>2705</v>
      </c>
      <c r="C619" s="1" t="s">
        <v>2706</v>
      </c>
      <c r="D619" s="1" t="str">
        <f>"8024836494"</f>
        <v>8024836494</v>
      </c>
      <c r="E619" s="1">
        <v>2926.0</v>
      </c>
      <c r="F619" s="1" t="s">
        <v>44</v>
      </c>
      <c r="G619" s="1" t="s">
        <v>2707</v>
      </c>
      <c r="H619" s="1">
        <v>7.0</v>
      </c>
      <c r="I619" s="1"/>
      <c r="J619" s="1"/>
      <c r="K619" s="1"/>
      <c r="L619" s="1"/>
      <c r="M619" s="1" t="s">
        <v>72</v>
      </c>
      <c r="N619" s="1" t="s">
        <v>78</v>
      </c>
      <c r="O619" s="1" t="s">
        <v>2708</v>
      </c>
      <c r="P619" s="1"/>
      <c r="Q619" s="3">
        <v>36892.0</v>
      </c>
      <c r="R619" s="1"/>
      <c r="S619" s="3">
        <v>34871.0</v>
      </c>
      <c r="T619" s="1" t="s">
        <v>37</v>
      </c>
      <c r="U619" s="1"/>
      <c r="V619" s="1" t="s">
        <v>38</v>
      </c>
      <c r="W619" s="1"/>
      <c r="X619" s="1"/>
      <c r="Y619" s="1" t="s">
        <v>49</v>
      </c>
      <c r="Z619" s="1"/>
      <c r="AA619" s="1" t="s">
        <v>40</v>
      </c>
      <c r="AB619" s="1" t="s">
        <v>57</v>
      </c>
      <c r="AC619" s="1"/>
    </row>
    <row r="620">
      <c r="A620" s="1" t="str">
        <f>"00090A"</f>
        <v>00090A</v>
      </c>
      <c r="B620" s="1" t="s">
        <v>1361</v>
      </c>
      <c r="C620" s="1" t="s">
        <v>1362</v>
      </c>
      <c r="D620" s="1" t="str">
        <f>"8025986624"</f>
        <v>8025986624</v>
      </c>
      <c r="E620" s="1">
        <v>3565.0</v>
      </c>
      <c r="F620" s="1" t="s">
        <v>44</v>
      </c>
      <c r="G620" s="1" t="s">
        <v>2709</v>
      </c>
      <c r="H620" s="1"/>
      <c r="I620" s="1"/>
      <c r="J620" s="1"/>
      <c r="K620" s="1"/>
      <c r="L620" s="1"/>
      <c r="M620" s="1" t="s">
        <v>72</v>
      </c>
      <c r="N620" s="1" t="s">
        <v>57</v>
      </c>
      <c r="O620" s="1" t="s">
        <v>256</v>
      </c>
      <c r="P620" s="1"/>
      <c r="Q620" s="3">
        <v>36892.0</v>
      </c>
      <c r="R620" s="1"/>
      <c r="S620" s="1"/>
      <c r="T620" s="1" t="s">
        <v>37</v>
      </c>
      <c r="U620" s="1"/>
      <c r="V620" s="1" t="s">
        <v>38</v>
      </c>
      <c r="W620" s="1"/>
      <c r="X620" s="1"/>
      <c r="Y620" s="1" t="s">
        <v>49</v>
      </c>
      <c r="Z620" s="1"/>
      <c r="AA620" s="1" t="s">
        <v>40</v>
      </c>
      <c r="AB620" s="1" t="s">
        <v>257</v>
      </c>
      <c r="AC620" s="1"/>
    </row>
    <row r="621">
      <c r="A621" s="1" t="str">
        <f>"000844"</f>
        <v>000844</v>
      </c>
      <c r="B621" s="1" t="s">
        <v>2710</v>
      </c>
      <c r="C621" s="1" t="s">
        <v>2711</v>
      </c>
      <c r="D621" s="1" t="str">
        <f>"8022236262"</f>
        <v>8022236262</v>
      </c>
      <c r="E621" s="1">
        <v>2983.0</v>
      </c>
      <c r="F621" s="1" t="s">
        <v>44</v>
      </c>
      <c r="G621" s="1" t="s">
        <v>2712</v>
      </c>
      <c r="H621" s="1">
        <v>1.0</v>
      </c>
      <c r="I621" s="1"/>
      <c r="J621" s="1"/>
      <c r="K621" s="1"/>
      <c r="L621" s="1"/>
      <c r="M621" s="1" t="s">
        <v>72</v>
      </c>
      <c r="N621" s="1" t="s">
        <v>135</v>
      </c>
      <c r="O621" s="1" t="s">
        <v>2713</v>
      </c>
      <c r="P621" s="1"/>
      <c r="Q621" s="3">
        <v>36892.0</v>
      </c>
      <c r="R621" s="1"/>
      <c r="S621" s="3">
        <v>41522.0</v>
      </c>
      <c r="T621" s="1" t="s">
        <v>37</v>
      </c>
      <c r="U621" s="1"/>
      <c r="V621" s="1" t="s">
        <v>38</v>
      </c>
      <c r="W621" s="1">
        <v>44.3394</v>
      </c>
      <c r="X621" s="1">
        <v>-72.63329</v>
      </c>
      <c r="Y621" s="1" t="s">
        <v>2714</v>
      </c>
      <c r="Z621" s="1"/>
      <c r="AA621" s="1" t="s">
        <v>40</v>
      </c>
      <c r="AB621" s="1" t="s">
        <v>2715</v>
      </c>
      <c r="AC621" s="1">
        <v>5602.0</v>
      </c>
    </row>
    <row r="622">
      <c r="A622" s="1" t="str">
        <f>"0008H5"</f>
        <v>0008H5</v>
      </c>
      <c r="B622" s="1" t="s">
        <v>2716</v>
      </c>
      <c r="C622" s="1" t="s">
        <v>2717</v>
      </c>
      <c r="D622" s="1" t="str">
        <f>"8028692438"</f>
        <v>8028692438</v>
      </c>
      <c r="E622" s="1">
        <v>2735.0</v>
      </c>
      <c r="F622" s="1" t="s">
        <v>44</v>
      </c>
      <c r="G622" s="1" t="s">
        <v>2718</v>
      </c>
      <c r="H622" s="1"/>
      <c r="I622" s="1"/>
      <c r="J622" s="1"/>
      <c r="K622" s="1"/>
      <c r="L622" s="1"/>
      <c r="M622" s="1" t="s">
        <v>72</v>
      </c>
      <c r="N622" s="1" t="s">
        <v>66</v>
      </c>
      <c r="O622" s="1" t="s">
        <v>1199</v>
      </c>
      <c r="P622" s="1"/>
      <c r="Q622" s="3">
        <v>36892.0</v>
      </c>
      <c r="R622" s="1"/>
      <c r="S622" s="1"/>
      <c r="T622" s="1" t="s">
        <v>37</v>
      </c>
      <c r="U622" s="1"/>
      <c r="V622" s="1" t="s">
        <v>38</v>
      </c>
      <c r="W622" s="1"/>
      <c r="X622" s="1"/>
      <c r="Y622" s="1" t="s">
        <v>49</v>
      </c>
      <c r="Z622" s="1"/>
      <c r="AA622" s="1" t="s">
        <v>40</v>
      </c>
      <c r="AB622" s="1" t="s">
        <v>1200</v>
      </c>
      <c r="AC622" s="1"/>
    </row>
    <row r="623">
      <c r="A623" s="1" t="str">
        <f>"000836"</f>
        <v>000836</v>
      </c>
      <c r="B623" s="1" t="s">
        <v>2719</v>
      </c>
      <c r="C623" s="1" t="s">
        <v>2720</v>
      </c>
      <c r="D623" s="1"/>
      <c r="E623" s="1">
        <v>2984.0</v>
      </c>
      <c r="F623" s="1" t="s">
        <v>44</v>
      </c>
      <c r="G623" s="1" t="s">
        <v>2721</v>
      </c>
      <c r="H623" s="1">
        <v>1.0</v>
      </c>
      <c r="I623" s="1"/>
      <c r="J623" s="1"/>
      <c r="K623" s="1"/>
      <c r="L623" s="1"/>
      <c r="M623" s="1" t="s">
        <v>72</v>
      </c>
      <c r="N623" s="1" t="s">
        <v>135</v>
      </c>
      <c r="O623" s="1" t="s">
        <v>805</v>
      </c>
      <c r="P623" s="1"/>
      <c r="Q623" s="3">
        <v>36892.0</v>
      </c>
      <c r="R623" s="1"/>
      <c r="S623" s="3">
        <v>35898.0</v>
      </c>
      <c r="T623" s="1" t="s">
        <v>37</v>
      </c>
      <c r="U623" s="1"/>
      <c r="V623" s="1" t="s">
        <v>38</v>
      </c>
      <c r="W623" s="1"/>
      <c r="X623" s="1"/>
      <c r="Y623" s="1" t="s">
        <v>49</v>
      </c>
      <c r="Z623" s="1"/>
      <c r="AA623" s="1" t="s">
        <v>40</v>
      </c>
      <c r="AB623" s="1" t="s">
        <v>806</v>
      </c>
      <c r="AC623" s="1"/>
    </row>
    <row r="624">
      <c r="A624" s="1" t="str">
        <f>"0008H4"</f>
        <v>0008H4</v>
      </c>
      <c r="B624" s="1" t="s">
        <v>2722</v>
      </c>
      <c r="C624" s="1" t="s">
        <v>2723</v>
      </c>
      <c r="D624" s="1" t="str">
        <f>"8023756094"</f>
        <v>8023756094</v>
      </c>
      <c r="E624" s="1">
        <v>2734.0</v>
      </c>
      <c r="F624" s="1" t="s">
        <v>44</v>
      </c>
      <c r="G624" s="1" t="s">
        <v>2724</v>
      </c>
      <c r="H624" s="1">
        <v>4.0</v>
      </c>
      <c r="I624" s="1"/>
      <c r="J624" s="1"/>
      <c r="K624" s="1"/>
      <c r="L624" s="1"/>
      <c r="M624" s="1" t="s">
        <v>72</v>
      </c>
      <c r="N624" s="1" t="s">
        <v>414</v>
      </c>
      <c r="O624" s="1" t="s">
        <v>1160</v>
      </c>
      <c r="P624" s="1"/>
      <c r="Q624" s="3">
        <v>36892.0</v>
      </c>
      <c r="R624" s="1"/>
      <c r="S624" s="3">
        <v>34528.0</v>
      </c>
      <c r="T624" s="1" t="s">
        <v>37</v>
      </c>
      <c r="U624" s="1"/>
      <c r="V624" s="1" t="s">
        <v>38</v>
      </c>
      <c r="W624" s="1"/>
      <c r="X624" s="1"/>
      <c r="Y624" s="1" t="s">
        <v>49</v>
      </c>
      <c r="Z624" s="1"/>
      <c r="AA624" s="1" t="s">
        <v>40</v>
      </c>
      <c r="AB624" s="1" t="s">
        <v>1161</v>
      </c>
      <c r="AC624" s="1"/>
    </row>
    <row r="625">
      <c r="A625" s="1" t="str">
        <f>"0008H3"</f>
        <v>0008H3</v>
      </c>
      <c r="B625" s="1" t="s">
        <v>2725</v>
      </c>
      <c r="C625" s="1" t="s">
        <v>2726</v>
      </c>
      <c r="D625" s="1" t="str">
        <f>"8023875070"</f>
        <v>8023875070</v>
      </c>
      <c r="E625" s="1">
        <v>3809.0</v>
      </c>
      <c r="F625" s="1" t="s">
        <v>44</v>
      </c>
      <c r="G625" s="1" t="s">
        <v>2727</v>
      </c>
      <c r="H625" s="1">
        <v>7.0</v>
      </c>
      <c r="I625" s="1"/>
      <c r="J625" s="1"/>
      <c r="K625" s="1"/>
      <c r="L625" s="1"/>
      <c r="M625" s="1" t="s">
        <v>72</v>
      </c>
      <c r="N625" s="1" t="s">
        <v>66</v>
      </c>
      <c r="O625" s="1" t="s">
        <v>593</v>
      </c>
      <c r="P625" s="1"/>
      <c r="Q625" s="3">
        <v>36892.0</v>
      </c>
      <c r="R625" s="1"/>
      <c r="S625" s="3">
        <v>39203.0</v>
      </c>
      <c r="T625" s="1" t="s">
        <v>37</v>
      </c>
      <c r="U625" s="1"/>
      <c r="V625" s="1" t="s">
        <v>38</v>
      </c>
      <c r="W625" s="1"/>
      <c r="X625" s="1"/>
      <c r="Y625" s="1" t="s">
        <v>49</v>
      </c>
      <c r="Z625" s="1"/>
      <c r="AA625" s="1" t="s">
        <v>40</v>
      </c>
      <c r="AB625" s="1" t="s">
        <v>594</v>
      </c>
      <c r="AC625" s="1"/>
    </row>
    <row r="626">
      <c r="A626" s="1" t="str">
        <f>"0007W8"</f>
        <v>0007W8</v>
      </c>
      <c r="B626" s="1" t="s">
        <v>2728</v>
      </c>
      <c r="C626" s="1" t="s">
        <v>2729</v>
      </c>
      <c r="D626" s="1" t="str">
        <f>"8024561983"</f>
        <v>8024561983</v>
      </c>
      <c r="E626" s="1">
        <v>2987.0</v>
      </c>
      <c r="F626" s="1" t="s">
        <v>44</v>
      </c>
      <c r="G626" s="1" t="s">
        <v>2730</v>
      </c>
      <c r="H626" s="1">
        <v>4.0</v>
      </c>
      <c r="I626" s="1"/>
      <c r="J626" s="1"/>
      <c r="K626" s="1"/>
      <c r="L626" s="1"/>
      <c r="M626" s="1" t="s">
        <v>72</v>
      </c>
      <c r="N626" s="1" t="s">
        <v>135</v>
      </c>
      <c r="O626" s="1" t="s">
        <v>655</v>
      </c>
      <c r="P626" s="1"/>
      <c r="Q626" s="3">
        <v>36892.0</v>
      </c>
      <c r="R626" s="1"/>
      <c r="S626" s="3">
        <v>35541.0</v>
      </c>
      <c r="T626" s="1" t="s">
        <v>37</v>
      </c>
      <c r="U626" s="1"/>
      <c r="V626" s="1" t="s">
        <v>38</v>
      </c>
      <c r="W626" s="1"/>
      <c r="X626" s="1"/>
      <c r="Y626" s="1" t="s">
        <v>49</v>
      </c>
      <c r="Z626" s="1"/>
      <c r="AA626" s="1" t="s">
        <v>40</v>
      </c>
      <c r="AB626" s="1" t="s">
        <v>656</v>
      </c>
      <c r="AC626" s="1"/>
    </row>
    <row r="627">
      <c r="A627" s="1" t="str">
        <f>"0008WJ"</f>
        <v>0008WJ</v>
      </c>
      <c r="B627" s="1" t="s">
        <v>2731</v>
      </c>
      <c r="C627" s="1" t="s">
        <v>2732</v>
      </c>
      <c r="D627" s="1"/>
      <c r="E627" s="1">
        <v>3396.0</v>
      </c>
      <c r="F627" s="1" t="s">
        <v>44</v>
      </c>
      <c r="G627" s="1" t="s">
        <v>2733</v>
      </c>
      <c r="H627" s="1"/>
      <c r="I627" s="1"/>
      <c r="J627" s="1"/>
      <c r="K627" s="1"/>
      <c r="L627" s="1"/>
      <c r="M627" s="1" t="s">
        <v>72</v>
      </c>
      <c r="N627" s="1" t="s">
        <v>213</v>
      </c>
      <c r="O627" s="1" t="s">
        <v>620</v>
      </c>
      <c r="P627" s="1"/>
      <c r="Q627" s="3">
        <v>36892.0</v>
      </c>
      <c r="R627" s="1"/>
      <c r="S627" s="1"/>
      <c r="T627" s="1" t="s">
        <v>37</v>
      </c>
      <c r="U627" s="1"/>
      <c r="V627" s="1" t="s">
        <v>38</v>
      </c>
      <c r="W627" s="1"/>
      <c r="X627" s="1"/>
      <c r="Y627" s="1" t="s">
        <v>49</v>
      </c>
      <c r="Z627" s="1"/>
      <c r="AA627" s="1" t="s">
        <v>40</v>
      </c>
      <c r="AB627" s="1" t="s">
        <v>621</v>
      </c>
      <c r="AC627" s="1"/>
    </row>
    <row r="628">
      <c r="A628" s="1" t="str">
        <f>"00083P"</f>
        <v>00083P</v>
      </c>
      <c r="B628" s="1" t="s">
        <v>2734</v>
      </c>
      <c r="C628" s="1" t="s">
        <v>2735</v>
      </c>
      <c r="D628" s="1" t="str">
        <f>"8023724658"</f>
        <v>8023724658</v>
      </c>
      <c r="E628" s="1">
        <v>1605.0</v>
      </c>
      <c r="F628" s="1" t="s">
        <v>44</v>
      </c>
      <c r="G628" s="1" t="s">
        <v>2736</v>
      </c>
      <c r="H628" s="1">
        <v>3.0</v>
      </c>
      <c r="I628" s="1"/>
      <c r="J628" s="1"/>
      <c r="K628" s="1"/>
      <c r="L628" s="1"/>
      <c r="M628" s="1" t="s">
        <v>2737</v>
      </c>
      <c r="N628" s="1" t="s">
        <v>107</v>
      </c>
      <c r="O628" s="1" t="s">
        <v>108</v>
      </c>
      <c r="P628" s="1"/>
      <c r="Q628" s="3">
        <v>36892.0</v>
      </c>
      <c r="R628" s="1"/>
      <c r="S628" s="3">
        <v>32696.0</v>
      </c>
      <c r="T628" s="1" t="s">
        <v>37</v>
      </c>
      <c r="U628" s="1"/>
      <c r="V628" s="1" t="s">
        <v>38</v>
      </c>
      <c r="W628" s="1"/>
      <c r="X628" s="1"/>
      <c r="Y628" s="1" t="s">
        <v>49</v>
      </c>
      <c r="Z628" s="1"/>
      <c r="AA628" s="1" t="s">
        <v>40</v>
      </c>
      <c r="AB628" s="1" t="s">
        <v>107</v>
      </c>
      <c r="AC628" s="1"/>
    </row>
    <row r="629">
      <c r="A629" s="1" t="str">
        <f>"00071A"</f>
        <v>00071A</v>
      </c>
      <c r="B629" s="1" t="s">
        <v>2738</v>
      </c>
      <c r="C629" s="1" t="s">
        <v>2739</v>
      </c>
      <c r="D629" s="1" t="str">
        <f>"8029519552"</f>
        <v>8029519552</v>
      </c>
      <c r="E629" s="1">
        <v>3121.0</v>
      </c>
      <c r="F629" s="1" t="s">
        <v>44</v>
      </c>
      <c r="G629" s="1" t="s">
        <v>2740</v>
      </c>
      <c r="H629" s="1">
        <v>2.0</v>
      </c>
      <c r="I629" s="1"/>
      <c r="J629" s="1"/>
      <c r="K629" s="1"/>
      <c r="L629" s="1"/>
      <c r="M629" s="1" t="s">
        <v>2741</v>
      </c>
      <c r="N629" s="1" t="s">
        <v>57</v>
      </c>
      <c r="O629" s="1" t="s">
        <v>175</v>
      </c>
      <c r="P629" s="1"/>
      <c r="Q629" s="3">
        <v>36892.0</v>
      </c>
      <c r="R629" s="1"/>
      <c r="S629" s="3">
        <v>37726.0</v>
      </c>
      <c r="T629" s="1" t="s">
        <v>37</v>
      </c>
      <c r="U629" s="1"/>
      <c r="V629" s="1" t="s">
        <v>38</v>
      </c>
      <c r="W629" s="1"/>
      <c r="X629" s="1"/>
      <c r="Y629" s="1" t="s">
        <v>49</v>
      </c>
      <c r="Z629" s="1"/>
      <c r="AA629" s="1" t="s">
        <v>40</v>
      </c>
      <c r="AB629" s="1" t="s">
        <v>176</v>
      </c>
      <c r="AC629" s="1"/>
    </row>
    <row r="630">
      <c r="A630" s="1" t="str">
        <f>"0008BC"</f>
        <v>0008BC</v>
      </c>
      <c r="B630" s="1" t="s">
        <v>2742</v>
      </c>
      <c r="C630" s="1" t="s">
        <v>2743</v>
      </c>
      <c r="D630" s="1" t="str">
        <f>"8029882857"</f>
        <v>8029882857</v>
      </c>
      <c r="E630" s="1">
        <v>3034.0</v>
      </c>
      <c r="F630" s="1" t="s">
        <v>44</v>
      </c>
      <c r="G630" s="1" t="s">
        <v>2744</v>
      </c>
      <c r="H630" s="1">
        <v>8.0</v>
      </c>
      <c r="I630" s="1"/>
      <c r="J630" s="1"/>
      <c r="K630" s="1"/>
      <c r="L630" s="1"/>
      <c r="M630" s="1" t="s">
        <v>72</v>
      </c>
      <c r="N630" s="1" t="s">
        <v>94</v>
      </c>
      <c r="O630" s="1" t="s">
        <v>2745</v>
      </c>
      <c r="P630" s="1"/>
      <c r="Q630" s="3">
        <v>36892.0</v>
      </c>
      <c r="R630" s="1"/>
      <c r="S630" s="3">
        <v>35907.0</v>
      </c>
      <c r="T630" s="1" t="s">
        <v>37</v>
      </c>
      <c r="U630" s="1"/>
      <c r="V630" s="1" t="s">
        <v>38</v>
      </c>
      <c r="W630" s="1"/>
      <c r="X630" s="1"/>
      <c r="Y630" s="1" t="s">
        <v>49</v>
      </c>
      <c r="Z630" s="1"/>
      <c r="AA630" s="1" t="s">
        <v>40</v>
      </c>
      <c r="AB630" s="1" t="s">
        <v>2746</v>
      </c>
      <c r="AC630" s="1"/>
    </row>
    <row r="631">
      <c r="A631" s="1" t="str">
        <f>"00088Q"</f>
        <v>00088Q</v>
      </c>
      <c r="B631" s="1" t="s">
        <v>2747</v>
      </c>
      <c r="C631" s="1" t="s">
        <v>2748</v>
      </c>
      <c r="D631" s="1" t="str">
        <f>"8028246304"</f>
        <v>8028246304</v>
      </c>
      <c r="E631" s="1">
        <v>2314.0</v>
      </c>
      <c r="F631" s="1" t="s">
        <v>44</v>
      </c>
      <c r="G631" s="1" t="s">
        <v>2749</v>
      </c>
      <c r="H631" s="1"/>
      <c r="I631" s="1"/>
      <c r="J631" s="1"/>
      <c r="K631" s="1"/>
      <c r="L631" s="1"/>
      <c r="M631" s="1" t="s">
        <v>2750</v>
      </c>
      <c r="N631" s="1" t="s">
        <v>66</v>
      </c>
      <c r="O631" s="1" t="s">
        <v>900</v>
      </c>
      <c r="P631" s="1"/>
      <c r="Q631" s="3">
        <v>36892.0</v>
      </c>
      <c r="R631" s="1"/>
      <c r="S631" s="1"/>
      <c r="T631" s="1" t="s">
        <v>37</v>
      </c>
      <c r="U631" s="1"/>
      <c r="V631" s="1" t="s">
        <v>38</v>
      </c>
      <c r="W631" s="1"/>
      <c r="X631" s="1"/>
      <c r="Y631" s="1" t="s">
        <v>49</v>
      </c>
      <c r="Z631" s="1"/>
      <c r="AA631" s="1" t="s">
        <v>40</v>
      </c>
      <c r="AB631" s="1" t="s">
        <v>901</v>
      </c>
      <c r="AC631" s="1"/>
    </row>
    <row r="632">
      <c r="A632" s="1" t="str">
        <f>"00081Y"</f>
        <v>00081Y</v>
      </c>
      <c r="B632" s="1" t="s">
        <v>1108</v>
      </c>
      <c r="C632" s="1" t="s">
        <v>1109</v>
      </c>
      <c r="D632" s="1" t="str">
        <f>"8025242433"</f>
        <v>8025242433</v>
      </c>
      <c r="E632" s="1">
        <v>1523.0</v>
      </c>
      <c r="F632" s="1" t="s">
        <v>117</v>
      </c>
      <c r="G632" s="1" t="s">
        <v>2751</v>
      </c>
      <c r="H632" s="1">
        <v>25.0</v>
      </c>
      <c r="I632" s="2" t="s">
        <v>119</v>
      </c>
      <c r="J632" s="2" t="s">
        <v>119</v>
      </c>
      <c r="K632" s="2" t="s">
        <v>119</v>
      </c>
      <c r="L632" s="1"/>
      <c r="M632" s="1" t="s">
        <v>2752</v>
      </c>
      <c r="N632" s="1" t="s">
        <v>47</v>
      </c>
      <c r="O632" s="1" t="s">
        <v>2753</v>
      </c>
      <c r="P632" s="1" t="s">
        <v>2754</v>
      </c>
      <c r="Q632" s="3">
        <v>36892.0</v>
      </c>
      <c r="R632" s="1"/>
      <c r="S632" s="3">
        <v>41941.0</v>
      </c>
      <c r="T632" s="1" t="s">
        <v>37</v>
      </c>
      <c r="U632" s="1"/>
      <c r="V632" s="1" t="s">
        <v>38</v>
      </c>
      <c r="W632" s="1">
        <v>44.80974</v>
      </c>
      <c r="X632" s="1">
        <v>-73.1626099999999</v>
      </c>
      <c r="Y632" s="1" t="s">
        <v>2755</v>
      </c>
      <c r="Z632" s="1"/>
      <c r="AA632" s="1" t="s">
        <v>40</v>
      </c>
      <c r="AB632" s="1" t="s">
        <v>2756</v>
      </c>
      <c r="AC632" s="1">
        <v>5478.0</v>
      </c>
    </row>
    <row r="633">
      <c r="A633" s="1" t="str">
        <f>"00083M"</f>
        <v>00083M</v>
      </c>
      <c r="B633" s="1" t="s">
        <v>2757</v>
      </c>
      <c r="C633" s="1" t="s">
        <v>2758</v>
      </c>
      <c r="D633" s="1" t="str">
        <f>"8025337095"</f>
        <v>8025337095</v>
      </c>
      <c r="E633" s="1">
        <v>2760.0</v>
      </c>
      <c r="F633" s="1" t="s">
        <v>44</v>
      </c>
      <c r="G633" s="1" t="s">
        <v>2759</v>
      </c>
      <c r="H633" s="1">
        <v>5.0</v>
      </c>
      <c r="I633" s="1"/>
      <c r="J633" s="1"/>
      <c r="K633" s="1"/>
      <c r="L633" s="1"/>
      <c r="M633" s="1" t="s">
        <v>72</v>
      </c>
      <c r="N633" s="1" t="s">
        <v>128</v>
      </c>
      <c r="O633" s="1" t="s">
        <v>887</v>
      </c>
      <c r="P633" s="1"/>
      <c r="Q633" s="3">
        <v>36892.0</v>
      </c>
      <c r="R633" s="1"/>
      <c r="S633" s="3">
        <v>33830.0</v>
      </c>
      <c r="T633" s="1" t="s">
        <v>37</v>
      </c>
      <c r="U633" s="1"/>
      <c r="V633" s="1" t="s">
        <v>38</v>
      </c>
      <c r="W633" s="1"/>
      <c r="X633" s="1"/>
      <c r="Y633" s="1" t="s">
        <v>49</v>
      </c>
      <c r="Z633" s="1"/>
      <c r="AA633" s="1" t="s">
        <v>40</v>
      </c>
      <c r="AB633" s="1" t="s">
        <v>888</v>
      </c>
      <c r="AC633" s="1"/>
    </row>
    <row r="634">
      <c r="A634" s="1" t="str">
        <f>"00083K"</f>
        <v>00083K</v>
      </c>
      <c r="B634" s="1" t="s">
        <v>2760</v>
      </c>
      <c r="C634" s="1" t="s">
        <v>2761</v>
      </c>
      <c r="D634" s="1"/>
      <c r="E634" s="1">
        <v>1599.0</v>
      </c>
      <c r="F634" s="1" t="s">
        <v>44</v>
      </c>
      <c r="G634" s="1" t="s">
        <v>2762</v>
      </c>
      <c r="H634" s="1">
        <v>1.0</v>
      </c>
      <c r="I634" s="1"/>
      <c r="J634" s="1"/>
      <c r="K634" s="1"/>
      <c r="L634" s="1"/>
      <c r="M634" s="1" t="s">
        <v>2763</v>
      </c>
      <c r="N634" s="1" t="s">
        <v>47</v>
      </c>
      <c r="O634" s="1" t="s">
        <v>1112</v>
      </c>
      <c r="P634" s="1"/>
      <c r="Q634" s="3">
        <v>36892.0</v>
      </c>
      <c r="R634" s="1"/>
      <c r="S634" s="3">
        <v>32339.0</v>
      </c>
      <c r="T634" s="1" t="s">
        <v>37</v>
      </c>
      <c r="U634" s="1"/>
      <c r="V634" s="1" t="s">
        <v>38</v>
      </c>
      <c r="W634" s="1"/>
      <c r="X634" s="1"/>
      <c r="Y634" s="1" t="s">
        <v>49</v>
      </c>
      <c r="Z634" s="1"/>
      <c r="AA634" s="1" t="s">
        <v>40</v>
      </c>
      <c r="AB634" s="1" t="s">
        <v>1115</v>
      </c>
      <c r="AC634" s="1"/>
    </row>
    <row r="635">
      <c r="A635" s="1" t="str">
        <f>"0007QN"</f>
        <v>0007QN</v>
      </c>
      <c r="B635" s="1" t="s">
        <v>2764</v>
      </c>
      <c r="C635" s="1" t="s">
        <v>2765</v>
      </c>
      <c r="D635" s="1"/>
      <c r="E635" s="1">
        <v>2963.0</v>
      </c>
      <c r="F635" s="1" t="s">
        <v>44</v>
      </c>
      <c r="G635" s="1" t="s">
        <v>2766</v>
      </c>
      <c r="H635" s="1">
        <v>1.0</v>
      </c>
      <c r="I635" s="1"/>
      <c r="J635" s="1"/>
      <c r="K635" s="1"/>
      <c r="L635" s="1"/>
      <c r="M635" s="1" t="s">
        <v>72</v>
      </c>
      <c r="N635" s="1" t="s">
        <v>47</v>
      </c>
      <c r="O635" s="1" t="s">
        <v>100</v>
      </c>
      <c r="P635" s="1"/>
      <c r="Q635" s="3">
        <v>36892.0</v>
      </c>
      <c r="R635" s="1"/>
      <c r="S635" s="3">
        <v>37910.0</v>
      </c>
      <c r="T635" s="1" t="s">
        <v>37</v>
      </c>
      <c r="U635" s="1"/>
      <c r="V635" s="1" t="s">
        <v>38</v>
      </c>
      <c r="W635" s="1"/>
      <c r="X635" s="1"/>
      <c r="Y635" s="1" t="s">
        <v>49</v>
      </c>
      <c r="Z635" s="1"/>
      <c r="AA635" s="1" t="s">
        <v>40</v>
      </c>
      <c r="AB635" s="1" t="s">
        <v>102</v>
      </c>
      <c r="AC635" s="1"/>
    </row>
    <row r="636">
      <c r="A636" s="1" t="str">
        <f>"0007K0"</f>
        <v>0007K0</v>
      </c>
      <c r="B636" s="1" t="s">
        <v>2767</v>
      </c>
      <c r="C636" s="1" t="s">
        <v>2768</v>
      </c>
      <c r="D636" s="1" t="str">
        <f>"8023887724"</f>
        <v>8023887724</v>
      </c>
      <c r="E636" s="1">
        <v>851.0</v>
      </c>
      <c r="F636" s="1" t="s">
        <v>117</v>
      </c>
      <c r="G636" s="1" t="s">
        <v>2769</v>
      </c>
      <c r="H636" s="1">
        <v>31.0</v>
      </c>
      <c r="I636" s="2" t="s">
        <v>119</v>
      </c>
      <c r="J636" s="2" t="s">
        <v>119</v>
      </c>
      <c r="K636" s="2" t="s">
        <v>119</v>
      </c>
      <c r="L636" s="1"/>
      <c r="M636" s="1" t="s">
        <v>2770</v>
      </c>
      <c r="N636" s="1" t="s">
        <v>47</v>
      </c>
      <c r="O636" s="1" t="s">
        <v>1112</v>
      </c>
      <c r="P636" s="1" t="s">
        <v>2771</v>
      </c>
      <c r="Q636" s="3">
        <v>36892.0</v>
      </c>
      <c r="R636" s="1"/>
      <c r="S636" s="3">
        <v>38637.0</v>
      </c>
      <c r="T636" s="1" t="s">
        <v>37</v>
      </c>
      <c r="U636" s="1"/>
      <c r="V636" s="1" t="s">
        <v>38</v>
      </c>
      <c r="W636" s="1">
        <v>45.0014948102098</v>
      </c>
      <c r="X636" s="1">
        <v>-73.0037507414817</v>
      </c>
      <c r="Y636" s="1" t="s">
        <v>2772</v>
      </c>
      <c r="Z636" s="1"/>
      <c r="AA636" s="1" t="s">
        <v>40</v>
      </c>
      <c r="AB636" s="1" t="s">
        <v>2773</v>
      </c>
      <c r="AC636" s="1">
        <v>5459.0</v>
      </c>
    </row>
    <row r="637">
      <c r="A637" s="1" t="str">
        <f>"000741"</f>
        <v>000741</v>
      </c>
      <c r="B637" s="1" t="s">
        <v>2774</v>
      </c>
      <c r="C637" s="1" t="s">
        <v>2775</v>
      </c>
      <c r="D637" s="1" t="str">
        <f>"8026584779"</f>
        <v>8026584779</v>
      </c>
      <c r="E637" s="1">
        <v>3041.0</v>
      </c>
      <c r="F637" s="1" t="s">
        <v>44</v>
      </c>
      <c r="G637" s="1" t="s">
        <v>2776</v>
      </c>
      <c r="H637" s="1"/>
      <c r="I637" s="1"/>
      <c r="J637" s="1"/>
      <c r="K637" s="1"/>
      <c r="L637" s="1"/>
      <c r="M637" s="1" t="s">
        <v>72</v>
      </c>
      <c r="N637" s="1" t="s">
        <v>57</v>
      </c>
      <c r="O637" s="1" t="s">
        <v>509</v>
      </c>
      <c r="P637" s="1"/>
      <c r="Q637" s="3">
        <v>36892.0</v>
      </c>
      <c r="R637" s="1"/>
      <c r="S637" s="1"/>
      <c r="T637" s="1" t="s">
        <v>37</v>
      </c>
      <c r="U637" s="1"/>
      <c r="V637" s="1" t="s">
        <v>38</v>
      </c>
      <c r="W637" s="1"/>
      <c r="X637" s="1"/>
      <c r="Y637" s="1" t="s">
        <v>49</v>
      </c>
      <c r="Z637" s="1"/>
      <c r="AA637" s="1" t="s">
        <v>40</v>
      </c>
      <c r="AB637" s="1" t="s">
        <v>331</v>
      </c>
      <c r="AC637" s="1"/>
    </row>
    <row r="638">
      <c r="A638" s="1" t="str">
        <f>"00083F"</f>
        <v>00083F</v>
      </c>
      <c r="B638" s="1" t="s">
        <v>2777</v>
      </c>
      <c r="C638" s="1" t="s">
        <v>2778</v>
      </c>
      <c r="D638" s="1"/>
      <c r="E638" s="1">
        <v>1591.0</v>
      </c>
      <c r="F638" s="1" t="s">
        <v>44</v>
      </c>
      <c r="G638" s="1" t="s">
        <v>2779</v>
      </c>
      <c r="H638" s="1">
        <v>1.0</v>
      </c>
      <c r="I638" s="1"/>
      <c r="J638" s="1"/>
      <c r="K638" s="1"/>
      <c r="L638" s="1"/>
      <c r="M638" s="1" t="s">
        <v>2780</v>
      </c>
      <c r="N638" s="1" t="s">
        <v>47</v>
      </c>
      <c r="O638" s="1" t="s">
        <v>1112</v>
      </c>
      <c r="P638" s="1"/>
      <c r="Q638" s="3">
        <v>36892.0</v>
      </c>
      <c r="R638" s="1"/>
      <c r="S638" s="3">
        <v>34569.0</v>
      </c>
      <c r="T638" s="1" t="s">
        <v>37</v>
      </c>
      <c r="U638" s="1"/>
      <c r="V638" s="1" t="s">
        <v>38</v>
      </c>
      <c r="W638" s="1"/>
      <c r="X638" s="1"/>
      <c r="Y638" s="1" t="s">
        <v>49</v>
      </c>
      <c r="Z638" s="1"/>
      <c r="AA638" s="1" t="s">
        <v>40</v>
      </c>
      <c r="AB638" s="1" t="s">
        <v>1115</v>
      </c>
      <c r="AC638" s="1"/>
    </row>
    <row r="639">
      <c r="A639" s="1" t="str">
        <f>"00083C"</f>
        <v>00083C</v>
      </c>
      <c r="B639" s="1" t="s">
        <v>2781</v>
      </c>
      <c r="C639" s="1" t="s">
        <v>2782</v>
      </c>
      <c r="D639" s="1"/>
      <c r="E639" s="1">
        <v>1589.0</v>
      </c>
      <c r="F639" s="1" t="s">
        <v>44</v>
      </c>
      <c r="G639" s="1" t="s">
        <v>2783</v>
      </c>
      <c r="H639" s="1"/>
      <c r="I639" s="1"/>
      <c r="J639" s="1"/>
      <c r="K639" s="1"/>
      <c r="L639" s="1"/>
      <c r="M639" s="1" t="s">
        <v>2784</v>
      </c>
      <c r="N639" s="1" t="s">
        <v>47</v>
      </c>
      <c r="O639" s="1" t="s">
        <v>1112</v>
      </c>
      <c r="P639" s="1"/>
      <c r="Q639" s="3">
        <v>36892.0</v>
      </c>
      <c r="R639" s="1"/>
      <c r="S639" s="1"/>
      <c r="T639" s="1" t="s">
        <v>37</v>
      </c>
      <c r="U639" s="1"/>
      <c r="V639" s="1" t="s">
        <v>38</v>
      </c>
      <c r="W639" s="1"/>
      <c r="X639" s="1"/>
      <c r="Y639" s="1" t="s">
        <v>49</v>
      </c>
      <c r="Z639" s="1"/>
      <c r="AA639" s="1" t="s">
        <v>40</v>
      </c>
      <c r="AB639" s="1" t="s">
        <v>1115</v>
      </c>
      <c r="AC639" s="1"/>
    </row>
    <row r="640">
      <c r="A640" s="1" t="str">
        <f>"00083B"</f>
        <v>00083B</v>
      </c>
      <c r="B640" s="1" t="s">
        <v>2785</v>
      </c>
      <c r="C640" s="1" t="s">
        <v>2786</v>
      </c>
      <c r="D640" s="1" t="str">
        <f>"8029332478"</f>
        <v>8029332478</v>
      </c>
      <c r="E640" s="1">
        <v>1588.0</v>
      </c>
      <c r="F640" s="1" t="s">
        <v>44</v>
      </c>
      <c r="G640" s="1" t="s">
        <v>2787</v>
      </c>
      <c r="H640" s="1">
        <v>3.0</v>
      </c>
      <c r="I640" s="1"/>
      <c r="J640" s="1"/>
      <c r="K640" s="1"/>
      <c r="L640" s="1"/>
      <c r="M640" s="1" t="s">
        <v>2788</v>
      </c>
      <c r="N640" s="1" t="s">
        <v>47</v>
      </c>
      <c r="O640" s="1" t="s">
        <v>928</v>
      </c>
      <c r="P640" s="1"/>
      <c r="Q640" s="3">
        <v>36892.0</v>
      </c>
      <c r="R640" s="1"/>
      <c r="S640" s="3">
        <v>33046.0</v>
      </c>
      <c r="T640" s="1" t="s">
        <v>37</v>
      </c>
      <c r="U640" s="1"/>
      <c r="V640" s="1" t="s">
        <v>38</v>
      </c>
      <c r="W640" s="1"/>
      <c r="X640" s="1"/>
      <c r="Y640" s="1" t="s">
        <v>49</v>
      </c>
      <c r="Z640" s="1"/>
      <c r="AA640" s="1" t="s">
        <v>40</v>
      </c>
      <c r="AB640" s="1" t="s">
        <v>929</v>
      </c>
      <c r="AC640" s="1"/>
    </row>
    <row r="641">
      <c r="A641" s="1" t="str">
        <f>"000841"</f>
        <v>000841</v>
      </c>
      <c r="B641" s="1" t="s">
        <v>2789</v>
      </c>
      <c r="C641" s="1" t="s">
        <v>2790</v>
      </c>
      <c r="D641" s="1" t="str">
        <f>"8022543555"</f>
        <v>8022543555</v>
      </c>
      <c r="E641" s="1">
        <v>2312.0</v>
      </c>
      <c r="F641" s="1" t="s">
        <v>44</v>
      </c>
      <c r="G641" s="1" t="s">
        <v>2791</v>
      </c>
      <c r="H641" s="1">
        <v>2.0</v>
      </c>
      <c r="I641" s="1"/>
      <c r="J641" s="1"/>
      <c r="K641" s="1"/>
      <c r="L641" s="1"/>
      <c r="M641" s="1" t="s">
        <v>2792</v>
      </c>
      <c r="N641" s="1" t="s">
        <v>66</v>
      </c>
      <c r="O641" s="1" t="s">
        <v>1256</v>
      </c>
      <c r="P641" s="1"/>
      <c r="Q641" s="3">
        <v>36892.0</v>
      </c>
      <c r="R641" s="1"/>
      <c r="S641" s="3">
        <v>32708.0</v>
      </c>
      <c r="T641" s="1" t="s">
        <v>37</v>
      </c>
      <c r="U641" s="1"/>
      <c r="V641" s="1" t="s">
        <v>38</v>
      </c>
      <c r="W641" s="1"/>
      <c r="X641" s="1"/>
      <c r="Y641" s="1" t="s">
        <v>49</v>
      </c>
      <c r="Z641" s="1"/>
      <c r="AA641" s="1" t="s">
        <v>40</v>
      </c>
      <c r="AB641" s="1" t="s">
        <v>1257</v>
      </c>
      <c r="AC641" s="1"/>
    </row>
    <row r="642">
      <c r="A642" s="1" t="str">
        <f>"00085P"</f>
        <v>00085P</v>
      </c>
      <c r="B642" s="1" t="s">
        <v>812</v>
      </c>
      <c r="C642" s="1" t="s">
        <v>813</v>
      </c>
      <c r="D642" s="1" t="str">
        <f>"8028993978"</f>
        <v>8028993978</v>
      </c>
      <c r="E642" s="1">
        <v>3071.0</v>
      </c>
      <c r="F642" s="1" t="s">
        <v>117</v>
      </c>
      <c r="G642" s="1" t="s">
        <v>2793</v>
      </c>
      <c r="H642" s="1">
        <v>1.0</v>
      </c>
      <c r="I642" s="2" t="s">
        <v>119</v>
      </c>
      <c r="J642" s="2">
        <v>4.0</v>
      </c>
      <c r="K642" s="2" t="s">
        <v>119</v>
      </c>
      <c r="L642" s="1"/>
      <c r="M642" s="1" t="s">
        <v>2794</v>
      </c>
      <c r="N642" s="1" t="s">
        <v>57</v>
      </c>
      <c r="O642" s="1" t="s">
        <v>745</v>
      </c>
      <c r="P642" s="1" t="s">
        <v>2795</v>
      </c>
      <c r="Q642" s="3">
        <v>36892.0</v>
      </c>
      <c r="R642" s="1"/>
      <c r="S642" s="3">
        <v>38875.0</v>
      </c>
      <c r="T642" s="1" t="s">
        <v>37</v>
      </c>
      <c r="U642" s="1"/>
      <c r="V642" s="1" t="s">
        <v>38</v>
      </c>
      <c r="W642" s="1">
        <v>44.513757</v>
      </c>
      <c r="X642" s="1">
        <v>-72.9877129999999</v>
      </c>
      <c r="Y642" s="1" t="s">
        <v>2796</v>
      </c>
      <c r="Z642" s="1"/>
      <c r="AA642" s="1" t="s">
        <v>40</v>
      </c>
      <c r="AB642" s="1" t="s">
        <v>746</v>
      </c>
      <c r="AC642" s="1">
        <v>5465.0</v>
      </c>
    </row>
    <row r="643">
      <c r="A643" s="1" t="str">
        <f>"0007K0"</f>
        <v>0007K0</v>
      </c>
      <c r="B643" s="1" t="s">
        <v>2767</v>
      </c>
      <c r="C643" s="1" t="s">
        <v>2768</v>
      </c>
      <c r="D643" s="1" t="str">
        <f>"8023887724"</f>
        <v>8023887724</v>
      </c>
      <c r="E643" s="1">
        <v>851.0</v>
      </c>
      <c r="F643" s="1" t="s">
        <v>117</v>
      </c>
      <c r="G643" s="1" t="s">
        <v>2797</v>
      </c>
      <c r="H643" s="1">
        <v>29.0</v>
      </c>
      <c r="I643" s="2" t="s">
        <v>119</v>
      </c>
      <c r="J643" s="2" t="s">
        <v>119</v>
      </c>
      <c r="K643" s="2" t="s">
        <v>119</v>
      </c>
      <c r="L643" s="1"/>
      <c r="M643" s="1" t="s">
        <v>2798</v>
      </c>
      <c r="N643" s="1" t="s">
        <v>47</v>
      </c>
      <c r="O643" s="1" t="s">
        <v>670</v>
      </c>
      <c r="P643" s="1"/>
      <c r="Q643" s="3">
        <v>36892.0</v>
      </c>
      <c r="R643" s="1"/>
      <c r="S643" s="3">
        <v>41941.0</v>
      </c>
      <c r="T643" s="1" t="s">
        <v>37</v>
      </c>
      <c r="U643" s="1"/>
      <c r="V643" s="1" t="s">
        <v>38</v>
      </c>
      <c r="W643" s="1">
        <v>44.9024222099925</v>
      </c>
      <c r="X643" s="1">
        <v>-73.043771982193</v>
      </c>
      <c r="Y643" s="1" t="s">
        <v>2799</v>
      </c>
      <c r="Z643" s="1"/>
      <c r="AA643" s="1" t="s">
        <v>40</v>
      </c>
      <c r="AB643" s="1" t="s">
        <v>2800</v>
      </c>
      <c r="AC643" s="1">
        <v>0.0</v>
      </c>
    </row>
    <row r="644">
      <c r="A644" s="1" t="str">
        <f>"00080Y"</f>
        <v>00080Y</v>
      </c>
      <c r="B644" s="1" t="s">
        <v>2801</v>
      </c>
      <c r="C644" s="1" t="s">
        <v>2802</v>
      </c>
      <c r="D644" s="1" t="str">
        <f>"8026491753"</f>
        <v>8026491753</v>
      </c>
      <c r="E644" s="1">
        <v>3444.0</v>
      </c>
      <c r="F644" s="1" t="s">
        <v>44</v>
      </c>
      <c r="G644" s="1" t="s">
        <v>2803</v>
      </c>
      <c r="H644" s="1"/>
      <c r="I644" s="1"/>
      <c r="J644" s="1"/>
      <c r="K644" s="1"/>
      <c r="L644" s="1"/>
      <c r="M644" s="1" t="s">
        <v>72</v>
      </c>
      <c r="N644" s="1" t="s">
        <v>34</v>
      </c>
      <c r="O644" s="1" t="s">
        <v>463</v>
      </c>
      <c r="P644" s="1"/>
      <c r="Q644" s="3">
        <v>36892.0</v>
      </c>
      <c r="R644" s="1"/>
      <c r="S644" s="1"/>
      <c r="T644" s="1" t="s">
        <v>37</v>
      </c>
      <c r="U644" s="1"/>
      <c r="V644" s="1" t="s">
        <v>38</v>
      </c>
      <c r="W644" s="1"/>
      <c r="X644" s="1"/>
      <c r="Y644" s="1" t="s">
        <v>49</v>
      </c>
      <c r="Z644" s="1"/>
      <c r="AA644" s="1" t="s">
        <v>40</v>
      </c>
      <c r="AB644" s="1" t="s">
        <v>466</v>
      </c>
      <c r="AC644" s="1"/>
    </row>
    <row r="645">
      <c r="A645" s="1" t="str">
        <f>"0008YN"</f>
        <v>0008YN</v>
      </c>
      <c r="B645" s="1" t="s">
        <v>2804</v>
      </c>
      <c r="C645" s="1" t="s">
        <v>2805</v>
      </c>
      <c r="D645" s="1" t="str">
        <f>"8027852795"</f>
        <v>8027852795</v>
      </c>
      <c r="E645" s="1">
        <v>3497.0</v>
      </c>
      <c r="F645" s="1" t="s">
        <v>117</v>
      </c>
      <c r="G645" s="1" t="s">
        <v>2806</v>
      </c>
      <c r="H645" s="1">
        <v>2.0</v>
      </c>
      <c r="I645" s="2">
        <v>1.0</v>
      </c>
      <c r="J645" s="2">
        <v>1.0</v>
      </c>
      <c r="K645" s="2" t="s">
        <v>119</v>
      </c>
      <c r="L645" s="1"/>
      <c r="M645" s="1" t="s">
        <v>2807</v>
      </c>
      <c r="N645" s="1" t="s">
        <v>142</v>
      </c>
      <c r="O645" s="1" t="s">
        <v>143</v>
      </c>
      <c r="P645" s="1" t="s">
        <v>2808</v>
      </c>
      <c r="Q645" s="3">
        <v>36892.0</v>
      </c>
      <c r="R645" s="1"/>
      <c r="S645" s="3">
        <v>42958.0</v>
      </c>
      <c r="T645" s="1" t="s">
        <v>37</v>
      </c>
      <c r="U645" s="1"/>
      <c r="V645" s="1" t="s">
        <v>38</v>
      </c>
      <c r="W645" s="1">
        <v>43.830599</v>
      </c>
      <c r="X645" s="1">
        <v>-72.259344</v>
      </c>
      <c r="Y645" s="1" t="s">
        <v>2809</v>
      </c>
      <c r="Z645" s="1"/>
      <c r="AA645" s="1" t="s">
        <v>40</v>
      </c>
      <c r="AB645" s="1" t="s">
        <v>146</v>
      </c>
      <c r="AC645" s="1">
        <v>5075.0</v>
      </c>
    </row>
    <row r="646">
      <c r="A646" s="1" t="str">
        <f>"000838"</f>
        <v>000838</v>
      </c>
      <c r="B646" s="1" t="s">
        <v>2810</v>
      </c>
      <c r="C646" s="1" t="s">
        <v>2811</v>
      </c>
      <c r="D646" s="1" t="str">
        <f>"8028273993"</f>
        <v>8028273993</v>
      </c>
      <c r="E646" s="1">
        <v>3376.0</v>
      </c>
      <c r="F646" s="1" t="s">
        <v>44</v>
      </c>
      <c r="G646" s="1" t="s">
        <v>2812</v>
      </c>
      <c r="H646" s="1">
        <v>6.0</v>
      </c>
      <c r="I646" s="1"/>
      <c r="J646" s="1"/>
      <c r="K646" s="1"/>
      <c r="L646" s="1"/>
      <c r="M646" s="1" t="s">
        <v>72</v>
      </c>
      <c r="N646" s="1" t="s">
        <v>47</v>
      </c>
      <c r="O646" s="1" t="s">
        <v>100</v>
      </c>
      <c r="P646" s="1"/>
      <c r="Q646" s="3">
        <v>36892.0</v>
      </c>
      <c r="R646" s="1"/>
      <c r="S646" s="3">
        <v>37910.0</v>
      </c>
      <c r="T646" s="1" t="s">
        <v>37</v>
      </c>
      <c r="U646" s="1"/>
      <c r="V646" s="1" t="s">
        <v>38</v>
      </c>
      <c r="W646" s="1">
        <v>44.820831</v>
      </c>
      <c r="X646" s="1">
        <v>-72.9160769999999</v>
      </c>
      <c r="Y646" s="1" t="s">
        <v>2813</v>
      </c>
      <c r="Z646" s="1"/>
      <c r="AA646" s="1" t="s">
        <v>40</v>
      </c>
      <c r="AB646" s="1" t="s">
        <v>102</v>
      </c>
      <c r="AC646" s="1">
        <v>5455.0</v>
      </c>
    </row>
    <row r="647">
      <c r="A647" s="1" t="str">
        <f>"0008YG"</f>
        <v>0008YG</v>
      </c>
      <c r="B647" s="1" t="s">
        <v>2814</v>
      </c>
      <c r="C647" s="1" t="s">
        <v>2815</v>
      </c>
      <c r="D647" s="1" t="str">
        <f>"8022763927"</f>
        <v>8022763927</v>
      </c>
      <c r="E647" s="1">
        <v>3651.0</v>
      </c>
      <c r="F647" s="1" t="s">
        <v>44</v>
      </c>
      <c r="G647" s="1" t="s">
        <v>2816</v>
      </c>
      <c r="H647" s="1">
        <v>2.0</v>
      </c>
      <c r="I647" s="1"/>
      <c r="J647" s="1"/>
      <c r="K647" s="1"/>
      <c r="L647" s="1"/>
      <c r="M647" s="1" t="s">
        <v>72</v>
      </c>
      <c r="N647" s="1" t="s">
        <v>142</v>
      </c>
      <c r="O647" s="1" t="s">
        <v>353</v>
      </c>
      <c r="P647" s="1"/>
      <c r="Q647" s="3">
        <v>36892.0</v>
      </c>
      <c r="R647" s="1"/>
      <c r="S647" s="3">
        <v>38548.0</v>
      </c>
      <c r="T647" s="1" t="s">
        <v>37</v>
      </c>
      <c r="U647" s="1"/>
      <c r="V647" s="1" t="s">
        <v>38</v>
      </c>
      <c r="W647" s="1"/>
      <c r="X647" s="1"/>
      <c r="Y647" s="1" t="s">
        <v>49</v>
      </c>
      <c r="Z647" s="1"/>
      <c r="AA647" s="1" t="s">
        <v>40</v>
      </c>
      <c r="AB647" s="1" t="s">
        <v>355</v>
      </c>
      <c r="AC647" s="1"/>
    </row>
    <row r="648">
      <c r="A648" s="1" t="str">
        <f t="shared" ref="A648:A649" si="44">"00081Y"</f>
        <v>00081Y</v>
      </c>
      <c r="B648" s="1" t="s">
        <v>1108</v>
      </c>
      <c r="C648" s="1" t="s">
        <v>1109</v>
      </c>
      <c r="D648" s="1" t="str">
        <f t="shared" ref="D648:D649" si="45">"8025242433"</f>
        <v>8025242433</v>
      </c>
      <c r="E648" s="1">
        <v>1523.0</v>
      </c>
      <c r="F648" s="1" t="s">
        <v>117</v>
      </c>
      <c r="G648" s="1" t="s">
        <v>2817</v>
      </c>
      <c r="H648" s="1">
        <v>25.0</v>
      </c>
      <c r="I648" s="2" t="s">
        <v>119</v>
      </c>
      <c r="J648" s="2" t="s">
        <v>119</v>
      </c>
      <c r="K648" s="2" t="s">
        <v>119</v>
      </c>
      <c r="L648" s="1"/>
      <c r="M648" s="1" t="s">
        <v>2818</v>
      </c>
      <c r="N648" s="1" t="s">
        <v>47</v>
      </c>
      <c r="O648" s="1" t="s">
        <v>2753</v>
      </c>
      <c r="P648" s="1" t="s">
        <v>2819</v>
      </c>
      <c r="Q648" s="3">
        <v>36892.0</v>
      </c>
      <c r="R648" s="1"/>
      <c r="S648" s="3">
        <v>41941.0</v>
      </c>
      <c r="T648" s="1" t="s">
        <v>37</v>
      </c>
      <c r="U648" s="1"/>
      <c r="V648" s="1" t="s">
        <v>38</v>
      </c>
      <c r="W648" s="1">
        <v>44.84974</v>
      </c>
      <c r="X648" s="1">
        <v>-73.1449999999999</v>
      </c>
      <c r="Y648" s="1" t="s">
        <v>2820</v>
      </c>
      <c r="Z648" s="1"/>
      <c r="AA648" s="1" t="s">
        <v>40</v>
      </c>
      <c r="AB648" s="1" t="s">
        <v>2756</v>
      </c>
      <c r="AC648" s="1">
        <v>5478.0</v>
      </c>
    </row>
    <row r="649">
      <c r="A649" s="1" t="str">
        <f t="shared" si="44"/>
        <v>00081Y</v>
      </c>
      <c r="B649" s="1" t="s">
        <v>1108</v>
      </c>
      <c r="C649" s="1" t="s">
        <v>1109</v>
      </c>
      <c r="D649" s="1" t="str">
        <f t="shared" si="45"/>
        <v>8025242433</v>
      </c>
      <c r="E649" s="1">
        <v>1523.0</v>
      </c>
      <c r="F649" s="1" t="s">
        <v>117</v>
      </c>
      <c r="G649" s="1" t="s">
        <v>2821</v>
      </c>
      <c r="H649" s="1">
        <v>25.0</v>
      </c>
      <c r="I649" s="2" t="s">
        <v>119</v>
      </c>
      <c r="J649" s="2" t="s">
        <v>119</v>
      </c>
      <c r="K649" s="2" t="s">
        <v>119</v>
      </c>
      <c r="L649" s="1"/>
      <c r="M649" s="1" t="s">
        <v>2822</v>
      </c>
      <c r="N649" s="1" t="s">
        <v>47</v>
      </c>
      <c r="O649" s="1" t="s">
        <v>2753</v>
      </c>
      <c r="P649" s="1" t="s">
        <v>2823</v>
      </c>
      <c r="Q649" s="3">
        <v>36892.0</v>
      </c>
      <c r="R649" s="1"/>
      <c r="S649" s="3">
        <v>40849.0</v>
      </c>
      <c r="T649" s="1" t="s">
        <v>37</v>
      </c>
      <c r="U649" s="1"/>
      <c r="V649" s="1" t="s">
        <v>38</v>
      </c>
      <c r="W649" s="1">
        <v>44.8119146</v>
      </c>
      <c r="X649" s="1">
        <v>-73.1071961</v>
      </c>
      <c r="Y649" s="1" t="s">
        <v>2824</v>
      </c>
      <c r="Z649" s="1"/>
      <c r="AA649" s="1" t="s">
        <v>40</v>
      </c>
      <c r="AB649" s="1" t="s">
        <v>2756</v>
      </c>
      <c r="AC649" s="1">
        <v>0.0</v>
      </c>
    </row>
    <row r="650">
      <c r="A650" s="1" t="str">
        <f>"000837"</f>
        <v>000837</v>
      </c>
      <c r="B650" s="1" t="s">
        <v>2825</v>
      </c>
      <c r="C650" s="1" t="s">
        <v>2826</v>
      </c>
      <c r="D650" s="1" t="str">
        <f>"8028496793"</f>
        <v>8028496793</v>
      </c>
      <c r="E650" s="1">
        <v>2702.0</v>
      </c>
      <c r="F650" s="1" t="s">
        <v>44</v>
      </c>
      <c r="G650" s="1" t="s">
        <v>2827</v>
      </c>
      <c r="H650" s="1"/>
      <c r="I650" s="1"/>
      <c r="J650" s="1"/>
      <c r="K650" s="1"/>
      <c r="L650" s="1"/>
      <c r="M650" s="1" t="s">
        <v>2828</v>
      </c>
      <c r="N650" s="1" t="s">
        <v>47</v>
      </c>
      <c r="O650" s="1" t="s">
        <v>763</v>
      </c>
      <c r="P650" s="1"/>
      <c r="Q650" s="3">
        <v>36892.0</v>
      </c>
      <c r="R650" s="1"/>
      <c r="S650" s="1"/>
      <c r="T650" s="1" t="s">
        <v>37</v>
      </c>
      <c r="U650" s="1"/>
      <c r="V650" s="1" t="s">
        <v>38</v>
      </c>
      <c r="W650" s="1"/>
      <c r="X650" s="1"/>
      <c r="Y650" s="1" t="s">
        <v>49</v>
      </c>
      <c r="Z650" s="1"/>
      <c r="AA650" s="1" t="s">
        <v>40</v>
      </c>
      <c r="AB650" s="1" t="s">
        <v>764</v>
      </c>
      <c r="AC650" s="1"/>
    </row>
    <row r="651">
      <c r="A651" s="1" t="str">
        <f>"0007WB"</f>
        <v>0007WB</v>
      </c>
      <c r="B651" s="1" t="s">
        <v>567</v>
      </c>
      <c r="C651" s="1" t="s">
        <v>568</v>
      </c>
      <c r="D651" s="1" t="str">
        <f>"8029895895"</f>
        <v>8029895895</v>
      </c>
      <c r="E651" s="1">
        <v>2046.0</v>
      </c>
      <c r="F651" s="1" t="s">
        <v>117</v>
      </c>
      <c r="G651" s="1" t="s">
        <v>2829</v>
      </c>
      <c r="H651" s="1">
        <v>23.0</v>
      </c>
      <c r="I651" s="2" t="s">
        <v>119</v>
      </c>
      <c r="J651" s="2" t="s">
        <v>119</v>
      </c>
      <c r="K651" s="2" t="s">
        <v>119</v>
      </c>
      <c r="L651" s="1"/>
      <c r="M651" s="1" t="s">
        <v>2830</v>
      </c>
      <c r="N651" s="1" t="s">
        <v>161</v>
      </c>
      <c r="O651" s="1" t="s">
        <v>1053</v>
      </c>
      <c r="P651" s="1" t="s">
        <v>2831</v>
      </c>
      <c r="Q651" s="3">
        <v>36892.0</v>
      </c>
      <c r="R651" s="1"/>
      <c r="S651" s="3">
        <v>37551.0</v>
      </c>
      <c r="T651" s="1" t="s">
        <v>37</v>
      </c>
      <c r="U651" s="1"/>
      <c r="V651" s="1" t="s">
        <v>38</v>
      </c>
      <c r="W651" s="1">
        <v>43.9331717801305</v>
      </c>
      <c r="X651" s="1">
        <v>-73.373285382986</v>
      </c>
      <c r="Y651" s="1" t="s">
        <v>2832</v>
      </c>
      <c r="Z651" s="1"/>
      <c r="AA651" s="1" t="s">
        <v>40</v>
      </c>
      <c r="AB651" s="1" t="s">
        <v>1054</v>
      </c>
      <c r="AC651" s="1">
        <v>5770.0</v>
      </c>
    </row>
    <row r="652">
      <c r="A652" s="1" t="str">
        <f>"000833"</f>
        <v>000833</v>
      </c>
      <c r="B652" s="1" t="s">
        <v>2833</v>
      </c>
      <c r="C652" s="1" t="s">
        <v>2834</v>
      </c>
      <c r="D652" s="1" t="str">
        <f>"8025245241"</f>
        <v>8025245241</v>
      </c>
      <c r="E652" s="1">
        <v>1577.0</v>
      </c>
      <c r="F652" s="1" t="s">
        <v>44</v>
      </c>
      <c r="G652" s="1" t="s">
        <v>2835</v>
      </c>
      <c r="H652" s="1">
        <v>2.0</v>
      </c>
      <c r="I652" s="1"/>
      <c r="J652" s="1"/>
      <c r="K652" s="1"/>
      <c r="L652" s="1"/>
      <c r="M652" s="1" t="s">
        <v>2836</v>
      </c>
      <c r="N652" s="1" t="s">
        <v>47</v>
      </c>
      <c r="O652" s="1" t="s">
        <v>2837</v>
      </c>
      <c r="P652" s="1"/>
      <c r="Q652" s="3">
        <v>36892.0</v>
      </c>
      <c r="R652" s="1"/>
      <c r="S652" s="3">
        <v>33032.0</v>
      </c>
      <c r="T652" s="1" t="s">
        <v>37</v>
      </c>
      <c r="U652" s="1"/>
      <c r="V652" s="1" t="s">
        <v>38</v>
      </c>
      <c r="W652" s="1"/>
      <c r="X652" s="1"/>
      <c r="Y652" s="1" t="s">
        <v>49</v>
      </c>
      <c r="Z652" s="1"/>
      <c r="AA652" s="1" t="s">
        <v>40</v>
      </c>
      <c r="AB652" s="1" t="s">
        <v>2838</v>
      </c>
      <c r="AC652" s="1"/>
    </row>
    <row r="653">
      <c r="A653" s="1" t="str">
        <f>"000831"</f>
        <v>000831</v>
      </c>
      <c r="B653" s="1" t="s">
        <v>2839</v>
      </c>
      <c r="C653" s="1" t="s">
        <v>2840</v>
      </c>
      <c r="D653" s="1"/>
      <c r="E653" s="1">
        <v>1575.0</v>
      </c>
      <c r="F653" s="1" t="s">
        <v>44</v>
      </c>
      <c r="G653" s="1" t="s">
        <v>2841</v>
      </c>
      <c r="H653" s="1"/>
      <c r="I653" s="1"/>
      <c r="J653" s="1"/>
      <c r="K653" s="1"/>
      <c r="L653" s="1"/>
      <c r="M653" s="1" t="s">
        <v>2842</v>
      </c>
      <c r="N653" s="1" t="s">
        <v>47</v>
      </c>
      <c r="O653" s="1" t="s">
        <v>2837</v>
      </c>
      <c r="P653" s="1"/>
      <c r="Q653" s="3">
        <v>36892.0</v>
      </c>
      <c r="R653" s="1"/>
      <c r="S653" s="1"/>
      <c r="T653" s="1" t="s">
        <v>37</v>
      </c>
      <c r="U653" s="1"/>
      <c r="V653" s="1" t="s">
        <v>38</v>
      </c>
      <c r="W653" s="1"/>
      <c r="X653" s="1"/>
      <c r="Y653" s="1" t="s">
        <v>49</v>
      </c>
      <c r="Z653" s="1"/>
      <c r="AA653" s="1" t="s">
        <v>40</v>
      </c>
      <c r="AB653" s="1" t="s">
        <v>2838</v>
      </c>
      <c r="AC653" s="1"/>
    </row>
    <row r="654">
      <c r="A654" s="1" t="str">
        <f>"000830"</f>
        <v>000830</v>
      </c>
      <c r="B654" s="1" t="s">
        <v>2843</v>
      </c>
      <c r="C654" s="1" t="s">
        <v>2844</v>
      </c>
      <c r="D654" s="1" t="str">
        <f>"8025245617"</f>
        <v>8025245617</v>
      </c>
      <c r="E654" s="1">
        <v>1574.0</v>
      </c>
      <c r="F654" s="1" t="s">
        <v>44</v>
      </c>
      <c r="G654" s="1" t="s">
        <v>2845</v>
      </c>
      <c r="H654" s="1">
        <v>1.0</v>
      </c>
      <c r="I654" s="1"/>
      <c r="J654" s="1"/>
      <c r="K654" s="1"/>
      <c r="L654" s="1"/>
      <c r="M654" s="1" t="s">
        <v>2846</v>
      </c>
      <c r="N654" s="1" t="s">
        <v>47</v>
      </c>
      <c r="O654" s="1" t="s">
        <v>2753</v>
      </c>
      <c r="P654" s="1"/>
      <c r="Q654" s="3">
        <v>36892.0</v>
      </c>
      <c r="R654" s="1"/>
      <c r="S654" s="3">
        <v>39979.0</v>
      </c>
      <c r="T654" s="1" t="s">
        <v>37</v>
      </c>
      <c r="U654" s="1"/>
      <c r="V654" s="1" t="s">
        <v>38</v>
      </c>
      <c r="W654" s="1"/>
      <c r="X654" s="1"/>
      <c r="Y654" s="1" t="s">
        <v>49</v>
      </c>
      <c r="Z654" s="1"/>
      <c r="AA654" s="1" t="s">
        <v>40</v>
      </c>
      <c r="AB654" s="1" t="s">
        <v>2756</v>
      </c>
      <c r="AC654" s="1"/>
    </row>
    <row r="655">
      <c r="A655" s="1" t="str">
        <f>"00082Z"</f>
        <v>00082Z</v>
      </c>
      <c r="B655" s="1" t="s">
        <v>2847</v>
      </c>
      <c r="C655" s="1" t="s">
        <v>2848</v>
      </c>
      <c r="D655" s="1"/>
      <c r="E655" s="1">
        <v>1573.0</v>
      </c>
      <c r="F655" s="1" t="s">
        <v>44</v>
      </c>
      <c r="G655" s="1" t="s">
        <v>2849</v>
      </c>
      <c r="H655" s="1">
        <v>3.0</v>
      </c>
      <c r="I655" s="1"/>
      <c r="J655" s="1"/>
      <c r="K655" s="1"/>
      <c r="L655" s="1"/>
      <c r="M655" s="1" t="s">
        <v>72</v>
      </c>
      <c r="N655" s="1" t="s">
        <v>47</v>
      </c>
      <c r="O655" s="1" t="s">
        <v>2753</v>
      </c>
      <c r="P655" s="1"/>
      <c r="Q655" s="3">
        <v>36892.0</v>
      </c>
      <c r="R655" s="1"/>
      <c r="S655" s="3">
        <v>33032.0</v>
      </c>
      <c r="T655" s="1" t="s">
        <v>37</v>
      </c>
      <c r="U655" s="1"/>
      <c r="V655" s="1" t="s">
        <v>38</v>
      </c>
      <c r="W655" s="1"/>
      <c r="X655" s="1"/>
      <c r="Y655" s="1" t="s">
        <v>49</v>
      </c>
      <c r="Z655" s="1"/>
      <c r="AA655" s="1" t="s">
        <v>40</v>
      </c>
      <c r="AB655" s="1" t="s">
        <v>2756</v>
      </c>
      <c r="AC655" s="1"/>
    </row>
    <row r="656">
      <c r="A656" s="1" t="str">
        <f>"0008W8"</f>
        <v>0008W8</v>
      </c>
      <c r="B656" s="1" t="s">
        <v>2850</v>
      </c>
      <c r="C656" s="1" t="s">
        <v>2851</v>
      </c>
      <c r="D656" s="1" t="str">
        <f>"8026446682"</f>
        <v>8026446682</v>
      </c>
      <c r="E656" s="1">
        <v>3384.0</v>
      </c>
      <c r="F656" s="1" t="s">
        <v>44</v>
      </c>
      <c r="G656" s="1" t="s">
        <v>2852</v>
      </c>
      <c r="H656" s="1"/>
      <c r="I656" s="1"/>
      <c r="J656" s="1"/>
      <c r="K656" s="1"/>
      <c r="L656" s="1"/>
      <c r="M656" s="1" t="s">
        <v>72</v>
      </c>
      <c r="N656" s="1" t="s">
        <v>213</v>
      </c>
      <c r="O656" s="1" t="s">
        <v>620</v>
      </c>
      <c r="P656" s="1"/>
      <c r="Q656" s="3">
        <v>36892.0</v>
      </c>
      <c r="R656" s="1"/>
      <c r="S656" s="1"/>
      <c r="T656" s="1" t="s">
        <v>37</v>
      </c>
      <c r="U656" s="1"/>
      <c r="V656" s="1" t="s">
        <v>38</v>
      </c>
      <c r="W656" s="1"/>
      <c r="X656" s="1"/>
      <c r="Y656" s="1" t="s">
        <v>49</v>
      </c>
      <c r="Z656" s="1"/>
      <c r="AA656" s="1" t="s">
        <v>40</v>
      </c>
      <c r="AB656" s="1" t="s">
        <v>621</v>
      </c>
      <c r="AC656" s="1"/>
    </row>
    <row r="657">
      <c r="A657" s="1" t="str">
        <f>"000845"</f>
        <v>000845</v>
      </c>
      <c r="B657" s="1" t="s">
        <v>2853</v>
      </c>
      <c r="C657" s="1" t="s">
        <v>2854</v>
      </c>
      <c r="D657" s="1" t="str">
        <f>"8022635684"</f>
        <v>8022635684</v>
      </c>
      <c r="E657" s="1">
        <v>3614.0</v>
      </c>
      <c r="F657" s="1" t="s">
        <v>44</v>
      </c>
      <c r="G657" s="1" t="s">
        <v>2855</v>
      </c>
      <c r="H657" s="1"/>
      <c r="I657" s="1"/>
      <c r="J657" s="1"/>
      <c r="K657" s="1"/>
      <c r="L657" s="1"/>
      <c r="M657" s="1" t="s">
        <v>72</v>
      </c>
      <c r="N657" s="1" t="s">
        <v>34</v>
      </c>
      <c r="O657" s="1" t="s">
        <v>1085</v>
      </c>
      <c r="P657" s="1"/>
      <c r="Q657" s="3">
        <v>36892.0</v>
      </c>
      <c r="R657" s="1"/>
      <c r="S657" s="1"/>
      <c r="T657" s="1" t="s">
        <v>37</v>
      </c>
      <c r="U657" s="1"/>
      <c r="V657" s="1" t="s">
        <v>38</v>
      </c>
      <c r="W657" s="1"/>
      <c r="X657" s="1"/>
      <c r="Y657" s="1" t="s">
        <v>49</v>
      </c>
      <c r="Z657" s="1"/>
      <c r="AA657" s="1" t="s">
        <v>40</v>
      </c>
      <c r="AB657" s="1" t="s">
        <v>1086</v>
      </c>
      <c r="AC657" s="1"/>
    </row>
    <row r="658">
      <c r="A658" s="1" t="str">
        <f>"00082V"</f>
        <v>00082V</v>
      </c>
      <c r="B658" s="1" t="s">
        <v>2856</v>
      </c>
      <c r="C658" s="1" t="s">
        <v>2857</v>
      </c>
      <c r="D658" s="1" t="str">
        <f>"8022285190"</f>
        <v>8022285190</v>
      </c>
      <c r="E658" s="1">
        <v>2649.0</v>
      </c>
      <c r="F658" s="1" t="s">
        <v>117</v>
      </c>
      <c r="G658" s="1" t="s">
        <v>2858</v>
      </c>
      <c r="H658" s="1">
        <v>2.0</v>
      </c>
      <c r="I658" s="2" t="s">
        <v>119</v>
      </c>
      <c r="J658" s="2" t="s">
        <v>119</v>
      </c>
      <c r="K658" s="2" t="s">
        <v>119</v>
      </c>
      <c r="L658" s="1"/>
      <c r="M658" s="1" t="s">
        <v>2859</v>
      </c>
      <c r="N658" s="1" t="s">
        <v>34</v>
      </c>
      <c r="O658" s="1" t="s">
        <v>1237</v>
      </c>
      <c r="P658" s="1" t="s">
        <v>2860</v>
      </c>
      <c r="Q658" s="3">
        <v>36892.0</v>
      </c>
      <c r="R658" s="1"/>
      <c r="S658" s="1"/>
      <c r="T658" s="1" t="s">
        <v>37</v>
      </c>
      <c r="U658" s="1"/>
      <c r="V658" s="1" t="s">
        <v>38</v>
      </c>
      <c r="W658" s="1">
        <v>43.394032</v>
      </c>
      <c r="X658" s="1">
        <v>-72.7105249999999</v>
      </c>
      <c r="Y658" s="1" t="s">
        <v>2861</v>
      </c>
      <c r="Z658" s="1"/>
      <c r="AA658" s="1" t="s">
        <v>40</v>
      </c>
      <c r="AB658" s="1" t="s">
        <v>1238</v>
      </c>
      <c r="AC658" s="1">
        <v>5149.0</v>
      </c>
    </row>
    <row r="659">
      <c r="A659" s="1" t="str">
        <f>"00082Q"</f>
        <v>00082Q</v>
      </c>
      <c r="B659" s="1" t="s">
        <v>2862</v>
      </c>
      <c r="C659" s="1" t="s">
        <v>2863</v>
      </c>
      <c r="D659" s="1" t="str">
        <f>"8024533793"</f>
        <v>8024533793</v>
      </c>
      <c r="E659" s="1">
        <v>3044.0</v>
      </c>
      <c r="F659" s="1" t="s">
        <v>44</v>
      </c>
      <c r="G659" s="1" t="s">
        <v>2864</v>
      </c>
      <c r="H659" s="1">
        <v>2.0</v>
      </c>
      <c r="I659" s="1"/>
      <c r="J659" s="1"/>
      <c r="K659" s="1"/>
      <c r="L659" s="1"/>
      <c r="M659" s="1" t="s">
        <v>2865</v>
      </c>
      <c r="N659" s="1" t="s">
        <v>161</v>
      </c>
      <c r="O659" s="1" t="s">
        <v>394</v>
      </c>
      <c r="P659" s="1"/>
      <c r="Q659" s="3">
        <v>36892.0</v>
      </c>
      <c r="R659" s="1"/>
      <c r="S659" s="3">
        <v>36733.0</v>
      </c>
      <c r="T659" s="1" t="s">
        <v>37</v>
      </c>
      <c r="U659" s="1"/>
      <c r="V659" s="1" t="s">
        <v>38</v>
      </c>
      <c r="W659" s="1"/>
      <c r="X659" s="1"/>
      <c r="Y659" s="1" t="s">
        <v>49</v>
      </c>
      <c r="Z659" s="1"/>
      <c r="AA659" s="1" t="s">
        <v>40</v>
      </c>
      <c r="AB659" s="1" t="s">
        <v>395</v>
      </c>
      <c r="AC659" s="1"/>
    </row>
    <row r="660">
      <c r="A660" s="1" t="str">
        <f>"0008MC"</f>
        <v>0008MC</v>
      </c>
      <c r="B660" s="1" t="s">
        <v>103</v>
      </c>
      <c r="C660" s="1" t="s">
        <v>104</v>
      </c>
      <c r="D660" s="1" t="str">
        <f>"8023724119"</f>
        <v>8023724119</v>
      </c>
      <c r="E660" s="1">
        <v>2908.0</v>
      </c>
      <c r="F660" s="1" t="s">
        <v>44</v>
      </c>
      <c r="G660" s="1" t="s">
        <v>2866</v>
      </c>
      <c r="H660" s="1">
        <v>43.0</v>
      </c>
      <c r="I660" s="1"/>
      <c r="J660" s="1"/>
      <c r="K660" s="1"/>
      <c r="L660" s="1"/>
      <c r="M660" s="1" t="s">
        <v>2867</v>
      </c>
      <c r="N660" s="1" t="s">
        <v>57</v>
      </c>
      <c r="O660" s="1" t="s">
        <v>559</v>
      </c>
      <c r="P660" s="1"/>
      <c r="Q660" s="3">
        <v>36892.0</v>
      </c>
      <c r="R660" s="1"/>
      <c r="S660" s="3">
        <v>37014.0</v>
      </c>
      <c r="T660" s="1" t="s">
        <v>37</v>
      </c>
      <c r="U660" s="1"/>
      <c r="V660" s="1" t="s">
        <v>38</v>
      </c>
      <c r="W660" s="1"/>
      <c r="X660" s="1"/>
      <c r="Y660" s="1" t="s">
        <v>49</v>
      </c>
      <c r="Z660" s="1"/>
      <c r="AA660" s="1" t="s">
        <v>40</v>
      </c>
      <c r="AB660" s="1" t="s">
        <v>560</v>
      </c>
      <c r="AC660" s="1"/>
    </row>
    <row r="661">
      <c r="A661" s="1" t="str">
        <f>"00082N"</f>
        <v>00082N</v>
      </c>
      <c r="B661" s="1" t="s">
        <v>2868</v>
      </c>
      <c r="C661" s="1" t="s">
        <v>2869</v>
      </c>
      <c r="D661" s="1" t="str">
        <f>"8024382203"</f>
        <v>8024382203</v>
      </c>
      <c r="E661" s="1">
        <v>2402.0</v>
      </c>
      <c r="F661" s="1" t="s">
        <v>117</v>
      </c>
      <c r="G661" s="1" t="s">
        <v>2870</v>
      </c>
      <c r="H661" s="1">
        <v>8.0</v>
      </c>
      <c r="I661" s="2">
        <v>5.0</v>
      </c>
      <c r="J661" s="2" t="s">
        <v>119</v>
      </c>
      <c r="K661" s="2" t="s">
        <v>119</v>
      </c>
      <c r="L661" s="1"/>
      <c r="M661" s="1" t="s">
        <v>2871</v>
      </c>
      <c r="N661" s="1" t="s">
        <v>78</v>
      </c>
      <c r="O661" s="1" t="s">
        <v>2872</v>
      </c>
      <c r="P661" s="1" t="s">
        <v>2873</v>
      </c>
      <c r="Q661" s="3">
        <v>36892.0</v>
      </c>
      <c r="R661" s="1"/>
      <c r="S661" s="3">
        <v>32317.0</v>
      </c>
      <c r="T661" s="1" t="s">
        <v>37</v>
      </c>
      <c r="U661" s="1"/>
      <c r="V661" s="1" t="s">
        <v>38</v>
      </c>
      <c r="W661" s="1">
        <v>43.510303</v>
      </c>
      <c r="X661" s="1">
        <v>-73.025192</v>
      </c>
      <c r="Y661" s="1" t="s">
        <v>2874</v>
      </c>
      <c r="Z661" s="1"/>
      <c r="AA661" s="1" t="s">
        <v>40</v>
      </c>
      <c r="AB661" s="1" t="s">
        <v>2875</v>
      </c>
      <c r="AC661" s="1">
        <v>5777.0</v>
      </c>
    </row>
    <row r="662">
      <c r="A662" s="1" t="str">
        <f>"0007QD"</f>
        <v>0007QD</v>
      </c>
      <c r="B662" s="1" t="s">
        <v>2876</v>
      </c>
      <c r="C662" s="1" t="s">
        <v>2877</v>
      </c>
      <c r="D662" s="1" t="str">
        <f>"8023624269"</f>
        <v>8023624269</v>
      </c>
      <c r="E662" s="1">
        <v>2929.0</v>
      </c>
      <c r="F662" s="1" t="s">
        <v>44</v>
      </c>
      <c r="G662" s="1" t="s">
        <v>2878</v>
      </c>
      <c r="H662" s="1">
        <v>6.0</v>
      </c>
      <c r="I662" s="1"/>
      <c r="J662" s="1"/>
      <c r="K662" s="1"/>
      <c r="L662" s="1"/>
      <c r="M662" s="1" t="s">
        <v>2879</v>
      </c>
      <c r="N662" s="1" t="s">
        <v>414</v>
      </c>
      <c r="O662" s="1" t="s">
        <v>2880</v>
      </c>
      <c r="P662" s="1"/>
      <c r="Q662" s="3">
        <v>36892.0</v>
      </c>
      <c r="R662" s="1"/>
      <c r="S662" s="3">
        <v>35935.0</v>
      </c>
      <c r="T662" s="1" t="s">
        <v>37</v>
      </c>
      <c r="U662" s="1"/>
      <c r="V662" s="1" t="s">
        <v>38</v>
      </c>
      <c r="W662" s="1"/>
      <c r="X662" s="1"/>
      <c r="Y662" s="1" t="s">
        <v>49</v>
      </c>
      <c r="Z662" s="1"/>
      <c r="AA662" s="1" t="s">
        <v>40</v>
      </c>
      <c r="AB662" s="1" t="s">
        <v>2881</v>
      </c>
      <c r="AC662" s="1"/>
    </row>
    <row r="663">
      <c r="A663" s="1" t="str">
        <f>"00070V"</f>
        <v>00070V</v>
      </c>
      <c r="B663" s="1" t="s">
        <v>2882</v>
      </c>
      <c r="C663" s="1" t="s">
        <v>2883</v>
      </c>
      <c r="D663" s="1" t="str">
        <f>"8028992275"</f>
        <v>8028992275</v>
      </c>
      <c r="E663" s="1">
        <v>3667.0</v>
      </c>
      <c r="F663" s="1" t="s">
        <v>44</v>
      </c>
      <c r="G663" s="1" t="s">
        <v>2884</v>
      </c>
      <c r="H663" s="1">
        <v>2.0</v>
      </c>
      <c r="I663" s="1"/>
      <c r="J663" s="1"/>
      <c r="K663" s="1"/>
      <c r="L663" s="1"/>
      <c r="M663" s="1" t="s">
        <v>72</v>
      </c>
      <c r="N663" s="1" t="s">
        <v>57</v>
      </c>
      <c r="O663" s="1" t="s">
        <v>58</v>
      </c>
      <c r="P663" s="1"/>
      <c r="Q663" s="3">
        <v>36892.0</v>
      </c>
      <c r="R663" s="1"/>
      <c r="S663" s="3">
        <v>38826.0</v>
      </c>
      <c r="T663" s="1" t="s">
        <v>37</v>
      </c>
      <c r="U663" s="1"/>
      <c r="V663" s="1" t="s">
        <v>38</v>
      </c>
      <c r="W663" s="1">
        <v>44.5567763468485</v>
      </c>
      <c r="X663" s="1">
        <v>-72.9486688971519</v>
      </c>
      <c r="Y663" s="1" t="s">
        <v>2885</v>
      </c>
      <c r="Z663" s="1"/>
      <c r="AA663" s="1" t="s">
        <v>40</v>
      </c>
      <c r="AB663" s="1" t="s">
        <v>61</v>
      </c>
      <c r="AC663" s="1" t="s">
        <v>2886</v>
      </c>
    </row>
    <row r="664">
      <c r="A664" s="1" t="str">
        <f>"00081Y"</f>
        <v>00081Y</v>
      </c>
      <c r="B664" s="1" t="s">
        <v>1108</v>
      </c>
      <c r="C664" s="1" t="s">
        <v>1109</v>
      </c>
      <c r="D664" s="1" t="str">
        <f>"8025242433"</f>
        <v>8025242433</v>
      </c>
      <c r="E664" s="1">
        <v>1523.0</v>
      </c>
      <c r="F664" s="1" t="s">
        <v>117</v>
      </c>
      <c r="G664" s="1" t="s">
        <v>2887</v>
      </c>
      <c r="H664" s="1">
        <v>25.0</v>
      </c>
      <c r="I664" s="2" t="s">
        <v>119</v>
      </c>
      <c r="J664" s="2" t="s">
        <v>119</v>
      </c>
      <c r="K664" s="2" t="s">
        <v>119</v>
      </c>
      <c r="L664" s="1"/>
      <c r="M664" s="1" t="s">
        <v>2888</v>
      </c>
      <c r="N664" s="1" t="s">
        <v>47</v>
      </c>
      <c r="O664" s="1" t="s">
        <v>2889</v>
      </c>
      <c r="P664" s="1" t="s">
        <v>2890</v>
      </c>
      <c r="Q664" s="3">
        <v>36892.0</v>
      </c>
      <c r="R664" s="1"/>
      <c r="S664" s="3">
        <v>42198.0</v>
      </c>
      <c r="T664" s="1" t="s">
        <v>37</v>
      </c>
      <c r="U664" s="1"/>
      <c r="V664" s="1" t="s">
        <v>38</v>
      </c>
      <c r="W664" s="1">
        <v>44.9482</v>
      </c>
      <c r="X664" s="1">
        <v>-73.0829</v>
      </c>
      <c r="Y664" s="1" t="s">
        <v>2891</v>
      </c>
      <c r="Z664" s="1"/>
      <c r="AA664" s="1" t="s">
        <v>40</v>
      </c>
      <c r="AB664" s="1" t="s">
        <v>1115</v>
      </c>
      <c r="AC664" s="1">
        <v>5488.0</v>
      </c>
    </row>
    <row r="665">
      <c r="A665" s="1" t="str">
        <f>"0007ZQ"</f>
        <v>0007ZQ</v>
      </c>
      <c r="B665" s="1" t="s">
        <v>1064</v>
      </c>
      <c r="C665" s="1" t="s">
        <v>1065</v>
      </c>
      <c r="D665" s="1" t="str">
        <f>"8022256051"</f>
        <v>8022256051</v>
      </c>
      <c r="E665" s="1">
        <v>1395.0</v>
      </c>
      <c r="F665" s="1" t="s">
        <v>117</v>
      </c>
      <c r="G665" s="1" t="s">
        <v>2892</v>
      </c>
      <c r="H665" s="1">
        <v>12.0</v>
      </c>
      <c r="I665" s="2" t="s">
        <v>119</v>
      </c>
      <c r="J665" s="2" t="s">
        <v>119</v>
      </c>
      <c r="K665" s="2" t="s">
        <v>119</v>
      </c>
      <c r="L665" s="1"/>
      <c r="M665" s="1" t="s">
        <v>2893</v>
      </c>
      <c r="N665" s="1" t="s">
        <v>47</v>
      </c>
      <c r="O665" s="1" t="s">
        <v>2889</v>
      </c>
      <c r="P665" s="1" t="s">
        <v>2894</v>
      </c>
      <c r="Q665" s="3">
        <v>36892.0</v>
      </c>
      <c r="R665" s="1"/>
      <c r="S665" s="3">
        <v>39736.0</v>
      </c>
      <c r="T665" s="1" t="s">
        <v>37</v>
      </c>
      <c r="U665" s="1"/>
      <c r="V665" s="1" t="s">
        <v>38</v>
      </c>
      <c r="W665" s="1"/>
      <c r="X665" s="1"/>
      <c r="Y665" s="1" t="s">
        <v>49</v>
      </c>
      <c r="Z665" s="1"/>
      <c r="AA665" s="1" t="s">
        <v>40</v>
      </c>
      <c r="AB665" s="1" t="s">
        <v>2773</v>
      </c>
      <c r="AC665" s="1">
        <v>0.0</v>
      </c>
    </row>
    <row r="666">
      <c r="A666" s="1" t="str">
        <f>"000856"</f>
        <v>000856</v>
      </c>
      <c r="B666" s="1" t="s">
        <v>2895</v>
      </c>
      <c r="C666" s="1" t="s">
        <v>2896</v>
      </c>
      <c r="D666" s="1" t="str">
        <f>"8023345530"</f>
        <v>8023345530</v>
      </c>
      <c r="E666" s="1">
        <v>1669.0</v>
      </c>
      <c r="F666" s="1" t="s">
        <v>44</v>
      </c>
      <c r="G666" s="1" t="s">
        <v>2897</v>
      </c>
      <c r="H666" s="1">
        <v>2.0</v>
      </c>
      <c r="I666" s="1"/>
      <c r="J666" s="1"/>
      <c r="K666" s="1"/>
      <c r="L666" s="1"/>
      <c r="M666" s="1" t="s">
        <v>33</v>
      </c>
      <c r="N666" s="1" t="s">
        <v>94</v>
      </c>
      <c r="O666" s="1" t="s">
        <v>637</v>
      </c>
      <c r="P666" s="1" t="s">
        <v>36</v>
      </c>
      <c r="Q666" s="3">
        <v>40673.0</v>
      </c>
      <c r="R666" s="1"/>
      <c r="S666" s="1"/>
      <c r="T666" s="1" t="s">
        <v>37</v>
      </c>
      <c r="U666" s="1"/>
      <c r="V666" s="1" t="s">
        <v>38</v>
      </c>
      <c r="W666" s="1">
        <v>44.9158696999999</v>
      </c>
      <c r="X666" s="1">
        <v>-72.3414076999999</v>
      </c>
      <c r="Y666" s="1" t="s">
        <v>2898</v>
      </c>
      <c r="Z666" s="1"/>
      <c r="AA666" s="1" t="s">
        <v>40</v>
      </c>
      <c r="AB666" s="1" t="s">
        <v>303</v>
      </c>
      <c r="AC666" s="1">
        <v>5859.0</v>
      </c>
    </row>
    <row r="667">
      <c r="A667" s="1" t="str">
        <f>"00071K"</f>
        <v>00071K</v>
      </c>
      <c r="B667" s="1" t="s">
        <v>2899</v>
      </c>
      <c r="C667" s="1" t="s">
        <v>2900</v>
      </c>
      <c r="D667" s="1" t="str">
        <f>"8023263119"</f>
        <v>8023263119</v>
      </c>
      <c r="E667" s="1">
        <v>2930.0</v>
      </c>
      <c r="F667" s="1" t="s">
        <v>44</v>
      </c>
      <c r="G667" s="1" t="s">
        <v>2901</v>
      </c>
      <c r="H667" s="1">
        <v>3.0</v>
      </c>
      <c r="I667" s="1"/>
      <c r="J667" s="1"/>
      <c r="K667" s="1"/>
      <c r="L667" s="1"/>
      <c r="M667" s="1" t="s">
        <v>2902</v>
      </c>
      <c r="N667" s="1" t="s">
        <v>47</v>
      </c>
      <c r="O667" s="1" t="s">
        <v>599</v>
      </c>
      <c r="P667" s="1"/>
      <c r="Q667" s="3">
        <v>36892.0</v>
      </c>
      <c r="R667" s="1"/>
      <c r="S667" s="3">
        <v>35284.0</v>
      </c>
      <c r="T667" s="1" t="s">
        <v>37</v>
      </c>
      <c r="U667" s="1"/>
      <c r="V667" s="1" t="s">
        <v>38</v>
      </c>
      <c r="W667" s="1"/>
      <c r="X667" s="1"/>
      <c r="Y667" s="1" t="s">
        <v>49</v>
      </c>
      <c r="Z667" s="1"/>
      <c r="AA667" s="1" t="s">
        <v>40</v>
      </c>
      <c r="AB667" s="1" t="s">
        <v>602</v>
      </c>
      <c r="AC667" s="1"/>
    </row>
    <row r="668">
      <c r="A668" s="1" t="str">
        <f>"0007WA"</f>
        <v>0007WA</v>
      </c>
      <c r="B668" s="1" t="s">
        <v>157</v>
      </c>
      <c r="C668" s="1" t="s">
        <v>158</v>
      </c>
      <c r="D668" s="1" t="str">
        <f>"8029482057"</f>
        <v>8029482057</v>
      </c>
      <c r="E668" s="1">
        <v>1217.0</v>
      </c>
      <c r="F668" s="1" t="s">
        <v>31</v>
      </c>
      <c r="G668" s="1" t="s">
        <v>2903</v>
      </c>
      <c r="H668" s="1">
        <v>270.0</v>
      </c>
      <c r="I668" s="1"/>
      <c r="J668" s="1"/>
      <c r="K668" s="1"/>
      <c r="L668" s="1"/>
      <c r="M668" s="1" t="s">
        <v>2904</v>
      </c>
      <c r="N668" s="1" t="s">
        <v>161</v>
      </c>
      <c r="O668" s="1" t="s">
        <v>531</v>
      </c>
      <c r="P668" s="1" t="s">
        <v>2905</v>
      </c>
      <c r="Q668" s="3">
        <v>36892.0</v>
      </c>
      <c r="R668" s="1"/>
      <c r="S668" s="3">
        <v>42867.0</v>
      </c>
      <c r="T668" s="1" t="s">
        <v>164</v>
      </c>
      <c r="U668" s="1"/>
      <c r="V668" s="1" t="s">
        <v>38</v>
      </c>
      <c r="W668" s="1">
        <v>43.768017</v>
      </c>
      <c r="X668" s="1">
        <v>-73.333725</v>
      </c>
      <c r="Y668" s="1" t="s">
        <v>2906</v>
      </c>
      <c r="Z668" s="1"/>
      <c r="AA668" s="1" t="s">
        <v>40</v>
      </c>
      <c r="AB668" s="1" t="s">
        <v>532</v>
      </c>
      <c r="AC668" s="1">
        <v>5760.0</v>
      </c>
    </row>
    <row r="669">
      <c r="A669" s="1" t="str">
        <f>"0008MA"</f>
        <v>0008MA</v>
      </c>
      <c r="B669" s="1" t="s">
        <v>2907</v>
      </c>
      <c r="C669" s="1" t="s">
        <v>2908</v>
      </c>
      <c r="D669" s="1" t="str">
        <f>"8022231910"</f>
        <v>8022231910</v>
      </c>
      <c r="E669" s="1">
        <v>2904.0</v>
      </c>
      <c r="F669" s="1" t="s">
        <v>44</v>
      </c>
      <c r="G669" s="1" t="s">
        <v>2909</v>
      </c>
      <c r="H669" s="1">
        <v>1.0</v>
      </c>
      <c r="I669" s="1"/>
      <c r="J669" s="1"/>
      <c r="K669" s="1"/>
      <c r="L669" s="1"/>
      <c r="M669" s="1" t="s">
        <v>72</v>
      </c>
      <c r="N669" s="1" t="s">
        <v>135</v>
      </c>
      <c r="O669" s="1" t="s">
        <v>279</v>
      </c>
      <c r="P669" s="1"/>
      <c r="Q669" s="3">
        <v>36892.0</v>
      </c>
      <c r="R669" s="1"/>
      <c r="S669" s="3">
        <v>34877.0</v>
      </c>
      <c r="T669" s="1" t="s">
        <v>37</v>
      </c>
      <c r="U669" s="1"/>
      <c r="V669" s="1" t="s">
        <v>38</v>
      </c>
      <c r="W669" s="1"/>
      <c r="X669" s="1"/>
      <c r="Y669" s="1" t="s">
        <v>49</v>
      </c>
      <c r="Z669" s="1"/>
      <c r="AA669" s="1" t="s">
        <v>40</v>
      </c>
      <c r="AB669" s="1" t="s">
        <v>281</v>
      </c>
      <c r="AC669" s="1"/>
    </row>
    <row r="670">
      <c r="A670" s="1" t="str">
        <f>"0008QC"</f>
        <v>0008QC</v>
      </c>
      <c r="B670" s="1" t="s">
        <v>2910</v>
      </c>
      <c r="C670" s="1" t="s">
        <v>2911</v>
      </c>
      <c r="D670" s="1" t="str">
        <f>"8028796455"</f>
        <v>8028796455</v>
      </c>
      <c r="E670" s="1">
        <v>4014.0</v>
      </c>
      <c r="F670" s="1" t="s">
        <v>117</v>
      </c>
      <c r="G670" s="1" t="s">
        <v>2912</v>
      </c>
      <c r="H670" s="1">
        <v>3.0</v>
      </c>
      <c r="I670" s="2">
        <v>0.0</v>
      </c>
      <c r="J670" s="2">
        <v>0.0</v>
      </c>
      <c r="K670" s="2" t="s">
        <v>119</v>
      </c>
      <c r="L670" s="1"/>
      <c r="M670" s="1" t="s">
        <v>2913</v>
      </c>
      <c r="N670" s="1" t="s">
        <v>57</v>
      </c>
      <c r="O670" s="1" t="s">
        <v>155</v>
      </c>
      <c r="P670" s="1" t="s">
        <v>2914</v>
      </c>
      <c r="Q670" s="3">
        <v>36892.0</v>
      </c>
      <c r="R670" s="1"/>
      <c r="S670" s="1"/>
      <c r="T670" s="1" t="s">
        <v>37</v>
      </c>
      <c r="U670" s="1"/>
      <c r="V670" s="1" t="s">
        <v>38</v>
      </c>
      <c r="W670" s="1">
        <v>44.556136</v>
      </c>
      <c r="X670" s="1">
        <v>-73.001746</v>
      </c>
      <c r="Y670" s="1" t="s">
        <v>2915</v>
      </c>
      <c r="Z670" s="1"/>
      <c r="AA670" s="1" t="s">
        <v>40</v>
      </c>
      <c r="AB670" s="1" t="s">
        <v>156</v>
      </c>
      <c r="AC670" s="1">
        <v>5494.0</v>
      </c>
    </row>
    <row r="671">
      <c r="A671" s="1" t="str">
        <f>"0008JC"</f>
        <v>0008JC</v>
      </c>
      <c r="B671" s="1" t="s">
        <v>2916</v>
      </c>
      <c r="C671" s="1" t="s">
        <v>2917</v>
      </c>
      <c r="D671" s="1" t="str">
        <f>"8022578528"</f>
        <v>8022578528</v>
      </c>
      <c r="E671" s="1">
        <v>3402.0</v>
      </c>
      <c r="F671" s="1" t="s">
        <v>44</v>
      </c>
      <c r="G671" s="1" t="s">
        <v>2918</v>
      </c>
      <c r="H671" s="1"/>
      <c r="I671" s="1"/>
      <c r="J671" s="1"/>
      <c r="K671" s="1"/>
      <c r="L671" s="1"/>
      <c r="M671" s="1" t="s">
        <v>2919</v>
      </c>
      <c r="N671" s="1" t="s">
        <v>66</v>
      </c>
      <c r="O671" s="1" t="s">
        <v>1136</v>
      </c>
      <c r="P671" s="1"/>
      <c r="Q671" s="3">
        <v>36892.0</v>
      </c>
      <c r="R671" s="1"/>
      <c r="S671" s="1"/>
      <c r="T671" s="1" t="s">
        <v>37</v>
      </c>
      <c r="U671" s="1"/>
      <c r="V671" s="1" t="s">
        <v>38</v>
      </c>
      <c r="W671" s="1"/>
      <c r="X671" s="1"/>
      <c r="Y671" s="1" t="s">
        <v>49</v>
      </c>
      <c r="Z671" s="1"/>
      <c r="AA671" s="1" t="s">
        <v>40</v>
      </c>
      <c r="AB671" s="1" t="s">
        <v>1137</v>
      </c>
      <c r="AC671" s="1"/>
    </row>
    <row r="672">
      <c r="A672" s="1" t="str">
        <f>"00082C"</f>
        <v>00082C</v>
      </c>
      <c r="B672" s="1" t="s">
        <v>2920</v>
      </c>
      <c r="C672" s="1" t="s">
        <v>2921</v>
      </c>
      <c r="D672" s="1" t="str">
        <f>"8028683080"</f>
        <v>8028683080</v>
      </c>
      <c r="E672" s="1">
        <v>2576.0</v>
      </c>
      <c r="F672" s="1" t="s">
        <v>44</v>
      </c>
      <c r="G672" s="1" t="s">
        <v>2922</v>
      </c>
      <c r="H672" s="1">
        <v>3.0</v>
      </c>
      <c r="I672" s="2">
        <v>3.0</v>
      </c>
      <c r="J672" s="2">
        <v>3.0</v>
      </c>
      <c r="K672" s="2" t="s">
        <v>119</v>
      </c>
      <c r="L672" s="2" t="s">
        <v>2923</v>
      </c>
      <c r="M672" s="1" t="s">
        <v>33</v>
      </c>
      <c r="N672" s="1" t="s">
        <v>47</v>
      </c>
      <c r="O672" s="1" t="s">
        <v>1112</v>
      </c>
      <c r="P672" s="1" t="s">
        <v>2924</v>
      </c>
      <c r="Q672" s="3">
        <v>36892.0</v>
      </c>
      <c r="R672" s="1"/>
      <c r="S672" s="3">
        <v>42577.0</v>
      </c>
      <c r="T672" s="1" t="s">
        <v>37</v>
      </c>
      <c r="U672" s="1">
        <v>180.0</v>
      </c>
      <c r="V672" s="1" t="s">
        <v>38</v>
      </c>
      <c r="W672" s="1">
        <v>44.933603690136</v>
      </c>
      <c r="X672" s="1">
        <v>-73.2052686719907</v>
      </c>
      <c r="Y672" s="1" t="s">
        <v>2925</v>
      </c>
      <c r="Z672" s="1"/>
      <c r="AA672" s="1" t="s">
        <v>40</v>
      </c>
      <c r="AB672" s="1" t="s">
        <v>1115</v>
      </c>
      <c r="AC672" s="1">
        <v>5488.0</v>
      </c>
    </row>
    <row r="673">
      <c r="A673" s="1" t="str">
        <f>"0008HF"</f>
        <v>0008HF</v>
      </c>
      <c r="B673" s="1" t="s">
        <v>914</v>
      </c>
      <c r="C673" s="1" t="s">
        <v>915</v>
      </c>
      <c r="D673" s="1" t="str">
        <f>"8028816042"</f>
        <v>8028816042</v>
      </c>
      <c r="E673" s="1">
        <v>2747.0</v>
      </c>
      <c r="F673" s="1" t="s">
        <v>44</v>
      </c>
      <c r="G673" s="1" t="s">
        <v>2926</v>
      </c>
      <c r="H673" s="1">
        <v>3.0</v>
      </c>
      <c r="I673" s="2" t="s">
        <v>119</v>
      </c>
      <c r="J673" s="2" t="s">
        <v>119</v>
      </c>
      <c r="K673" s="2" t="s">
        <v>119</v>
      </c>
      <c r="L673" s="1"/>
      <c r="M673" s="1" t="s">
        <v>33</v>
      </c>
      <c r="N673" s="1" t="s">
        <v>57</v>
      </c>
      <c r="O673" s="1" t="s">
        <v>155</v>
      </c>
      <c r="P673" s="1" t="s">
        <v>2927</v>
      </c>
      <c r="Q673" s="3">
        <v>36892.0</v>
      </c>
      <c r="R673" s="1"/>
      <c r="S673" s="3">
        <v>42604.0</v>
      </c>
      <c r="T673" s="1" t="s">
        <v>37</v>
      </c>
      <c r="U673" s="1"/>
      <c r="V673" s="1" t="s">
        <v>38</v>
      </c>
      <c r="W673" s="1">
        <v>44.639432</v>
      </c>
      <c r="X673" s="1">
        <v>-72.966171</v>
      </c>
      <c r="Y673" s="1" t="s">
        <v>2928</v>
      </c>
      <c r="Z673" s="1"/>
      <c r="AA673" s="1" t="s">
        <v>40</v>
      </c>
      <c r="AB673" s="1" t="s">
        <v>156</v>
      </c>
      <c r="AC673" s="1">
        <v>5494.0</v>
      </c>
    </row>
    <row r="674">
      <c r="A674" s="1" t="str">
        <f>"00081Y"</f>
        <v>00081Y</v>
      </c>
      <c r="B674" s="1" t="s">
        <v>1108</v>
      </c>
      <c r="C674" s="1" t="s">
        <v>1109</v>
      </c>
      <c r="D674" s="1" t="str">
        <f>"8025242433"</f>
        <v>8025242433</v>
      </c>
      <c r="E674" s="1">
        <v>1523.0</v>
      </c>
      <c r="F674" s="1" t="s">
        <v>117</v>
      </c>
      <c r="G674" s="1" t="s">
        <v>2929</v>
      </c>
      <c r="H674" s="1">
        <v>25.0</v>
      </c>
      <c r="I674" s="2" t="s">
        <v>119</v>
      </c>
      <c r="J674" s="2" t="s">
        <v>119</v>
      </c>
      <c r="K674" s="2" t="s">
        <v>119</v>
      </c>
      <c r="L674" s="1"/>
      <c r="M674" s="1" t="s">
        <v>2930</v>
      </c>
      <c r="N674" s="1" t="s">
        <v>47</v>
      </c>
      <c r="O674" s="1" t="s">
        <v>582</v>
      </c>
      <c r="P674" s="1" t="s">
        <v>2931</v>
      </c>
      <c r="Q674" s="3">
        <v>36892.0</v>
      </c>
      <c r="R674" s="1"/>
      <c r="S674" s="3">
        <v>42198.0</v>
      </c>
      <c r="T674" s="1" t="s">
        <v>37</v>
      </c>
      <c r="U674" s="1"/>
      <c r="V674" s="1" t="s">
        <v>38</v>
      </c>
      <c r="W674" s="1">
        <v>44.7368608258163</v>
      </c>
      <c r="X674" s="1">
        <v>-73.0868268013</v>
      </c>
      <c r="Y674" s="1" t="s">
        <v>2932</v>
      </c>
      <c r="Z674" s="1"/>
      <c r="AA674" s="1" t="s">
        <v>40</v>
      </c>
      <c r="AB674" s="1" t="s">
        <v>583</v>
      </c>
      <c r="AC674" s="1">
        <v>5478.0</v>
      </c>
    </row>
    <row r="675">
      <c r="A675" s="1" t="str">
        <f>"0008WF"</f>
        <v>0008WF</v>
      </c>
      <c r="B675" s="1" t="s">
        <v>2933</v>
      </c>
      <c r="C675" s="1" t="s">
        <v>2934</v>
      </c>
      <c r="D675" s="1" t="str">
        <f>"8028770094"</f>
        <v>8028770094</v>
      </c>
      <c r="E675" s="1">
        <v>3390.0</v>
      </c>
      <c r="F675" s="1" t="s">
        <v>44</v>
      </c>
      <c r="G675" s="1" t="s">
        <v>2935</v>
      </c>
      <c r="H675" s="1">
        <v>1.0</v>
      </c>
      <c r="I675" s="1"/>
      <c r="J675" s="1"/>
      <c r="K675" s="1"/>
      <c r="L675" s="1"/>
      <c r="M675" s="1">
        <v>1.0</v>
      </c>
      <c r="N675" s="1" t="s">
        <v>161</v>
      </c>
      <c r="O675" s="1" t="s">
        <v>576</v>
      </c>
      <c r="P675" s="1" t="s">
        <v>2936</v>
      </c>
      <c r="Q675" s="3">
        <v>36892.0</v>
      </c>
      <c r="R675" s="1"/>
      <c r="S675" s="3">
        <v>39728.0</v>
      </c>
      <c r="T675" s="1" t="s">
        <v>37</v>
      </c>
      <c r="U675" s="1"/>
      <c r="V675" s="1" t="s">
        <v>38</v>
      </c>
      <c r="W675" s="1">
        <v>44.0886671</v>
      </c>
      <c r="X675" s="1">
        <v>-73.302622</v>
      </c>
      <c r="Y675" s="1" t="s">
        <v>49</v>
      </c>
      <c r="Z675" s="1"/>
      <c r="AA675" s="1" t="s">
        <v>40</v>
      </c>
      <c r="AB675" s="1" t="s">
        <v>161</v>
      </c>
      <c r="AC675" s="1">
        <v>5491.0</v>
      </c>
    </row>
    <row r="676">
      <c r="A676" s="1" t="str">
        <f>"00082B"</f>
        <v>00082B</v>
      </c>
      <c r="B676" s="1" t="s">
        <v>2937</v>
      </c>
      <c r="C676" s="1" t="s">
        <v>2938</v>
      </c>
      <c r="D676" s="1"/>
      <c r="E676" s="1">
        <v>1549.0</v>
      </c>
      <c r="F676" s="1" t="s">
        <v>44</v>
      </c>
      <c r="G676" s="1" t="s">
        <v>2939</v>
      </c>
      <c r="H676" s="1">
        <v>2.0</v>
      </c>
      <c r="I676" s="1"/>
      <c r="J676" s="1"/>
      <c r="K676" s="1"/>
      <c r="L676" s="1"/>
      <c r="M676" s="1" t="s">
        <v>2940</v>
      </c>
      <c r="N676" s="1" t="s">
        <v>47</v>
      </c>
      <c r="O676" s="1" t="s">
        <v>582</v>
      </c>
      <c r="P676" s="1"/>
      <c r="Q676" s="3">
        <v>36892.0</v>
      </c>
      <c r="R676" s="1"/>
      <c r="S676" s="3">
        <v>32738.0</v>
      </c>
      <c r="T676" s="1" t="s">
        <v>37</v>
      </c>
      <c r="U676" s="1"/>
      <c r="V676" s="1" t="s">
        <v>38</v>
      </c>
      <c r="W676" s="1"/>
      <c r="X676" s="1"/>
      <c r="Y676" s="1" t="s">
        <v>49</v>
      </c>
      <c r="Z676" s="1"/>
      <c r="AA676" s="1" t="s">
        <v>40</v>
      </c>
      <c r="AB676" s="1" t="s">
        <v>583</v>
      </c>
      <c r="AC676" s="1"/>
    </row>
    <row r="677">
      <c r="A677" s="1" t="str">
        <f>"00082A"</f>
        <v>00082A</v>
      </c>
      <c r="B677" s="1" t="s">
        <v>2941</v>
      </c>
      <c r="C677" s="1" t="s">
        <v>2942</v>
      </c>
      <c r="D677" s="1"/>
      <c r="E677" s="1">
        <v>1547.0</v>
      </c>
      <c r="F677" s="1" t="s">
        <v>44</v>
      </c>
      <c r="G677" s="1" t="s">
        <v>2943</v>
      </c>
      <c r="H677" s="1">
        <v>5.0</v>
      </c>
      <c r="I677" s="1"/>
      <c r="J677" s="1"/>
      <c r="K677" s="1"/>
      <c r="L677" s="1"/>
      <c r="M677" s="1" t="s">
        <v>2944</v>
      </c>
      <c r="N677" s="1" t="s">
        <v>47</v>
      </c>
      <c r="O677" s="1" t="s">
        <v>582</v>
      </c>
      <c r="P677" s="1"/>
      <c r="Q677" s="3">
        <v>36892.0</v>
      </c>
      <c r="R677" s="1"/>
      <c r="S677" s="3">
        <v>33032.0</v>
      </c>
      <c r="T677" s="1" t="s">
        <v>37</v>
      </c>
      <c r="U677" s="1"/>
      <c r="V677" s="1" t="s">
        <v>38</v>
      </c>
      <c r="W677" s="1"/>
      <c r="X677" s="1"/>
      <c r="Y677" s="1" t="s">
        <v>49</v>
      </c>
      <c r="Z677" s="1"/>
      <c r="AA677" s="1" t="s">
        <v>40</v>
      </c>
      <c r="AB677" s="1" t="s">
        <v>583</v>
      </c>
      <c r="AC677" s="1"/>
    </row>
    <row r="678">
      <c r="A678" s="1" t="str">
        <f>"00082F"</f>
        <v>00082F</v>
      </c>
      <c r="B678" s="1" t="s">
        <v>2945</v>
      </c>
      <c r="C678" s="1" t="s">
        <v>2946</v>
      </c>
      <c r="D678" s="1" t="str">
        <f>"8453623938"</f>
        <v>8453623938</v>
      </c>
      <c r="E678" s="1">
        <v>4015.0</v>
      </c>
      <c r="F678" s="1" t="s">
        <v>44</v>
      </c>
      <c r="G678" s="1" t="s">
        <v>2947</v>
      </c>
      <c r="H678" s="1">
        <v>3.0</v>
      </c>
      <c r="I678" s="1"/>
      <c r="J678" s="1"/>
      <c r="K678" s="1"/>
      <c r="L678" s="1"/>
      <c r="M678" s="1" t="s">
        <v>2948</v>
      </c>
      <c r="N678" s="1" t="s">
        <v>66</v>
      </c>
      <c r="O678" s="1" t="s">
        <v>1411</v>
      </c>
      <c r="P678" s="1" t="s">
        <v>36</v>
      </c>
      <c r="Q678" s="3">
        <v>36892.0</v>
      </c>
      <c r="R678" s="1"/>
      <c r="S678" s="1"/>
      <c r="T678" s="1" t="s">
        <v>37</v>
      </c>
      <c r="U678" s="1"/>
      <c r="V678" s="1" t="s">
        <v>38</v>
      </c>
      <c r="W678" s="1"/>
      <c r="X678" s="1"/>
      <c r="Y678" s="1" t="s">
        <v>49</v>
      </c>
      <c r="Z678" s="1"/>
      <c r="AA678" s="1" t="s">
        <v>40</v>
      </c>
      <c r="AB678" s="1" t="s">
        <v>1412</v>
      </c>
      <c r="AC678" s="1"/>
    </row>
    <row r="679">
      <c r="A679" s="1" t="str">
        <f>"000829"</f>
        <v>000829</v>
      </c>
      <c r="B679" s="1" t="s">
        <v>2949</v>
      </c>
      <c r="C679" s="1" t="s">
        <v>2950</v>
      </c>
      <c r="D679" s="1"/>
      <c r="E679" s="1">
        <v>1543.0</v>
      </c>
      <c r="F679" s="1" t="s">
        <v>44</v>
      </c>
      <c r="G679" s="1" t="s">
        <v>2951</v>
      </c>
      <c r="H679" s="1"/>
      <c r="I679" s="1"/>
      <c r="J679" s="1"/>
      <c r="K679" s="1"/>
      <c r="L679" s="1"/>
      <c r="M679" s="1" t="s">
        <v>2952</v>
      </c>
      <c r="N679" s="1" t="s">
        <v>47</v>
      </c>
      <c r="O679" s="1" t="s">
        <v>582</v>
      </c>
      <c r="P679" s="1"/>
      <c r="Q679" s="3">
        <v>36892.0</v>
      </c>
      <c r="R679" s="1"/>
      <c r="S679" s="1"/>
      <c r="T679" s="1" t="s">
        <v>37</v>
      </c>
      <c r="U679" s="1"/>
      <c r="V679" s="1" t="s">
        <v>38</v>
      </c>
      <c r="W679" s="1"/>
      <c r="X679" s="1"/>
      <c r="Y679" s="1" t="s">
        <v>49</v>
      </c>
      <c r="Z679" s="1"/>
      <c r="AA679" s="1" t="s">
        <v>40</v>
      </c>
      <c r="AB679" s="1" t="s">
        <v>583</v>
      </c>
      <c r="AC679" s="1"/>
    </row>
    <row r="680">
      <c r="A680" s="1" t="str">
        <f>"00088A"</f>
        <v>00088A</v>
      </c>
      <c r="B680" s="1" t="s">
        <v>2953</v>
      </c>
      <c r="C680" s="1" t="s">
        <v>2954</v>
      </c>
      <c r="D680" s="1" t="str">
        <f>"8024766725"</f>
        <v>8024766725</v>
      </c>
      <c r="E680" s="1">
        <v>3029.0</v>
      </c>
      <c r="F680" s="1" t="s">
        <v>44</v>
      </c>
      <c r="G680" s="1" t="s">
        <v>2955</v>
      </c>
      <c r="H680" s="1">
        <v>2.0</v>
      </c>
      <c r="I680" s="1"/>
      <c r="J680" s="1"/>
      <c r="K680" s="1"/>
      <c r="L680" s="1"/>
      <c r="M680" s="1" t="s">
        <v>72</v>
      </c>
      <c r="N680" s="1" t="s">
        <v>135</v>
      </c>
      <c r="O680" s="1" t="s">
        <v>343</v>
      </c>
      <c r="P680" s="1"/>
      <c r="Q680" s="3">
        <v>36892.0</v>
      </c>
      <c r="R680" s="1"/>
      <c r="S680" s="3">
        <v>38575.0</v>
      </c>
      <c r="T680" s="1" t="s">
        <v>37</v>
      </c>
      <c r="U680" s="1"/>
      <c r="V680" s="1" t="s">
        <v>38</v>
      </c>
      <c r="W680" s="1"/>
      <c r="X680" s="1"/>
      <c r="Y680" s="1" t="s">
        <v>49</v>
      </c>
      <c r="Z680" s="1"/>
      <c r="AA680" s="1" t="s">
        <v>40</v>
      </c>
      <c r="AB680" s="1" t="s">
        <v>343</v>
      </c>
      <c r="AC680" s="1"/>
    </row>
    <row r="681">
      <c r="A681" s="1" t="str">
        <f>"0008DH"</f>
        <v>0008DH</v>
      </c>
      <c r="B681" s="1" t="s">
        <v>1934</v>
      </c>
      <c r="C681" s="1" t="s">
        <v>1935</v>
      </c>
      <c r="D681" s="1" t="str">
        <f>"8025272917"</f>
        <v>8025272917</v>
      </c>
      <c r="E681" s="1">
        <v>2964.0</v>
      </c>
      <c r="F681" s="1" t="s">
        <v>31</v>
      </c>
      <c r="G681" s="1" t="s">
        <v>2956</v>
      </c>
      <c r="H681" s="1">
        <v>8.0</v>
      </c>
      <c r="I681" s="1"/>
      <c r="J681" s="1"/>
      <c r="K681" s="1"/>
      <c r="L681" s="1"/>
      <c r="M681" s="1" t="s">
        <v>72</v>
      </c>
      <c r="N681" s="1" t="s">
        <v>47</v>
      </c>
      <c r="O681" s="1" t="s">
        <v>100</v>
      </c>
      <c r="P681" s="1" t="s">
        <v>2957</v>
      </c>
      <c r="Q681" s="3">
        <v>36892.0</v>
      </c>
      <c r="R681" s="1"/>
      <c r="S681" s="3">
        <v>39979.0</v>
      </c>
      <c r="T681" s="1" t="s">
        <v>37</v>
      </c>
      <c r="U681" s="1"/>
      <c r="V681" s="1" t="s">
        <v>38</v>
      </c>
      <c r="W681" s="1"/>
      <c r="X681" s="1"/>
      <c r="Y681" s="1" t="s">
        <v>2958</v>
      </c>
      <c r="Z681" s="1"/>
      <c r="AA681" s="1" t="s">
        <v>40</v>
      </c>
      <c r="AB681" s="1" t="s">
        <v>102</v>
      </c>
      <c r="AC681" s="1">
        <v>5455.0</v>
      </c>
    </row>
    <row r="682">
      <c r="A682" s="1" t="str">
        <f t="shared" ref="A682:A683" si="46">"00081Y"</f>
        <v>00081Y</v>
      </c>
      <c r="B682" s="1" t="s">
        <v>1108</v>
      </c>
      <c r="C682" s="1" t="s">
        <v>1109</v>
      </c>
      <c r="D682" s="1" t="str">
        <f t="shared" ref="D682:D683" si="47">"8025242433"</f>
        <v>8025242433</v>
      </c>
      <c r="E682" s="1">
        <v>1523.0</v>
      </c>
      <c r="F682" s="1" t="s">
        <v>117</v>
      </c>
      <c r="G682" s="1" t="s">
        <v>2959</v>
      </c>
      <c r="H682" s="1">
        <v>25.0</v>
      </c>
      <c r="I682" s="2" t="s">
        <v>119</v>
      </c>
      <c r="J682" s="2" t="s">
        <v>119</v>
      </c>
      <c r="K682" s="2" t="s">
        <v>119</v>
      </c>
      <c r="L682" s="1"/>
      <c r="M682" s="1" t="s">
        <v>2960</v>
      </c>
      <c r="N682" s="1" t="s">
        <v>47</v>
      </c>
      <c r="O682" s="1" t="s">
        <v>2889</v>
      </c>
      <c r="P682" s="1" t="s">
        <v>2961</v>
      </c>
      <c r="Q682" s="3">
        <v>36892.0</v>
      </c>
      <c r="R682" s="1"/>
      <c r="S682" s="3">
        <v>41550.0</v>
      </c>
      <c r="T682" s="1" t="s">
        <v>37</v>
      </c>
      <c r="U682" s="1"/>
      <c r="V682" s="1" t="s">
        <v>38</v>
      </c>
      <c r="W682" s="1">
        <v>44.99775</v>
      </c>
      <c r="X682" s="1">
        <v>-73.0787399999999</v>
      </c>
      <c r="Y682" s="1" t="s">
        <v>2962</v>
      </c>
      <c r="Z682" s="1"/>
      <c r="AA682" s="1" t="s">
        <v>40</v>
      </c>
      <c r="AB682" s="1" t="s">
        <v>2773</v>
      </c>
      <c r="AC682" s="1">
        <v>0.0</v>
      </c>
    </row>
    <row r="683">
      <c r="A683" s="1" t="str">
        <f t="shared" si="46"/>
        <v>00081Y</v>
      </c>
      <c r="B683" s="1" t="s">
        <v>1108</v>
      </c>
      <c r="C683" s="1" t="s">
        <v>1109</v>
      </c>
      <c r="D683" s="1" t="str">
        <f t="shared" si="47"/>
        <v>8025242433</v>
      </c>
      <c r="E683" s="1">
        <v>1523.0</v>
      </c>
      <c r="F683" s="1" t="s">
        <v>117</v>
      </c>
      <c r="G683" s="1" t="s">
        <v>2963</v>
      </c>
      <c r="H683" s="1">
        <v>90.0</v>
      </c>
      <c r="I683" s="2" t="s">
        <v>119</v>
      </c>
      <c r="J683" s="2" t="s">
        <v>119</v>
      </c>
      <c r="K683" s="2" t="s">
        <v>119</v>
      </c>
      <c r="L683" s="1"/>
      <c r="M683" s="1" t="s">
        <v>2964</v>
      </c>
      <c r="N683" s="1" t="s">
        <v>47</v>
      </c>
      <c r="O683" s="1" t="s">
        <v>1112</v>
      </c>
      <c r="P683" s="1" t="s">
        <v>2965</v>
      </c>
      <c r="Q683" s="3">
        <v>36892.0</v>
      </c>
      <c r="R683" s="1"/>
      <c r="S683" s="3">
        <v>42919.0</v>
      </c>
      <c r="T683" s="1" t="s">
        <v>37</v>
      </c>
      <c r="U683" s="1"/>
      <c r="V683" s="1" t="s">
        <v>38</v>
      </c>
      <c r="W683" s="1">
        <v>44.88005</v>
      </c>
      <c r="X683" s="1">
        <v>-73.07553</v>
      </c>
      <c r="Y683" s="1" t="s">
        <v>2966</v>
      </c>
      <c r="Z683" s="1"/>
      <c r="AA683" s="1" t="s">
        <v>40</v>
      </c>
      <c r="AB683" s="1" t="s">
        <v>1115</v>
      </c>
      <c r="AC683" s="1">
        <v>0.0</v>
      </c>
    </row>
    <row r="684">
      <c r="A684" s="1" t="str">
        <f t="shared" ref="A684:A685" si="48">"0007ZQ"</f>
        <v>0007ZQ</v>
      </c>
      <c r="B684" s="1" t="s">
        <v>1064</v>
      </c>
      <c r="C684" s="1" t="s">
        <v>1065</v>
      </c>
      <c r="D684" s="1" t="str">
        <f t="shared" ref="D684:D685" si="49">"8022256051"</f>
        <v>8022256051</v>
      </c>
      <c r="E684" s="1">
        <v>1395.0</v>
      </c>
      <c r="F684" s="1" t="s">
        <v>117</v>
      </c>
      <c r="G684" s="1" t="s">
        <v>2967</v>
      </c>
      <c r="H684" s="1">
        <v>24.0</v>
      </c>
      <c r="I684" s="2" t="s">
        <v>119</v>
      </c>
      <c r="J684" s="2" t="s">
        <v>119</v>
      </c>
      <c r="K684" s="2" t="s">
        <v>119</v>
      </c>
      <c r="L684" s="1"/>
      <c r="M684" s="1" t="s">
        <v>2968</v>
      </c>
      <c r="N684" s="1" t="s">
        <v>47</v>
      </c>
      <c r="O684" s="1" t="s">
        <v>582</v>
      </c>
      <c r="P684" s="1" t="s">
        <v>2969</v>
      </c>
      <c r="Q684" s="3">
        <v>36892.0</v>
      </c>
      <c r="R684" s="1"/>
      <c r="S684" s="1"/>
      <c r="T684" s="1" t="s">
        <v>37</v>
      </c>
      <c r="U684" s="1"/>
      <c r="V684" s="1" t="s">
        <v>38</v>
      </c>
      <c r="W684" s="1"/>
      <c r="X684" s="1"/>
      <c r="Y684" s="1" t="s">
        <v>49</v>
      </c>
      <c r="Z684" s="1"/>
      <c r="AA684" s="1" t="s">
        <v>40</v>
      </c>
      <c r="AB684" s="1" t="s">
        <v>583</v>
      </c>
      <c r="AC684" s="1">
        <v>0.0</v>
      </c>
    </row>
    <row r="685">
      <c r="A685" s="1" t="str">
        <f t="shared" si="48"/>
        <v>0007ZQ</v>
      </c>
      <c r="B685" s="1" t="s">
        <v>1064</v>
      </c>
      <c r="C685" s="1" t="s">
        <v>1065</v>
      </c>
      <c r="D685" s="1" t="str">
        <f t="shared" si="49"/>
        <v>8022256051</v>
      </c>
      <c r="E685" s="1">
        <v>1395.0</v>
      </c>
      <c r="F685" s="1" t="s">
        <v>117</v>
      </c>
      <c r="G685" s="1" t="s">
        <v>2970</v>
      </c>
      <c r="H685" s="1">
        <v>18.0</v>
      </c>
      <c r="I685" s="2" t="s">
        <v>119</v>
      </c>
      <c r="J685" s="2" t="s">
        <v>119</v>
      </c>
      <c r="K685" s="2" t="s">
        <v>119</v>
      </c>
      <c r="L685" s="1"/>
      <c r="M685" s="1" t="s">
        <v>2971</v>
      </c>
      <c r="N685" s="1" t="s">
        <v>57</v>
      </c>
      <c r="O685" s="1" t="s">
        <v>256</v>
      </c>
      <c r="P685" s="1" t="s">
        <v>2972</v>
      </c>
      <c r="Q685" s="3">
        <v>36892.0</v>
      </c>
      <c r="R685" s="1"/>
      <c r="S685" s="1"/>
      <c r="T685" s="1" t="s">
        <v>37</v>
      </c>
      <c r="U685" s="1"/>
      <c r="V685" s="1" t="s">
        <v>38</v>
      </c>
      <c r="W685" s="1"/>
      <c r="X685" s="1"/>
      <c r="Y685" s="1" t="s">
        <v>49</v>
      </c>
      <c r="Z685" s="1"/>
      <c r="AA685" s="1" t="s">
        <v>40</v>
      </c>
      <c r="AB685" s="1" t="s">
        <v>257</v>
      </c>
      <c r="AC685" s="1">
        <v>0.0</v>
      </c>
    </row>
    <row r="686">
      <c r="A686" s="1" t="str">
        <f>"00088P"</f>
        <v>00088P</v>
      </c>
      <c r="B686" s="1" t="s">
        <v>2973</v>
      </c>
      <c r="C686" s="1" t="s">
        <v>2974</v>
      </c>
      <c r="D686" s="1" t="str">
        <f>"8024768741"</f>
        <v>8024768741</v>
      </c>
      <c r="E686" s="1">
        <v>2307.0</v>
      </c>
      <c r="F686" s="1" t="s">
        <v>44</v>
      </c>
      <c r="G686" s="1" t="s">
        <v>2975</v>
      </c>
      <c r="H686" s="1">
        <v>6.0</v>
      </c>
      <c r="I686" s="1"/>
      <c r="J686" s="1"/>
      <c r="K686" s="1"/>
      <c r="L686" s="1"/>
      <c r="M686" s="1" t="s">
        <v>2976</v>
      </c>
      <c r="N686" s="1" t="s">
        <v>135</v>
      </c>
      <c r="O686" s="1" t="s">
        <v>343</v>
      </c>
      <c r="P686" s="1"/>
      <c r="Q686" s="3">
        <v>36892.0</v>
      </c>
      <c r="R686" s="1"/>
      <c r="S686" s="3">
        <v>33113.0</v>
      </c>
      <c r="T686" s="1" t="s">
        <v>37</v>
      </c>
      <c r="U686" s="1"/>
      <c r="V686" s="1" t="s">
        <v>38</v>
      </c>
      <c r="W686" s="1"/>
      <c r="X686" s="1"/>
      <c r="Y686" s="1" t="s">
        <v>49</v>
      </c>
      <c r="Z686" s="1"/>
      <c r="AA686" s="1" t="s">
        <v>40</v>
      </c>
      <c r="AB686" s="1" t="s">
        <v>343</v>
      </c>
      <c r="AC686" s="1"/>
    </row>
    <row r="687">
      <c r="A687" s="1" t="str">
        <f>"000824"</f>
        <v>000824</v>
      </c>
      <c r="B687" s="1" t="s">
        <v>2977</v>
      </c>
      <c r="C687" s="1" t="s">
        <v>2978</v>
      </c>
      <c r="D687" s="1" t="str">
        <f>"8027638489"</f>
        <v>8027638489</v>
      </c>
      <c r="E687" s="1">
        <v>3987.0</v>
      </c>
      <c r="F687" s="1" t="s">
        <v>44</v>
      </c>
      <c r="G687" s="1" t="s">
        <v>2979</v>
      </c>
      <c r="H687" s="1">
        <v>2.0</v>
      </c>
      <c r="I687" s="1"/>
      <c r="J687" s="1"/>
      <c r="K687" s="1"/>
      <c r="L687" s="1"/>
      <c r="M687" s="1" t="s">
        <v>33</v>
      </c>
      <c r="N687" s="1" t="s">
        <v>34</v>
      </c>
      <c r="O687" s="1" t="s">
        <v>35</v>
      </c>
      <c r="P687" s="1" t="s">
        <v>36</v>
      </c>
      <c r="Q687" s="3">
        <v>36892.0</v>
      </c>
      <c r="R687" s="1"/>
      <c r="S687" s="3">
        <v>42233.0</v>
      </c>
      <c r="T687" s="1" t="s">
        <v>37</v>
      </c>
      <c r="U687" s="1"/>
      <c r="V687" s="1" t="s">
        <v>38</v>
      </c>
      <c r="W687" s="1">
        <v>43.8133848</v>
      </c>
      <c r="X687" s="1">
        <v>-72.5000579999999</v>
      </c>
      <c r="Y687" s="1" t="s">
        <v>2980</v>
      </c>
      <c r="Z687" s="1"/>
      <c r="AA687" s="1" t="s">
        <v>40</v>
      </c>
      <c r="AB687" s="1" t="s">
        <v>41</v>
      </c>
      <c r="AC687" s="1">
        <v>5068.0</v>
      </c>
    </row>
    <row r="688">
      <c r="A688" s="1" t="str">
        <f>"00086W"</f>
        <v>00086W</v>
      </c>
      <c r="B688" s="1" t="s">
        <v>2981</v>
      </c>
      <c r="C688" s="1" t="s">
        <v>2982</v>
      </c>
      <c r="D688" s="1" t="str">
        <f>"5612675376"</f>
        <v>5612675376</v>
      </c>
      <c r="E688" s="1">
        <v>3956.0</v>
      </c>
      <c r="F688" s="1" t="s">
        <v>117</v>
      </c>
      <c r="G688" s="1" t="s">
        <v>2983</v>
      </c>
      <c r="H688" s="1">
        <v>4.0</v>
      </c>
      <c r="I688" s="2" t="s">
        <v>119</v>
      </c>
      <c r="J688" s="2" t="s">
        <v>119</v>
      </c>
      <c r="K688" s="2" t="s">
        <v>119</v>
      </c>
      <c r="L688" s="1"/>
      <c r="M688" s="1" t="s">
        <v>2984</v>
      </c>
      <c r="N688" s="1" t="s">
        <v>135</v>
      </c>
      <c r="O688" s="1" t="s">
        <v>655</v>
      </c>
      <c r="P688" s="1" t="s">
        <v>2985</v>
      </c>
      <c r="Q688" s="3">
        <v>36892.0</v>
      </c>
      <c r="R688" s="1"/>
      <c r="S688" s="3">
        <v>42514.0</v>
      </c>
      <c r="T688" s="1" t="s">
        <v>37</v>
      </c>
      <c r="U688" s="1"/>
      <c r="V688" s="1" t="s">
        <v>38</v>
      </c>
      <c r="W688" s="1">
        <v>44.4520519999999</v>
      </c>
      <c r="X688" s="1">
        <v>-72.4166319999999</v>
      </c>
      <c r="Y688" s="1" t="s">
        <v>2986</v>
      </c>
      <c r="Z688" s="1"/>
      <c r="AA688" s="1" t="s">
        <v>40</v>
      </c>
      <c r="AB688" s="1" t="s">
        <v>656</v>
      </c>
      <c r="AC688" s="1">
        <v>5681.0</v>
      </c>
    </row>
    <row r="689">
      <c r="A689" s="1" t="str">
        <f>"000822"</f>
        <v>000822</v>
      </c>
      <c r="B689" s="1" t="s">
        <v>2987</v>
      </c>
      <c r="C689" s="1" t="s">
        <v>2988</v>
      </c>
      <c r="D689" s="1"/>
      <c r="E689" s="1">
        <v>1531.0</v>
      </c>
      <c r="F689" s="1" t="s">
        <v>44</v>
      </c>
      <c r="G689" s="1" t="s">
        <v>2989</v>
      </c>
      <c r="H689" s="1"/>
      <c r="I689" s="1"/>
      <c r="J689" s="1"/>
      <c r="K689" s="1"/>
      <c r="L689" s="1"/>
      <c r="M689" s="1" t="s">
        <v>2990</v>
      </c>
      <c r="N689" s="1" t="s">
        <v>47</v>
      </c>
      <c r="O689" s="1" t="s">
        <v>2319</v>
      </c>
      <c r="P689" s="1"/>
      <c r="Q689" s="3">
        <v>36892.0</v>
      </c>
      <c r="R689" s="1"/>
      <c r="S689" s="1"/>
      <c r="T689" s="1" t="s">
        <v>37</v>
      </c>
      <c r="U689" s="1"/>
      <c r="V689" s="1" t="s">
        <v>38</v>
      </c>
      <c r="W689" s="1"/>
      <c r="X689" s="1"/>
      <c r="Y689" s="1" t="s">
        <v>49</v>
      </c>
      <c r="Z689" s="1"/>
      <c r="AA689" s="1" t="s">
        <v>40</v>
      </c>
      <c r="AB689" s="1" t="s">
        <v>47</v>
      </c>
      <c r="AC689" s="1"/>
    </row>
    <row r="690">
      <c r="A690" s="1" t="str">
        <f>"0008BQ"</f>
        <v>0008BQ</v>
      </c>
      <c r="B690" s="1" t="s">
        <v>2991</v>
      </c>
      <c r="C690" s="1" t="s">
        <v>2992</v>
      </c>
      <c r="D690" s="1" t="str">
        <f>"8028993184"</f>
        <v>8028993184</v>
      </c>
      <c r="E690" s="1">
        <v>3986.0</v>
      </c>
      <c r="F690" s="1" t="s">
        <v>44</v>
      </c>
      <c r="G690" s="1" t="s">
        <v>2993</v>
      </c>
      <c r="H690" s="1"/>
      <c r="I690" s="1"/>
      <c r="J690" s="1"/>
      <c r="K690" s="1"/>
      <c r="L690" s="1"/>
      <c r="M690" s="1" t="s">
        <v>72</v>
      </c>
      <c r="N690" s="1" t="s">
        <v>57</v>
      </c>
      <c r="O690" s="1" t="s">
        <v>745</v>
      </c>
      <c r="P690" s="1"/>
      <c r="Q690" s="3">
        <v>36892.0</v>
      </c>
      <c r="R690" s="1"/>
      <c r="S690" s="1"/>
      <c r="T690" s="1" t="s">
        <v>37</v>
      </c>
      <c r="U690" s="1"/>
      <c r="V690" s="1" t="s">
        <v>38</v>
      </c>
      <c r="W690" s="1"/>
      <c r="X690" s="1"/>
      <c r="Y690" s="1" t="s">
        <v>49</v>
      </c>
      <c r="Z690" s="1"/>
      <c r="AA690" s="1" t="s">
        <v>40</v>
      </c>
      <c r="AB690" s="1" t="s">
        <v>746</v>
      </c>
      <c r="AC690" s="1"/>
    </row>
    <row r="691">
      <c r="A691" s="1" t="str">
        <f>"0008YZ"</f>
        <v>0008YZ</v>
      </c>
      <c r="B691" s="1" t="s">
        <v>2994</v>
      </c>
      <c r="C691" s="1" t="s">
        <v>2995</v>
      </c>
      <c r="D691" s="1" t="str">
        <f>"8022530974"</f>
        <v>8022530974</v>
      </c>
      <c r="E691" s="1">
        <v>3513.0</v>
      </c>
      <c r="F691" s="1" t="s">
        <v>44</v>
      </c>
      <c r="G691" s="1" t="s">
        <v>2996</v>
      </c>
      <c r="H691" s="1">
        <v>1.0</v>
      </c>
      <c r="I691" s="1"/>
      <c r="J691" s="1"/>
      <c r="K691" s="1"/>
      <c r="L691" s="1"/>
      <c r="M691" s="1" t="s">
        <v>72</v>
      </c>
      <c r="N691" s="1" t="s">
        <v>213</v>
      </c>
      <c r="O691" s="1" t="s">
        <v>365</v>
      </c>
      <c r="P691" s="1"/>
      <c r="Q691" s="3">
        <v>36892.0</v>
      </c>
      <c r="R691" s="1"/>
      <c r="S691" s="3">
        <v>39968.0</v>
      </c>
      <c r="T691" s="1" t="s">
        <v>37</v>
      </c>
      <c r="U691" s="1"/>
      <c r="V691" s="1" t="s">
        <v>38</v>
      </c>
      <c r="W691" s="1"/>
      <c r="X691" s="1"/>
      <c r="Y691" s="1" t="s">
        <v>49</v>
      </c>
      <c r="Z691" s="1"/>
      <c r="AA691" s="1" t="s">
        <v>40</v>
      </c>
      <c r="AB691" s="1" t="s">
        <v>366</v>
      </c>
      <c r="AC691" s="1"/>
    </row>
    <row r="692">
      <c r="A692" s="1" t="str">
        <f>"00081Z"</f>
        <v>00081Z</v>
      </c>
      <c r="B692" s="1" t="s">
        <v>483</v>
      </c>
      <c r="C692" s="1" t="s">
        <v>484</v>
      </c>
      <c r="D692" s="1" t="str">
        <f>"8027446542"</f>
        <v>8027446542</v>
      </c>
      <c r="E692" s="1">
        <v>2643.0</v>
      </c>
      <c r="F692" s="1" t="s">
        <v>44</v>
      </c>
      <c r="G692" s="1" t="s">
        <v>2997</v>
      </c>
      <c r="H692" s="1"/>
      <c r="I692" s="1"/>
      <c r="J692" s="1"/>
      <c r="K692" s="1"/>
      <c r="L692" s="1"/>
      <c r="M692" s="1" t="s">
        <v>2998</v>
      </c>
      <c r="N692" s="1" t="s">
        <v>94</v>
      </c>
      <c r="O692" s="1" t="s">
        <v>489</v>
      </c>
      <c r="P692" s="1"/>
      <c r="Q692" s="3">
        <v>36892.0</v>
      </c>
      <c r="R692" s="1"/>
      <c r="S692" s="1"/>
      <c r="T692" s="1" t="s">
        <v>37</v>
      </c>
      <c r="U692" s="1"/>
      <c r="V692" s="1" t="s">
        <v>38</v>
      </c>
      <c r="W692" s="1"/>
      <c r="X692" s="1"/>
      <c r="Y692" s="1" t="s">
        <v>49</v>
      </c>
      <c r="Z692" s="1"/>
      <c r="AA692" s="1" t="s">
        <v>40</v>
      </c>
      <c r="AB692" s="1" t="s">
        <v>490</v>
      </c>
      <c r="AC692" s="1"/>
    </row>
    <row r="693">
      <c r="A693" s="1" t="str">
        <f>"00073N"</f>
        <v>00073N</v>
      </c>
      <c r="B693" s="1" t="s">
        <v>2999</v>
      </c>
      <c r="C693" s="1" t="s">
        <v>3000</v>
      </c>
      <c r="D693" s="1" t="str">
        <f>"8022231634"</f>
        <v>8022231634</v>
      </c>
      <c r="E693" s="1">
        <v>2962.0</v>
      </c>
      <c r="F693" s="1" t="s">
        <v>44</v>
      </c>
      <c r="G693" s="1" t="s">
        <v>3001</v>
      </c>
      <c r="H693" s="1"/>
      <c r="I693" s="1"/>
      <c r="J693" s="1"/>
      <c r="K693" s="1"/>
      <c r="L693" s="1"/>
      <c r="M693" s="1" t="s">
        <v>72</v>
      </c>
      <c r="N693" s="1" t="s">
        <v>135</v>
      </c>
      <c r="O693" s="1" t="s">
        <v>2713</v>
      </c>
      <c r="P693" s="1"/>
      <c r="Q693" s="3">
        <v>36892.0</v>
      </c>
      <c r="R693" s="1"/>
      <c r="S693" s="1"/>
      <c r="T693" s="1" t="s">
        <v>37</v>
      </c>
      <c r="U693" s="1"/>
      <c r="V693" s="1" t="s">
        <v>38</v>
      </c>
      <c r="W693" s="1"/>
      <c r="X693" s="1"/>
      <c r="Y693" s="1" t="s">
        <v>49</v>
      </c>
      <c r="Z693" s="1"/>
      <c r="AA693" s="1" t="s">
        <v>40</v>
      </c>
      <c r="AB693" s="1" t="s">
        <v>2715</v>
      </c>
      <c r="AC693" s="1"/>
    </row>
    <row r="694">
      <c r="A694" s="1" t="str">
        <f>"0008XV"</f>
        <v>0008XV</v>
      </c>
      <c r="B694" s="1" t="s">
        <v>3002</v>
      </c>
      <c r="C694" s="1" t="s">
        <v>3003</v>
      </c>
      <c r="D694" s="1" t="str">
        <f>"8023486301"</f>
        <v>8023486301</v>
      </c>
      <c r="E694" s="1">
        <v>3447.0</v>
      </c>
      <c r="F694" s="1" t="s">
        <v>44</v>
      </c>
      <c r="G694" s="1" t="s">
        <v>3004</v>
      </c>
      <c r="H694" s="1"/>
      <c r="I694" s="1"/>
      <c r="J694" s="1"/>
      <c r="K694" s="1"/>
      <c r="L694" s="1"/>
      <c r="M694" s="1" t="s">
        <v>72</v>
      </c>
      <c r="N694" s="1" t="s">
        <v>66</v>
      </c>
      <c r="O694" s="1" t="s">
        <v>389</v>
      </c>
      <c r="P694" s="1"/>
      <c r="Q694" s="3">
        <v>36892.0</v>
      </c>
      <c r="R694" s="1"/>
      <c r="S694" s="1"/>
      <c r="T694" s="1" t="s">
        <v>37</v>
      </c>
      <c r="U694" s="1"/>
      <c r="V694" s="1" t="s">
        <v>38</v>
      </c>
      <c r="W694" s="1"/>
      <c r="X694" s="1"/>
      <c r="Y694" s="1" t="s">
        <v>49</v>
      </c>
      <c r="Z694" s="1"/>
      <c r="AA694" s="1" t="s">
        <v>40</v>
      </c>
      <c r="AB694" s="1" t="s">
        <v>390</v>
      </c>
      <c r="AC694" s="1"/>
    </row>
    <row r="695">
      <c r="A695" s="1" t="str">
        <f>"00081W"</f>
        <v>00081W</v>
      </c>
      <c r="B695" s="1" t="s">
        <v>3005</v>
      </c>
      <c r="C695" s="1" t="s">
        <v>3006</v>
      </c>
      <c r="D695" s="1"/>
      <c r="E695" s="1">
        <v>1520.0</v>
      </c>
      <c r="F695" s="1" t="s">
        <v>44</v>
      </c>
      <c r="G695" s="1" t="s">
        <v>3007</v>
      </c>
      <c r="H695" s="1">
        <v>2.0</v>
      </c>
      <c r="I695" s="1"/>
      <c r="J695" s="1"/>
      <c r="K695" s="1"/>
      <c r="L695" s="1"/>
      <c r="M695" s="1" t="s">
        <v>3008</v>
      </c>
      <c r="N695" s="1" t="s">
        <v>47</v>
      </c>
      <c r="O695" s="1" t="s">
        <v>378</v>
      </c>
      <c r="P695" s="1"/>
      <c r="Q695" s="3">
        <v>36892.0</v>
      </c>
      <c r="R695" s="1"/>
      <c r="S695" s="3">
        <v>32738.0</v>
      </c>
      <c r="T695" s="1" t="s">
        <v>37</v>
      </c>
      <c r="U695" s="1"/>
      <c r="V695" s="1" t="s">
        <v>38</v>
      </c>
      <c r="W695" s="1"/>
      <c r="X695" s="1"/>
      <c r="Y695" s="1" t="s">
        <v>49</v>
      </c>
      <c r="Z695" s="1"/>
      <c r="AA695" s="1" t="s">
        <v>40</v>
      </c>
      <c r="AB695" s="1" t="s">
        <v>381</v>
      </c>
      <c r="AC695" s="1"/>
    </row>
    <row r="696">
      <c r="A696" s="1" t="str">
        <f>"0007JY"</f>
        <v>0007JY</v>
      </c>
      <c r="B696" s="1" t="s">
        <v>871</v>
      </c>
      <c r="C696" s="1" t="s">
        <v>872</v>
      </c>
      <c r="D696" s="1" t="str">
        <f>"8022732186"</f>
        <v>8022732186</v>
      </c>
      <c r="E696" s="1">
        <v>848.0</v>
      </c>
      <c r="F696" s="1" t="s">
        <v>44</v>
      </c>
      <c r="G696" s="1" t="s">
        <v>3009</v>
      </c>
      <c r="H696" s="1">
        <v>11.0</v>
      </c>
      <c r="I696" s="1"/>
      <c r="J696" s="1"/>
      <c r="K696" s="1"/>
      <c r="L696" s="1"/>
      <c r="M696" s="1" t="s">
        <v>3010</v>
      </c>
      <c r="N696" s="1" t="s">
        <v>161</v>
      </c>
      <c r="O696" s="1" t="s">
        <v>162</v>
      </c>
      <c r="P696" s="1"/>
      <c r="Q696" s="3">
        <v>36892.0</v>
      </c>
      <c r="R696" s="1"/>
      <c r="S696" s="3">
        <v>42191.0</v>
      </c>
      <c r="T696" s="1" t="s">
        <v>37</v>
      </c>
      <c r="U696" s="1"/>
      <c r="V696" s="1" t="s">
        <v>38</v>
      </c>
      <c r="W696" s="1">
        <v>43.9497</v>
      </c>
      <c r="X696" s="1">
        <v>-73.2481</v>
      </c>
      <c r="Y696" s="1" t="s">
        <v>3011</v>
      </c>
      <c r="Z696" s="1"/>
      <c r="AA696" s="1" t="s">
        <v>40</v>
      </c>
      <c r="AB696" s="1" t="s">
        <v>166</v>
      </c>
      <c r="AC696" s="1">
        <v>0.0</v>
      </c>
    </row>
    <row r="697">
      <c r="A697" s="1" t="str">
        <f>"000828"</f>
        <v>000828</v>
      </c>
      <c r="B697" s="1" t="s">
        <v>3012</v>
      </c>
      <c r="C697" s="1" t="s">
        <v>3013</v>
      </c>
      <c r="D697" s="1" t="str">
        <f>"8028884600"</f>
        <v>8028884600</v>
      </c>
      <c r="E697" s="1">
        <v>2943.0</v>
      </c>
      <c r="F697" s="1" t="s">
        <v>44</v>
      </c>
      <c r="G697" s="1" t="s">
        <v>3014</v>
      </c>
      <c r="H697" s="1">
        <v>1.0</v>
      </c>
      <c r="I697" s="1"/>
      <c r="J697" s="1"/>
      <c r="K697" s="1"/>
      <c r="L697" s="1"/>
      <c r="M697" s="1" t="s">
        <v>3015</v>
      </c>
      <c r="N697" s="1" t="s">
        <v>213</v>
      </c>
      <c r="O697" s="1" t="s">
        <v>214</v>
      </c>
      <c r="P697" s="1"/>
      <c r="Q697" s="3">
        <v>36892.0</v>
      </c>
      <c r="R697" s="1"/>
      <c r="S697" s="3">
        <v>35213.0</v>
      </c>
      <c r="T697" s="1" t="s">
        <v>37</v>
      </c>
      <c r="U697" s="1"/>
      <c r="V697" s="1" t="s">
        <v>38</v>
      </c>
      <c r="W697" s="1"/>
      <c r="X697" s="1"/>
      <c r="Y697" s="1" t="s">
        <v>49</v>
      </c>
      <c r="Z697" s="1"/>
      <c r="AA697" s="1" t="s">
        <v>40</v>
      </c>
      <c r="AB697" s="1" t="s">
        <v>217</v>
      </c>
      <c r="AC697" s="1"/>
    </row>
    <row r="698">
      <c r="A698" s="1" t="str">
        <f>"0007QN"</f>
        <v>0007QN</v>
      </c>
      <c r="B698" s="1" t="s">
        <v>2764</v>
      </c>
      <c r="C698" s="1" t="s">
        <v>2765</v>
      </c>
      <c r="D698" s="1"/>
      <c r="E698" s="1">
        <v>2963.0</v>
      </c>
      <c r="F698" s="1" t="s">
        <v>44</v>
      </c>
      <c r="G698" s="1" t="s">
        <v>3016</v>
      </c>
      <c r="H698" s="1">
        <v>4.0</v>
      </c>
      <c r="I698" s="1"/>
      <c r="J698" s="1"/>
      <c r="K698" s="1"/>
      <c r="L698" s="1"/>
      <c r="M698" s="1" t="s">
        <v>3017</v>
      </c>
      <c r="N698" s="1" t="s">
        <v>47</v>
      </c>
      <c r="O698" s="1" t="s">
        <v>100</v>
      </c>
      <c r="P698" s="1"/>
      <c r="Q698" s="3">
        <v>36892.0</v>
      </c>
      <c r="R698" s="1"/>
      <c r="S698" s="3">
        <v>37910.0</v>
      </c>
      <c r="T698" s="1" t="s">
        <v>37</v>
      </c>
      <c r="U698" s="1"/>
      <c r="V698" s="1" t="s">
        <v>38</v>
      </c>
      <c r="W698" s="1"/>
      <c r="X698" s="1"/>
      <c r="Y698" s="1" t="s">
        <v>49</v>
      </c>
      <c r="Z698" s="1"/>
      <c r="AA698" s="1" t="s">
        <v>40</v>
      </c>
      <c r="AB698" s="1" t="s">
        <v>102</v>
      </c>
      <c r="AC698" s="1"/>
    </row>
    <row r="699">
      <c r="A699" s="1" t="str">
        <f>"00081N"</f>
        <v>00081N</v>
      </c>
      <c r="B699" s="1" t="s">
        <v>666</v>
      </c>
      <c r="C699" s="1" t="s">
        <v>667</v>
      </c>
      <c r="D699" s="1" t="str">
        <f>"8026448225"</f>
        <v>8026448225</v>
      </c>
      <c r="E699" s="1">
        <v>1506.0</v>
      </c>
      <c r="F699" s="1" t="s">
        <v>44</v>
      </c>
      <c r="G699" s="1" t="s">
        <v>3018</v>
      </c>
      <c r="H699" s="1"/>
      <c r="I699" s="1"/>
      <c r="J699" s="1"/>
      <c r="K699" s="1"/>
      <c r="L699" s="1"/>
      <c r="M699" s="1" t="s">
        <v>3019</v>
      </c>
      <c r="N699" s="1" t="s">
        <v>213</v>
      </c>
      <c r="O699" s="1" t="s">
        <v>620</v>
      </c>
      <c r="P699" s="1"/>
      <c r="Q699" s="3">
        <v>36892.0</v>
      </c>
      <c r="R699" s="1"/>
      <c r="S699" s="1"/>
      <c r="T699" s="1" t="s">
        <v>37</v>
      </c>
      <c r="U699" s="1"/>
      <c r="V699" s="1" t="s">
        <v>38</v>
      </c>
      <c r="W699" s="1"/>
      <c r="X699" s="1"/>
      <c r="Y699" s="1" t="s">
        <v>49</v>
      </c>
      <c r="Z699" s="1"/>
      <c r="AA699" s="1" t="s">
        <v>40</v>
      </c>
      <c r="AB699" s="1" t="s">
        <v>621</v>
      </c>
      <c r="AC699" s="1"/>
    </row>
    <row r="700">
      <c r="A700" s="1" t="str">
        <f>"00081K"</f>
        <v>00081K</v>
      </c>
      <c r="B700" s="1" t="s">
        <v>3020</v>
      </c>
      <c r="C700" s="1" t="s">
        <v>3021</v>
      </c>
      <c r="D700" s="1" t="str">
        <f>"8025277254"</f>
        <v>8025277254</v>
      </c>
      <c r="E700" s="1">
        <v>1504.0</v>
      </c>
      <c r="F700" s="1" t="s">
        <v>44</v>
      </c>
      <c r="G700" s="1" t="s">
        <v>3022</v>
      </c>
      <c r="H700" s="1">
        <v>3.0</v>
      </c>
      <c r="I700" s="1"/>
      <c r="J700" s="1"/>
      <c r="K700" s="1"/>
      <c r="L700" s="1"/>
      <c r="M700" s="1" t="s">
        <v>72</v>
      </c>
      <c r="N700" s="1" t="s">
        <v>47</v>
      </c>
      <c r="O700" s="1" t="s">
        <v>100</v>
      </c>
      <c r="P700" s="1"/>
      <c r="Q700" s="3">
        <v>36892.0</v>
      </c>
      <c r="R700" s="1"/>
      <c r="S700" s="3">
        <v>33046.0</v>
      </c>
      <c r="T700" s="1" t="s">
        <v>37</v>
      </c>
      <c r="U700" s="1"/>
      <c r="V700" s="1" t="s">
        <v>38</v>
      </c>
      <c r="W700" s="1"/>
      <c r="X700" s="1"/>
      <c r="Y700" s="1" t="s">
        <v>49</v>
      </c>
      <c r="Z700" s="1"/>
      <c r="AA700" s="1" t="s">
        <v>40</v>
      </c>
      <c r="AB700" s="1" t="s">
        <v>102</v>
      </c>
      <c r="AC700" s="1"/>
    </row>
    <row r="701">
      <c r="A701" s="1" t="str">
        <f>"00081H"</f>
        <v>00081H</v>
      </c>
      <c r="B701" s="1" t="s">
        <v>3023</v>
      </c>
      <c r="C701" s="1" t="s">
        <v>3024</v>
      </c>
      <c r="D701" s="1" t="str">
        <f>"8028273968"</f>
        <v>8028273968</v>
      </c>
      <c r="E701" s="1">
        <v>1499.0</v>
      </c>
      <c r="F701" s="1" t="s">
        <v>44</v>
      </c>
      <c r="G701" s="1" t="s">
        <v>3025</v>
      </c>
      <c r="H701" s="1">
        <v>1.0</v>
      </c>
      <c r="I701" s="1"/>
      <c r="J701" s="1"/>
      <c r="K701" s="1"/>
      <c r="L701" s="1"/>
      <c r="M701" s="1" t="s">
        <v>3026</v>
      </c>
      <c r="N701" s="1" t="s">
        <v>47</v>
      </c>
      <c r="O701" s="1" t="s">
        <v>100</v>
      </c>
      <c r="P701" s="1"/>
      <c r="Q701" s="3">
        <v>36892.0</v>
      </c>
      <c r="R701" s="1"/>
      <c r="S701" s="3">
        <v>33071.0</v>
      </c>
      <c r="T701" s="1" t="s">
        <v>37</v>
      </c>
      <c r="U701" s="1"/>
      <c r="V701" s="1" t="s">
        <v>38</v>
      </c>
      <c r="W701" s="1"/>
      <c r="X701" s="1"/>
      <c r="Y701" s="1" t="s">
        <v>49</v>
      </c>
      <c r="Z701" s="1"/>
      <c r="AA701" s="1" t="s">
        <v>40</v>
      </c>
      <c r="AB701" s="1" t="s">
        <v>102</v>
      </c>
      <c r="AC701" s="1"/>
    </row>
    <row r="702">
      <c r="A702" s="1" t="str">
        <f>"00081G"</f>
        <v>00081G</v>
      </c>
      <c r="B702" s="1" t="s">
        <v>3027</v>
      </c>
      <c r="C702" s="1" t="s">
        <v>3028</v>
      </c>
      <c r="D702" s="1" t="str">
        <f>"8023253272"</f>
        <v>8023253272</v>
      </c>
      <c r="E702" s="1">
        <v>4022.0</v>
      </c>
      <c r="F702" s="1" t="s">
        <v>44</v>
      </c>
      <c r="G702" s="1" t="s">
        <v>3029</v>
      </c>
      <c r="H702" s="1"/>
      <c r="I702" s="1"/>
      <c r="J702" s="1"/>
      <c r="K702" s="1"/>
      <c r="L702" s="1"/>
      <c r="M702" s="1" t="s">
        <v>72</v>
      </c>
      <c r="N702" s="1" t="s">
        <v>78</v>
      </c>
      <c r="O702" s="1" t="s">
        <v>434</v>
      </c>
      <c r="P702" s="1"/>
      <c r="Q702" s="3">
        <v>36892.0</v>
      </c>
      <c r="R702" s="1"/>
      <c r="S702" s="1"/>
      <c r="T702" s="1" t="s">
        <v>37</v>
      </c>
      <c r="U702" s="1"/>
      <c r="V702" s="1" t="s">
        <v>38</v>
      </c>
      <c r="W702" s="1"/>
      <c r="X702" s="1"/>
      <c r="Y702" s="1" t="s">
        <v>49</v>
      </c>
      <c r="Z702" s="1"/>
      <c r="AA702" s="1" t="s">
        <v>40</v>
      </c>
      <c r="AB702" s="1" t="s">
        <v>435</v>
      </c>
      <c r="AC702" s="1"/>
    </row>
    <row r="703">
      <c r="A703" s="1" t="str">
        <f>"00081D"</f>
        <v>00081D</v>
      </c>
      <c r="B703" s="1" t="s">
        <v>3030</v>
      </c>
      <c r="C703" s="1" t="s">
        <v>3031</v>
      </c>
      <c r="D703" s="1" t="str">
        <f>"6172677069"</f>
        <v>6172677069</v>
      </c>
      <c r="E703" s="1">
        <v>3059.0</v>
      </c>
      <c r="F703" s="1" t="s">
        <v>31</v>
      </c>
      <c r="G703" s="1" t="s">
        <v>3032</v>
      </c>
      <c r="H703" s="1">
        <v>5.0</v>
      </c>
      <c r="I703" s="1"/>
      <c r="J703" s="1"/>
      <c r="K703" s="1"/>
      <c r="L703" s="1"/>
      <c r="M703" s="1" t="s">
        <v>3033</v>
      </c>
      <c r="N703" s="1" t="s">
        <v>414</v>
      </c>
      <c r="O703" s="1" t="s">
        <v>3034</v>
      </c>
      <c r="P703" s="1"/>
      <c r="Q703" s="3">
        <v>36892.0</v>
      </c>
      <c r="R703" s="1"/>
      <c r="S703" s="3">
        <v>41557.0</v>
      </c>
      <c r="T703" s="1" t="s">
        <v>37</v>
      </c>
      <c r="U703" s="1"/>
      <c r="V703" s="1" t="s">
        <v>38</v>
      </c>
      <c r="W703" s="1">
        <v>43.16008</v>
      </c>
      <c r="X703" s="1">
        <v>-73.2403299999999</v>
      </c>
      <c r="Y703" s="1" t="s">
        <v>3035</v>
      </c>
      <c r="Z703" s="1"/>
      <c r="AA703" s="1" t="s">
        <v>40</v>
      </c>
      <c r="AB703" s="1" t="s">
        <v>3036</v>
      </c>
      <c r="AC703" s="1">
        <v>5250.0</v>
      </c>
    </row>
    <row r="704">
      <c r="A704" s="1" t="str">
        <f>"00081B"</f>
        <v>00081B</v>
      </c>
      <c r="B704" s="1" t="s">
        <v>3037</v>
      </c>
      <c r="C704" s="1" t="s">
        <v>3038</v>
      </c>
      <c r="D704" s="1" t="str">
        <f>"8026334013"</f>
        <v>8026334013</v>
      </c>
      <c r="E704" s="1">
        <v>3482.0</v>
      </c>
      <c r="F704" s="1" t="s">
        <v>117</v>
      </c>
      <c r="G704" s="1" t="s">
        <v>3039</v>
      </c>
      <c r="H704" s="1">
        <v>8.0</v>
      </c>
      <c r="I704" s="2">
        <v>0.0</v>
      </c>
      <c r="J704" s="2">
        <v>0.0</v>
      </c>
      <c r="K704" s="2" t="s">
        <v>119</v>
      </c>
      <c r="L704" s="1"/>
      <c r="M704" s="1" t="s">
        <v>3040</v>
      </c>
      <c r="N704" s="1" t="s">
        <v>128</v>
      </c>
      <c r="O704" s="1" t="s">
        <v>129</v>
      </c>
      <c r="P704" s="1" t="s">
        <v>3041</v>
      </c>
      <c r="Q704" s="3">
        <v>37712.0</v>
      </c>
      <c r="R704" s="1"/>
      <c r="S704" s="1"/>
      <c r="T704" s="1" t="s">
        <v>37</v>
      </c>
      <c r="U704" s="1"/>
      <c r="V704" s="1" t="s">
        <v>38</v>
      </c>
      <c r="W704" s="1"/>
      <c r="X704" s="1"/>
      <c r="Y704" s="1" t="s">
        <v>3042</v>
      </c>
      <c r="Z704" s="1"/>
      <c r="AA704" s="1" t="s">
        <v>40</v>
      </c>
      <c r="AB704" s="1" t="s">
        <v>130</v>
      </c>
      <c r="AC704" s="1">
        <v>5042.0</v>
      </c>
    </row>
    <row r="705">
      <c r="A705" s="1" t="str">
        <f>"00081A"</f>
        <v>00081A</v>
      </c>
      <c r="B705" s="1" t="s">
        <v>3043</v>
      </c>
      <c r="C705" s="1" t="s">
        <v>3044</v>
      </c>
      <c r="D705" s="1" t="str">
        <f>"8029334312"</f>
        <v>8029334312</v>
      </c>
      <c r="E705" s="1">
        <v>1486.0</v>
      </c>
      <c r="F705" s="1" t="s">
        <v>44</v>
      </c>
      <c r="G705" s="1" t="s">
        <v>3045</v>
      </c>
      <c r="H705" s="1">
        <v>2.0</v>
      </c>
      <c r="I705" s="2" t="s">
        <v>119</v>
      </c>
      <c r="J705" s="2">
        <v>3.0</v>
      </c>
      <c r="K705" s="2" t="s">
        <v>119</v>
      </c>
      <c r="L705" s="1"/>
      <c r="M705" s="1"/>
      <c r="N705" s="1" t="s">
        <v>47</v>
      </c>
      <c r="O705" s="1" t="s">
        <v>670</v>
      </c>
      <c r="P705" s="1" t="s">
        <v>3046</v>
      </c>
      <c r="Q705" s="3">
        <v>36892.0</v>
      </c>
      <c r="R705" s="1"/>
      <c r="S705" s="1"/>
      <c r="T705" s="1" t="s">
        <v>37</v>
      </c>
      <c r="U705" s="1"/>
      <c r="V705" s="1" t="s">
        <v>38</v>
      </c>
      <c r="W705" s="1">
        <v>44.8892665</v>
      </c>
      <c r="X705" s="1">
        <v>-72.8722371999999</v>
      </c>
      <c r="Y705" s="1" t="s">
        <v>3047</v>
      </c>
      <c r="Z705" s="1"/>
      <c r="AA705" s="1" t="s">
        <v>40</v>
      </c>
      <c r="AB705" s="1" t="s">
        <v>671</v>
      </c>
      <c r="AC705" s="1">
        <v>5450.0</v>
      </c>
    </row>
    <row r="706">
      <c r="A706" s="1" t="str">
        <f>"0007PY"</f>
        <v>0007PY</v>
      </c>
      <c r="B706" s="1" t="s">
        <v>3048</v>
      </c>
      <c r="C706" s="1" t="s">
        <v>3049</v>
      </c>
      <c r="D706" s="1" t="str">
        <f>"8026854319"</f>
        <v>8026854319</v>
      </c>
      <c r="E706" s="1">
        <v>2996.0</v>
      </c>
      <c r="F706" s="1" t="s">
        <v>44</v>
      </c>
      <c r="G706" s="1" t="s">
        <v>3050</v>
      </c>
      <c r="H706" s="1">
        <v>0.0</v>
      </c>
      <c r="I706" s="1"/>
      <c r="J706" s="1"/>
      <c r="K706" s="1"/>
      <c r="L706" s="1"/>
      <c r="M706" s="1" t="s">
        <v>72</v>
      </c>
      <c r="N706" s="1" t="s">
        <v>142</v>
      </c>
      <c r="O706" s="1" t="s">
        <v>1213</v>
      </c>
      <c r="P706" s="1"/>
      <c r="Q706" s="3">
        <v>36892.0</v>
      </c>
      <c r="R706" s="1"/>
      <c r="S706" s="3">
        <v>39644.0</v>
      </c>
      <c r="T706" s="1" t="s">
        <v>37</v>
      </c>
      <c r="U706" s="1"/>
      <c r="V706" s="1" t="s">
        <v>38</v>
      </c>
      <c r="W706" s="1"/>
      <c r="X706" s="1"/>
      <c r="Y706" s="1" t="s">
        <v>49</v>
      </c>
      <c r="Z706" s="1"/>
      <c r="AA706" s="1" t="s">
        <v>40</v>
      </c>
      <c r="AB706" s="1" t="s">
        <v>1214</v>
      </c>
      <c r="AC706" s="1"/>
    </row>
    <row r="707">
      <c r="A707" s="1" t="str">
        <f>"00082K"</f>
        <v>00082K</v>
      </c>
      <c r="B707" s="1" t="s">
        <v>3051</v>
      </c>
      <c r="C707" s="1" t="s">
        <v>3052</v>
      </c>
      <c r="D707" s="1" t="str">
        <f>"8023380626"</f>
        <v>8023380626</v>
      </c>
      <c r="E707" s="1">
        <v>3918.0</v>
      </c>
      <c r="F707" s="1" t="s">
        <v>44</v>
      </c>
      <c r="G707" s="1" t="s">
        <v>3053</v>
      </c>
      <c r="H707" s="1"/>
      <c r="I707" s="1"/>
      <c r="J707" s="1"/>
      <c r="K707" s="1"/>
      <c r="L707" s="1"/>
      <c r="M707" s="1" t="s">
        <v>3054</v>
      </c>
      <c r="N707" s="1" t="s">
        <v>57</v>
      </c>
      <c r="O707" s="1" t="s">
        <v>175</v>
      </c>
      <c r="P707" s="1"/>
      <c r="Q707" s="3">
        <v>36892.0</v>
      </c>
      <c r="R707" s="1"/>
      <c r="S707" s="1"/>
      <c r="T707" s="1" t="s">
        <v>37</v>
      </c>
      <c r="U707" s="1"/>
      <c r="V707" s="1" t="s">
        <v>38</v>
      </c>
      <c r="W707" s="1"/>
      <c r="X707" s="1"/>
      <c r="Y707" s="1" t="s">
        <v>49</v>
      </c>
      <c r="Z707" s="1"/>
      <c r="AA707" s="1" t="s">
        <v>40</v>
      </c>
      <c r="AB707" s="1" t="s">
        <v>176</v>
      </c>
      <c r="AC707" s="1"/>
    </row>
    <row r="708">
      <c r="A708" s="1" t="str">
        <f>"000815"</f>
        <v>000815</v>
      </c>
      <c r="B708" s="1" t="s">
        <v>3055</v>
      </c>
      <c r="C708" s="1" t="s">
        <v>3056</v>
      </c>
      <c r="D708" s="1"/>
      <c r="E708" s="1">
        <v>2668.0</v>
      </c>
      <c r="F708" s="1" t="s">
        <v>44</v>
      </c>
      <c r="G708" s="1" t="s">
        <v>3057</v>
      </c>
      <c r="H708" s="1">
        <v>4.0</v>
      </c>
      <c r="I708" s="1"/>
      <c r="J708" s="1"/>
      <c r="K708" s="1"/>
      <c r="L708" s="1"/>
      <c r="M708" s="1" t="s">
        <v>3058</v>
      </c>
      <c r="N708" s="1" t="s">
        <v>94</v>
      </c>
      <c r="O708" s="1" t="s">
        <v>2745</v>
      </c>
      <c r="P708" s="1"/>
      <c r="Q708" s="3">
        <v>36892.0</v>
      </c>
      <c r="R708" s="1"/>
      <c r="S708" s="3">
        <v>35227.0</v>
      </c>
      <c r="T708" s="1" t="s">
        <v>37</v>
      </c>
      <c r="U708" s="1"/>
      <c r="V708" s="1" t="s">
        <v>38</v>
      </c>
      <c r="W708" s="1"/>
      <c r="X708" s="1"/>
      <c r="Y708" s="1" t="s">
        <v>49</v>
      </c>
      <c r="Z708" s="1"/>
      <c r="AA708" s="1" t="s">
        <v>40</v>
      </c>
      <c r="AB708" s="1" t="s">
        <v>2746</v>
      </c>
      <c r="AC708" s="1"/>
    </row>
    <row r="709">
      <c r="A709" s="1" t="str">
        <f>"000814"</f>
        <v>000814</v>
      </c>
      <c r="B709" s="1" t="s">
        <v>3059</v>
      </c>
      <c r="C709" s="1" t="s">
        <v>3060</v>
      </c>
      <c r="D709" s="1" t="str">
        <f>"8028784128"</f>
        <v>8028784128</v>
      </c>
      <c r="E709" s="1">
        <v>3178.0</v>
      </c>
      <c r="F709" s="1" t="s">
        <v>31</v>
      </c>
      <c r="G709" s="1" t="s">
        <v>3061</v>
      </c>
      <c r="H709" s="1">
        <v>2.0</v>
      </c>
      <c r="I709" s="1"/>
      <c r="J709" s="1"/>
      <c r="K709" s="1"/>
      <c r="L709" s="1"/>
      <c r="M709" s="1" t="s">
        <v>72</v>
      </c>
      <c r="N709" s="1" t="s">
        <v>57</v>
      </c>
      <c r="O709" s="1" t="s">
        <v>155</v>
      </c>
      <c r="P709" s="1" t="s">
        <v>3062</v>
      </c>
      <c r="Q709" s="3">
        <v>36892.0</v>
      </c>
      <c r="R709" s="1"/>
      <c r="S709" s="3">
        <v>42605.0</v>
      </c>
      <c r="T709" s="1" t="s">
        <v>37</v>
      </c>
      <c r="U709" s="1"/>
      <c r="V709" s="1" t="s">
        <v>38</v>
      </c>
      <c r="W709" s="1">
        <v>44.6053639999999</v>
      </c>
      <c r="X709" s="1">
        <v>-73.0482369999999</v>
      </c>
      <c r="Y709" s="1" t="s">
        <v>3063</v>
      </c>
      <c r="Z709" s="1"/>
      <c r="AA709" s="1" t="s">
        <v>40</v>
      </c>
      <c r="AB709" s="1" t="s">
        <v>156</v>
      </c>
      <c r="AC709" s="1" t="s">
        <v>3064</v>
      </c>
    </row>
    <row r="710">
      <c r="A710" s="1" t="str">
        <f>"000813"</f>
        <v>000813</v>
      </c>
      <c r="B710" s="1" t="s">
        <v>3065</v>
      </c>
      <c r="C710" s="1" t="s">
        <v>3066</v>
      </c>
      <c r="D710" s="1" t="str">
        <f>"8028276554"</f>
        <v>8028276554</v>
      </c>
      <c r="E710" s="1">
        <v>1478.0</v>
      </c>
      <c r="F710" s="1" t="s">
        <v>44</v>
      </c>
      <c r="G710" s="1" t="s">
        <v>3067</v>
      </c>
      <c r="H710" s="1"/>
      <c r="I710" s="1"/>
      <c r="J710" s="1"/>
      <c r="K710" s="1"/>
      <c r="L710" s="1"/>
      <c r="M710" s="1" t="s">
        <v>3068</v>
      </c>
      <c r="N710" s="1" t="s">
        <v>47</v>
      </c>
      <c r="O710" s="1" t="s">
        <v>928</v>
      </c>
      <c r="P710" s="1"/>
      <c r="Q710" s="3">
        <v>36892.0</v>
      </c>
      <c r="R710" s="1"/>
      <c r="S710" s="1"/>
      <c r="T710" s="1" t="s">
        <v>37</v>
      </c>
      <c r="U710" s="1"/>
      <c r="V710" s="1" t="s">
        <v>38</v>
      </c>
      <c r="W710" s="1"/>
      <c r="X710" s="1"/>
      <c r="Y710" s="1" t="s">
        <v>49</v>
      </c>
      <c r="Z710" s="1"/>
      <c r="AA710" s="1" t="s">
        <v>40</v>
      </c>
      <c r="AB710" s="1" t="s">
        <v>929</v>
      </c>
      <c r="AC710" s="1"/>
    </row>
    <row r="711">
      <c r="A711" s="1" t="str">
        <f>"00092C"</f>
        <v>00092C</v>
      </c>
      <c r="B711" s="1" t="s">
        <v>3069</v>
      </c>
      <c r="C711" s="1" t="s">
        <v>3070</v>
      </c>
      <c r="D711" s="1" t="str">
        <f>"8028606035"</f>
        <v>8028606035</v>
      </c>
      <c r="E711" s="1">
        <v>3767.0</v>
      </c>
      <c r="F711" s="1" t="s">
        <v>117</v>
      </c>
      <c r="G711" s="1" t="s">
        <v>3071</v>
      </c>
      <c r="H711" s="1">
        <v>6.0</v>
      </c>
      <c r="I711" s="2" t="s">
        <v>119</v>
      </c>
      <c r="J711" s="2">
        <v>6.0</v>
      </c>
      <c r="K711" s="2" t="s">
        <v>119</v>
      </c>
      <c r="L711" s="1"/>
      <c r="M711" s="1">
        <v>1.0</v>
      </c>
      <c r="N711" s="1" t="s">
        <v>57</v>
      </c>
      <c r="O711" s="1" t="s">
        <v>175</v>
      </c>
      <c r="P711" s="1" t="s">
        <v>3072</v>
      </c>
      <c r="Q711" s="3">
        <v>36892.0</v>
      </c>
      <c r="R711" s="1"/>
      <c r="S711" s="3">
        <v>42571.0</v>
      </c>
      <c r="T711" s="1" t="s">
        <v>37</v>
      </c>
      <c r="U711" s="1"/>
      <c r="V711" s="1" t="s">
        <v>38</v>
      </c>
      <c r="W711" s="1">
        <v>44.495421</v>
      </c>
      <c r="X711" s="1">
        <v>-73.237592</v>
      </c>
      <c r="Y711" s="1" t="s">
        <v>3073</v>
      </c>
      <c r="Z711" s="1"/>
      <c r="AA711" s="1" t="s">
        <v>40</v>
      </c>
      <c r="AB711" s="1" t="s">
        <v>176</v>
      </c>
      <c r="AC711" s="1">
        <v>5401.0</v>
      </c>
    </row>
    <row r="712">
      <c r="A712" s="1" t="str">
        <f>"000810"</f>
        <v>000810</v>
      </c>
      <c r="B712" s="1" t="s">
        <v>3074</v>
      </c>
      <c r="C712" s="1" t="s">
        <v>3075</v>
      </c>
      <c r="D712" s="1" t="str">
        <f>"8028634938"</f>
        <v>8028634938</v>
      </c>
      <c r="E712" s="1">
        <v>1467.0</v>
      </c>
      <c r="F712" s="1" t="s">
        <v>117</v>
      </c>
      <c r="G712" s="1" t="s">
        <v>3076</v>
      </c>
      <c r="H712" s="1">
        <v>2.0</v>
      </c>
      <c r="I712" s="2" t="s">
        <v>119</v>
      </c>
      <c r="J712" s="2">
        <v>1.0</v>
      </c>
      <c r="K712" s="2" t="s">
        <v>119</v>
      </c>
      <c r="L712" s="2" t="s">
        <v>3077</v>
      </c>
      <c r="M712" s="1" t="s">
        <v>3078</v>
      </c>
      <c r="N712" s="1" t="s">
        <v>57</v>
      </c>
      <c r="O712" s="1" t="s">
        <v>175</v>
      </c>
      <c r="P712" s="1" t="s">
        <v>845</v>
      </c>
      <c r="Q712" s="3">
        <v>36892.0</v>
      </c>
      <c r="R712" s="1"/>
      <c r="S712" s="3">
        <v>38189.0</v>
      </c>
      <c r="T712" s="1" t="s">
        <v>37</v>
      </c>
      <c r="U712" s="1"/>
      <c r="V712" s="1" t="s">
        <v>38</v>
      </c>
      <c r="W712" s="1">
        <v>44.4682726477953</v>
      </c>
      <c r="X712" s="1">
        <v>-73.2061716914177</v>
      </c>
      <c r="Y712" s="1" t="s">
        <v>3079</v>
      </c>
      <c r="Z712" s="1"/>
      <c r="AA712" s="1" t="s">
        <v>40</v>
      </c>
      <c r="AB712" s="1" t="s">
        <v>176</v>
      </c>
      <c r="AC712" s="1">
        <v>5401.0</v>
      </c>
    </row>
    <row r="713">
      <c r="A713" s="1" t="str">
        <f>"00080Z"</f>
        <v>00080Z</v>
      </c>
      <c r="B713" s="1" t="s">
        <v>3080</v>
      </c>
      <c r="C713" s="1" t="s">
        <v>3081</v>
      </c>
      <c r="D713" s="1" t="str">
        <f>"8022412604"</f>
        <v>8022412604</v>
      </c>
      <c r="E713" s="1">
        <v>1466.0</v>
      </c>
      <c r="F713" s="1" t="s">
        <v>44</v>
      </c>
      <c r="G713" s="1" t="s">
        <v>3082</v>
      </c>
      <c r="H713" s="1">
        <v>4.0</v>
      </c>
      <c r="I713" s="1"/>
      <c r="J713" s="1"/>
      <c r="K713" s="1"/>
      <c r="L713" s="1"/>
      <c r="M713" s="1" t="s">
        <v>72</v>
      </c>
      <c r="N713" s="1" t="s">
        <v>57</v>
      </c>
      <c r="O713" s="1" t="s">
        <v>2092</v>
      </c>
      <c r="P713" s="1"/>
      <c r="Q713" s="3">
        <v>36892.0</v>
      </c>
      <c r="R713" s="1"/>
      <c r="S713" s="3">
        <v>32337.0</v>
      </c>
      <c r="T713" s="1" t="s">
        <v>37</v>
      </c>
      <c r="U713" s="1"/>
      <c r="V713" s="1" t="s">
        <v>38</v>
      </c>
      <c r="W713" s="1"/>
      <c r="X713" s="1"/>
      <c r="Y713" s="1" t="s">
        <v>49</v>
      </c>
      <c r="Z713" s="1"/>
      <c r="AA713" s="1" t="s">
        <v>40</v>
      </c>
      <c r="AB713" s="1" t="s">
        <v>2093</v>
      </c>
      <c r="AC713" s="1"/>
    </row>
    <row r="714">
      <c r="A714" s="1" t="str">
        <f>"00079M"</f>
        <v>00079M</v>
      </c>
      <c r="B714" s="1" t="s">
        <v>3083</v>
      </c>
      <c r="C714" s="1" t="s">
        <v>3084</v>
      </c>
      <c r="D714" s="1" t="str">
        <f>"8028993073"</f>
        <v>8028993073</v>
      </c>
      <c r="E714" s="1">
        <v>3445.0</v>
      </c>
      <c r="F714" s="1" t="s">
        <v>44</v>
      </c>
      <c r="G714" s="1" t="s">
        <v>3085</v>
      </c>
      <c r="H714" s="1">
        <v>0.0</v>
      </c>
      <c r="I714" s="2" t="s">
        <v>119</v>
      </c>
      <c r="J714" s="2">
        <v>1.0</v>
      </c>
      <c r="K714" s="2" t="s">
        <v>119</v>
      </c>
      <c r="L714" s="1"/>
      <c r="M714" s="1" t="s">
        <v>3086</v>
      </c>
      <c r="N714" s="1" t="s">
        <v>57</v>
      </c>
      <c r="O714" s="1" t="s">
        <v>745</v>
      </c>
      <c r="P714" s="1" t="s">
        <v>3087</v>
      </c>
      <c r="Q714" s="3">
        <v>36892.0</v>
      </c>
      <c r="R714" s="1"/>
      <c r="S714" s="3">
        <v>38826.0</v>
      </c>
      <c r="T714" s="1" t="s">
        <v>37</v>
      </c>
      <c r="U714" s="1"/>
      <c r="V714" s="1" t="s">
        <v>38</v>
      </c>
      <c r="W714" s="1">
        <v>44.444864</v>
      </c>
      <c r="X714" s="1">
        <v>-72.990161</v>
      </c>
      <c r="Y714" s="1" t="s">
        <v>3088</v>
      </c>
      <c r="Z714" s="1"/>
      <c r="AA714" s="1" t="s">
        <v>40</v>
      </c>
      <c r="AB714" s="1" t="s">
        <v>746</v>
      </c>
      <c r="AC714" s="1">
        <v>5465.0</v>
      </c>
    </row>
    <row r="715">
      <c r="A715" s="1" t="str">
        <f>"00087M"</f>
        <v>00087M</v>
      </c>
      <c r="B715" s="1" t="s">
        <v>3089</v>
      </c>
      <c r="C715" s="1" t="s">
        <v>3090</v>
      </c>
      <c r="D715" s="1" t="str">
        <f>"8024254043"</f>
        <v>8024254043</v>
      </c>
      <c r="E715" s="1">
        <v>3116.0</v>
      </c>
      <c r="F715" s="1" t="s">
        <v>44</v>
      </c>
      <c r="G715" s="1" t="s">
        <v>3091</v>
      </c>
      <c r="H715" s="1"/>
      <c r="I715" s="1"/>
      <c r="J715" s="1"/>
      <c r="K715" s="1"/>
      <c r="L715" s="1"/>
      <c r="M715" s="1" t="s">
        <v>72</v>
      </c>
      <c r="N715" s="1" t="s">
        <v>57</v>
      </c>
      <c r="O715" s="1" t="s">
        <v>1633</v>
      </c>
      <c r="P715" s="1"/>
      <c r="Q715" s="3">
        <v>36892.0</v>
      </c>
      <c r="R715" s="1"/>
      <c r="S715" s="1"/>
      <c r="T715" s="1" t="s">
        <v>37</v>
      </c>
      <c r="U715" s="1"/>
      <c r="V715" s="1" t="s">
        <v>38</v>
      </c>
      <c r="W715" s="1"/>
      <c r="X715" s="1"/>
      <c r="Y715" s="1" t="s">
        <v>49</v>
      </c>
      <c r="Z715" s="1"/>
      <c r="AA715" s="1" t="s">
        <v>40</v>
      </c>
      <c r="AB715" s="1" t="s">
        <v>1634</v>
      </c>
      <c r="AC715" s="1"/>
    </row>
    <row r="716">
      <c r="A716" s="1" t="str">
        <f>"00079Y"</f>
        <v>00079Y</v>
      </c>
      <c r="B716" s="1" t="s">
        <v>3092</v>
      </c>
      <c r="C716" s="1" t="s">
        <v>3093</v>
      </c>
      <c r="D716" s="1" t="str">
        <f>"8028230141"</f>
        <v>8028230141</v>
      </c>
      <c r="E716" s="1">
        <v>2544.0</v>
      </c>
      <c r="F716" s="1" t="s">
        <v>44</v>
      </c>
      <c r="G716" s="1" t="s">
        <v>3094</v>
      </c>
      <c r="H716" s="1">
        <v>1.0</v>
      </c>
      <c r="I716" s="1"/>
      <c r="J716" s="1"/>
      <c r="K716" s="1"/>
      <c r="L716" s="1"/>
      <c r="M716" s="1" t="s">
        <v>33</v>
      </c>
      <c r="N716" s="1" t="s">
        <v>414</v>
      </c>
      <c r="O716" s="1" t="s">
        <v>794</v>
      </c>
      <c r="P716" s="1" t="s">
        <v>36</v>
      </c>
      <c r="Q716" s="3">
        <v>36892.0</v>
      </c>
      <c r="R716" s="1"/>
      <c r="S716" s="3">
        <v>32374.0</v>
      </c>
      <c r="T716" s="1" t="s">
        <v>37</v>
      </c>
      <c r="U716" s="1"/>
      <c r="V716" s="1" t="s">
        <v>38</v>
      </c>
      <c r="W716" s="1">
        <v>42.7890549697536</v>
      </c>
      <c r="X716" s="1">
        <v>-73.1891477108001</v>
      </c>
      <c r="Y716" s="1" t="s">
        <v>3095</v>
      </c>
      <c r="Z716" s="1"/>
      <c r="AA716" s="1" t="s">
        <v>40</v>
      </c>
      <c r="AB716" s="1" t="s">
        <v>797</v>
      </c>
      <c r="AC716" s="1">
        <v>5261.0</v>
      </c>
    </row>
    <row r="717">
      <c r="A717" s="1" t="str">
        <f>"0008J2"</f>
        <v>0008J2</v>
      </c>
      <c r="B717" s="1" t="s">
        <v>3096</v>
      </c>
      <c r="C717" s="1" t="s">
        <v>3097</v>
      </c>
      <c r="D717" s="1" t="str">
        <f>"8028882034"</f>
        <v>8028882034</v>
      </c>
      <c r="E717" s="1">
        <v>2774.0</v>
      </c>
      <c r="F717" s="1" t="s">
        <v>44</v>
      </c>
      <c r="G717" s="1" t="s">
        <v>3098</v>
      </c>
      <c r="H717" s="1">
        <v>1.0</v>
      </c>
      <c r="I717" s="1"/>
      <c r="J717" s="1"/>
      <c r="K717" s="1"/>
      <c r="L717" s="1"/>
      <c r="M717" s="1" t="s">
        <v>72</v>
      </c>
      <c r="N717" s="1" t="s">
        <v>213</v>
      </c>
      <c r="O717" s="1" t="s">
        <v>214</v>
      </c>
      <c r="P717" s="1"/>
      <c r="Q717" s="3">
        <v>36892.0</v>
      </c>
      <c r="R717" s="1"/>
      <c r="S717" s="3">
        <v>35213.0</v>
      </c>
      <c r="T717" s="1" t="s">
        <v>37</v>
      </c>
      <c r="U717" s="1"/>
      <c r="V717" s="1" t="s">
        <v>38</v>
      </c>
      <c r="W717" s="1"/>
      <c r="X717" s="1"/>
      <c r="Y717" s="1" t="s">
        <v>49</v>
      </c>
      <c r="Z717" s="1"/>
      <c r="AA717" s="1" t="s">
        <v>40</v>
      </c>
      <c r="AB717" s="1" t="s">
        <v>217</v>
      </c>
      <c r="AC717" s="1"/>
    </row>
    <row r="718">
      <c r="A718" s="1" t="str">
        <f>"00080V"</f>
        <v>00080V</v>
      </c>
      <c r="B718" s="1" t="s">
        <v>3099</v>
      </c>
      <c r="C718" s="1" t="s">
        <v>3100</v>
      </c>
      <c r="D718" s="1"/>
      <c r="E718" s="1">
        <v>1457.0</v>
      </c>
      <c r="F718" s="1" t="s">
        <v>44</v>
      </c>
      <c r="G718" s="1" t="s">
        <v>3101</v>
      </c>
      <c r="H718" s="1">
        <v>3.0</v>
      </c>
      <c r="I718" s="1"/>
      <c r="J718" s="1"/>
      <c r="K718" s="1"/>
      <c r="L718" s="1"/>
      <c r="M718" s="1" t="s">
        <v>3102</v>
      </c>
      <c r="N718" s="1" t="s">
        <v>57</v>
      </c>
      <c r="O718" s="1" t="s">
        <v>155</v>
      </c>
      <c r="P718" s="1"/>
      <c r="Q718" s="3">
        <v>36892.0</v>
      </c>
      <c r="R718" s="1"/>
      <c r="S718" s="3">
        <v>32645.0</v>
      </c>
      <c r="T718" s="1" t="s">
        <v>37</v>
      </c>
      <c r="U718" s="1"/>
      <c r="V718" s="1" t="s">
        <v>38</v>
      </c>
      <c r="W718" s="1"/>
      <c r="X718" s="1"/>
      <c r="Y718" s="1" t="s">
        <v>49</v>
      </c>
      <c r="Z718" s="1"/>
      <c r="AA718" s="1" t="s">
        <v>40</v>
      </c>
      <c r="AB718" s="1" t="s">
        <v>156</v>
      </c>
      <c r="AC718" s="1"/>
    </row>
    <row r="719">
      <c r="A719" s="1" t="str">
        <f>"0008WV"</f>
        <v>0008WV</v>
      </c>
      <c r="B719" s="1" t="s">
        <v>3103</v>
      </c>
      <c r="C719" s="1" t="s">
        <v>3104</v>
      </c>
      <c r="D719" s="1" t="str">
        <f>"8029882958"</f>
        <v>8029882958</v>
      </c>
      <c r="E719" s="1">
        <v>3404.0</v>
      </c>
      <c r="F719" s="1" t="s">
        <v>44</v>
      </c>
      <c r="G719" s="1" t="s">
        <v>3105</v>
      </c>
      <c r="H719" s="1"/>
      <c r="I719" s="1"/>
      <c r="J719" s="1"/>
      <c r="K719" s="1"/>
      <c r="L719" s="1"/>
      <c r="M719" s="1" t="s">
        <v>3106</v>
      </c>
      <c r="N719" s="1" t="s">
        <v>94</v>
      </c>
      <c r="O719" s="1" t="s">
        <v>489</v>
      </c>
      <c r="P719" s="1"/>
      <c r="Q719" s="3">
        <v>36892.0</v>
      </c>
      <c r="R719" s="1"/>
      <c r="S719" s="1"/>
      <c r="T719" s="1" t="s">
        <v>37</v>
      </c>
      <c r="U719" s="1"/>
      <c r="V719" s="1" t="s">
        <v>38</v>
      </c>
      <c r="W719" s="1"/>
      <c r="X719" s="1"/>
      <c r="Y719" s="1" t="s">
        <v>49</v>
      </c>
      <c r="Z719" s="1"/>
      <c r="AA719" s="1" t="s">
        <v>40</v>
      </c>
      <c r="AB719" s="1" t="s">
        <v>490</v>
      </c>
      <c r="AC719" s="1"/>
    </row>
    <row r="720">
      <c r="A720" s="1" t="str">
        <f>"00080P"</f>
        <v>00080P</v>
      </c>
      <c r="B720" s="1" t="s">
        <v>3107</v>
      </c>
      <c r="C720" s="1" t="s">
        <v>3108</v>
      </c>
      <c r="D720" s="1" t="str">
        <f>"8028934240"</f>
        <v>8028934240</v>
      </c>
      <c r="E720" s="1">
        <v>2627.0</v>
      </c>
      <c r="F720" s="1" t="s">
        <v>44</v>
      </c>
      <c r="G720" s="1" t="s">
        <v>3109</v>
      </c>
      <c r="H720" s="1">
        <v>2.0</v>
      </c>
      <c r="I720" s="1"/>
      <c r="J720" s="1"/>
      <c r="K720" s="1"/>
      <c r="L720" s="1"/>
      <c r="M720" s="1" t="s">
        <v>72</v>
      </c>
      <c r="N720" s="1" t="s">
        <v>57</v>
      </c>
      <c r="O720" s="1" t="s">
        <v>256</v>
      </c>
      <c r="P720" s="1"/>
      <c r="Q720" s="3">
        <v>36892.0</v>
      </c>
      <c r="R720" s="1"/>
      <c r="S720" s="3">
        <v>32645.0</v>
      </c>
      <c r="T720" s="1" t="s">
        <v>37</v>
      </c>
      <c r="U720" s="1"/>
      <c r="V720" s="1" t="s">
        <v>38</v>
      </c>
      <c r="W720" s="1"/>
      <c r="X720" s="1"/>
      <c r="Y720" s="1" t="s">
        <v>49</v>
      </c>
      <c r="Z720" s="1"/>
      <c r="AA720" s="1" t="s">
        <v>40</v>
      </c>
      <c r="AB720" s="1" t="s">
        <v>257</v>
      </c>
      <c r="AC720" s="1"/>
    </row>
    <row r="721">
      <c r="A721" s="1" t="str">
        <f>"00070X"</f>
        <v>00070X</v>
      </c>
      <c r="B721" s="1" t="s">
        <v>3110</v>
      </c>
      <c r="C721" s="1" t="s">
        <v>3111</v>
      </c>
      <c r="D721" s="1" t="str">
        <f>"8022539916"</f>
        <v>8022539916</v>
      </c>
      <c r="E721" s="1">
        <v>2903.0</v>
      </c>
      <c r="F721" s="1" t="s">
        <v>44</v>
      </c>
      <c r="G721" s="1" t="s">
        <v>3112</v>
      </c>
      <c r="H721" s="1">
        <v>2.0</v>
      </c>
      <c r="I721" s="1"/>
      <c r="J721" s="1"/>
      <c r="K721" s="1"/>
      <c r="L721" s="1"/>
      <c r="M721" s="1" t="s">
        <v>72</v>
      </c>
      <c r="N721" s="1" t="s">
        <v>213</v>
      </c>
      <c r="O721" s="1" t="s">
        <v>365</v>
      </c>
      <c r="P721" s="1"/>
      <c r="Q721" s="3">
        <v>36892.0</v>
      </c>
      <c r="R721" s="1"/>
      <c r="S721" s="3">
        <v>34877.0</v>
      </c>
      <c r="T721" s="1" t="s">
        <v>37</v>
      </c>
      <c r="U721" s="1"/>
      <c r="V721" s="1" t="s">
        <v>38</v>
      </c>
      <c r="W721" s="1"/>
      <c r="X721" s="1"/>
      <c r="Y721" s="1" t="s">
        <v>49</v>
      </c>
      <c r="Z721" s="1"/>
      <c r="AA721" s="1" t="s">
        <v>40</v>
      </c>
      <c r="AB721" s="1" t="s">
        <v>366</v>
      </c>
      <c r="AC721" s="1"/>
    </row>
    <row r="722">
      <c r="A722" s="1" t="str">
        <f>"00086N"</f>
        <v>00086N</v>
      </c>
      <c r="B722" s="1" t="s">
        <v>3113</v>
      </c>
      <c r="C722" s="1" t="s">
        <v>3114</v>
      </c>
      <c r="D722" s="1" t="str">
        <f>"8024561834"</f>
        <v>8024561834</v>
      </c>
      <c r="E722" s="1">
        <v>3712.0</v>
      </c>
      <c r="F722" s="1" t="s">
        <v>44</v>
      </c>
      <c r="G722" s="1" t="s">
        <v>3115</v>
      </c>
      <c r="H722" s="1"/>
      <c r="I722" s="1"/>
      <c r="J722" s="1"/>
      <c r="K722" s="1"/>
      <c r="L722" s="1"/>
      <c r="M722" s="1" t="s">
        <v>72</v>
      </c>
      <c r="N722" s="1" t="s">
        <v>135</v>
      </c>
      <c r="O722" s="1" t="s">
        <v>3116</v>
      </c>
      <c r="P722" s="1"/>
      <c r="Q722" s="3">
        <v>36892.0</v>
      </c>
      <c r="R722" s="1"/>
      <c r="S722" s="1"/>
      <c r="T722" s="1" t="s">
        <v>37</v>
      </c>
      <c r="U722" s="1"/>
      <c r="V722" s="1" t="s">
        <v>38</v>
      </c>
      <c r="W722" s="1"/>
      <c r="X722" s="1"/>
      <c r="Y722" s="1" t="s">
        <v>49</v>
      </c>
      <c r="Z722" s="1"/>
      <c r="AA722" s="1" t="s">
        <v>40</v>
      </c>
      <c r="AB722" s="1" t="s">
        <v>3117</v>
      </c>
      <c r="AC722" s="1"/>
    </row>
    <row r="723">
      <c r="A723" s="1" t="str">
        <f>"00080M"</f>
        <v>00080M</v>
      </c>
      <c r="B723" s="1" t="s">
        <v>3118</v>
      </c>
      <c r="C723" s="1" t="s">
        <v>3119</v>
      </c>
      <c r="D723" s="1" t="str">
        <f>"8023106058"</f>
        <v>8023106058</v>
      </c>
      <c r="E723" s="1">
        <v>3849.0</v>
      </c>
      <c r="F723" s="1" t="s">
        <v>44</v>
      </c>
      <c r="G723" s="1" t="s">
        <v>3120</v>
      </c>
      <c r="H723" s="1"/>
      <c r="I723" s="1"/>
      <c r="J723" s="1"/>
      <c r="K723" s="1"/>
      <c r="L723" s="1"/>
      <c r="M723" s="1" t="s">
        <v>72</v>
      </c>
      <c r="N723" s="1" t="s">
        <v>57</v>
      </c>
      <c r="O723" s="1" t="s">
        <v>256</v>
      </c>
      <c r="P723" s="1"/>
      <c r="Q723" s="3">
        <v>36892.0</v>
      </c>
      <c r="R723" s="1"/>
      <c r="S723" s="1"/>
      <c r="T723" s="1" t="s">
        <v>37</v>
      </c>
      <c r="U723" s="1"/>
      <c r="V723" s="1" t="s">
        <v>38</v>
      </c>
      <c r="W723" s="1"/>
      <c r="X723" s="1"/>
      <c r="Y723" s="1" t="s">
        <v>49</v>
      </c>
      <c r="Z723" s="1"/>
      <c r="AA723" s="1" t="s">
        <v>40</v>
      </c>
      <c r="AB723" s="1" t="s">
        <v>257</v>
      </c>
      <c r="AC723" s="1"/>
    </row>
    <row r="724">
      <c r="A724" s="1" t="str">
        <f>"0007GB"</f>
        <v>0007GB</v>
      </c>
      <c r="B724" s="1" t="s">
        <v>771</v>
      </c>
      <c r="C724" s="1" t="s">
        <v>772</v>
      </c>
      <c r="D724" s="1" t="str">
        <f>"8022532539"</f>
        <v>8022532539</v>
      </c>
      <c r="E724" s="1">
        <v>2469.0</v>
      </c>
      <c r="F724" s="1" t="s">
        <v>44</v>
      </c>
      <c r="G724" s="1" t="s">
        <v>3121</v>
      </c>
      <c r="H724" s="1">
        <v>21.0</v>
      </c>
      <c r="I724" s="1"/>
      <c r="J724" s="1"/>
      <c r="K724" s="1"/>
      <c r="L724" s="1"/>
      <c r="M724" s="1" t="s">
        <v>3122</v>
      </c>
      <c r="N724" s="1" t="s">
        <v>213</v>
      </c>
      <c r="O724" s="1" t="s">
        <v>365</v>
      </c>
      <c r="P724" s="1"/>
      <c r="Q724" s="3">
        <v>36892.0</v>
      </c>
      <c r="R724" s="1"/>
      <c r="S724" s="3">
        <v>35690.0</v>
      </c>
      <c r="T724" s="1" t="s">
        <v>37</v>
      </c>
      <c r="U724" s="1"/>
      <c r="V724" s="1" t="s">
        <v>38</v>
      </c>
      <c r="W724" s="1"/>
      <c r="X724" s="1"/>
      <c r="Y724" s="1" t="s">
        <v>49</v>
      </c>
      <c r="Z724" s="1"/>
      <c r="AA724" s="1" t="s">
        <v>40</v>
      </c>
      <c r="AB724" s="1" t="s">
        <v>366</v>
      </c>
      <c r="AC724" s="1"/>
    </row>
    <row r="725">
      <c r="A725" s="1" t="str">
        <f>"00080H"</f>
        <v>00080H</v>
      </c>
      <c r="B725" s="1" t="s">
        <v>3123</v>
      </c>
      <c r="C725" s="1" t="s">
        <v>3124</v>
      </c>
      <c r="D725" s="1"/>
      <c r="E725" s="1">
        <v>1437.0</v>
      </c>
      <c r="F725" s="1" t="s">
        <v>44</v>
      </c>
      <c r="G725" s="1" t="s">
        <v>3125</v>
      </c>
      <c r="H725" s="1">
        <v>2.0</v>
      </c>
      <c r="I725" s="1"/>
      <c r="J725" s="1"/>
      <c r="K725" s="1"/>
      <c r="L725" s="1"/>
      <c r="M725" s="1" t="s">
        <v>72</v>
      </c>
      <c r="N725" s="1" t="s">
        <v>57</v>
      </c>
      <c r="O725" s="1" t="s">
        <v>238</v>
      </c>
      <c r="P725" s="1"/>
      <c r="Q725" s="3">
        <v>36892.0</v>
      </c>
      <c r="R725" s="1"/>
      <c r="S725" s="3">
        <v>35194.0</v>
      </c>
      <c r="T725" s="1" t="s">
        <v>37</v>
      </c>
      <c r="U725" s="1"/>
      <c r="V725" s="1" t="s">
        <v>38</v>
      </c>
      <c r="W725" s="1"/>
      <c r="X725" s="1"/>
      <c r="Y725" s="1" t="s">
        <v>49</v>
      </c>
      <c r="Z725" s="1"/>
      <c r="AA725" s="1" t="s">
        <v>40</v>
      </c>
      <c r="AB725" s="1" t="s">
        <v>239</v>
      </c>
      <c r="AC725" s="1"/>
    </row>
    <row r="726">
      <c r="A726" s="1" t="str">
        <f>"0007Y2"</f>
        <v>0007Y2</v>
      </c>
      <c r="B726" s="1" t="s">
        <v>3126</v>
      </c>
      <c r="C726" s="1" t="s">
        <v>3127</v>
      </c>
      <c r="D726" s="1" t="str">
        <f>"8028796723"</f>
        <v>8028796723</v>
      </c>
      <c r="E726" s="1">
        <v>1308.0</v>
      </c>
      <c r="F726" s="1" t="s">
        <v>44</v>
      </c>
      <c r="G726" s="1" t="s">
        <v>3128</v>
      </c>
      <c r="H726" s="1">
        <v>2.0</v>
      </c>
      <c r="I726" s="1"/>
      <c r="J726" s="1"/>
      <c r="K726" s="1"/>
      <c r="L726" s="1"/>
      <c r="M726" s="1" t="s">
        <v>72</v>
      </c>
      <c r="N726" s="1" t="s">
        <v>57</v>
      </c>
      <c r="O726" s="1" t="s">
        <v>509</v>
      </c>
      <c r="P726" s="1"/>
      <c r="Q726" s="3">
        <v>36892.0</v>
      </c>
      <c r="R726" s="1"/>
      <c r="S726" s="3">
        <v>33025.0</v>
      </c>
      <c r="T726" s="1" t="s">
        <v>37</v>
      </c>
      <c r="U726" s="1"/>
      <c r="V726" s="1" t="s">
        <v>38</v>
      </c>
      <c r="W726" s="1"/>
      <c r="X726" s="1"/>
      <c r="Y726" s="1" t="s">
        <v>49</v>
      </c>
      <c r="Z726" s="1"/>
      <c r="AA726" s="1" t="s">
        <v>40</v>
      </c>
      <c r="AB726" s="1" t="s">
        <v>331</v>
      </c>
      <c r="AC726" s="1"/>
    </row>
    <row r="727">
      <c r="A727" s="1" t="str">
        <f>"0007K0"</f>
        <v>0007K0</v>
      </c>
      <c r="B727" s="1" t="s">
        <v>2767</v>
      </c>
      <c r="C727" s="1" t="s">
        <v>2768</v>
      </c>
      <c r="D727" s="1" t="str">
        <f>"8023887724"</f>
        <v>8023887724</v>
      </c>
      <c r="E727" s="1">
        <v>851.0</v>
      </c>
      <c r="F727" s="1" t="s">
        <v>117</v>
      </c>
      <c r="G727" s="1" t="s">
        <v>3129</v>
      </c>
      <c r="H727" s="1">
        <v>22.0</v>
      </c>
      <c r="I727" s="2" t="s">
        <v>119</v>
      </c>
      <c r="J727" s="2" t="s">
        <v>119</v>
      </c>
      <c r="K727" s="2" t="s">
        <v>119</v>
      </c>
      <c r="L727" s="1"/>
      <c r="M727" s="1" t="s">
        <v>3130</v>
      </c>
      <c r="N727" s="1" t="s">
        <v>57</v>
      </c>
      <c r="O727" s="1" t="s">
        <v>238</v>
      </c>
      <c r="P727" s="1" t="s">
        <v>3131</v>
      </c>
      <c r="Q727" s="3">
        <v>36892.0</v>
      </c>
      <c r="R727" s="1"/>
      <c r="S727" s="3">
        <v>42165.0</v>
      </c>
      <c r="T727" s="1" t="s">
        <v>37</v>
      </c>
      <c r="U727" s="1"/>
      <c r="V727" s="1" t="s">
        <v>38</v>
      </c>
      <c r="W727" s="1">
        <v>44.4026236993084</v>
      </c>
      <c r="X727" s="1">
        <v>-73.1934647050911</v>
      </c>
      <c r="Y727" s="1" t="s">
        <v>3132</v>
      </c>
      <c r="Z727" s="1"/>
      <c r="AA727" s="1" t="s">
        <v>40</v>
      </c>
      <c r="AB727" s="1" t="s">
        <v>239</v>
      </c>
      <c r="AC727" s="1">
        <v>0.0</v>
      </c>
    </row>
    <row r="728">
      <c r="A728" s="1" t="str">
        <f>"0007C0"</f>
        <v>0007C0</v>
      </c>
      <c r="B728" s="1" t="s">
        <v>1738</v>
      </c>
      <c r="C728" s="1" t="s">
        <v>1739</v>
      </c>
      <c r="D728" s="1" t="str">
        <f>"8023657532"</f>
        <v>8023657532</v>
      </c>
      <c r="E728" s="1">
        <v>2425.0</v>
      </c>
      <c r="F728" s="1" t="s">
        <v>44</v>
      </c>
      <c r="G728" s="1" t="s">
        <v>3133</v>
      </c>
      <c r="H728" s="1">
        <v>4.0</v>
      </c>
      <c r="I728" s="1"/>
      <c r="J728" s="1"/>
      <c r="K728" s="1"/>
      <c r="L728" s="1"/>
      <c r="M728" s="1" t="s">
        <v>3134</v>
      </c>
      <c r="N728" s="1" t="s">
        <v>66</v>
      </c>
      <c r="O728" s="1" t="s">
        <v>1742</v>
      </c>
      <c r="P728" s="1"/>
      <c r="Q728" s="3">
        <v>36892.0</v>
      </c>
      <c r="R728" s="1"/>
      <c r="S728" s="3">
        <v>32745.0</v>
      </c>
      <c r="T728" s="1" t="s">
        <v>37</v>
      </c>
      <c r="U728" s="1"/>
      <c r="V728" s="1" t="s">
        <v>38</v>
      </c>
      <c r="W728" s="1"/>
      <c r="X728" s="1"/>
      <c r="Y728" s="1" t="s">
        <v>49</v>
      </c>
      <c r="Z728" s="1"/>
      <c r="AA728" s="1" t="s">
        <v>40</v>
      </c>
      <c r="AB728" s="1" t="s">
        <v>1743</v>
      </c>
      <c r="AC728" s="1"/>
    </row>
    <row r="729">
      <c r="A729" s="1" t="str">
        <f>"00080F"</f>
        <v>00080F</v>
      </c>
      <c r="B729" s="1" t="s">
        <v>3135</v>
      </c>
      <c r="C729" s="1" t="s">
        <v>3136</v>
      </c>
      <c r="D729" s="1" t="str">
        <f>"8026352401"</f>
        <v>8026352401</v>
      </c>
      <c r="E729" s="1">
        <v>2613.0</v>
      </c>
      <c r="F729" s="1" t="s">
        <v>44</v>
      </c>
      <c r="G729" s="1" t="s">
        <v>3137</v>
      </c>
      <c r="H729" s="1">
        <v>1.0</v>
      </c>
      <c r="I729" s="1"/>
      <c r="J729" s="1"/>
      <c r="K729" s="1"/>
      <c r="L729" s="1"/>
      <c r="M729" s="1" t="s">
        <v>3138</v>
      </c>
      <c r="N729" s="1" t="s">
        <v>213</v>
      </c>
      <c r="O729" s="1" t="s">
        <v>625</v>
      </c>
      <c r="P729" s="1"/>
      <c r="Q729" s="3">
        <v>36892.0</v>
      </c>
      <c r="R729" s="1"/>
      <c r="S729" s="3">
        <v>33056.0</v>
      </c>
      <c r="T729" s="1" t="s">
        <v>37</v>
      </c>
      <c r="U729" s="1"/>
      <c r="V729" s="1" t="s">
        <v>38</v>
      </c>
      <c r="W729" s="1"/>
      <c r="X729" s="1"/>
      <c r="Y729" s="1" t="s">
        <v>49</v>
      </c>
      <c r="Z729" s="1"/>
      <c r="AA729" s="1" t="s">
        <v>40</v>
      </c>
      <c r="AB729" s="1" t="s">
        <v>626</v>
      </c>
      <c r="AC729" s="1"/>
    </row>
    <row r="730">
      <c r="A730" s="1" t="str">
        <f>"00080D"</f>
        <v>00080D</v>
      </c>
      <c r="B730" s="1" t="s">
        <v>3139</v>
      </c>
      <c r="C730" s="1" t="s">
        <v>3140</v>
      </c>
      <c r="D730" s="1" t="str">
        <f>"8029853746"</f>
        <v>8029853746</v>
      </c>
      <c r="E730" s="1">
        <v>1432.0</v>
      </c>
      <c r="F730" s="1" t="s">
        <v>44</v>
      </c>
      <c r="G730" s="1" t="s">
        <v>3141</v>
      </c>
      <c r="H730" s="1">
        <v>1.0</v>
      </c>
      <c r="I730" s="1"/>
      <c r="J730" s="1"/>
      <c r="K730" s="1"/>
      <c r="L730" s="1"/>
      <c r="M730" s="1" t="s">
        <v>72</v>
      </c>
      <c r="N730" s="1" t="s">
        <v>57</v>
      </c>
      <c r="O730" s="1" t="s">
        <v>238</v>
      </c>
      <c r="P730" s="1"/>
      <c r="Q730" s="3">
        <v>36892.0</v>
      </c>
      <c r="R730" s="1"/>
      <c r="S730" s="3">
        <v>35235.0</v>
      </c>
      <c r="T730" s="1" t="s">
        <v>37</v>
      </c>
      <c r="U730" s="1"/>
      <c r="V730" s="1" t="s">
        <v>38</v>
      </c>
      <c r="W730" s="1"/>
      <c r="X730" s="1"/>
      <c r="Y730" s="1" t="s">
        <v>49</v>
      </c>
      <c r="Z730" s="1"/>
      <c r="AA730" s="1" t="s">
        <v>40</v>
      </c>
      <c r="AB730" s="1" t="s">
        <v>239</v>
      </c>
      <c r="AC730" s="1"/>
    </row>
    <row r="731">
      <c r="A731" s="1" t="str">
        <f>"00079Z"</f>
        <v>00079Z</v>
      </c>
      <c r="B731" s="1" t="s">
        <v>3142</v>
      </c>
      <c r="C731" s="1" t="s">
        <v>3143</v>
      </c>
      <c r="D731" s="1"/>
      <c r="E731" s="1">
        <v>2764.0</v>
      </c>
      <c r="F731" s="1" t="s">
        <v>44</v>
      </c>
      <c r="G731" s="1" t="s">
        <v>3144</v>
      </c>
      <c r="H731" s="1">
        <v>1.0</v>
      </c>
      <c r="I731" s="1"/>
      <c r="J731" s="1"/>
      <c r="K731" s="1"/>
      <c r="L731" s="1"/>
      <c r="M731" s="1" t="s">
        <v>3145</v>
      </c>
      <c r="N731" s="1" t="s">
        <v>142</v>
      </c>
      <c r="O731" s="1" t="s">
        <v>353</v>
      </c>
      <c r="P731" s="1"/>
      <c r="Q731" s="3">
        <v>36892.0</v>
      </c>
      <c r="R731" s="1"/>
      <c r="S731" s="3">
        <v>33822.0</v>
      </c>
      <c r="T731" s="1" t="s">
        <v>37</v>
      </c>
      <c r="U731" s="1"/>
      <c r="V731" s="1" t="s">
        <v>38</v>
      </c>
      <c r="W731" s="1"/>
      <c r="X731" s="1"/>
      <c r="Y731" s="1" t="s">
        <v>49</v>
      </c>
      <c r="Z731" s="1"/>
      <c r="AA731" s="1" t="s">
        <v>40</v>
      </c>
      <c r="AB731" s="1" t="s">
        <v>355</v>
      </c>
      <c r="AC731" s="1"/>
    </row>
    <row r="732">
      <c r="A732" s="1" t="str">
        <f>"0007X7"</f>
        <v>0007X7</v>
      </c>
      <c r="B732" s="1" t="s">
        <v>2198</v>
      </c>
      <c r="C732" s="1" t="s">
        <v>2199</v>
      </c>
      <c r="D732" s="1" t="str">
        <f>"8024263432"</f>
        <v>8024263432</v>
      </c>
      <c r="E732" s="1">
        <v>3027.0</v>
      </c>
      <c r="F732" s="1" t="s">
        <v>44</v>
      </c>
      <c r="G732" s="1" t="s">
        <v>3146</v>
      </c>
      <c r="H732" s="1">
        <v>0.0</v>
      </c>
      <c r="I732" s="1"/>
      <c r="J732" s="1"/>
      <c r="K732" s="1"/>
      <c r="L732" s="1"/>
      <c r="M732" s="1" t="s">
        <v>72</v>
      </c>
      <c r="N732" s="1" t="s">
        <v>135</v>
      </c>
      <c r="O732" s="1" t="s">
        <v>1073</v>
      </c>
      <c r="P732" s="1"/>
      <c r="Q732" s="3">
        <v>36892.0</v>
      </c>
      <c r="R732" s="1"/>
      <c r="S732" s="1"/>
      <c r="T732" s="1" t="s">
        <v>37</v>
      </c>
      <c r="U732" s="1"/>
      <c r="V732" s="1" t="s">
        <v>38</v>
      </c>
      <c r="W732" s="1">
        <v>44.353893</v>
      </c>
      <c r="X732" s="1">
        <v>-72.396362</v>
      </c>
      <c r="Y732" s="1" t="s">
        <v>3147</v>
      </c>
      <c r="Z732" s="1"/>
      <c r="AA732" s="1" t="s">
        <v>40</v>
      </c>
      <c r="AB732" s="1" t="s">
        <v>1075</v>
      </c>
      <c r="AC732" s="1">
        <v>5658.0</v>
      </c>
    </row>
    <row r="733">
      <c r="A733" s="1" t="str">
        <f>"0008AM"</f>
        <v>0008AM</v>
      </c>
      <c r="B733" s="1" t="s">
        <v>3148</v>
      </c>
      <c r="C733" s="1" t="s">
        <v>3149</v>
      </c>
      <c r="D733" s="1" t="str">
        <f>"8028975681"</f>
        <v>8028975681</v>
      </c>
      <c r="E733" s="1">
        <v>3452.0</v>
      </c>
      <c r="F733" s="1" t="s">
        <v>44</v>
      </c>
      <c r="G733" s="1" t="s">
        <v>3150</v>
      </c>
      <c r="H733" s="1"/>
      <c r="I733" s="1"/>
      <c r="J733" s="1"/>
      <c r="K733" s="1"/>
      <c r="L733" s="1"/>
      <c r="M733" s="1" t="s">
        <v>72</v>
      </c>
      <c r="N733" s="1" t="s">
        <v>161</v>
      </c>
      <c r="O733" s="1" t="s">
        <v>1053</v>
      </c>
      <c r="P733" s="1"/>
      <c r="Q733" s="3">
        <v>36892.0</v>
      </c>
      <c r="R733" s="1"/>
      <c r="S733" s="1"/>
      <c r="T733" s="1" t="s">
        <v>37</v>
      </c>
      <c r="U733" s="1"/>
      <c r="V733" s="1" t="s">
        <v>38</v>
      </c>
      <c r="W733" s="1"/>
      <c r="X733" s="1"/>
      <c r="Y733" s="1" t="s">
        <v>49</v>
      </c>
      <c r="Z733" s="1"/>
      <c r="AA733" s="1" t="s">
        <v>40</v>
      </c>
      <c r="AB733" s="1" t="s">
        <v>1054</v>
      </c>
      <c r="AC733" s="1"/>
    </row>
    <row r="734">
      <c r="A734" s="1" t="str">
        <f>"0008J5"</f>
        <v>0008J5</v>
      </c>
      <c r="B734" s="1" t="s">
        <v>3151</v>
      </c>
      <c r="C734" s="1" t="s">
        <v>3152</v>
      </c>
      <c r="D734" s="1" t="str">
        <f>"8025632184"</f>
        <v>8025632184</v>
      </c>
      <c r="E734" s="1">
        <v>2777.0</v>
      </c>
      <c r="F734" s="1" t="s">
        <v>44</v>
      </c>
      <c r="G734" s="1" t="s">
        <v>3153</v>
      </c>
      <c r="H734" s="1"/>
      <c r="I734" s="1"/>
      <c r="J734" s="1"/>
      <c r="K734" s="1"/>
      <c r="L734" s="1"/>
      <c r="M734" s="1" t="s">
        <v>3154</v>
      </c>
      <c r="N734" s="1" t="s">
        <v>128</v>
      </c>
      <c r="O734" s="1" t="s">
        <v>887</v>
      </c>
      <c r="P734" s="1"/>
      <c r="Q734" s="3">
        <v>36892.0</v>
      </c>
      <c r="R734" s="1"/>
      <c r="S734" s="1"/>
      <c r="T734" s="1" t="s">
        <v>37</v>
      </c>
      <c r="U734" s="1"/>
      <c r="V734" s="1" t="s">
        <v>38</v>
      </c>
      <c r="W734" s="1"/>
      <c r="X734" s="1"/>
      <c r="Y734" s="1" t="s">
        <v>49</v>
      </c>
      <c r="Z734" s="1"/>
      <c r="AA734" s="1" t="s">
        <v>40</v>
      </c>
      <c r="AB734" s="1" t="s">
        <v>888</v>
      </c>
      <c r="AC734" s="1"/>
    </row>
    <row r="735">
      <c r="A735" s="1" t="str">
        <f>"0007WA"</f>
        <v>0007WA</v>
      </c>
      <c r="B735" s="1" t="s">
        <v>157</v>
      </c>
      <c r="C735" s="1" t="s">
        <v>158</v>
      </c>
      <c r="D735" s="1" t="str">
        <f>"8029482057"</f>
        <v>8029482057</v>
      </c>
      <c r="E735" s="1">
        <v>1217.0</v>
      </c>
      <c r="F735" s="1" t="s">
        <v>31</v>
      </c>
      <c r="G735" s="1" t="s">
        <v>3155</v>
      </c>
      <c r="H735" s="1">
        <v>0.0</v>
      </c>
      <c r="I735" s="1"/>
      <c r="J735" s="1"/>
      <c r="K735" s="1"/>
      <c r="L735" s="1"/>
      <c r="M735" s="1" t="s">
        <v>3156</v>
      </c>
      <c r="N735" s="1" t="s">
        <v>57</v>
      </c>
      <c r="O735" s="1" t="s">
        <v>2092</v>
      </c>
      <c r="P735" s="1"/>
      <c r="Q735" s="3">
        <v>36892.0</v>
      </c>
      <c r="R735" s="3">
        <v>42156.0</v>
      </c>
      <c r="S735" s="3">
        <v>38910.0</v>
      </c>
      <c r="T735" s="1" t="s">
        <v>37</v>
      </c>
      <c r="U735" s="1"/>
      <c r="V735" s="1" t="s">
        <v>38</v>
      </c>
      <c r="W735" s="1"/>
      <c r="X735" s="1"/>
      <c r="Y735" s="1" t="s">
        <v>49</v>
      </c>
      <c r="Z735" s="1"/>
      <c r="AA735" s="1" t="s">
        <v>40</v>
      </c>
      <c r="AB735" s="1" t="s">
        <v>2093</v>
      </c>
      <c r="AC735" s="1">
        <v>0.0</v>
      </c>
    </row>
    <row r="736">
      <c r="A736" s="1" t="str">
        <f>"000809"</f>
        <v>000809</v>
      </c>
      <c r="B736" s="1" t="s">
        <v>3157</v>
      </c>
      <c r="C736" s="1" t="s">
        <v>3158</v>
      </c>
      <c r="D736" s="1" t="str">
        <f>"8028623880"</f>
        <v>8028623880</v>
      </c>
      <c r="E736" s="1">
        <v>1422.0</v>
      </c>
      <c r="F736" s="1" t="s">
        <v>44</v>
      </c>
      <c r="G736" s="1" t="s">
        <v>3159</v>
      </c>
      <c r="H736" s="1">
        <v>20.0</v>
      </c>
      <c r="I736" s="1"/>
      <c r="J736" s="1"/>
      <c r="K736" s="1"/>
      <c r="L736" s="1"/>
      <c r="M736" s="1" t="s">
        <v>3160</v>
      </c>
      <c r="N736" s="1" t="s">
        <v>57</v>
      </c>
      <c r="O736" s="1" t="s">
        <v>201</v>
      </c>
      <c r="P736" s="1"/>
      <c r="Q736" s="3">
        <v>36892.0</v>
      </c>
      <c r="R736" s="1"/>
      <c r="S736" s="3">
        <v>37467.0</v>
      </c>
      <c r="T736" s="1" t="s">
        <v>37</v>
      </c>
      <c r="U736" s="1"/>
      <c r="V736" s="1" t="s">
        <v>38</v>
      </c>
      <c r="W736" s="1"/>
      <c r="X736" s="1"/>
      <c r="Y736" s="1" t="s">
        <v>49</v>
      </c>
      <c r="Z736" s="1"/>
      <c r="AA736" s="1" t="s">
        <v>40</v>
      </c>
      <c r="AB736" s="1" t="s">
        <v>202</v>
      </c>
      <c r="AC736" s="1"/>
    </row>
    <row r="737">
      <c r="A737" s="1" t="str">
        <f>"00082Y"</f>
        <v>00082Y</v>
      </c>
      <c r="B737" s="1" t="s">
        <v>3161</v>
      </c>
      <c r="C737" s="1" t="s">
        <v>3162</v>
      </c>
      <c r="D737" s="1" t="str">
        <f>"8025987333"</f>
        <v>8025987333</v>
      </c>
      <c r="E737" s="1">
        <v>3383.0</v>
      </c>
      <c r="F737" s="1" t="s">
        <v>117</v>
      </c>
      <c r="G737" s="1" t="s">
        <v>3163</v>
      </c>
      <c r="H737" s="1">
        <v>8.0</v>
      </c>
      <c r="I737" s="2">
        <v>6.0</v>
      </c>
      <c r="J737" s="2">
        <v>5.0</v>
      </c>
      <c r="K737" s="2" t="s">
        <v>119</v>
      </c>
      <c r="L737" s="2" t="s">
        <v>3164</v>
      </c>
      <c r="M737" s="1" t="s">
        <v>3165</v>
      </c>
      <c r="N737" s="1" t="s">
        <v>57</v>
      </c>
      <c r="O737" s="1" t="s">
        <v>2092</v>
      </c>
      <c r="P737" s="1" t="s">
        <v>3166</v>
      </c>
      <c r="Q737" s="3">
        <v>36892.0</v>
      </c>
      <c r="R737" s="1"/>
      <c r="S737" s="3">
        <v>39288.0</v>
      </c>
      <c r="T737" s="1" t="s">
        <v>37</v>
      </c>
      <c r="U737" s="1"/>
      <c r="V737" s="1" t="s">
        <v>38</v>
      </c>
      <c r="W737" s="1">
        <v>44.4580068576671</v>
      </c>
      <c r="X737" s="1">
        <v>-73.0686950683593</v>
      </c>
      <c r="Y737" s="1" t="s">
        <v>3167</v>
      </c>
      <c r="Z737" s="1"/>
      <c r="AA737" s="1" t="s">
        <v>40</v>
      </c>
      <c r="AB737" s="1" t="s">
        <v>2093</v>
      </c>
      <c r="AC737" s="1">
        <v>5495.0</v>
      </c>
    </row>
    <row r="738">
      <c r="A738" s="1" t="str">
        <f>"0007GY"</f>
        <v>0007GY</v>
      </c>
      <c r="B738" s="1" t="s">
        <v>3168</v>
      </c>
      <c r="C738" s="1" t="s">
        <v>3169</v>
      </c>
      <c r="D738" s="1" t="str">
        <f>"8028927731"</f>
        <v>8028927731</v>
      </c>
      <c r="E738" s="1">
        <v>3345.0</v>
      </c>
      <c r="F738" s="1" t="s">
        <v>44</v>
      </c>
      <c r="G738" s="1" t="s">
        <v>3170</v>
      </c>
      <c r="H738" s="1">
        <v>5.0</v>
      </c>
      <c r="I738" s="1"/>
      <c r="J738" s="1"/>
      <c r="K738" s="1"/>
      <c r="L738" s="1"/>
      <c r="M738" s="1" t="s">
        <v>3171</v>
      </c>
      <c r="N738" s="1" t="s">
        <v>331</v>
      </c>
      <c r="O738" s="1" t="s">
        <v>1015</v>
      </c>
      <c r="P738" s="1"/>
      <c r="Q738" s="3">
        <v>36892.0</v>
      </c>
      <c r="R738" s="1"/>
      <c r="S738" s="3">
        <v>38978.0</v>
      </c>
      <c r="T738" s="1" t="s">
        <v>37</v>
      </c>
      <c r="U738" s="1"/>
      <c r="V738" s="1" t="s">
        <v>38</v>
      </c>
      <c r="W738" s="1"/>
      <c r="X738" s="1"/>
      <c r="Y738" s="1" t="s">
        <v>49</v>
      </c>
      <c r="Z738" s="1"/>
      <c r="AA738" s="1" t="s">
        <v>40</v>
      </c>
      <c r="AB738" s="1" t="s">
        <v>1016</v>
      </c>
      <c r="AC738" s="1"/>
    </row>
    <row r="739">
      <c r="A739" s="1" t="str">
        <f>"000805"</f>
        <v>000805</v>
      </c>
      <c r="B739" s="1" t="s">
        <v>3172</v>
      </c>
      <c r="C739" s="1" t="s">
        <v>3173</v>
      </c>
      <c r="D739" s="1"/>
      <c r="E739" s="1">
        <v>1416.0</v>
      </c>
      <c r="F739" s="1" t="s">
        <v>44</v>
      </c>
      <c r="G739" s="1" t="s">
        <v>3174</v>
      </c>
      <c r="H739" s="1">
        <v>2.0</v>
      </c>
      <c r="I739" s="1"/>
      <c r="J739" s="1"/>
      <c r="K739" s="1"/>
      <c r="L739" s="1"/>
      <c r="M739" s="1" t="s">
        <v>72</v>
      </c>
      <c r="N739" s="1" t="s">
        <v>57</v>
      </c>
      <c r="O739" s="1" t="s">
        <v>201</v>
      </c>
      <c r="P739" s="1"/>
      <c r="Q739" s="3">
        <v>36892.0</v>
      </c>
      <c r="R739" s="1"/>
      <c r="S739" s="3">
        <v>32394.0</v>
      </c>
      <c r="T739" s="1" t="s">
        <v>37</v>
      </c>
      <c r="U739" s="1"/>
      <c r="V739" s="1" t="s">
        <v>38</v>
      </c>
      <c r="W739" s="1"/>
      <c r="X739" s="1"/>
      <c r="Y739" s="1" t="s">
        <v>49</v>
      </c>
      <c r="Z739" s="1"/>
      <c r="AA739" s="1" t="s">
        <v>40</v>
      </c>
      <c r="AB739" s="1" t="s">
        <v>202</v>
      </c>
      <c r="AC739" s="1"/>
    </row>
    <row r="740">
      <c r="A740" s="1" t="str">
        <f>"0008J5"</f>
        <v>0008J5</v>
      </c>
      <c r="B740" s="1" t="s">
        <v>3151</v>
      </c>
      <c r="C740" s="1" t="s">
        <v>3152</v>
      </c>
      <c r="D740" s="1" t="str">
        <f>"8025632184"</f>
        <v>8025632184</v>
      </c>
      <c r="E740" s="1">
        <v>2777.0</v>
      </c>
      <c r="F740" s="1" t="s">
        <v>44</v>
      </c>
      <c r="G740" s="1" t="s">
        <v>3175</v>
      </c>
      <c r="H740" s="1"/>
      <c r="I740" s="1"/>
      <c r="J740" s="1"/>
      <c r="K740" s="1"/>
      <c r="L740" s="1"/>
      <c r="M740" s="1" t="s">
        <v>3176</v>
      </c>
      <c r="N740" s="1" t="s">
        <v>128</v>
      </c>
      <c r="O740" s="1" t="s">
        <v>887</v>
      </c>
      <c r="P740" s="1"/>
      <c r="Q740" s="3">
        <v>36892.0</v>
      </c>
      <c r="R740" s="1"/>
      <c r="S740" s="1"/>
      <c r="T740" s="1" t="s">
        <v>37</v>
      </c>
      <c r="U740" s="1"/>
      <c r="V740" s="1" t="s">
        <v>38</v>
      </c>
      <c r="W740" s="1"/>
      <c r="X740" s="1"/>
      <c r="Y740" s="1" t="s">
        <v>49</v>
      </c>
      <c r="Z740" s="1"/>
      <c r="AA740" s="1" t="s">
        <v>40</v>
      </c>
      <c r="AB740" s="1" t="s">
        <v>888</v>
      </c>
      <c r="AC740" s="1"/>
    </row>
    <row r="741">
      <c r="A741" s="1" t="str">
        <f>"0007VZ"</f>
        <v>0007VZ</v>
      </c>
      <c r="B741" s="1" t="s">
        <v>3177</v>
      </c>
      <c r="C741" s="1" t="s">
        <v>3178</v>
      </c>
      <c r="D741" s="1" t="str">
        <f>"8026268316"</f>
        <v>8026268316</v>
      </c>
      <c r="E741" s="1">
        <v>2700.0</v>
      </c>
      <c r="F741" s="1" t="s">
        <v>44</v>
      </c>
      <c r="G741" s="1" t="s">
        <v>3179</v>
      </c>
      <c r="H741" s="1">
        <v>1.0</v>
      </c>
      <c r="I741" s="1"/>
      <c r="J741" s="1"/>
      <c r="K741" s="1"/>
      <c r="L741" s="1"/>
      <c r="M741" s="1" t="s">
        <v>3180</v>
      </c>
      <c r="N741" s="1" t="s">
        <v>128</v>
      </c>
      <c r="O741" s="1" t="s">
        <v>337</v>
      </c>
      <c r="P741" s="1"/>
      <c r="Q741" s="3">
        <v>36892.0</v>
      </c>
      <c r="R741" s="1"/>
      <c r="S741" s="3">
        <v>33086.0</v>
      </c>
      <c r="T741" s="1" t="s">
        <v>37</v>
      </c>
      <c r="U741" s="1"/>
      <c r="V741" s="1" t="s">
        <v>38</v>
      </c>
      <c r="W741" s="1"/>
      <c r="X741" s="1"/>
      <c r="Y741" s="1" t="s">
        <v>49</v>
      </c>
      <c r="Z741" s="1"/>
      <c r="AA741" s="1" t="s">
        <v>40</v>
      </c>
      <c r="AB741" s="1" t="s">
        <v>338</v>
      </c>
      <c r="AC741" s="1"/>
    </row>
    <row r="742">
      <c r="A742" s="1" t="str">
        <f>"000803"</f>
        <v>000803</v>
      </c>
      <c r="B742" s="1" t="s">
        <v>3181</v>
      </c>
      <c r="C742" s="1" t="s">
        <v>3182</v>
      </c>
      <c r="D742" s="1"/>
      <c r="E742" s="1">
        <v>1412.0</v>
      </c>
      <c r="F742" s="1" t="s">
        <v>44</v>
      </c>
      <c r="G742" s="1" t="s">
        <v>3183</v>
      </c>
      <c r="H742" s="1"/>
      <c r="I742" s="1"/>
      <c r="J742" s="1"/>
      <c r="K742" s="1"/>
      <c r="L742" s="1"/>
      <c r="M742" s="1" t="s">
        <v>1641</v>
      </c>
      <c r="N742" s="1" t="s">
        <v>57</v>
      </c>
      <c r="O742" s="1" t="s">
        <v>201</v>
      </c>
      <c r="P742" s="1"/>
      <c r="Q742" s="3">
        <v>36892.0</v>
      </c>
      <c r="R742" s="1"/>
      <c r="S742" s="1"/>
      <c r="T742" s="1" t="s">
        <v>37</v>
      </c>
      <c r="U742" s="1"/>
      <c r="V742" s="1" t="s">
        <v>38</v>
      </c>
      <c r="W742" s="1"/>
      <c r="X742" s="1"/>
      <c r="Y742" s="1" t="s">
        <v>49</v>
      </c>
      <c r="Z742" s="1"/>
      <c r="AA742" s="1" t="s">
        <v>40</v>
      </c>
      <c r="AB742" s="1" t="s">
        <v>202</v>
      </c>
      <c r="AC742" s="1"/>
    </row>
    <row r="743">
      <c r="A743" s="1" t="str">
        <f>"000802"</f>
        <v>000802</v>
      </c>
      <c r="B743" s="1" t="s">
        <v>3184</v>
      </c>
      <c r="C743" s="1" t="s">
        <v>3185</v>
      </c>
      <c r="D743" s="1"/>
      <c r="E743" s="1">
        <v>1411.0</v>
      </c>
      <c r="F743" s="1" t="s">
        <v>44</v>
      </c>
      <c r="G743" s="1" t="s">
        <v>3186</v>
      </c>
      <c r="H743" s="1">
        <v>2.0</v>
      </c>
      <c r="I743" s="1"/>
      <c r="J743" s="1"/>
      <c r="K743" s="1"/>
      <c r="L743" s="1"/>
      <c r="M743" s="1" t="s">
        <v>3187</v>
      </c>
      <c r="N743" s="1" t="s">
        <v>57</v>
      </c>
      <c r="O743" s="1" t="s">
        <v>201</v>
      </c>
      <c r="P743" s="1"/>
      <c r="Q743" s="3">
        <v>36892.0</v>
      </c>
      <c r="R743" s="1"/>
      <c r="S743" s="3">
        <v>32394.0</v>
      </c>
      <c r="T743" s="1" t="s">
        <v>37</v>
      </c>
      <c r="U743" s="1"/>
      <c r="V743" s="1" t="s">
        <v>38</v>
      </c>
      <c r="W743" s="1"/>
      <c r="X743" s="1"/>
      <c r="Y743" s="1" t="s">
        <v>49</v>
      </c>
      <c r="Z743" s="1"/>
      <c r="AA743" s="1" t="s">
        <v>40</v>
      </c>
      <c r="AB743" s="1" t="s">
        <v>202</v>
      </c>
      <c r="AC743" s="1"/>
    </row>
    <row r="744">
      <c r="A744" s="1" t="str">
        <f>"000801"</f>
        <v>000801</v>
      </c>
      <c r="B744" s="1" t="s">
        <v>3188</v>
      </c>
      <c r="C744" s="1" t="s">
        <v>3189</v>
      </c>
      <c r="D744" s="1" t="str">
        <f>"8028753073"</f>
        <v>8028753073</v>
      </c>
      <c r="E744" s="1">
        <v>3674.0</v>
      </c>
      <c r="F744" s="1" t="s">
        <v>44</v>
      </c>
      <c r="G744" s="1" t="s">
        <v>3190</v>
      </c>
      <c r="H744" s="1">
        <v>10.0</v>
      </c>
      <c r="I744" s="1"/>
      <c r="J744" s="1"/>
      <c r="K744" s="1"/>
      <c r="L744" s="1"/>
      <c r="M744" s="1" t="s">
        <v>72</v>
      </c>
      <c r="N744" s="1" t="s">
        <v>34</v>
      </c>
      <c r="O744" s="1" t="s">
        <v>565</v>
      </c>
      <c r="P744" s="1"/>
      <c r="Q744" s="3">
        <v>36892.0</v>
      </c>
      <c r="R744" s="1"/>
      <c r="S744" s="3">
        <v>39289.0</v>
      </c>
      <c r="T744" s="1" t="s">
        <v>37</v>
      </c>
      <c r="U744" s="1"/>
      <c r="V744" s="1" t="s">
        <v>38</v>
      </c>
      <c r="W744" s="1">
        <v>43.3493369077604</v>
      </c>
      <c r="X744" s="1">
        <v>-72.6365509629249</v>
      </c>
      <c r="Y744" s="1" t="s">
        <v>3191</v>
      </c>
      <c r="Z744" s="1"/>
      <c r="AA744" s="1" t="s">
        <v>40</v>
      </c>
      <c r="AB744" s="1" t="s">
        <v>566</v>
      </c>
      <c r="AC744" s="1">
        <v>5143.0</v>
      </c>
    </row>
    <row r="745">
      <c r="A745" s="1" t="str">
        <f>"0007ZZ"</f>
        <v>0007ZZ</v>
      </c>
      <c r="B745" s="1" t="s">
        <v>3192</v>
      </c>
      <c r="C745" s="1" t="s">
        <v>3193</v>
      </c>
      <c r="D745" s="1" t="str">
        <f>"8028754916"</f>
        <v>8028754916</v>
      </c>
      <c r="E745" s="1">
        <v>3675.0</v>
      </c>
      <c r="F745" s="1" t="s">
        <v>44</v>
      </c>
      <c r="G745" s="1" t="s">
        <v>3194</v>
      </c>
      <c r="H745" s="1"/>
      <c r="I745" s="1"/>
      <c r="J745" s="1"/>
      <c r="K745" s="1"/>
      <c r="L745" s="1"/>
      <c r="M745" s="1" t="s">
        <v>72</v>
      </c>
      <c r="N745" s="1" t="s">
        <v>34</v>
      </c>
      <c r="O745" s="1" t="s">
        <v>565</v>
      </c>
      <c r="P745" s="1"/>
      <c r="Q745" s="3">
        <v>36892.0</v>
      </c>
      <c r="R745" s="1"/>
      <c r="S745" s="1"/>
      <c r="T745" s="1" t="s">
        <v>37</v>
      </c>
      <c r="U745" s="1"/>
      <c r="V745" s="1" t="s">
        <v>38</v>
      </c>
      <c r="W745" s="1"/>
      <c r="X745" s="1"/>
      <c r="Y745" s="1" t="s">
        <v>49</v>
      </c>
      <c r="Z745" s="1"/>
      <c r="AA745" s="1" t="s">
        <v>40</v>
      </c>
      <c r="AB745" s="1" t="s">
        <v>566</v>
      </c>
      <c r="AC745" s="1"/>
    </row>
    <row r="746">
      <c r="A746" s="1" t="str">
        <f>"000800"</f>
        <v>000800</v>
      </c>
      <c r="B746" s="1" t="s">
        <v>3195</v>
      </c>
      <c r="C746" s="1" t="s">
        <v>3196</v>
      </c>
      <c r="D746" s="1" t="str">
        <f>"8028934127"</f>
        <v>8028934127</v>
      </c>
      <c r="E746" s="1">
        <v>1406.0</v>
      </c>
      <c r="F746" s="1" t="s">
        <v>44</v>
      </c>
      <c r="G746" s="1" t="s">
        <v>3197</v>
      </c>
      <c r="H746" s="1">
        <v>11.0</v>
      </c>
      <c r="I746" s="1"/>
      <c r="J746" s="1"/>
      <c r="K746" s="1"/>
      <c r="L746" s="1"/>
      <c r="M746" s="1" t="s">
        <v>3198</v>
      </c>
      <c r="N746" s="1" t="s">
        <v>57</v>
      </c>
      <c r="O746" s="1" t="s">
        <v>256</v>
      </c>
      <c r="P746" s="1"/>
      <c r="Q746" s="3">
        <v>36892.0</v>
      </c>
      <c r="R746" s="1"/>
      <c r="S746" s="3">
        <v>37789.0</v>
      </c>
      <c r="T746" s="1" t="s">
        <v>37</v>
      </c>
      <c r="U746" s="1"/>
      <c r="V746" s="1" t="s">
        <v>38</v>
      </c>
      <c r="W746" s="1"/>
      <c r="X746" s="1"/>
      <c r="Y746" s="1" t="s">
        <v>49</v>
      </c>
      <c r="Z746" s="1"/>
      <c r="AA746" s="1" t="s">
        <v>40</v>
      </c>
      <c r="AB746" s="1" t="s">
        <v>257</v>
      </c>
      <c r="AC746" s="1"/>
    </row>
    <row r="747">
      <c r="A747" s="1" t="str">
        <f>"0007ZP"</f>
        <v>0007ZP</v>
      </c>
      <c r="B747" s="1" t="s">
        <v>3199</v>
      </c>
      <c r="C747" s="1" t="s">
        <v>3200</v>
      </c>
      <c r="D747" s="1" t="str">
        <f>"8022545745"</f>
        <v>8022545745</v>
      </c>
      <c r="E747" s="1">
        <v>2619.0</v>
      </c>
      <c r="F747" s="1" t="s">
        <v>44</v>
      </c>
      <c r="G747" s="1" t="s">
        <v>3201</v>
      </c>
      <c r="H747" s="1">
        <v>1.0</v>
      </c>
      <c r="I747" s="1"/>
      <c r="J747" s="1"/>
      <c r="K747" s="1"/>
      <c r="L747" s="1"/>
      <c r="M747" s="1" t="s">
        <v>72</v>
      </c>
      <c r="N747" s="1" t="s">
        <v>66</v>
      </c>
      <c r="O747" s="1" t="s">
        <v>1136</v>
      </c>
      <c r="P747" s="1"/>
      <c r="Q747" s="3">
        <v>36892.0</v>
      </c>
      <c r="R747" s="1"/>
      <c r="S747" s="3">
        <v>32651.0</v>
      </c>
      <c r="T747" s="1" t="s">
        <v>37</v>
      </c>
      <c r="U747" s="1"/>
      <c r="V747" s="1" t="s">
        <v>38</v>
      </c>
      <c r="W747" s="1"/>
      <c r="X747" s="1"/>
      <c r="Y747" s="1" t="s">
        <v>49</v>
      </c>
      <c r="Z747" s="1"/>
      <c r="AA747" s="1" t="s">
        <v>40</v>
      </c>
      <c r="AB747" s="1" t="s">
        <v>1137</v>
      </c>
      <c r="AC747" s="1"/>
    </row>
    <row r="748">
      <c r="A748" s="1" t="str">
        <f>"0007ZY"</f>
        <v>0007ZY</v>
      </c>
      <c r="B748" s="1" t="s">
        <v>3202</v>
      </c>
      <c r="C748" s="1" t="s">
        <v>3203</v>
      </c>
      <c r="D748" s="1" t="str">
        <f>"8028936663"</f>
        <v>8028936663</v>
      </c>
      <c r="E748" s="1">
        <v>1404.0</v>
      </c>
      <c r="F748" s="1" t="s">
        <v>44</v>
      </c>
      <c r="G748" s="1" t="s">
        <v>3204</v>
      </c>
      <c r="H748" s="1">
        <v>1.0</v>
      </c>
      <c r="I748" s="1"/>
      <c r="J748" s="1"/>
      <c r="K748" s="1"/>
      <c r="L748" s="1"/>
      <c r="M748" s="1" t="s">
        <v>72</v>
      </c>
      <c r="N748" s="1" t="s">
        <v>57</v>
      </c>
      <c r="O748" s="1" t="s">
        <v>256</v>
      </c>
      <c r="P748" s="1"/>
      <c r="Q748" s="3">
        <v>36892.0</v>
      </c>
      <c r="R748" s="1"/>
      <c r="S748" s="3">
        <v>32645.0</v>
      </c>
      <c r="T748" s="1" t="s">
        <v>37</v>
      </c>
      <c r="U748" s="1"/>
      <c r="V748" s="1" t="s">
        <v>38</v>
      </c>
      <c r="W748" s="1"/>
      <c r="X748" s="1"/>
      <c r="Y748" s="1" t="s">
        <v>49</v>
      </c>
      <c r="Z748" s="1"/>
      <c r="AA748" s="1" t="s">
        <v>40</v>
      </c>
      <c r="AB748" s="1" t="s">
        <v>257</v>
      </c>
      <c r="AC748" s="1"/>
    </row>
    <row r="749">
      <c r="A749" s="1" t="str">
        <f>"0007ZX"</f>
        <v>0007ZX</v>
      </c>
      <c r="B749" s="1" t="s">
        <v>3205</v>
      </c>
      <c r="C749" s="1" t="s">
        <v>3206</v>
      </c>
      <c r="D749" s="1"/>
      <c r="E749" s="1">
        <v>1399.0</v>
      </c>
      <c r="F749" s="1" t="s">
        <v>44</v>
      </c>
      <c r="G749" s="1" t="s">
        <v>3207</v>
      </c>
      <c r="H749" s="1">
        <v>1.0</v>
      </c>
      <c r="I749" s="1"/>
      <c r="J749" s="1"/>
      <c r="K749" s="1"/>
      <c r="L749" s="1"/>
      <c r="M749" s="1" t="s">
        <v>72</v>
      </c>
      <c r="N749" s="1" t="s">
        <v>57</v>
      </c>
      <c r="O749" s="1" t="s">
        <v>256</v>
      </c>
      <c r="P749" s="1"/>
      <c r="Q749" s="3">
        <v>36892.0</v>
      </c>
      <c r="R749" s="1"/>
      <c r="S749" s="3">
        <v>34838.0</v>
      </c>
      <c r="T749" s="1" t="s">
        <v>37</v>
      </c>
      <c r="U749" s="1"/>
      <c r="V749" s="1" t="s">
        <v>38</v>
      </c>
      <c r="W749" s="1"/>
      <c r="X749" s="1"/>
      <c r="Y749" s="1" t="s">
        <v>49</v>
      </c>
      <c r="Z749" s="1"/>
      <c r="AA749" s="1" t="s">
        <v>40</v>
      </c>
      <c r="AB749" s="1" t="s">
        <v>257</v>
      </c>
      <c r="AC749" s="1"/>
    </row>
    <row r="750">
      <c r="A750" s="1" t="str">
        <f>"0007ZV"</f>
        <v>0007ZV</v>
      </c>
      <c r="B750" s="1" t="s">
        <v>3208</v>
      </c>
      <c r="C750" s="1" t="s">
        <v>3209</v>
      </c>
      <c r="D750" s="1" t="str">
        <f>"8028931398"</f>
        <v>8028931398</v>
      </c>
      <c r="E750" s="1">
        <v>1396.0</v>
      </c>
      <c r="F750" s="1" t="s">
        <v>44</v>
      </c>
      <c r="G750" s="1" t="s">
        <v>3210</v>
      </c>
      <c r="H750" s="1"/>
      <c r="I750" s="1"/>
      <c r="J750" s="1"/>
      <c r="K750" s="1"/>
      <c r="L750" s="1"/>
      <c r="M750" s="1" t="s">
        <v>3211</v>
      </c>
      <c r="N750" s="1" t="s">
        <v>57</v>
      </c>
      <c r="O750" s="1" t="s">
        <v>256</v>
      </c>
      <c r="P750" s="1"/>
      <c r="Q750" s="3">
        <v>36892.0</v>
      </c>
      <c r="R750" s="1"/>
      <c r="S750" s="1"/>
      <c r="T750" s="1" t="s">
        <v>37</v>
      </c>
      <c r="U750" s="1"/>
      <c r="V750" s="1" t="s">
        <v>38</v>
      </c>
      <c r="W750" s="1"/>
      <c r="X750" s="1"/>
      <c r="Y750" s="1" t="s">
        <v>49</v>
      </c>
      <c r="Z750" s="1"/>
      <c r="AA750" s="1" t="s">
        <v>40</v>
      </c>
      <c r="AB750" s="1" t="s">
        <v>257</v>
      </c>
      <c r="AC750" s="1"/>
    </row>
    <row r="751">
      <c r="A751" s="1" t="str">
        <f>"0007ZQ"</f>
        <v>0007ZQ</v>
      </c>
      <c r="B751" s="1" t="s">
        <v>1064</v>
      </c>
      <c r="C751" s="1" t="s">
        <v>1065</v>
      </c>
      <c r="D751" s="1" t="str">
        <f>"8022256051"</f>
        <v>8022256051</v>
      </c>
      <c r="E751" s="1">
        <v>1395.0</v>
      </c>
      <c r="F751" s="1" t="s">
        <v>117</v>
      </c>
      <c r="G751" s="1" t="s">
        <v>3212</v>
      </c>
      <c r="H751" s="1">
        <v>22.0</v>
      </c>
      <c r="I751" s="2" t="s">
        <v>119</v>
      </c>
      <c r="J751" s="2" t="s">
        <v>119</v>
      </c>
      <c r="K751" s="2" t="s">
        <v>119</v>
      </c>
      <c r="L751" s="1"/>
      <c r="M751" s="1" t="s">
        <v>3213</v>
      </c>
      <c r="N751" s="1" t="s">
        <v>57</v>
      </c>
      <c r="O751" s="1" t="s">
        <v>256</v>
      </c>
      <c r="P751" s="1"/>
      <c r="Q751" s="3">
        <v>36892.0</v>
      </c>
      <c r="R751" s="1"/>
      <c r="S751" s="1"/>
      <c r="T751" s="1" t="s">
        <v>37</v>
      </c>
      <c r="U751" s="1"/>
      <c r="V751" s="1" t="s">
        <v>38</v>
      </c>
      <c r="W751" s="1"/>
      <c r="X751" s="1"/>
      <c r="Y751" s="1" t="s">
        <v>3214</v>
      </c>
      <c r="Z751" s="1"/>
      <c r="AA751" s="1" t="s">
        <v>40</v>
      </c>
      <c r="AB751" s="1" t="s">
        <v>3215</v>
      </c>
      <c r="AC751" s="1">
        <v>0.0</v>
      </c>
    </row>
    <row r="752">
      <c r="A752" s="1" t="str">
        <f t="shared" ref="A752:A753" si="50">"0007ZN"</f>
        <v>0007ZN</v>
      </c>
      <c r="B752" s="1" t="s">
        <v>3216</v>
      </c>
      <c r="C752" s="1" t="s">
        <v>3217</v>
      </c>
      <c r="D752" s="1" t="str">
        <f t="shared" ref="D752:D753" si="51">"8028934083"</f>
        <v>8028934083</v>
      </c>
      <c r="E752" s="1">
        <v>1390.0</v>
      </c>
      <c r="F752" s="1" t="s">
        <v>44</v>
      </c>
      <c r="G752" s="1" t="s">
        <v>3218</v>
      </c>
      <c r="H752" s="1">
        <v>3.0</v>
      </c>
      <c r="I752" s="1"/>
      <c r="J752" s="1"/>
      <c r="K752" s="1"/>
      <c r="L752" s="1"/>
      <c r="M752" s="1" t="s">
        <v>3219</v>
      </c>
      <c r="N752" s="1" t="s">
        <v>57</v>
      </c>
      <c r="O752" s="1" t="s">
        <v>2092</v>
      </c>
      <c r="P752" s="1"/>
      <c r="Q752" s="3">
        <v>36892.0</v>
      </c>
      <c r="R752" s="1"/>
      <c r="S752" s="3">
        <v>32651.0</v>
      </c>
      <c r="T752" s="1" t="s">
        <v>37</v>
      </c>
      <c r="U752" s="1"/>
      <c r="V752" s="1" t="s">
        <v>38</v>
      </c>
      <c r="W752" s="1"/>
      <c r="X752" s="1"/>
      <c r="Y752" s="1" t="s">
        <v>49</v>
      </c>
      <c r="Z752" s="1"/>
      <c r="AA752" s="1" t="s">
        <v>40</v>
      </c>
      <c r="AB752" s="1" t="s">
        <v>2093</v>
      </c>
      <c r="AC752" s="1"/>
    </row>
    <row r="753">
      <c r="A753" s="1" t="str">
        <f t="shared" si="50"/>
        <v>0007ZN</v>
      </c>
      <c r="B753" s="1" t="s">
        <v>3216</v>
      </c>
      <c r="C753" s="1" t="s">
        <v>3217</v>
      </c>
      <c r="D753" s="1" t="str">
        <f t="shared" si="51"/>
        <v>8028934083</v>
      </c>
      <c r="E753" s="1">
        <v>1390.0</v>
      </c>
      <c r="F753" s="1" t="s">
        <v>44</v>
      </c>
      <c r="G753" s="1" t="s">
        <v>3220</v>
      </c>
      <c r="H753" s="1">
        <v>2.0</v>
      </c>
      <c r="I753" s="1"/>
      <c r="J753" s="1"/>
      <c r="K753" s="1"/>
      <c r="L753" s="1"/>
      <c r="M753" s="1" t="s">
        <v>33</v>
      </c>
      <c r="N753" s="1" t="s">
        <v>57</v>
      </c>
      <c r="O753" s="1" t="s">
        <v>256</v>
      </c>
      <c r="P753" s="1"/>
      <c r="Q753" s="3">
        <v>36892.0</v>
      </c>
      <c r="R753" s="1"/>
      <c r="S753" s="3">
        <v>32378.0</v>
      </c>
      <c r="T753" s="1" t="s">
        <v>37</v>
      </c>
      <c r="U753" s="1"/>
      <c r="V753" s="1" t="s">
        <v>38</v>
      </c>
      <c r="W753" s="1"/>
      <c r="X753" s="1"/>
      <c r="Y753" s="1" t="s">
        <v>49</v>
      </c>
      <c r="Z753" s="1"/>
      <c r="AA753" s="1" t="s">
        <v>40</v>
      </c>
      <c r="AB753" s="1" t="s">
        <v>257</v>
      </c>
      <c r="AC753" s="1"/>
    </row>
    <row r="754">
      <c r="A754" s="1" t="str">
        <f>"0007ZM"</f>
        <v>0007ZM</v>
      </c>
      <c r="B754" s="1" t="s">
        <v>3221</v>
      </c>
      <c r="C754" s="1" t="s">
        <v>3222</v>
      </c>
      <c r="D754" s="1" t="str">
        <f>"8028937589"</f>
        <v>8028937589</v>
      </c>
      <c r="E754" s="1">
        <v>1389.0</v>
      </c>
      <c r="F754" s="1" t="s">
        <v>44</v>
      </c>
      <c r="G754" s="1" t="s">
        <v>3223</v>
      </c>
      <c r="H754" s="1">
        <v>5.0</v>
      </c>
      <c r="I754" s="1"/>
      <c r="J754" s="1"/>
      <c r="K754" s="1"/>
      <c r="L754" s="1"/>
      <c r="M754" s="1" t="s">
        <v>72</v>
      </c>
      <c r="N754" s="1" t="s">
        <v>57</v>
      </c>
      <c r="O754" s="1" t="s">
        <v>256</v>
      </c>
      <c r="P754" s="1"/>
      <c r="Q754" s="3">
        <v>36892.0</v>
      </c>
      <c r="R754" s="1"/>
      <c r="S754" s="3">
        <v>32374.0</v>
      </c>
      <c r="T754" s="1" t="s">
        <v>37</v>
      </c>
      <c r="U754" s="1"/>
      <c r="V754" s="1" t="s">
        <v>38</v>
      </c>
      <c r="W754" s="1"/>
      <c r="X754" s="1"/>
      <c r="Y754" s="1" t="s">
        <v>49</v>
      </c>
      <c r="Z754" s="1"/>
      <c r="AA754" s="1" t="s">
        <v>40</v>
      </c>
      <c r="AB754" s="1" t="s">
        <v>257</v>
      </c>
      <c r="AC754" s="1"/>
    </row>
    <row r="755">
      <c r="A755" s="1" t="str">
        <f>"0007ZK"</f>
        <v>0007ZK</v>
      </c>
      <c r="B755" s="1" t="s">
        <v>3224</v>
      </c>
      <c r="C755" s="1" t="s">
        <v>3225</v>
      </c>
      <c r="D755" s="1" t="str">
        <f>"8028994781"</f>
        <v>8028994781</v>
      </c>
      <c r="E755" s="1">
        <v>1386.0</v>
      </c>
      <c r="F755" s="1" t="s">
        <v>44</v>
      </c>
      <c r="G755" s="1" t="s">
        <v>3226</v>
      </c>
      <c r="H755" s="1">
        <v>0.0</v>
      </c>
      <c r="I755" s="1"/>
      <c r="J755" s="1"/>
      <c r="K755" s="1"/>
      <c r="L755" s="1"/>
      <c r="M755" s="1" t="s">
        <v>72</v>
      </c>
      <c r="N755" s="1" t="s">
        <v>57</v>
      </c>
      <c r="O755" s="1" t="s">
        <v>745</v>
      </c>
      <c r="P755" s="1"/>
      <c r="Q755" s="3">
        <v>36892.0</v>
      </c>
      <c r="R755" s="1"/>
      <c r="S755" s="3">
        <v>41411.0</v>
      </c>
      <c r="T755" s="1" t="s">
        <v>37</v>
      </c>
      <c r="U755" s="1"/>
      <c r="V755" s="1" t="s">
        <v>38</v>
      </c>
      <c r="W755" s="1"/>
      <c r="X755" s="1"/>
      <c r="Y755" s="1" t="s">
        <v>49</v>
      </c>
      <c r="Z755" s="1"/>
      <c r="AA755" s="1" t="s">
        <v>40</v>
      </c>
      <c r="AB755" s="1" t="s">
        <v>746</v>
      </c>
      <c r="AC755" s="1"/>
    </row>
    <row r="756">
      <c r="A756" s="1" t="str">
        <f>"0007ZJ"</f>
        <v>0007ZJ</v>
      </c>
      <c r="B756" s="1" t="s">
        <v>3227</v>
      </c>
      <c r="C756" s="1" t="s">
        <v>3228</v>
      </c>
      <c r="D756" s="1" t="str">
        <f>"8028992355"</f>
        <v>8028992355</v>
      </c>
      <c r="E756" s="1">
        <v>1383.0</v>
      </c>
      <c r="F756" s="1" t="s">
        <v>44</v>
      </c>
      <c r="G756" s="1" t="s">
        <v>3229</v>
      </c>
      <c r="H756" s="1">
        <v>5.0</v>
      </c>
      <c r="I756" s="1"/>
      <c r="J756" s="1"/>
      <c r="K756" s="1"/>
      <c r="L756" s="1"/>
      <c r="M756" s="1" t="s">
        <v>3230</v>
      </c>
      <c r="N756" s="1" t="s">
        <v>57</v>
      </c>
      <c r="O756" s="1" t="s">
        <v>745</v>
      </c>
      <c r="P756" s="1"/>
      <c r="Q756" s="3">
        <v>36892.0</v>
      </c>
      <c r="R756" s="1"/>
      <c r="S756" s="3">
        <v>32737.0</v>
      </c>
      <c r="T756" s="1" t="s">
        <v>37</v>
      </c>
      <c r="U756" s="1"/>
      <c r="V756" s="1" t="s">
        <v>38</v>
      </c>
      <c r="W756" s="1"/>
      <c r="X756" s="1"/>
      <c r="Y756" s="1" t="s">
        <v>49</v>
      </c>
      <c r="Z756" s="1"/>
      <c r="AA756" s="1" t="s">
        <v>40</v>
      </c>
      <c r="AB756" s="1" t="s">
        <v>746</v>
      </c>
      <c r="AC756" s="1"/>
    </row>
    <row r="757">
      <c r="A757" s="1" t="str">
        <f>"00084P"</f>
        <v>00084P</v>
      </c>
      <c r="B757" s="1" t="s">
        <v>3231</v>
      </c>
      <c r="C757" s="1" t="s">
        <v>3232</v>
      </c>
      <c r="D757" s="1"/>
      <c r="E757" s="1">
        <v>2377.0</v>
      </c>
      <c r="F757" s="1" t="s">
        <v>44</v>
      </c>
      <c r="G757" s="1" t="s">
        <v>3233</v>
      </c>
      <c r="H757" s="1"/>
      <c r="I757" s="1"/>
      <c r="J757" s="1"/>
      <c r="K757" s="1"/>
      <c r="L757" s="1"/>
      <c r="M757" s="1" t="s">
        <v>72</v>
      </c>
      <c r="N757" s="1" t="s">
        <v>94</v>
      </c>
      <c r="O757" s="1" t="s">
        <v>489</v>
      </c>
      <c r="P757" s="1"/>
      <c r="Q757" s="3">
        <v>36892.0</v>
      </c>
      <c r="R757" s="1"/>
      <c r="S757" s="1"/>
      <c r="T757" s="1" t="s">
        <v>37</v>
      </c>
      <c r="U757" s="1"/>
      <c r="V757" s="1" t="s">
        <v>38</v>
      </c>
      <c r="W757" s="1"/>
      <c r="X757" s="1"/>
      <c r="Y757" s="1" t="s">
        <v>49</v>
      </c>
      <c r="Z757" s="1"/>
      <c r="AA757" s="1" t="s">
        <v>40</v>
      </c>
      <c r="AB757" s="1" t="s">
        <v>490</v>
      </c>
      <c r="AC757" s="1"/>
    </row>
    <row r="758">
      <c r="A758" s="1" t="str">
        <f>"0007ZG"</f>
        <v>0007ZG</v>
      </c>
      <c r="B758" s="1" t="s">
        <v>3234</v>
      </c>
      <c r="C758" s="1" t="s">
        <v>3235</v>
      </c>
      <c r="D758" s="1" t="str">
        <f>"8024263822"</f>
        <v>8024263822</v>
      </c>
      <c r="E758" s="1">
        <v>3129.0</v>
      </c>
      <c r="F758" s="1" t="s">
        <v>44</v>
      </c>
      <c r="G758" s="1" t="s">
        <v>3236</v>
      </c>
      <c r="H758" s="1">
        <v>2.0</v>
      </c>
      <c r="I758" s="1"/>
      <c r="J758" s="1"/>
      <c r="K758" s="1"/>
      <c r="L758" s="1"/>
      <c r="M758" s="1" t="s">
        <v>72</v>
      </c>
      <c r="N758" s="1" t="s">
        <v>135</v>
      </c>
      <c r="O758" s="1" t="s">
        <v>1073</v>
      </c>
      <c r="P758" s="1"/>
      <c r="Q758" s="3">
        <v>36892.0</v>
      </c>
      <c r="R758" s="1"/>
      <c r="S758" s="3">
        <v>36285.0</v>
      </c>
      <c r="T758" s="1" t="s">
        <v>37</v>
      </c>
      <c r="U758" s="1"/>
      <c r="V758" s="1" t="s">
        <v>38</v>
      </c>
      <c r="W758" s="1"/>
      <c r="X758" s="1"/>
      <c r="Y758" s="1" t="s">
        <v>49</v>
      </c>
      <c r="Z758" s="1"/>
      <c r="AA758" s="1" t="s">
        <v>40</v>
      </c>
      <c r="AB758" s="1" t="s">
        <v>1075</v>
      </c>
      <c r="AC758" s="1"/>
    </row>
    <row r="759">
      <c r="A759" s="1" t="str">
        <f>"0007ZF"</f>
        <v>0007ZF</v>
      </c>
      <c r="B759" s="1" t="s">
        <v>2652</v>
      </c>
      <c r="C759" s="1" t="s">
        <v>2653</v>
      </c>
      <c r="D759" s="1" t="str">
        <f>"8028993253"</f>
        <v>8028993253</v>
      </c>
      <c r="E759" s="1">
        <v>1376.0</v>
      </c>
      <c r="F759" s="1" t="s">
        <v>44</v>
      </c>
      <c r="G759" s="1" t="s">
        <v>3237</v>
      </c>
      <c r="H759" s="1">
        <v>3.0</v>
      </c>
      <c r="I759" s="1"/>
      <c r="J759" s="1"/>
      <c r="K759" s="1"/>
      <c r="L759" s="1"/>
      <c r="M759" s="1" t="s">
        <v>72</v>
      </c>
      <c r="N759" s="1" t="s">
        <v>57</v>
      </c>
      <c r="O759" s="1" t="s">
        <v>745</v>
      </c>
      <c r="P759" s="1"/>
      <c r="Q759" s="3">
        <v>36892.0</v>
      </c>
      <c r="R759" s="1"/>
      <c r="S759" s="3">
        <v>35237.0</v>
      </c>
      <c r="T759" s="1" t="s">
        <v>37</v>
      </c>
      <c r="U759" s="1"/>
      <c r="V759" s="1" t="s">
        <v>38</v>
      </c>
      <c r="W759" s="1"/>
      <c r="X759" s="1"/>
      <c r="Y759" s="1" t="s">
        <v>49</v>
      </c>
      <c r="Z759" s="1"/>
      <c r="AA759" s="1" t="s">
        <v>40</v>
      </c>
      <c r="AB759" s="1" t="s">
        <v>746</v>
      </c>
      <c r="AC759" s="1"/>
    </row>
    <row r="760">
      <c r="A760" s="1" t="str">
        <f>"0007ZD"</f>
        <v>0007ZD</v>
      </c>
      <c r="B760" s="1" t="s">
        <v>3238</v>
      </c>
      <c r="C760" s="1" t="s">
        <v>3239</v>
      </c>
      <c r="D760" s="1" t="str">
        <f>"8025258833"</f>
        <v>8025258833</v>
      </c>
      <c r="E760" s="1">
        <v>2916.0</v>
      </c>
      <c r="F760" s="1" t="s">
        <v>44</v>
      </c>
      <c r="G760" s="1" t="s">
        <v>3240</v>
      </c>
      <c r="H760" s="1"/>
      <c r="I760" s="1"/>
      <c r="J760" s="1"/>
      <c r="K760" s="1"/>
      <c r="L760" s="1"/>
      <c r="M760" s="1" t="s">
        <v>72</v>
      </c>
      <c r="N760" s="1" t="s">
        <v>94</v>
      </c>
      <c r="O760" s="1" t="s">
        <v>992</v>
      </c>
      <c r="P760" s="1"/>
      <c r="Q760" s="3">
        <v>36892.0</v>
      </c>
      <c r="R760" s="1"/>
      <c r="S760" s="1"/>
      <c r="T760" s="1" t="s">
        <v>37</v>
      </c>
      <c r="U760" s="1"/>
      <c r="V760" s="1" t="s">
        <v>38</v>
      </c>
      <c r="W760" s="1"/>
      <c r="X760" s="1"/>
      <c r="Y760" s="1" t="s">
        <v>49</v>
      </c>
      <c r="Z760" s="1"/>
      <c r="AA760" s="1" t="s">
        <v>40</v>
      </c>
      <c r="AB760" s="1" t="s">
        <v>994</v>
      </c>
      <c r="AC760" s="1"/>
    </row>
    <row r="761">
      <c r="A761" s="1" t="str">
        <f>"0007GW"</f>
        <v>0007GW</v>
      </c>
      <c r="B761" s="1" t="s">
        <v>1365</v>
      </c>
      <c r="C761" s="1" t="s">
        <v>1366</v>
      </c>
      <c r="D761" s="1" t="str">
        <f>"8022352203"</f>
        <v>8022352203</v>
      </c>
      <c r="E761" s="1">
        <v>2937.0</v>
      </c>
      <c r="F761" s="1" t="s">
        <v>44</v>
      </c>
      <c r="G761" s="1" t="s">
        <v>3241</v>
      </c>
      <c r="H761" s="1">
        <v>2.0</v>
      </c>
      <c r="I761" s="2" t="s">
        <v>119</v>
      </c>
      <c r="J761" s="2" t="s">
        <v>119</v>
      </c>
      <c r="K761" s="2" t="s">
        <v>119</v>
      </c>
      <c r="L761" s="1"/>
      <c r="M761" s="1">
        <v>2.0</v>
      </c>
      <c r="N761" s="1"/>
      <c r="O761" s="1"/>
      <c r="P761" s="1" t="s">
        <v>3242</v>
      </c>
      <c r="Q761" s="3">
        <v>36892.0</v>
      </c>
      <c r="R761" s="1"/>
      <c r="S761" s="3">
        <v>38540.0</v>
      </c>
      <c r="T761" s="1" t="s">
        <v>37</v>
      </c>
      <c r="U761" s="1"/>
      <c r="V761" s="1" t="s">
        <v>38</v>
      </c>
      <c r="W761" s="1">
        <v>40.6184543</v>
      </c>
      <c r="X761" s="1">
        <v>-75.3861443</v>
      </c>
      <c r="Y761" s="1" t="s">
        <v>3243</v>
      </c>
      <c r="Z761" s="1"/>
      <c r="AA761" s="1" t="s">
        <v>3244</v>
      </c>
      <c r="AB761" s="1" t="s">
        <v>421</v>
      </c>
      <c r="AC761" s="1">
        <v>18018.0</v>
      </c>
    </row>
    <row r="762">
      <c r="A762" s="1" t="str">
        <f>"00083H"</f>
        <v>00083H</v>
      </c>
      <c r="B762" s="1" t="s">
        <v>3245</v>
      </c>
      <c r="C762" s="1" t="s">
        <v>3246</v>
      </c>
      <c r="D762" s="1" t="str">
        <f>"8028782895"</f>
        <v>8028782895</v>
      </c>
      <c r="E762" s="1">
        <v>3062.0</v>
      </c>
      <c r="F762" s="1" t="s">
        <v>44</v>
      </c>
      <c r="G762" s="1" t="s">
        <v>3247</v>
      </c>
      <c r="H762" s="1">
        <v>12.0</v>
      </c>
      <c r="I762" s="1"/>
      <c r="J762" s="1"/>
      <c r="K762" s="1"/>
      <c r="L762" s="1"/>
      <c r="M762" s="1" t="s">
        <v>3248</v>
      </c>
      <c r="N762" s="1" t="s">
        <v>57</v>
      </c>
      <c r="O762" s="1" t="s">
        <v>2092</v>
      </c>
      <c r="P762" s="1"/>
      <c r="Q762" s="3">
        <v>36892.0</v>
      </c>
      <c r="R762" s="1"/>
      <c r="S762" s="3">
        <v>40057.0</v>
      </c>
      <c r="T762" s="1" t="s">
        <v>37</v>
      </c>
      <c r="U762" s="1"/>
      <c r="V762" s="1" t="s">
        <v>38</v>
      </c>
      <c r="W762" s="1"/>
      <c r="X762" s="1"/>
      <c r="Y762" s="1" t="s">
        <v>49</v>
      </c>
      <c r="Z762" s="1"/>
      <c r="AA762" s="1" t="s">
        <v>40</v>
      </c>
      <c r="AB762" s="1" t="s">
        <v>2093</v>
      </c>
      <c r="AC762" s="1"/>
    </row>
    <row r="763">
      <c r="A763" s="1" t="str">
        <f>"0007Z9"</f>
        <v>0007Z9</v>
      </c>
      <c r="B763" s="1" t="s">
        <v>3249</v>
      </c>
      <c r="C763" s="1" t="s">
        <v>3250</v>
      </c>
      <c r="D763" s="1" t="str">
        <f>"8028882884"</f>
        <v>8028882884</v>
      </c>
      <c r="E763" s="1">
        <v>4043.0</v>
      </c>
      <c r="F763" s="1" t="s">
        <v>31</v>
      </c>
      <c r="G763" s="1" t="s">
        <v>3251</v>
      </c>
      <c r="H763" s="1">
        <v>2.0</v>
      </c>
      <c r="I763" s="1"/>
      <c r="J763" s="1"/>
      <c r="K763" s="1"/>
      <c r="L763" s="1"/>
      <c r="M763" s="1" t="s">
        <v>72</v>
      </c>
      <c r="N763" s="1" t="s">
        <v>213</v>
      </c>
      <c r="O763" s="1" t="s">
        <v>625</v>
      </c>
      <c r="P763" s="1" t="s">
        <v>3252</v>
      </c>
      <c r="Q763" s="3">
        <v>36892.0</v>
      </c>
      <c r="R763" s="1"/>
      <c r="S763" s="1"/>
      <c r="T763" s="1" t="s">
        <v>37</v>
      </c>
      <c r="U763" s="1"/>
      <c r="V763" s="1" t="s">
        <v>38</v>
      </c>
      <c r="W763" s="1">
        <v>44.580784</v>
      </c>
      <c r="X763" s="1">
        <v>-72.5871129999999</v>
      </c>
      <c r="Y763" s="1" t="s">
        <v>3253</v>
      </c>
      <c r="Z763" s="1"/>
      <c r="AA763" s="1" t="s">
        <v>40</v>
      </c>
      <c r="AB763" s="1" t="s">
        <v>626</v>
      </c>
      <c r="AC763" s="1">
        <v>5655.0</v>
      </c>
    </row>
    <row r="764">
      <c r="A764" s="1" t="str">
        <f>"0007Z8"</f>
        <v>0007Z8</v>
      </c>
      <c r="B764" s="1" t="s">
        <v>3254</v>
      </c>
      <c r="C764" s="1" t="s">
        <v>3255</v>
      </c>
      <c r="D764" s="1" t="str">
        <f>"8024343629"</f>
        <v>8024343629</v>
      </c>
      <c r="E764" s="1">
        <v>1366.0</v>
      </c>
      <c r="F764" s="1" t="s">
        <v>44</v>
      </c>
      <c r="G764" s="1" t="s">
        <v>3256</v>
      </c>
      <c r="H764" s="1"/>
      <c r="I764" s="1"/>
      <c r="J764" s="1"/>
      <c r="K764" s="1"/>
      <c r="L764" s="1"/>
      <c r="M764" s="1" t="s">
        <v>3257</v>
      </c>
      <c r="N764" s="1" t="s">
        <v>57</v>
      </c>
      <c r="O764" s="1" t="s">
        <v>313</v>
      </c>
      <c r="P764" s="1"/>
      <c r="Q764" s="3">
        <v>36892.0</v>
      </c>
      <c r="R764" s="1"/>
      <c r="S764" s="1"/>
      <c r="T764" s="1" t="s">
        <v>37</v>
      </c>
      <c r="U764" s="1"/>
      <c r="V764" s="1" t="s">
        <v>38</v>
      </c>
      <c r="W764" s="1"/>
      <c r="X764" s="1"/>
      <c r="Y764" s="1" t="s">
        <v>49</v>
      </c>
      <c r="Z764" s="1"/>
      <c r="AA764" s="1" t="s">
        <v>40</v>
      </c>
      <c r="AB764" s="1" t="s">
        <v>314</v>
      </c>
      <c r="AC764" s="1"/>
    </row>
    <row r="765">
      <c r="A765" s="1" t="str">
        <f>"0007Z7"</f>
        <v>0007Z7</v>
      </c>
      <c r="B765" s="1" t="s">
        <v>3258</v>
      </c>
      <c r="C765" s="1" t="s">
        <v>3259</v>
      </c>
      <c r="D765" s="1" t="str">
        <f>"8024342033"</f>
        <v>8024342033</v>
      </c>
      <c r="E765" s="1">
        <v>1365.0</v>
      </c>
      <c r="F765" s="1" t="s">
        <v>44</v>
      </c>
      <c r="G765" s="1" t="s">
        <v>3260</v>
      </c>
      <c r="H765" s="1">
        <v>3.0</v>
      </c>
      <c r="I765" s="1"/>
      <c r="J765" s="1"/>
      <c r="K765" s="1"/>
      <c r="L765" s="1"/>
      <c r="M765" s="1" t="s">
        <v>3261</v>
      </c>
      <c r="N765" s="1" t="s">
        <v>57</v>
      </c>
      <c r="O765" s="1" t="s">
        <v>313</v>
      </c>
      <c r="P765" s="1"/>
      <c r="Q765" s="3">
        <v>36892.0</v>
      </c>
      <c r="R765" s="1"/>
      <c r="S765" s="3">
        <v>37452.0</v>
      </c>
      <c r="T765" s="1" t="s">
        <v>37</v>
      </c>
      <c r="U765" s="1"/>
      <c r="V765" s="1" t="s">
        <v>38</v>
      </c>
      <c r="W765" s="1"/>
      <c r="X765" s="1"/>
      <c r="Y765" s="1" t="s">
        <v>49</v>
      </c>
      <c r="Z765" s="1"/>
      <c r="AA765" s="1" t="s">
        <v>40</v>
      </c>
      <c r="AB765" s="1" t="s">
        <v>314</v>
      </c>
      <c r="AC765" s="1"/>
    </row>
    <row r="766">
      <c r="A766" s="1" t="str">
        <f>"0008W4"</f>
        <v>0008W4</v>
      </c>
      <c r="B766" s="1" t="s">
        <v>3262</v>
      </c>
      <c r="C766" s="1" t="s">
        <v>3263</v>
      </c>
      <c r="D766" s="1" t="str">
        <f>"8025245526"</f>
        <v>8025245526</v>
      </c>
      <c r="E766" s="1">
        <v>3373.0</v>
      </c>
      <c r="F766" s="1" t="s">
        <v>44</v>
      </c>
      <c r="G766" s="1" t="s">
        <v>3264</v>
      </c>
      <c r="H766" s="1">
        <v>1.0</v>
      </c>
      <c r="I766" s="1"/>
      <c r="J766" s="1"/>
      <c r="K766" s="1"/>
      <c r="L766" s="1"/>
      <c r="M766" s="1" t="s">
        <v>72</v>
      </c>
      <c r="N766" s="1" t="s">
        <v>47</v>
      </c>
      <c r="O766" s="1" t="s">
        <v>2753</v>
      </c>
      <c r="P766" s="1"/>
      <c r="Q766" s="3">
        <v>36892.0</v>
      </c>
      <c r="R766" s="1"/>
      <c r="S766" s="3">
        <v>39979.0</v>
      </c>
      <c r="T766" s="1" t="s">
        <v>37</v>
      </c>
      <c r="U766" s="1"/>
      <c r="V766" s="1" t="s">
        <v>38</v>
      </c>
      <c r="W766" s="1"/>
      <c r="X766" s="1"/>
      <c r="Y766" s="1" t="s">
        <v>49</v>
      </c>
      <c r="Z766" s="1"/>
      <c r="AA766" s="1" t="s">
        <v>40</v>
      </c>
      <c r="AB766" s="1" t="s">
        <v>2756</v>
      </c>
      <c r="AC766" s="1"/>
    </row>
    <row r="767">
      <c r="A767" s="1" t="str">
        <f>"00089Q"</f>
        <v>00089Q</v>
      </c>
      <c r="B767" s="1" t="s">
        <v>3265</v>
      </c>
      <c r="C767" s="1" t="s">
        <v>3266</v>
      </c>
      <c r="D767" s="1" t="str">
        <f>"8026334872"</f>
        <v>8026334872</v>
      </c>
      <c r="E767" s="1">
        <v>2833.0</v>
      </c>
      <c r="F767" s="1" t="s">
        <v>44</v>
      </c>
      <c r="G767" s="1" t="s">
        <v>3267</v>
      </c>
      <c r="H767" s="1">
        <v>7.0</v>
      </c>
      <c r="I767" s="1"/>
      <c r="J767" s="1"/>
      <c r="K767" s="1"/>
      <c r="L767" s="1"/>
      <c r="M767" s="1" t="s">
        <v>72</v>
      </c>
      <c r="N767" s="1" t="s">
        <v>128</v>
      </c>
      <c r="O767" s="1" t="s">
        <v>1048</v>
      </c>
      <c r="P767" s="1"/>
      <c r="Q767" s="3">
        <v>36892.0</v>
      </c>
      <c r="R767" s="1"/>
      <c r="S767" s="3">
        <v>35180.0</v>
      </c>
      <c r="T767" s="1" t="s">
        <v>37</v>
      </c>
      <c r="U767" s="1"/>
      <c r="V767" s="1" t="s">
        <v>38</v>
      </c>
      <c r="W767" s="1"/>
      <c r="X767" s="1"/>
      <c r="Y767" s="1" t="s">
        <v>49</v>
      </c>
      <c r="Z767" s="1"/>
      <c r="AA767" s="1" t="s">
        <v>40</v>
      </c>
      <c r="AB767" s="1" t="s">
        <v>1049</v>
      </c>
      <c r="AC767" s="1"/>
    </row>
    <row r="768">
      <c r="A768" s="1" t="str">
        <f>"0007CX"</f>
        <v>0007CX</v>
      </c>
      <c r="B768" s="1" t="s">
        <v>3268</v>
      </c>
      <c r="C768" s="1" t="s">
        <v>3269</v>
      </c>
      <c r="D768" s="1" t="str">
        <f>"8022856819"</f>
        <v>8022856819</v>
      </c>
      <c r="E768" s="1">
        <v>3124.0</v>
      </c>
      <c r="F768" s="1" t="s">
        <v>44</v>
      </c>
      <c r="G768" s="1" t="s">
        <v>3270</v>
      </c>
      <c r="H768" s="1">
        <v>11.0</v>
      </c>
      <c r="I768" s="1"/>
      <c r="J768" s="1"/>
      <c r="K768" s="1"/>
      <c r="L768" s="1"/>
      <c r="M768" s="1" t="s">
        <v>33</v>
      </c>
      <c r="N768" s="1" t="s">
        <v>47</v>
      </c>
      <c r="O768" s="1" t="s">
        <v>2319</v>
      </c>
      <c r="P768" s="1" t="s">
        <v>36</v>
      </c>
      <c r="Q768" s="3">
        <v>36892.0</v>
      </c>
      <c r="R768" s="1"/>
      <c r="S768" s="3">
        <v>38601.0</v>
      </c>
      <c r="T768" s="1" t="s">
        <v>37</v>
      </c>
      <c r="U768" s="1"/>
      <c r="V768" s="1" t="s">
        <v>38</v>
      </c>
      <c r="W768" s="1">
        <v>44.995281</v>
      </c>
      <c r="X768" s="1">
        <v>-72.86013</v>
      </c>
      <c r="Y768" s="1" t="s">
        <v>3271</v>
      </c>
      <c r="Z768" s="1"/>
      <c r="AA768" s="1" t="s">
        <v>40</v>
      </c>
      <c r="AB768" s="1" t="s">
        <v>47</v>
      </c>
      <c r="AC768" s="1">
        <v>5457.0</v>
      </c>
    </row>
    <row r="769">
      <c r="A769" s="1" t="str">
        <f>"00070H"</f>
        <v>00070H</v>
      </c>
      <c r="B769" s="1" t="s">
        <v>3272</v>
      </c>
      <c r="C769" s="1" t="s">
        <v>3273</v>
      </c>
      <c r="D769" s="1" t="str">
        <f>"8024969250"</f>
        <v>8024969250</v>
      </c>
      <c r="E769" s="1">
        <v>3433.0</v>
      </c>
      <c r="F769" s="1" t="s">
        <v>117</v>
      </c>
      <c r="G769" s="1" t="s">
        <v>3274</v>
      </c>
      <c r="H769" s="1">
        <v>10.0</v>
      </c>
      <c r="I769" s="2" t="s">
        <v>119</v>
      </c>
      <c r="J769" s="2">
        <v>9.0</v>
      </c>
      <c r="K769" s="4">
        <v>42861.0</v>
      </c>
      <c r="L769" s="1"/>
      <c r="M769" s="1" t="s">
        <v>3275</v>
      </c>
      <c r="N769" s="1" t="s">
        <v>135</v>
      </c>
      <c r="O769" s="1" t="s">
        <v>440</v>
      </c>
      <c r="P769" s="1" t="s">
        <v>3272</v>
      </c>
      <c r="Q769" s="3">
        <v>36892.0</v>
      </c>
      <c r="R769" s="1"/>
      <c r="S769" s="3">
        <v>40584.0</v>
      </c>
      <c r="T769" s="1" t="s">
        <v>37</v>
      </c>
      <c r="U769" s="1"/>
      <c r="V769" s="1" t="s">
        <v>38</v>
      </c>
      <c r="W769" s="1">
        <v>44.167912</v>
      </c>
      <c r="X769" s="1">
        <v>-72.802116</v>
      </c>
      <c r="Y769" s="1" t="s">
        <v>3276</v>
      </c>
      <c r="Z769" s="1"/>
      <c r="AA769" s="1" t="s">
        <v>40</v>
      </c>
      <c r="AB769" s="1" t="s">
        <v>441</v>
      </c>
      <c r="AC769" s="1">
        <v>5673.0</v>
      </c>
    </row>
    <row r="770">
      <c r="A770" s="1" t="str">
        <f>"0007Z1"</f>
        <v>0007Z1</v>
      </c>
      <c r="B770" s="1" t="s">
        <v>3277</v>
      </c>
      <c r="C770" s="1" t="s">
        <v>3278</v>
      </c>
      <c r="D770" s="1" t="str">
        <f>"8024822356"</f>
        <v>8024822356</v>
      </c>
      <c r="E770" s="1">
        <v>1354.0</v>
      </c>
      <c r="F770" s="1" t="s">
        <v>44</v>
      </c>
      <c r="G770" s="1" t="s">
        <v>3279</v>
      </c>
      <c r="H770" s="1">
        <v>4.0</v>
      </c>
      <c r="I770" s="1"/>
      <c r="J770" s="1"/>
      <c r="K770" s="1"/>
      <c r="L770" s="1"/>
      <c r="M770" s="1" t="s">
        <v>72</v>
      </c>
      <c r="N770" s="1" t="s">
        <v>57</v>
      </c>
      <c r="O770" s="1" t="s">
        <v>204</v>
      </c>
      <c r="P770" s="1"/>
      <c r="Q770" s="3">
        <v>36892.0</v>
      </c>
      <c r="R770" s="1"/>
      <c r="S770" s="3">
        <v>32710.0</v>
      </c>
      <c r="T770" s="1" t="s">
        <v>37</v>
      </c>
      <c r="U770" s="1"/>
      <c r="V770" s="1" t="s">
        <v>38</v>
      </c>
      <c r="W770" s="1"/>
      <c r="X770" s="1"/>
      <c r="Y770" s="1" t="s">
        <v>49</v>
      </c>
      <c r="Z770" s="1"/>
      <c r="AA770" s="1" t="s">
        <v>40</v>
      </c>
      <c r="AB770" s="1" t="s">
        <v>205</v>
      </c>
      <c r="AC770" s="1"/>
    </row>
    <row r="771">
      <c r="A771" s="1" t="str">
        <f>"0007Z0"</f>
        <v>0007Z0</v>
      </c>
      <c r="B771" s="1" t="s">
        <v>3280</v>
      </c>
      <c r="C771" s="1" t="s">
        <v>3281</v>
      </c>
      <c r="D771" s="1" t="str">
        <f>"8024822520"</f>
        <v>8024822520</v>
      </c>
      <c r="E771" s="1">
        <v>1353.0</v>
      </c>
      <c r="F771" s="1" t="s">
        <v>44</v>
      </c>
      <c r="G771" s="1" t="s">
        <v>3282</v>
      </c>
      <c r="H771" s="1">
        <v>1.0</v>
      </c>
      <c r="I771" s="1"/>
      <c r="J771" s="1"/>
      <c r="K771" s="1"/>
      <c r="L771" s="1"/>
      <c r="M771" s="1" t="s">
        <v>3283</v>
      </c>
      <c r="N771" s="1" t="s">
        <v>57</v>
      </c>
      <c r="O771" s="1" t="s">
        <v>204</v>
      </c>
      <c r="P771" s="1"/>
      <c r="Q771" s="3">
        <v>36892.0</v>
      </c>
      <c r="R771" s="1"/>
      <c r="S771" s="3">
        <v>32710.0</v>
      </c>
      <c r="T771" s="1" t="s">
        <v>37</v>
      </c>
      <c r="U771" s="1"/>
      <c r="V771" s="1" t="s">
        <v>38</v>
      </c>
      <c r="W771" s="1"/>
      <c r="X771" s="1"/>
      <c r="Y771" s="1" t="s">
        <v>49</v>
      </c>
      <c r="Z771" s="1"/>
      <c r="AA771" s="1" t="s">
        <v>40</v>
      </c>
      <c r="AB771" s="1" t="s">
        <v>205</v>
      </c>
      <c r="AC771" s="1"/>
    </row>
    <row r="772">
      <c r="A772" s="1" t="str">
        <f>"0007VN"</f>
        <v>0007VN</v>
      </c>
      <c r="B772" s="1" t="s">
        <v>3284</v>
      </c>
      <c r="C772" s="1" t="s">
        <v>3285</v>
      </c>
      <c r="D772" s="1" t="str">
        <f>"8029852171"</f>
        <v>8029852171</v>
      </c>
      <c r="E772" s="1">
        <v>3135.0</v>
      </c>
      <c r="F772" s="1" t="s">
        <v>44</v>
      </c>
      <c r="G772" s="1" t="s">
        <v>3286</v>
      </c>
      <c r="H772" s="1">
        <v>2.0</v>
      </c>
      <c r="I772" s="1"/>
      <c r="J772" s="1"/>
      <c r="K772" s="1"/>
      <c r="L772" s="1"/>
      <c r="M772" s="1" t="s">
        <v>72</v>
      </c>
      <c r="N772" s="1" t="s">
        <v>57</v>
      </c>
      <c r="O772" s="1" t="s">
        <v>238</v>
      </c>
      <c r="P772" s="1"/>
      <c r="Q772" s="3">
        <v>36892.0</v>
      </c>
      <c r="R772" s="1"/>
      <c r="S772" s="3">
        <v>37886.0</v>
      </c>
      <c r="T772" s="1" t="s">
        <v>37</v>
      </c>
      <c r="U772" s="1"/>
      <c r="V772" s="1" t="s">
        <v>38</v>
      </c>
      <c r="W772" s="1"/>
      <c r="X772" s="1"/>
      <c r="Y772" s="1" t="s">
        <v>49</v>
      </c>
      <c r="Z772" s="1"/>
      <c r="AA772" s="1" t="s">
        <v>40</v>
      </c>
      <c r="AB772" s="1" t="s">
        <v>239</v>
      </c>
      <c r="AC772" s="1"/>
    </row>
    <row r="773">
      <c r="A773" s="1" t="str">
        <f>"0007YZ"</f>
        <v>0007YZ</v>
      </c>
      <c r="B773" s="1" t="s">
        <v>3287</v>
      </c>
      <c r="C773" s="1" t="s">
        <v>3288</v>
      </c>
      <c r="D773" s="1" t="str">
        <f>"8024822843"</f>
        <v>8024822843</v>
      </c>
      <c r="E773" s="1">
        <v>1352.0</v>
      </c>
      <c r="F773" s="1" t="s">
        <v>44</v>
      </c>
      <c r="G773" s="1" t="s">
        <v>3289</v>
      </c>
      <c r="H773" s="1">
        <v>7.0</v>
      </c>
      <c r="I773" s="1"/>
      <c r="J773" s="1"/>
      <c r="K773" s="1"/>
      <c r="L773" s="1"/>
      <c r="M773" s="1" t="s">
        <v>72</v>
      </c>
      <c r="N773" s="1" t="s">
        <v>57</v>
      </c>
      <c r="O773" s="1" t="s">
        <v>204</v>
      </c>
      <c r="P773" s="1"/>
      <c r="Q773" s="3">
        <v>36892.0</v>
      </c>
      <c r="R773" s="1"/>
      <c r="S773" s="3">
        <v>32710.0</v>
      </c>
      <c r="T773" s="1" t="s">
        <v>37</v>
      </c>
      <c r="U773" s="1"/>
      <c r="V773" s="1" t="s">
        <v>38</v>
      </c>
      <c r="W773" s="1"/>
      <c r="X773" s="1"/>
      <c r="Y773" s="1" t="s">
        <v>49</v>
      </c>
      <c r="Z773" s="1"/>
      <c r="AA773" s="1" t="s">
        <v>40</v>
      </c>
      <c r="AB773" s="1" t="s">
        <v>205</v>
      </c>
      <c r="AC773" s="1"/>
    </row>
    <row r="774">
      <c r="A774" s="1" t="str">
        <f>"0008N6"</f>
        <v>0008N6</v>
      </c>
      <c r="B774" s="1" t="s">
        <v>3290</v>
      </c>
      <c r="C774" s="1" t="s">
        <v>3291</v>
      </c>
      <c r="D774" s="1" t="str">
        <f>"8028782271"</f>
        <v>8028782271</v>
      </c>
      <c r="E774" s="1">
        <v>3169.0</v>
      </c>
      <c r="F774" s="1" t="s">
        <v>117</v>
      </c>
      <c r="G774" s="1" t="s">
        <v>3292</v>
      </c>
      <c r="H774" s="1">
        <v>11.0</v>
      </c>
      <c r="I774" s="2">
        <v>19.0</v>
      </c>
      <c r="J774" s="2">
        <v>8.0</v>
      </c>
      <c r="K774" s="2" t="s">
        <v>119</v>
      </c>
      <c r="L774" s="1"/>
      <c r="M774" s="1" t="s">
        <v>3293</v>
      </c>
      <c r="N774" s="1" t="s">
        <v>57</v>
      </c>
      <c r="O774" s="1" t="s">
        <v>509</v>
      </c>
      <c r="P774" s="1" t="s">
        <v>3294</v>
      </c>
      <c r="Q774" s="3">
        <v>36892.0</v>
      </c>
      <c r="R774" s="1"/>
      <c r="S774" s="3">
        <v>42142.0</v>
      </c>
      <c r="T774" s="1" t="s">
        <v>37</v>
      </c>
      <c r="U774" s="1"/>
      <c r="V774" s="1" t="s">
        <v>38</v>
      </c>
      <c r="W774" s="1">
        <v>44.5148737274992</v>
      </c>
      <c r="X774" s="1">
        <v>-73.0910861492157</v>
      </c>
      <c r="Y774" s="1" t="s">
        <v>3295</v>
      </c>
      <c r="Z774" s="1"/>
      <c r="AA774" s="1" t="s">
        <v>40</v>
      </c>
      <c r="AB774" s="1" t="s">
        <v>3296</v>
      </c>
      <c r="AC774" s="1">
        <v>5452.0</v>
      </c>
    </row>
    <row r="775">
      <c r="A775" s="1" t="str">
        <f>"0007YX"</f>
        <v>0007YX</v>
      </c>
      <c r="B775" s="1" t="s">
        <v>3297</v>
      </c>
      <c r="C775" s="1" t="s">
        <v>3298</v>
      </c>
      <c r="D775" s="1"/>
      <c r="E775" s="1">
        <v>1350.0</v>
      </c>
      <c r="F775" s="1" t="s">
        <v>44</v>
      </c>
      <c r="G775" s="1" t="s">
        <v>3299</v>
      </c>
      <c r="H775" s="1"/>
      <c r="I775" s="1"/>
      <c r="J775" s="1"/>
      <c r="K775" s="1"/>
      <c r="L775" s="1"/>
      <c r="M775" s="1" t="s">
        <v>72</v>
      </c>
      <c r="N775" s="1" t="s">
        <v>135</v>
      </c>
      <c r="O775" s="1" t="s">
        <v>3300</v>
      </c>
      <c r="P775" s="1"/>
      <c r="Q775" s="3">
        <v>36892.0</v>
      </c>
      <c r="R775" s="1"/>
      <c r="S775" s="1"/>
      <c r="T775" s="1" t="s">
        <v>37</v>
      </c>
      <c r="U775" s="1"/>
      <c r="V775" s="1" t="s">
        <v>38</v>
      </c>
      <c r="W775" s="1"/>
      <c r="X775" s="1"/>
      <c r="Y775" s="1" t="s">
        <v>49</v>
      </c>
      <c r="Z775" s="1"/>
      <c r="AA775" s="1" t="s">
        <v>40</v>
      </c>
      <c r="AB775" s="1" t="s">
        <v>3301</v>
      </c>
      <c r="AC775" s="1"/>
    </row>
    <row r="776">
      <c r="A776" s="1" t="str">
        <f>"0007YW"</f>
        <v>0007YW</v>
      </c>
      <c r="B776" s="1" t="s">
        <v>3302</v>
      </c>
      <c r="C776" s="1" t="s">
        <v>3303</v>
      </c>
      <c r="D776" s="1" t="str">
        <f>"8024823134"</f>
        <v>8024823134</v>
      </c>
      <c r="E776" s="1">
        <v>1349.0</v>
      </c>
      <c r="F776" s="1" t="s">
        <v>44</v>
      </c>
      <c r="G776" s="1" t="s">
        <v>3304</v>
      </c>
      <c r="H776" s="1">
        <v>2.0</v>
      </c>
      <c r="I776" s="1"/>
      <c r="J776" s="1"/>
      <c r="K776" s="1"/>
      <c r="L776" s="1"/>
      <c r="M776" s="1" t="s">
        <v>33</v>
      </c>
      <c r="N776" s="1" t="s">
        <v>57</v>
      </c>
      <c r="O776" s="1" t="s">
        <v>204</v>
      </c>
      <c r="P776" s="1"/>
      <c r="Q776" s="3">
        <v>36892.0</v>
      </c>
      <c r="R776" s="1"/>
      <c r="S776" s="3">
        <v>32710.0</v>
      </c>
      <c r="T776" s="1" t="s">
        <v>37</v>
      </c>
      <c r="U776" s="1"/>
      <c r="V776" s="1" t="s">
        <v>38</v>
      </c>
      <c r="W776" s="1">
        <v>44.319153</v>
      </c>
      <c r="X776" s="1">
        <v>-73.1383359999999</v>
      </c>
      <c r="Y776" s="1" t="s">
        <v>3305</v>
      </c>
      <c r="Z776" s="1"/>
      <c r="AA776" s="1" t="s">
        <v>40</v>
      </c>
      <c r="AB776" s="1" t="s">
        <v>205</v>
      </c>
      <c r="AC776" s="1">
        <v>5461.0</v>
      </c>
    </row>
    <row r="777">
      <c r="A777" s="1" t="str">
        <f>"0007YV"</f>
        <v>0007YV</v>
      </c>
      <c r="B777" s="1" t="s">
        <v>3306</v>
      </c>
      <c r="C777" s="1" t="s">
        <v>3307</v>
      </c>
      <c r="D777" s="1"/>
      <c r="E777" s="1">
        <v>1347.0</v>
      </c>
      <c r="F777" s="1" t="s">
        <v>44</v>
      </c>
      <c r="G777" s="1" t="s">
        <v>3308</v>
      </c>
      <c r="H777" s="1">
        <v>3.0</v>
      </c>
      <c r="I777" s="1"/>
      <c r="J777" s="1"/>
      <c r="K777" s="1"/>
      <c r="L777" s="1"/>
      <c r="M777" s="1" t="s">
        <v>3309</v>
      </c>
      <c r="N777" s="1" t="s">
        <v>57</v>
      </c>
      <c r="O777" s="1" t="s">
        <v>204</v>
      </c>
      <c r="P777" s="1"/>
      <c r="Q777" s="3">
        <v>36892.0</v>
      </c>
      <c r="R777" s="1"/>
      <c r="S777" s="3">
        <v>32713.0</v>
      </c>
      <c r="T777" s="1" t="s">
        <v>37</v>
      </c>
      <c r="U777" s="1"/>
      <c r="V777" s="1" t="s">
        <v>38</v>
      </c>
      <c r="W777" s="1"/>
      <c r="X777" s="1"/>
      <c r="Y777" s="1" t="s">
        <v>49</v>
      </c>
      <c r="Z777" s="1"/>
      <c r="AA777" s="1" t="s">
        <v>40</v>
      </c>
      <c r="AB777" s="1" t="s">
        <v>205</v>
      </c>
      <c r="AC777" s="1"/>
    </row>
    <row r="778">
      <c r="A778" s="1" t="str">
        <f>"0008BG"</f>
        <v>0008BG</v>
      </c>
      <c r="B778" s="1" t="s">
        <v>3310</v>
      </c>
      <c r="C778" s="1" t="s">
        <v>3311</v>
      </c>
      <c r="D778" s="1" t="str">
        <f>"8023526679"</f>
        <v>8023526679</v>
      </c>
      <c r="E778" s="1">
        <v>2839.0</v>
      </c>
      <c r="F778" s="1" t="s">
        <v>44</v>
      </c>
      <c r="G778" s="1" t="s">
        <v>3312</v>
      </c>
      <c r="H778" s="1">
        <v>1.0</v>
      </c>
      <c r="I778" s="1"/>
      <c r="J778" s="1"/>
      <c r="K778" s="1"/>
      <c r="L778" s="1"/>
      <c r="M778" s="1" t="s">
        <v>72</v>
      </c>
      <c r="N778" s="1" t="s">
        <v>161</v>
      </c>
      <c r="O778" s="1" t="s">
        <v>3313</v>
      </c>
      <c r="P778" s="1"/>
      <c r="Q778" s="3">
        <v>36892.0</v>
      </c>
      <c r="R778" s="1"/>
      <c r="S778" s="3">
        <v>34542.0</v>
      </c>
      <c r="T778" s="1" t="s">
        <v>37</v>
      </c>
      <c r="U778" s="1"/>
      <c r="V778" s="1" t="s">
        <v>38</v>
      </c>
      <c r="W778" s="1"/>
      <c r="X778" s="1"/>
      <c r="Y778" s="1" t="s">
        <v>49</v>
      </c>
      <c r="Z778" s="1"/>
      <c r="AA778" s="1" t="s">
        <v>40</v>
      </c>
      <c r="AB778" s="1" t="s">
        <v>3314</v>
      </c>
      <c r="AC778" s="1"/>
    </row>
    <row r="779">
      <c r="A779" s="1" t="str">
        <f>"0007YQ"</f>
        <v>0007YQ</v>
      </c>
      <c r="B779" s="1" t="s">
        <v>3315</v>
      </c>
      <c r="C779" s="1" t="s">
        <v>3316</v>
      </c>
      <c r="D779" s="1" t="str">
        <f>"8024822430"</f>
        <v>8024822430</v>
      </c>
      <c r="E779" s="1">
        <v>1344.0</v>
      </c>
      <c r="F779" s="1" t="s">
        <v>44</v>
      </c>
      <c r="G779" s="1" t="s">
        <v>3317</v>
      </c>
      <c r="H779" s="1">
        <v>2.0</v>
      </c>
      <c r="I779" s="1"/>
      <c r="J779" s="1"/>
      <c r="K779" s="1"/>
      <c r="L779" s="1"/>
      <c r="M779" s="1" t="s">
        <v>72</v>
      </c>
      <c r="N779" s="1" t="s">
        <v>57</v>
      </c>
      <c r="O779" s="1" t="s">
        <v>204</v>
      </c>
      <c r="P779" s="1"/>
      <c r="Q779" s="3">
        <v>36892.0</v>
      </c>
      <c r="R779" s="1"/>
      <c r="S779" s="3">
        <v>32357.0</v>
      </c>
      <c r="T779" s="1" t="s">
        <v>37</v>
      </c>
      <c r="U779" s="1"/>
      <c r="V779" s="1" t="s">
        <v>38</v>
      </c>
      <c r="W779" s="1"/>
      <c r="X779" s="1"/>
      <c r="Y779" s="1" t="s">
        <v>49</v>
      </c>
      <c r="Z779" s="1"/>
      <c r="AA779" s="1" t="s">
        <v>40</v>
      </c>
      <c r="AB779" s="1" t="s">
        <v>205</v>
      </c>
      <c r="AC779" s="1"/>
    </row>
    <row r="780">
      <c r="A780" s="1" t="str">
        <f>"0007YP"</f>
        <v>0007YP</v>
      </c>
      <c r="B780" s="1" t="s">
        <v>686</v>
      </c>
      <c r="C780" s="1" t="s">
        <v>687</v>
      </c>
      <c r="D780" s="1" t="str">
        <f>"8024822664"</f>
        <v>8024822664</v>
      </c>
      <c r="E780" s="1">
        <v>1343.0</v>
      </c>
      <c r="F780" s="1" t="s">
        <v>117</v>
      </c>
      <c r="G780" s="1" t="s">
        <v>3318</v>
      </c>
      <c r="H780" s="1">
        <v>0.0</v>
      </c>
      <c r="I780" s="2" t="s">
        <v>119</v>
      </c>
      <c r="J780" s="2" t="s">
        <v>119</v>
      </c>
      <c r="K780" s="2" t="s">
        <v>119</v>
      </c>
      <c r="L780" s="1"/>
      <c r="M780" s="1" t="s">
        <v>689</v>
      </c>
      <c r="N780" s="1" t="s">
        <v>57</v>
      </c>
      <c r="O780" s="1" t="s">
        <v>204</v>
      </c>
      <c r="P780" s="1"/>
      <c r="Q780" s="3">
        <v>36892.0</v>
      </c>
      <c r="R780" s="1"/>
      <c r="S780" s="3">
        <v>38106.0</v>
      </c>
      <c r="T780" s="1" t="s">
        <v>37</v>
      </c>
      <c r="U780" s="1"/>
      <c r="V780" s="1" t="s">
        <v>38</v>
      </c>
      <c r="W780" s="1"/>
      <c r="X780" s="1"/>
      <c r="Y780" s="1" t="s">
        <v>49</v>
      </c>
      <c r="Z780" s="1"/>
      <c r="AA780" s="1" t="s">
        <v>40</v>
      </c>
      <c r="AB780" s="1" t="s">
        <v>205</v>
      </c>
      <c r="AC780" s="1">
        <v>5461.0</v>
      </c>
    </row>
    <row r="781">
      <c r="A781" s="1" t="str">
        <f>"0007YN"</f>
        <v>0007YN</v>
      </c>
      <c r="B781" s="1" t="s">
        <v>3319</v>
      </c>
      <c r="C781" s="1" t="s">
        <v>3320</v>
      </c>
      <c r="D781" s="1" t="str">
        <f>"8024822069"</f>
        <v>8024822069</v>
      </c>
      <c r="E781" s="1">
        <v>1342.0</v>
      </c>
      <c r="F781" s="1" t="s">
        <v>44</v>
      </c>
      <c r="G781" s="1" t="s">
        <v>3321</v>
      </c>
      <c r="H781" s="1">
        <v>8.0</v>
      </c>
      <c r="I781" s="1"/>
      <c r="J781" s="1"/>
      <c r="K781" s="1"/>
      <c r="L781" s="1"/>
      <c r="M781" s="1" t="s">
        <v>3322</v>
      </c>
      <c r="N781" s="1" t="s">
        <v>57</v>
      </c>
      <c r="O781" s="1" t="s">
        <v>204</v>
      </c>
      <c r="P781" s="1"/>
      <c r="Q781" s="3">
        <v>36892.0</v>
      </c>
      <c r="R781" s="1"/>
      <c r="S781" s="3">
        <v>32358.0</v>
      </c>
      <c r="T781" s="1" t="s">
        <v>37</v>
      </c>
      <c r="U781" s="1"/>
      <c r="V781" s="1" t="s">
        <v>38</v>
      </c>
      <c r="W781" s="1"/>
      <c r="X781" s="1"/>
      <c r="Y781" s="1" t="s">
        <v>49</v>
      </c>
      <c r="Z781" s="1"/>
      <c r="AA781" s="1" t="s">
        <v>40</v>
      </c>
      <c r="AB781" s="1" t="s">
        <v>205</v>
      </c>
      <c r="AC781" s="1"/>
    </row>
    <row r="782">
      <c r="A782" s="1" t="str">
        <f>"0008VG"</f>
        <v>0008VG</v>
      </c>
      <c r="B782" s="1" t="s">
        <v>3323</v>
      </c>
      <c r="C782" s="1" t="s">
        <v>3324</v>
      </c>
      <c r="D782" s="1" t="str">
        <f>"8022352623"</f>
        <v>8022352623</v>
      </c>
      <c r="E782" s="1">
        <v>3322.0</v>
      </c>
      <c r="F782" s="1" t="s">
        <v>44</v>
      </c>
      <c r="G782" s="1" t="s">
        <v>3325</v>
      </c>
      <c r="H782" s="1"/>
      <c r="I782" s="1"/>
      <c r="J782" s="1"/>
      <c r="K782" s="1"/>
      <c r="L782" s="1"/>
      <c r="M782" s="1" t="s">
        <v>72</v>
      </c>
      <c r="N782" s="1" t="s">
        <v>78</v>
      </c>
      <c r="O782" s="1" t="s">
        <v>3326</v>
      </c>
      <c r="P782" s="1"/>
      <c r="Q782" s="3">
        <v>36892.0</v>
      </c>
      <c r="R782" s="1"/>
      <c r="S782" s="1"/>
      <c r="T782" s="1" t="s">
        <v>37</v>
      </c>
      <c r="U782" s="1"/>
      <c r="V782" s="1" t="s">
        <v>38</v>
      </c>
      <c r="W782" s="1"/>
      <c r="X782" s="1"/>
      <c r="Y782" s="1" t="s">
        <v>49</v>
      </c>
      <c r="Z782" s="1"/>
      <c r="AA782" s="1" t="s">
        <v>40</v>
      </c>
      <c r="AB782" s="1" t="s">
        <v>3327</v>
      </c>
      <c r="AC782" s="1"/>
    </row>
    <row r="783">
      <c r="A783" s="1" t="str">
        <f>"00090M"</f>
        <v>00090M</v>
      </c>
      <c r="B783" s="1" t="s">
        <v>3328</v>
      </c>
      <c r="C783" s="1" t="s">
        <v>3329</v>
      </c>
      <c r="D783" s="1" t="str">
        <f>"8026356615"</f>
        <v>8026356615</v>
      </c>
      <c r="E783" s="1">
        <v>3577.0</v>
      </c>
      <c r="F783" s="1" t="s">
        <v>44</v>
      </c>
      <c r="G783" s="1" t="s">
        <v>3330</v>
      </c>
      <c r="H783" s="1">
        <v>7.0</v>
      </c>
      <c r="I783" s="1"/>
      <c r="J783" s="1"/>
      <c r="K783" s="1"/>
      <c r="L783" s="1"/>
      <c r="M783" s="1" t="s">
        <v>3331</v>
      </c>
      <c r="N783" s="1" t="s">
        <v>213</v>
      </c>
      <c r="O783" s="1" t="s">
        <v>1154</v>
      </c>
      <c r="P783" s="1"/>
      <c r="Q783" s="3">
        <v>36892.0</v>
      </c>
      <c r="R783" s="1"/>
      <c r="S783" s="3">
        <v>38146.0</v>
      </c>
      <c r="T783" s="1" t="s">
        <v>37</v>
      </c>
      <c r="U783" s="1"/>
      <c r="V783" s="1" t="s">
        <v>38</v>
      </c>
      <c r="W783" s="1"/>
      <c r="X783" s="1"/>
      <c r="Y783" s="1" t="s">
        <v>49</v>
      </c>
      <c r="Z783" s="1"/>
      <c r="AA783" s="1" t="s">
        <v>40</v>
      </c>
      <c r="AB783" s="1" t="s">
        <v>1155</v>
      </c>
      <c r="AC783" s="1"/>
    </row>
    <row r="784">
      <c r="A784" s="1" t="str">
        <f>"00096Q"</f>
        <v>00096Q</v>
      </c>
      <c r="B784" s="1" t="s">
        <v>3332</v>
      </c>
      <c r="C784" s="1" t="s">
        <v>3333</v>
      </c>
      <c r="D784" s="1" t="str">
        <f>"8022351282"</f>
        <v>8022351282</v>
      </c>
      <c r="E784" s="1">
        <v>3954.0</v>
      </c>
      <c r="F784" s="1" t="s">
        <v>44</v>
      </c>
      <c r="G784" s="1" t="s">
        <v>3334</v>
      </c>
      <c r="H784" s="1">
        <v>1.0</v>
      </c>
      <c r="I784" s="1"/>
      <c r="J784" s="1"/>
      <c r="K784" s="1"/>
      <c r="L784" s="1"/>
      <c r="M784" s="1" t="s">
        <v>3335</v>
      </c>
      <c r="N784" s="1" t="s">
        <v>78</v>
      </c>
      <c r="O784" s="1" t="s">
        <v>420</v>
      </c>
      <c r="P784" s="1"/>
      <c r="Q784" s="3">
        <v>36892.0</v>
      </c>
      <c r="R784" s="1"/>
      <c r="S784" s="3">
        <v>39631.0</v>
      </c>
      <c r="T784" s="1" t="s">
        <v>37</v>
      </c>
      <c r="U784" s="1"/>
      <c r="V784" s="1" t="s">
        <v>38</v>
      </c>
      <c r="W784" s="1"/>
      <c r="X784" s="1"/>
      <c r="Y784" s="1" t="s">
        <v>49</v>
      </c>
      <c r="Z784" s="1"/>
      <c r="AA784" s="1" t="s">
        <v>40</v>
      </c>
      <c r="AB784" s="1" t="s">
        <v>421</v>
      </c>
      <c r="AC784" s="1"/>
    </row>
    <row r="785">
      <c r="A785" s="1" t="str">
        <f>"0007YK"</f>
        <v>0007YK</v>
      </c>
      <c r="B785" s="1" t="s">
        <v>3336</v>
      </c>
      <c r="C785" s="1" t="s">
        <v>3337</v>
      </c>
      <c r="D785" s="1" t="str">
        <f>"8024822256"</f>
        <v>8024822256</v>
      </c>
      <c r="E785" s="1">
        <v>1336.0</v>
      </c>
      <c r="F785" s="1" t="s">
        <v>44</v>
      </c>
      <c r="G785" s="1" t="s">
        <v>3338</v>
      </c>
      <c r="H785" s="1">
        <v>2.0</v>
      </c>
      <c r="I785" s="1"/>
      <c r="J785" s="1"/>
      <c r="K785" s="1"/>
      <c r="L785" s="1"/>
      <c r="M785" s="1" t="s">
        <v>3339</v>
      </c>
      <c r="N785" s="1" t="s">
        <v>57</v>
      </c>
      <c r="O785" s="1" t="s">
        <v>204</v>
      </c>
      <c r="P785" s="1"/>
      <c r="Q785" s="3">
        <v>36892.0</v>
      </c>
      <c r="R785" s="1"/>
      <c r="S785" s="3">
        <v>32387.0</v>
      </c>
      <c r="T785" s="1" t="s">
        <v>37</v>
      </c>
      <c r="U785" s="1"/>
      <c r="V785" s="1" t="s">
        <v>38</v>
      </c>
      <c r="W785" s="1"/>
      <c r="X785" s="1"/>
      <c r="Y785" s="1" t="s">
        <v>49</v>
      </c>
      <c r="Z785" s="1"/>
      <c r="AA785" s="1" t="s">
        <v>40</v>
      </c>
      <c r="AB785" s="1" t="s">
        <v>205</v>
      </c>
      <c r="AC785" s="1"/>
    </row>
    <row r="786">
      <c r="A786" s="1" t="str">
        <f>"0007YJ"</f>
        <v>0007YJ</v>
      </c>
      <c r="B786" s="1" t="s">
        <v>53</v>
      </c>
      <c r="C786" s="1" t="s">
        <v>54</v>
      </c>
      <c r="D786" s="1" t="str">
        <f>"8028995464"</f>
        <v>8028995464</v>
      </c>
      <c r="E786" s="1">
        <v>1334.0</v>
      </c>
      <c r="F786" s="1" t="s">
        <v>31</v>
      </c>
      <c r="G786" s="1" t="s">
        <v>3340</v>
      </c>
      <c r="H786" s="1">
        <v>0.0</v>
      </c>
      <c r="I786" s="1"/>
      <c r="J786" s="1"/>
      <c r="K786" s="1"/>
      <c r="L786" s="1"/>
      <c r="M786" s="1" t="s">
        <v>3341</v>
      </c>
      <c r="N786" s="1" t="s">
        <v>57</v>
      </c>
      <c r="O786" s="1" t="s">
        <v>509</v>
      </c>
      <c r="P786" s="1"/>
      <c r="Q786" s="3">
        <v>36892.0</v>
      </c>
      <c r="R786" s="3">
        <v>42156.0</v>
      </c>
      <c r="S786" s="3">
        <v>36661.0</v>
      </c>
      <c r="T786" s="1" t="s">
        <v>37</v>
      </c>
      <c r="U786" s="1"/>
      <c r="V786" s="1" t="s">
        <v>38</v>
      </c>
      <c r="W786" s="1">
        <v>44.9103633</v>
      </c>
      <c r="X786" s="1">
        <v>-71.8435991999999</v>
      </c>
      <c r="Y786" s="1" t="s">
        <v>49</v>
      </c>
      <c r="Z786" s="1"/>
      <c r="AA786" s="1" t="s">
        <v>40</v>
      </c>
      <c r="AB786" s="1" t="s">
        <v>331</v>
      </c>
      <c r="AC786" s="1">
        <v>5907.0</v>
      </c>
    </row>
    <row r="787">
      <c r="A787" s="1" t="str">
        <f>"0007YH"</f>
        <v>0007YH</v>
      </c>
      <c r="B787" s="1" t="s">
        <v>3342</v>
      </c>
      <c r="C787" s="1" t="s">
        <v>3343</v>
      </c>
      <c r="D787" s="1" t="str">
        <f>"8028995845"</f>
        <v>8028995845</v>
      </c>
      <c r="E787" s="1">
        <v>1333.0</v>
      </c>
      <c r="F787" s="1" t="s">
        <v>44</v>
      </c>
      <c r="G787" s="1" t="s">
        <v>3344</v>
      </c>
      <c r="H787" s="1">
        <v>3.0</v>
      </c>
      <c r="I787" s="1"/>
      <c r="J787" s="1"/>
      <c r="K787" s="1"/>
      <c r="L787" s="1"/>
      <c r="M787" s="1" t="s">
        <v>72</v>
      </c>
      <c r="N787" s="1" t="s">
        <v>57</v>
      </c>
      <c r="O787" s="1" t="s">
        <v>509</v>
      </c>
      <c r="P787" s="1"/>
      <c r="Q787" s="3">
        <v>36892.0</v>
      </c>
      <c r="R787" s="1"/>
      <c r="S787" s="3">
        <v>33025.0</v>
      </c>
      <c r="T787" s="1" t="s">
        <v>37</v>
      </c>
      <c r="U787" s="1"/>
      <c r="V787" s="1" t="s">
        <v>38</v>
      </c>
      <c r="W787" s="1"/>
      <c r="X787" s="1"/>
      <c r="Y787" s="1" t="s">
        <v>49</v>
      </c>
      <c r="Z787" s="1"/>
      <c r="AA787" s="1" t="s">
        <v>40</v>
      </c>
      <c r="AB787" s="1" t="s">
        <v>331</v>
      </c>
      <c r="AC787" s="1"/>
    </row>
    <row r="788">
      <c r="A788" s="1" t="str">
        <f>"000864"</f>
        <v>000864</v>
      </c>
      <c r="B788" s="1" t="s">
        <v>3345</v>
      </c>
      <c r="C788" s="1" t="s">
        <v>3346</v>
      </c>
      <c r="D788" s="1"/>
      <c r="E788" s="1">
        <v>3711.0</v>
      </c>
      <c r="F788" s="1" t="s">
        <v>44</v>
      </c>
      <c r="G788" s="1" t="s">
        <v>3347</v>
      </c>
      <c r="H788" s="1"/>
      <c r="I788" s="1"/>
      <c r="J788" s="1"/>
      <c r="K788" s="1"/>
      <c r="L788" s="1"/>
      <c r="M788" s="1" t="s">
        <v>3348</v>
      </c>
      <c r="N788" s="1" t="s">
        <v>142</v>
      </c>
      <c r="O788" s="1" t="s">
        <v>1213</v>
      </c>
      <c r="P788" s="1"/>
      <c r="Q788" s="3">
        <v>36892.0</v>
      </c>
      <c r="R788" s="1"/>
      <c r="S788" s="1"/>
      <c r="T788" s="1" t="s">
        <v>37</v>
      </c>
      <c r="U788" s="1"/>
      <c r="V788" s="1" t="s">
        <v>38</v>
      </c>
      <c r="W788" s="1"/>
      <c r="X788" s="1"/>
      <c r="Y788" s="1" t="s">
        <v>49</v>
      </c>
      <c r="Z788" s="1"/>
      <c r="AA788" s="1" t="s">
        <v>40</v>
      </c>
      <c r="AB788" s="1" t="s">
        <v>1214</v>
      </c>
      <c r="AC788" s="1"/>
    </row>
    <row r="789">
      <c r="A789" s="1" t="str">
        <f>"0007YF"</f>
        <v>0007YF</v>
      </c>
      <c r="B789" s="1" t="s">
        <v>3349</v>
      </c>
      <c r="C789" s="1" t="s">
        <v>3350</v>
      </c>
      <c r="D789" s="1" t="str">
        <f>"8028882264"</f>
        <v>8028882264</v>
      </c>
      <c r="E789" s="1">
        <v>2696.0</v>
      </c>
      <c r="F789" s="1" t="s">
        <v>44</v>
      </c>
      <c r="G789" s="1" t="s">
        <v>3351</v>
      </c>
      <c r="H789" s="1">
        <v>3.0</v>
      </c>
      <c r="I789" s="1"/>
      <c r="J789" s="1"/>
      <c r="K789" s="1"/>
      <c r="L789" s="1"/>
      <c r="M789" s="1" t="s">
        <v>72</v>
      </c>
      <c r="N789" s="1" t="s">
        <v>213</v>
      </c>
      <c r="O789" s="1" t="s">
        <v>625</v>
      </c>
      <c r="P789" s="1"/>
      <c r="Q789" s="3">
        <v>36892.0</v>
      </c>
      <c r="R789" s="1"/>
      <c r="S789" s="3">
        <v>33007.0</v>
      </c>
      <c r="T789" s="1" t="s">
        <v>37</v>
      </c>
      <c r="U789" s="1"/>
      <c r="V789" s="1" t="s">
        <v>38</v>
      </c>
      <c r="W789" s="1"/>
      <c r="X789" s="1"/>
      <c r="Y789" s="1" t="s">
        <v>49</v>
      </c>
      <c r="Z789" s="1"/>
      <c r="AA789" s="1" t="s">
        <v>40</v>
      </c>
      <c r="AB789" s="1" t="s">
        <v>626</v>
      </c>
      <c r="AC789" s="1"/>
    </row>
    <row r="790">
      <c r="A790" s="1" t="str">
        <f>"0007YQ"</f>
        <v>0007YQ</v>
      </c>
      <c r="B790" s="1" t="s">
        <v>3315</v>
      </c>
      <c r="C790" s="1" t="s">
        <v>3316</v>
      </c>
      <c r="D790" s="1" t="str">
        <f>"8024822430"</f>
        <v>8024822430</v>
      </c>
      <c r="E790" s="1">
        <v>1344.0</v>
      </c>
      <c r="F790" s="1" t="s">
        <v>44</v>
      </c>
      <c r="G790" s="1" t="s">
        <v>3352</v>
      </c>
      <c r="H790" s="1">
        <v>6.0</v>
      </c>
      <c r="I790" s="1"/>
      <c r="J790" s="1"/>
      <c r="K790" s="1"/>
      <c r="L790" s="1"/>
      <c r="M790" s="1" t="s">
        <v>3353</v>
      </c>
      <c r="N790" s="1" t="s">
        <v>57</v>
      </c>
      <c r="O790" s="1" t="s">
        <v>204</v>
      </c>
      <c r="P790" s="1"/>
      <c r="Q790" s="3">
        <v>36892.0</v>
      </c>
      <c r="R790" s="1"/>
      <c r="S790" s="3">
        <v>33018.0</v>
      </c>
      <c r="T790" s="1" t="s">
        <v>37</v>
      </c>
      <c r="U790" s="1"/>
      <c r="V790" s="1" t="s">
        <v>38</v>
      </c>
      <c r="W790" s="1"/>
      <c r="X790" s="1"/>
      <c r="Y790" s="1" t="s">
        <v>49</v>
      </c>
      <c r="Z790" s="1"/>
      <c r="AA790" s="1" t="s">
        <v>40</v>
      </c>
      <c r="AB790" s="1" t="s">
        <v>205</v>
      </c>
      <c r="AC790" s="1"/>
    </row>
    <row r="791">
      <c r="A791" s="1" t="str">
        <f>"0007YD"</f>
        <v>0007YD</v>
      </c>
      <c r="B791" s="1" t="s">
        <v>3354</v>
      </c>
      <c r="C791" s="1" t="s">
        <v>3355</v>
      </c>
      <c r="D791" s="1" t="str">
        <f>"8028788893"</f>
        <v>8028788893</v>
      </c>
      <c r="E791" s="1">
        <v>1326.0</v>
      </c>
      <c r="F791" s="1" t="s">
        <v>44</v>
      </c>
      <c r="G791" s="1" t="s">
        <v>3356</v>
      </c>
      <c r="H791" s="1">
        <v>3.0</v>
      </c>
      <c r="I791" s="1"/>
      <c r="J791" s="1"/>
      <c r="K791" s="1"/>
      <c r="L791" s="1"/>
      <c r="M791" s="1" t="s">
        <v>72</v>
      </c>
      <c r="N791" s="1" t="s">
        <v>57</v>
      </c>
      <c r="O791" s="1" t="s">
        <v>509</v>
      </c>
      <c r="P791" s="1"/>
      <c r="Q791" s="3">
        <v>36892.0</v>
      </c>
      <c r="R791" s="1"/>
      <c r="S791" s="3">
        <v>32309.0</v>
      </c>
      <c r="T791" s="1" t="s">
        <v>37</v>
      </c>
      <c r="U791" s="1"/>
      <c r="V791" s="1" t="s">
        <v>38</v>
      </c>
      <c r="W791" s="1"/>
      <c r="X791" s="1"/>
      <c r="Y791" s="1" t="s">
        <v>49</v>
      </c>
      <c r="Z791" s="1"/>
      <c r="AA791" s="1" t="s">
        <v>40</v>
      </c>
      <c r="AB791" s="1" t="s">
        <v>331</v>
      </c>
      <c r="AC791" s="1"/>
    </row>
    <row r="792">
      <c r="A792" s="1" t="str">
        <f>"000743"</f>
        <v>000743</v>
      </c>
      <c r="B792" s="1" t="s">
        <v>2401</v>
      </c>
      <c r="C792" s="1" t="s">
        <v>2402</v>
      </c>
      <c r="D792" s="1" t="str">
        <f>"8023874071"</f>
        <v>8023874071</v>
      </c>
      <c r="E792" s="1">
        <v>3392.0</v>
      </c>
      <c r="F792" s="1" t="s">
        <v>44</v>
      </c>
      <c r="G792" s="1" t="s">
        <v>3357</v>
      </c>
      <c r="H792" s="1"/>
      <c r="I792" s="1"/>
      <c r="J792" s="1"/>
      <c r="K792" s="1"/>
      <c r="L792" s="1"/>
      <c r="M792" s="1" t="s">
        <v>3358</v>
      </c>
      <c r="N792" s="1" t="s">
        <v>66</v>
      </c>
      <c r="O792" s="1" t="s">
        <v>2346</v>
      </c>
      <c r="P792" s="1"/>
      <c r="Q792" s="3">
        <v>36892.0</v>
      </c>
      <c r="R792" s="1"/>
      <c r="S792" s="1"/>
      <c r="T792" s="1" t="s">
        <v>37</v>
      </c>
      <c r="U792" s="1"/>
      <c r="V792" s="1" t="s">
        <v>38</v>
      </c>
      <c r="W792" s="1"/>
      <c r="X792" s="1"/>
      <c r="Y792" s="1" t="s">
        <v>49</v>
      </c>
      <c r="Z792" s="1"/>
      <c r="AA792" s="1" t="s">
        <v>40</v>
      </c>
      <c r="AB792" s="1" t="s">
        <v>2349</v>
      </c>
      <c r="AC792" s="1"/>
    </row>
    <row r="793">
      <c r="A793" s="1" t="str">
        <f>"0007YC"</f>
        <v>0007YC</v>
      </c>
      <c r="B793" s="1" t="s">
        <v>3359</v>
      </c>
      <c r="C793" s="1" t="s">
        <v>3360</v>
      </c>
      <c r="D793" s="1" t="str">
        <f>"8023724556"</f>
        <v>8023724556</v>
      </c>
      <c r="E793" s="1">
        <v>1323.0</v>
      </c>
      <c r="F793" s="1" t="s">
        <v>44</v>
      </c>
      <c r="G793" s="1" t="s">
        <v>3361</v>
      </c>
      <c r="H793" s="1"/>
      <c r="I793" s="1"/>
      <c r="J793" s="1"/>
      <c r="K793" s="1"/>
      <c r="L793" s="1"/>
      <c r="M793" s="1" t="s">
        <v>3362</v>
      </c>
      <c r="N793" s="1" t="s">
        <v>107</v>
      </c>
      <c r="O793" s="1" t="s">
        <v>821</v>
      </c>
      <c r="P793" s="1"/>
      <c r="Q793" s="3">
        <v>36892.0</v>
      </c>
      <c r="R793" s="1"/>
      <c r="S793" s="1"/>
      <c r="T793" s="1" t="s">
        <v>37</v>
      </c>
      <c r="U793" s="1"/>
      <c r="V793" s="1" t="s">
        <v>38</v>
      </c>
      <c r="W793" s="1"/>
      <c r="X793" s="1"/>
      <c r="Y793" s="1" t="s">
        <v>49</v>
      </c>
      <c r="Z793" s="1"/>
      <c r="AA793" s="1" t="s">
        <v>40</v>
      </c>
      <c r="AB793" s="1" t="s">
        <v>822</v>
      </c>
      <c r="AC793" s="1"/>
    </row>
    <row r="794">
      <c r="A794" s="1" t="str">
        <f>"0007YM"</f>
        <v>0007YM</v>
      </c>
      <c r="B794" s="1" t="s">
        <v>1804</v>
      </c>
      <c r="C794" s="1" t="s">
        <v>1805</v>
      </c>
      <c r="D794" s="1" t="str">
        <f>"8028886682"</f>
        <v>8028886682</v>
      </c>
      <c r="E794" s="1">
        <v>3770.0</v>
      </c>
      <c r="F794" s="1" t="s">
        <v>44</v>
      </c>
      <c r="G794" s="1" t="s">
        <v>3363</v>
      </c>
      <c r="H794" s="1"/>
      <c r="I794" s="1"/>
      <c r="J794" s="1"/>
      <c r="K794" s="1"/>
      <c r="L794" s="1"/>
      <c r="M794" s="1" t="s">
        <v>3364</v>
      </c>
      <c r="N794" s="1" t="s">
        <v>213</v>
      </c>
      <c r="O794" s="1" t="s">
        <v>625</v>
      </c>
      <c r="P794" s="1"/>
      <c r="Q794" s="3">
        <v>36892.0</v>
      </c>
      <c r="R794" s="1"/>
      <c r="S794" s="1"/>
      <c r="T794" s="1" t="s">
        <v>37</v>
      </c>
      <c r="U794" s="1"/>
      <c r="V794" s="1" t="s">
        <v>38</v>
      </c>
      <c r="W794" s="1"/>
      <c r="X794" s="1"/>
      <c r="Y794" s="1" t="s">
        <v>49</v>
      </c>
      <c r="Z794" s="1"/>
      <c r="AA794" s="1" t="s">
        <v>40</v>
      </c>
      <c r="AB794" s="1" t="s">
        <v>626</v>
      </c>
      <c r="AC794" s="1"/>
    </row>
    <row r="795">
      <c r="A795" s="1" t="str">
        <f>"00078Z"</f>
        <v>00078Z</v>
      </c>
      <c r="B795" s="1" t="s">
        <v>3365</v>
      </c>
      <c r="C795" s="1" t="s">
        <v>3366</v>
      </c>
      <c r="D795" s="1" t="str">
        <f>"8022962240"</f>
        <v>8022962240</v>
      </c>
      <c r="E795" s="1">
        <v>3411.0</v>
      </c>
      <c r="F795" s="1" t="s">
        <v>44</v>
      </c>
      <c r="G795" s="1" t="s">
        <v>3367</v>
      </c>
      <c r="H795" s="1">
        <v>3.0</v>
      </c>
      <c r="I795" s="1"/>
      <c r="J795" s="1"/>
      <c r="K795" s="1"/>
      <c r="L795" s="1"/>
      <c r="M795" s="1" t="s">
        <v>72</v>
      </c>
      <c r="N795" s="1" t="s">
        <v>34</v>
      </c>
      <c r="O795" s="1" t="s">
        <v>953</v>
      </c>
      <c r="P795" s="1"/>
      <c r="Q795" s="3">
        <v>36892.0</v>
      </c>
      <c r="R795" s="1"/>
      <c r="S795" s="3">
        <v>37448.0</v>
      </c>
      <c r="T795" s="1" t="s">
        <v>37</v>
      </c>
      <c r="U795" s="1"/>
      <c r="V795" s="1" t="s">
        <v>38</v>
      </c>
      <c r="W795" s="1">
        <v>43.7183743999999</v>
      </c>
      <c r="X795" s="1">
        <v>-72.4216607999999</v>
      </c>
      <c r="Y795" s="1" t="s">
        <v>3368</v>
      </c>
      <c r="Z795" s="1"/>
      <c r="AA795" s="1" t="s">
        <v>40</v>
      </c>
      <c r="AB795" s="1" t="s">
        <v>3369</v>
      </c>
      <c r="AC795" s="1">
        <v>5084.0</v>
      </c>
    </row>
    <row r="796">
      <c r="A796" s="1" t="str">
        <f>"0007YA"</f>
        <v>0007YA</v>
      </c>
      <c r="B796" s="1" t="s">
        <v>3370</v>
      </c>
      <c r="C796" s="1" t="s">
        <v>3371</v>
      </c>
      <c r="D796" s="1" t="str">
        <f>"8025632671"</f>
        <v>8025632671</v>
      </c>
      <c r="E796" s="1">
        <v>3616.0</v>
      </c>
      <c r="F796" s="1" t="s">
        <v>44</v>
      </c>
      <c r="G796" s="1" t="s">
        <v>3372</v>
      </c>
      <c r="H796" s="1">
        <v>0.0</v>
      </c>
      <c r="I796" s="1"/>
      <c r="J796" s="1"/>
      <c r="K796" s="1"/>
      <c r="L796" s="1"/>
      <c r="M796" s="1" t="s">
        <v>72</v>
      </c>
      <c r="N796" s="1" t="s">
        <v>135</v>
      </c>
      <c r="O796" s="1" t="s">
        <v>409</v>
      </c>
      <c r="P796" s="1"/>
      <c r="Q796" s="3">
        <v>36892.0</v>
      </c>
      <c r="R796" s="1"/>
      <c r="S796" s="1"/>
      <c r="T796" s="1" t="s">
        <v>37</v>
      </c>
      <c r="U796" s="1"/>
      <c r="V796" s="1" t="s">
        <v>38</v>
      </c>
      <c r="W796" s="1">
        <v>44.419205</v>
      </c>
      <c r="X796" s="1">
        <v>-72.349152</v>
      </c>
      <c r="Y796" s="1" t="s">
        <v>3373</v>
      </c>
      <c r="Z796" s="1"/>
      <c r="AA796" s="1" t="s">
        <v>40</v>
      </c>
      <c r="AB796" s="1" t="s">
        <v>410</v>
      </c>
      <c r="AC796" s="1">
        <v>5647.0</v>
      </c>
    </row>
    <row r="797">
      <c r="A797" s="1" t="str">
        <f>"0007Y7"</f>
        <v>0007Y7</v>
      </c>
      <c r="B797" s="1" t="s">
        <v>3374</v>
      </c>
      <c r="C797" s="1" t="s">
        <v>3375</v>
      </c>
      <c r="D797" s="1" t="str">
        <f>"8028992085"</f>
        <v>8028992085</v>
      </c>
      <c r="E797" s="1">
        <v>1317.0</v>
      </c>
      <c r="F797" s="1" t="s">
        <v>44</v>
      </c>
      <c r="G797" s="1" t="s">
        <v>3376</v>
      </c>
      <c r="H797" s="1">
        <v>3.0</v>
      </c>
      <c r="I797" s="1"/>
      <c r="J797" s="1"/>
      <c r="K797" s="1"/>
      <c r="L797" s="1"/>
      <c r="M797" s="1" t="s">
        <v>72</v>
      </c>
      <c r="N797" s="1" t="s">
        <v>57</v>
      </c>
      <c r="O797" s="1" t="s">
        <v>509</v>
      </c>
      <c r="P797" s="1" t="s">
        <v>3377</v>
      </c>
      <c r="Q797" s="3">
        <v>36892.0</v>
      </c>
      <c r="R797" s="1"/>
      <c r="S797" s="3">
        <v>38602.0</v>
      </c>
      <c r="T797" s="1" t="s">
        <v>37</v>
      </c>
      <c r="U797" s="1"/>
      <c r="V797" s="1" t="s">
        <v>38</v>
      </c>
      <c r="W797" s="1">
        <v>44.9103633</v>
      </c>
      <c r="X797" s="1">
        <v>-71.8435991999999</v>
      </c>
      <c r="Y797" s="1" t="s">
        <v>49</v>
      </c>
      <c r="Z797" s="1"/>
      <c r="AA797" s="1" t="s">
        <v>40</v>
      </c>
      <c r="AB797" s="1" t="s">
        <v>331</v>
      </c>
      <c r="AC797" s="1">
        <v>5907.0</v>
      </c>
    </row>
    <row r="798">
      <c r="A798" s="1" t="str">
        <f>"0007HB"</f>
        <v>0007HB</v>
      </c>
      <c r="B798" s="1" t="s">
        <v>3378</v>
      </c>
      <c r="C798" s="1" t="s">
        <v>3379</v>
      </c>
      <c r="D798" s="1" t="str">
        <f>"8026450378"</f>
        <v>8026450378</v>
      </c>
      <c r="E798" s="1">
        <v>3606.0</v>
      </c>
      <c r="F798" s="1" t="s">
        <v>44</v>
      </c>
      <c r="G798" s="1" t="s">
        <v>3380</v>
      </c>
      <c r="H798" s="1">
        <v>1.0</v>
      </c>
      <c r="I798" s="1"/>
      <c r="J798" s="1"/>
      <c r="K798" s="1"/>
      <c r="L798" s="1"/>
      <c r="M798" s="1" t="s">
        <v>72</v>
      </c>
      <c r="N798" s="1" t="s">
        <v>78</v>
      </c>
      <c r="O798" s="1" t="s">
        <v>371</v>
      </c>
      <c r="P798" s="1"/>
      <c r="Q798" s="3">
        <v>36892.0</v>
      </c>
      <c r="R798" s="1"/>
      <c r="S798" s="3">
        <v>39967.0</v>
      </c>
      <c r="T798" s="1" t="s">
        <v>37</v>
      </c>
      <c r="U798" s="1"/>
      <c r="V798" s="1" t="s">
        <v>38</v>
      </c>
      <c r="W798" s="1"/>
      <c r="X798" s="1"/>
      <c r="Y798" s="1" t="s">
        <v>49</v>
      </c>
      <c r="Z798" s="1"/>
      <c r="AA798" s="1" t="s">
        <v>40</v>
      </c>
      <c r="AB798" s="1" t="s">
        <v>374</v>
      </c>
      <c r="AC798" s="1"/>
    </row>
    <row r="799">
      <c r="A799" s="1" t="str">
        <f>"0007Y5"</f>
        <v>0007Y5</v>
      </c>
      <c r="B799" s="1" t="s">
        <v>3381</v>
      </c>
      <c r="C799" s="1" t="s">
        <v>3382</v>
      </c>
      <c r="D799" s="1"/>
      <c r="E799" s="1">
        <v>1315.0</v>
      </c>
      <c r="F799" s="1" t="s">
        <v>44</v>
      </c>
      <c r="G799" s="1" t="s">
        <v>3383</v>
      </c>
      <c r="H799" s="1"/>
      <c r="I799" s="1"/>
      <c r="J799" s="1"/>
      <c r="K799" s="1"/>
      <c r="L799" s="1"/>
      <c r="M799" s="1" t="s">
        <v>72</v>
      </c>
      <c r="N799" s="1" t="s">
        <v>57</v>
      </c>
      <c r="O799" s="1" t="s">
        <v>509</v>
      </c>
      <c r="P799" s="1"/>
      <c r="Q799" s="3">
        <v>36892.0</v>
      </c>
      <c r="R799" s="1"/>
      <c r="S799" s="1"/>
      <c r="T799" s="1" t="s">
        <v>37</v>
      </c>
      <c r="U799" s="1"/>
      <c r="V799" s="1" t="s">
        <v>38</v>
      </c>
      <c r="W799" s="1"/>
      <c r="X799" s="1"/>
      <c r="Y799" s="1" t="s">
        <v>49</v>
      </c>
      <c r="Z799" s="1"/>
      <c r="AA799" s="1" t="s">
        <v>40</v>
      </c>
      <c r="AB799" s="1" t="s">
        <v>331</v>
      </c>
      <c r="AC799" s="1"/>
    </row>
    <row r="800">
      <c r="A800" s="1" t="str">
        <f>"0008X1"</f>
        <v>0008X1</v>
      </c>
      <c r="B800" s="1" t="s">
        <v>2291</v>
      </c>
      <c r="C800" s="1" t="s">
        <v>2292</v>
      </c>
      <c r="D800" s="1" t="str">
        <f>"8028785992"</f>
        <v>8028785992</v>
      </c>
      <c r="E800" s="1">
        <v>3417.0</v>
      </c>
      <c r="F800" s="1" t="s">
        <v>44</v>
      </c>
      <c r="G800" s="1" t="s">
        <v>3384</v>
      </c>
      <c r="H800" s="1">
        <v>14.0</v>
      </c>
      <c r="I800" s="1"/>
      <c r="J800" s="1"/>
      <c r="K800" s="1"/>
      <c r="L800" s="1"/>
      <c r="M800" s="1" t="s">
        <v>3385</v>
      </c>
      <c r="N800" s="1" t="s">
        <v>57</v>
      </c>
      <c r="O800" s="1" t="s">
        <v>509</v>
      </c>
      <c r="P800" s="1"/>
      <c r="Q800" s="3">
        <v>36892.0</v>
      </c>
      <c r="R800" s="1"/>
      <c r="S800" s="3">
        <v>37748.0</v>
      </c>
      <c r="T800" s="1" t="s">
        <v>37</v>
      </c>
      <c r="U800" s="1"/>
      <c r="V800" s="1" t="s">
        <v>38</v>
      </c>
      <c r="W800" s="1"/>
      <c r="X800" s="1"/>
      <c r="Y800" s="1" t="s">
        <v>49</v>
      </c>
      <c r="Z800" s="1"/>
      <c r="AA800" s="1" t="s">
        <v>40</v>
      </c>
      <c r="AB800" s="1" t="s">
        <v>331</v>
      </c>
      <c r="AC800" s="1"/>
    </row>
    <row r="801">
      <c r="A801" s="1" t="str">
        <f>"0007NB"</f>
        <v>0007NB</v>
      </c>
      <c r="B801" s="1" t="s">
        <v>3386</v>
      </c>
      <c r="C801" s="1" t="s">
        <v>3387</v>
      </c>
      <c r="D801" s="1"/>
      <c r="E801" s="1">
        <v>2947.0</v>
      </c>
      <c r="F801" s="1" t="s">
        <v>44</v>
      </c>
      <c r="G801" s="1" t="s">
        <v>3388</v>
      </c>
      <c r="H801" s="1">
        <v>0.0</v>
      </c>
      <c r="I801" s="1"/>
      <c r="J801" s="1"/>
      <c r="K801" s="1"/>
      <c r="L801" s="1"/>
      <c r="M801" s="1" t="s">
        <v>72</v>
      </c>
      <c r="N801" s="1" t="s">
        <v>135</v>
      </c>
      <c r="O801" s="1" t="s">
        <v>279</v>
      </c>
      <c r="P801" s="1"/>
      <c r="Q801" s="3">
        <v>36892.0</v>
      </c>
      <c r="R801" s="1"/>
      <c r="S801" s="3">
        <v>35998.0</v>
      </c>
      <c r="T801" s="1" t="s">
        <v>37</v>
      </c>
      <c r="U801" s="1"/>
      <c r="V801" s="1" t="s">
        <v>38</v>
      </c>
      <c r="W801" s="1"/>
      <c r="X801" s="1"/>
      <c r="Y801" s="1" t="s">
        <v>49</v>
      </c>
      <c r="Z801" s="1"/>
      <c r="AA801" s="1" t="s">
        <v>40</v>
      </c>
      <c r="AB801" s="1" t="s">
        <v>281</v>
      </c>
      <c r="AC801" s="1"/>
    </row>
    <row r="802">
      <c r="A802" s="1" t="str">
        <f>"0007Y3"</f>
        <v>0007Y3</v>
      </c>
      <c r="B802" s="1" t="s">
        <v>3389</v>
      </c>
      <c r="C802" s="1" t="s">
        <v>3390</v>
      </c>
      <c r="D802" s="1" t="str">
        <f>"8028797760"</f>
        <v>8028797760</v>
      </c>
      <c r="E802" s="1">
        <v>1309.0</v>
      </c>
      <c r="F802" s="1" t="s">
        <v>44</v>
      </c>
      <c r="G802" s="1" t="s">
        <v>3391</v>
      </c>
      <c r="H802" s="1">
        <v>3.0</v>
      </c>
      <c r="I802" s="1"/>
      <c r="J802" s="1"/>
      <c r="K802" s="1"/>
      <c r="L802" s="1"/>
      <c r="M802" s="1" t="s">
        <v>3392</v>
      </c>
      <c r="N802" s="1" t="s">
        <v>57</v>
      </c>
      <c r="O802" s="1" t="s">
        <v>509</v>
      </c>
      <c r="P802" s="1"/>
      <c r="Q802" s="3">
        <v>36892.0</v>
      </c>
      <c r="R802" s="1"/>
      <c r="S802" s="3">
        <v>32309.0</v>
      </c>
      <c r="T802" s="1" t="s">
        <v>37</v>
      </c>
      <c r="U802" s="1"/>
      <c r="V802" s="1" t="s">
        <v>38</v>
      </c>
      <c r="W802" s="1"/>
      <c r="X802" s="1"/>
      <c r="Y802" s="1" t="s">
        <v>49</v>
      </c>
      <c r="Z802" s="1"/>
      <c r="AA802" s="1" t="s">
        <v>40</v>
      </c>
      <c r="AB802" s="1" t="s">
        <v>331</v>
      </c>
      <c r="AC802" s="1"/>
    </row>
    <row r="803">
      <c r="A803" s="1" t="str">
        <f>"0007Y2"</f>
        <v>0007Y2</v>
      </c>
      <c r="B803" s="1" t="s">
        <v>3126</v>
      </c>
      <c r="C803" s="1" t="s">
        <v>3127</v>
      </c>
      <c r="D803" s="1" t="str">
        <f>"8028796723"</f>
        <v>8028796723</v>
      </c>
      <c r="E803" s="1">
        <v>1308.0</v>
      </c>
      <c r="F803" s="1" t="s">
        <v>44</v>
      </c>
      <c r="G803" s="1" t="s">
        <v>3393</v>
      </c>
      <c r="H803" s="1">
        <v>2.0</v>
      </c>
      <c r="I803" s="1"/>
      <c r="J803" s="1"/>
      <c r="K803" s="1"/>
      <c r="L803" s="1"/>
      <c r="M803" s="1" t="s">
        <v>3394</v>
      </c>
      <c r="N803" s="1" t="s">
        <v>57</v>
      </c>
      <c r="O803" s="1" t="s">
        <v>559</v>
      </c>
      <c r="P803" s="1"/>
      <c r="Q803" s="3">
        <v>36892.0</v>
      </c>
      <c r="R803" s="1"/>
      <c r="S803" s="3">
        <v>32681.0</v>
      </c>
      <c r="T803" s="1" t="s">
        <v>37</v>
      </c>
      <c r="U803" s="1"/>
      <c r="V803" s="1" t="s">
        <v>38</v>
      </c>
      <c r="W803" s="1"/>
      <c r="X803" s="1"/>
      <c r="Y803" s="1" t="s">
        <v>49</v>
      </c>
      <c r="Z803" s="1"/>
      <c r="AA803" s="1" t="s">
        <v>40</v>
      </c>
      <c r="AB803" s="1" t="s">
        <v>560</v>
      </c>
      <c r="AC803" s="1"/>
    </row>
    <row r="804">
      <c r="A804" s="1" t="str">
        <f>"0007Y1"</f>
        <v>0007Y1</v>
      </c>
      <c r="B804" s="1" t="s">
        <v>3395</v>
      </c>
      <c r="C804" s="1" t="s">
        <v>3396</v>
      </c>
      <c r="D804" s="1"/>
      <c r="E804" s="1">
        <v>1307.0</v>
      </c>
      <c r="F804" s="1" t="s">
        <v>44</v>
      </c>
      <c r="G804" s="1" t="s">
        <v>3397</v>
      </c>
      <c r="H804" s="1"/>
      <c r="I804" s="1"/>
      <c r="J804" s="1"/>
      <c r="K804" s="1"/>
      <c r="L804" s="1"/>
      <c r="M804" s="1" t="s">
        <v>72</v>
      </c>
      <c r="N804" s="1" t="s">
        <v>57</v>
      </c>
      <c r="O804" s="1" t="s">
        <v>559</v>
      </c>
      <c r="P804" s="1"/>
      <c r="Q804" s="3">
        <v>36892.0</v>
      </c>
      <c r="R804" s="1"/>
      <c r="S804" s="1"/>
      <c r="T804" s="1" t="s">
        <v>37</v>
      </c>
      <c r="U804" s="1"/>
      <c r="V804" s="1" t="s">
        <v>38</v>
      </c>
      <c r="W804" s="1"/>
      <c r="X804" s="1"/>
      <c r="Y804" s="1" t="s">
        <v>49</v>
      </c>
      <c r="Z804" s="1"/>
      <c r="AA804" s="1" t="s">
        <v>40</v>
      </c>
      <c r="AB804" s="1" t="s">
        <v>560</v>
      </c>
      <c r="AC804" s="1"/>
    </row>
    <row r="805">
      <c r="A805" s="1" t="str">
        <f>"0008A7"</f>
        <v>0008A7</v>
      </c>
      <c r="B805" s="1" t="s">
        <v>3398</v>
      </c>
      <c r="C805" s="1" t="s">
        <v>3399</v>
      </c>
      <c r="D805" s="1" t="str">
        <f>"8026857784"</f>
        <v>8026857784</v>
      </c>
      <c r="E805" s="1">
        <v>3697.0</v>
      </c>
      <c r="F805" s="1" t="s">
        <v>44</v>
      </c>
      <c r="G805" s="1" t="s">
        <v>3400</v>
      </c>
      <c r="H805" s="1">
        <v>2.0</v>
      </c>
      <c r="I805" s="1"/>
      <c r="J805" s="1"/>
      <c r="K805" s="1"/>
      <c r="L805" s="1"/>
      <c r="M805" s="1" t="s">
        <v>72</v>
      </c>
      <c r="N805" s="1" t="s">
        <v>142</v>
      </c>
      <c r="O805" s="1" t="s">
        <v>844</v>
      </c>
      <c r="P805" s="1"/>
      <c r="Q805" s="3">
        <v>36892.0</v>
      </c>
      <c r="R805" s="1"/>
      <c r="S805" s="3">
        <v>39644.0</v>
      </c>
      <c r="T805" s="1" t="s">
        <v>37</v>
      </c>
      <c r="U805" s="1"/>
      <c r="V805" s="1" t="s">
        <v>38</v>
      </c>
      <c r="W805" s="1"/>
      <c r="X805" s="1"/>
      <c r="Y805" s="1" t="s">
        <v>49</v>
      </c>
      <c r="Z805" s="1"/>
      <c r="AA805" s="1" t="s">
        <v>40</v>
      </c>
      <c r="AB805" s="1" t="s">
        <v>847</v>
      </c>
      <c r="AC805" s="1"/>
    </row>
    <row r="806">
      <c r="A806" s="1" t="str">
        <f>"0007XZ"</f>
        <v>0007XZ</v>
      </c>
      <c r="B806" s="1" t="s">
        <v>3401</v>
      </c>
      <c r="C806" s="1" t="s">
        <v>3402</v>
      </c>
      <c r="D806" s="1" t="str">
        <f>"8028782536"</f>
        <v>8028782536</v>
      </c>
      <c r="E806" s="1">
        <v>1304.0</v>
      </c>
      <c r="F806" s="1" t="s">
        <v>44</v>
      </c>
      <c r="G806" s="1" t="s">
        <v>3403</v>
      </c>
      <c r="H806" s="1">
        <v>2.0</v>
      </c>
      <c r="I806" s="1"/>
      <c r="J806" s="1"/>
      <c r="K806" s="1"/>
      <c r="L806" s="1"/>
      <c r="M806" s="1" t="s">
        <v>72</v>
      </c>
      <c r="N806" s="1" t="s">
        <v>57</v>
      </c>
      <c r="O806" s="1" t="s">
        <v>559</v>
      </c>
      <c r="P806" s="1"/>
      <c r="Q806" s="3">
        <v>36892.0</v>
      </c>
      <c r="R806" s="1"/>
      <c r="S806" s="3">
        <v>32679.0</v>
      </c>
      <c r="T806" s="1" t="s">
        <v>37</v>
      </c>
      <c r="U806" s="1"/>
      <c r="V806" s="1" t="s">
        <v>38</v>
      </c>
      <c r="W806" s="1"/>
      <c r="X806" s="1"/>
      <c r="Y806" s="1" t="s">
        <v>49</v>
      </c>
      <c r="Z806" s="1"/>
      <c r="AA806" s="1" t="s">
        <v>40</v>
      </c>
      <c r="AB806" s="1" t="s">
        <v>560</v>
      </c>
      <c r="AC806" s="1"/>
    </row>
    <row r="807">
      <c r="A807" s="1" t="str">
        <f>"0008MN"</f>
        <v>0008MN</v>
      </c>
      <c r="B807" s="1" t="s">
        <v>1037</v>
      </c>
      <c r="C807" s="1" t="s">
        <v>1038</v>
      </c>
      <c r="D807" s="1" t="str">
        <f>"8023725825"</f>
        <v>8023725825</v>
      </c>
      <c r="E807" s="1">
        <v>3057.0</v>
      </c>
      <c r="F807" s="1" t="s">
        <v>44</v>
      </c>
      <c r="G807" s="1" t="s">
        <v>3404</v>
      </c>
      <c r="H807" s="1">
        <v>11.0</v>
      </c>
      <c r="I807" s="1"/>
      <c r="J807" s="1"/>
      <c r="K807" s="1"/>
      <c r="L807" s="1"/>
      <c r="M807" s="1" t="s">
        <v>72</v>
      </c>
      <c r="N807" s="1" t="s">
        <v>107</v>
      </c>
      <c r="O807" s="1" t="s">
        <v>108</v>
      </c>
      <c r="P807" s="1"/>
      <c r="Q807" s="3">
        <v>36892.0</v>
      </c>
      <c r="R807" s="1"/>
      <c r="S807" s="3">
        <v>36367.0</v>
      </c>
      <c r="T807" s="1" t="s">
        <v>37</v>
      </c>
      <c r="U807" s="1"/>
      <c r="V807" s="1" t="s">
        <v>38</v>
      </c>
      <c r="W807" s="1"/>
      <c r="X807" s="1"/>
      <c r="Y807" s="1" t="s">
        <v>49</v>
      </c>
      <c r="Z807" s="1"/>
      <c r="AA807" s="1" t="s">
        <v>40</v>
      </c>
      <c r="AB807" s="1" t="s">
        <v>107</v>
      </c>
      <c r="AC807" s="1"/>
    </row>
    <row r="808">
      <c r="A808" s="1" t="str">
        <f>"0007WA"</f>
        <v>0007WA</v>
      </c>
      <c r="B808" s="1" t="s">
        <v>157</v>
      </c>
      <c r="C808" s="1" t="s">
        <v>158</v>
      </c>
      <c r="D808" s="1" t="str">
        <f>"8029482057"</f>
        <v>8029482057</v>
      </c>
      <c r="E808" s="1">
        <v>1217.0</v>
      </c>
      <c r="F808" s="1" t="s">
        <v>31</v>
      </c>
      <c r="G808" s="1" t="s">
        <v>3405</v>
      </c>
      <c r="H808" s="1">
        <v>32.0</v>
      </c>
      <c r="I808" s="1"/>
      <c r="J808" s="1"/>
      <c r="K808" s="1"/>
      <c r="L808" s="1"/>
      <c r="M808" s="1" t="s">
        <v>3406</v>
      </c>
      <c r="N808" s="1" t="s">
        <v>161</v>
      </c>
      <c r="O808" s="1" t="s">
        <v>3407</v>
      </c>
      <c r="P808" s="1" t="s">
        <v>3408</v>
      </c>
      <c r="Q808" s="3">
        <v>36892.0</v>
      </c>
      <c r="R808" s="1"/>
      <c r="S808" s="3">
        <v>39351.0</v>
      </c>
      <c r="T808" s="1" t="s">
        <v>164</v>
      </c>
      <c r="U808" s="1"/>
      <c r="V808" s="1" t="s">
        <v>38</v>
      </c>
      <c r="W808" s="1">
        <v>44.1678989</v>
      </c>
      <c r="X808" s="1">
        <v>-73.2518675999999</v>
      </c>
      <c r="Y808" s="1" t="s">
        <v>3409</v>
      </c>
      <c r="Z808" s="1"/>
      <c r="AA808" s="1" t="s">
        <v>40</v>
      </c>
      <c r="AB808" s="1" t="s">
        <v>3410</v>
      </c>
      <c r="AC808" s="1">
        <v>0.0</v>
      </c>
    </row>
    <row r="809">
      <c r="A809" s="1" t="str">
        <f>"0007XV"</f>
        <v>0007XV</v>
      </c>
      <c r="B809" s="1" t="s">
        <v>3411</v>
      </c>
      <c r="C809" s="1" t="s">
        <v>3412</v>
      </c>
      <c r="D809" s="1" t="str">
        <f>"8028790928"</f>
        <v>8028790928</v>
      </c>
      <c r="E809" s="1">
        <v>1298.0</v>
      </c>
      <c r="F809" s="1" t="s">
        <v>44</v>
      </c>
      <c r="G809" s="1" t="s">
        <v>3413</v>
      </c>
      <c r="H809" s="1">
        <v>6.0</v>
      </c>
      <c r="I809" s="1"/>
      <c r="J809" s="1"/>
      <c r="K809" s="1"/>
      <c r="L809" s="1"/>
      <c r="M809" s="1" t="s">
        <v>72</v>
      </c>
      <c r="N809" s="1" t="s">
        <v>57</v>
      </c>
      <c r="O809" s="1" t="s">
        <v>559</v>
      </c>
      <c r="P809" s="1"/>
      <c r="Q809" s="3">
        <v>36892.0</v>
      </c>
      <c r="R809" s="1"/>
      <c r="S809" s="3">
        <v>33736.0</v>
      </c>
      <c r="T809" s="1" t="s">
        <v>37</v>
      </c>
      <c r="U809" s="1"/>
      <c r="V809" s="1" t="s">
        <v>38</v>
      </c>
      <c r="W809" s="1"/>
      <c r="X809" s="1"/>
      <c r="Y809" s="1" t="s">
        <v>49</v>
      </c>
      <c r="Z809" s="1"/>
      <c r="AA809" s="1" t="s">
        <v>40</v>
      </c>
      <c r="AB809" s="1" t="s">
        <v>560</v>
      </c>
      <c r="AC809" s="1"/>
    </row>
    <row r="810">
      <c r="A810" s="1" t="str">
        <f>"0007K0"</f>
        <v>0007K0</v>
      </c>
      <c r="B810" s="1" t="s">
        <v>2767</v>
      </c>
      <c r="C810" s="1" t="s">
        <v>2768</v>
      </c>
      <c r="D810" s="1" t="str">
        <f>"8023887724"</f>
        <v>8023887724</v>
      </c>
      <c r="E810" s="1">
        <v>851.0</v>
      </c>
      <c r="F810" s="1" t="s">
        <v>117</v>
      </c>
      <c r="G810" s="1" t="s">
        <v>3414</v>
      </c>
      <c r="H810" s="1">
        <v>44.0</v>
      </c>
      <c r="I810" s="2" t="s">
        <v>119</v>
      </c>
      <c r="J810" s="2" t="s">
        <v>119</v>
      </c>
      <c r="K810" s="2" t="s">
        <v>119</v>
      </c>
      <c r="L810" s="1"/>
      <c r="M810" s="1" t="s">
        <v>3415</v>
      </c>
      <c r="N810" s="1" t="s">
        <v>57</v>
      </c>
      <c r="O810" s="1" t="s">
        <v>559</v>
      </c>
      <c r="P810" s="1"/>
      <c r="Q810" s="3">
        <v>36892.0</v>
      </c>
      <c r="R810" s="1"/>
      <c r="S810" s="3">
        <v>33036.0</v>
      </c>
      <c r="T810" s="1" t="s">
        <v>37</v>
      </c>
      <c r="U810" s="1"/>
      <c r="V810" s="1" t="s">
        <v>38</v>
      </c>
      <c r="W810" s="1">
        <v>44.5629808011572</v>
      </c>
      <c r="X810" s="1">
        <v>-73.1566064700018</v>
      </c>
      <c r="Y810" s="1" t="s">
        <v>3416</v>
      </c>
      <c r="Z810" s="1"/>
      <c r="AA810" s="1" t="s">
        <v>40</v>
      </c>
      <c r="AB810" s="1" t="s">
        <v>560</v>
      </c>
      <c r="AC810" s="1">
        <v>0.0</v>
      </c>
    </row>
    <row r="811">
      <c r="A811" s="1" t="str">
        <f>"0007XQ"</f>
        <v>0007XQ</v>
      </c>
      <c r="B811" s="1" t="s">
        <v>3417</v>
      </c>
      <c r="C811" s="1" t="s">
        <v>3418</v>
      </c>
      <c r="D811" s="1" t="str">
        <f>"8028934583"</f>
        <v>8028934583</v>
      </c>
      <c r="E811" s="1">
        <v>1295.0</v>
      </c>
      <c r="F811" s="1" t="s">
        <v>44</v>
      </c>
      <c r="G811" s="1" t="s">
        <v>3419</v>
      </c>
      <c r="H811" s="1">
        <v>2.0</v>
      </c>
      <c r="I811" s="1"/>
      <c r="J811" s="1"/>
      <c r="K811" s="1"/>
      <c r="L811" s="1"/>
      <c r="M811" s="1" t="s">
        <v>3420</v>
      </c>
      <c r="N811" s="1" t="s">
        <v>57</v>
      </c>
      <c r="O811" s="1" t="s">
        <v>559</v>
      </c>
      <c r="P811" s="1"/>
      <c r="Q811" s="3">
        <v>36892.0</v>
      </c>
      <c r="R811" s="1"/>
      <c r="S811" s="3">
        <v>37789.0</v>
      </c>
      <c r="T811" s="1" t="s">
        <v>37</v>
      </c>
      <c r="U811" s="1"/>
      <c r="V811" s="1" t="s">
        <v>38</v>
      </c>
      <c r="W811" s="1"/>
      <c r="X811" s="1"/>
      <c r="Y811" s="1" t="s">
        <v>49</v>
      </c>
      <c r="Z811" s="1"/>
      <c r="AA811" s="1" t="s">
        <v>40</v>
      </c>
      <c r="AB811" s="1" t="s">
        <v>560</v>
      </c>
      <c r="AC811" s="1"/>
    </row>
    <row r="812">
      <c r="A812" s="1" t="str">
        <f>"0007XP"</f>
        <v>0007XP</v>
      </c>
      <c r="B812" s="1" t="s">
        <v>3421</v>
      </c>
      <c r="C812" s="1" t="s">
        <v>3422</v>
      </c>
      <c r="D812" s="1"/>
      <c r="E812" s="1">
        <v>1294.0</v>
      </c>
      <c r="F812" s="1" t="s">
        <v>44</v>
      </c>
      <c r="G812" s="1" t="s">
        <v>3423</v>
      </c>
      <c r="H812" s="1"/>
      <c r="I812" s="1"/>
      <c r="J812" s="1"/>
      <c r="K812" s="1"/>
      <c r="L812" s="1"/>
      <c r="M812" s="1" t="s">
        <v>3424</v>
      </c>
      <c r="N812" s="1" t="s">
        <v>57</v>
      </c>
      <c r="O812" s="1" t="s">
        <v>559</v>
      </c>
      <c r="P812" s="1"/>
      <c r="Q812" s="3">
        <v>36892.0</v>
      </c>
      <c r="R812" s="1"/>
      <c r="S812" s="1"/>
      <c r="T812" s="1" t="s">
        <v>37</v>
      </c>
      <c r="U812" s="1"/>
      <c r="V812" s="1" t="s">
        <v>38</v>
      </c>
      <c r="W812" s="1"/>
      <c r="X812" s="1"/>
      <c r="Y812" s="1" t="s">
        <v>49</v>
      </c>
      <c r="Z812" s="1"/>
      <c r="AA812" s="1" t="s">
        <v>40</v>
      </c>
      <c r="AB812" s="1" t="s">
        <v>560</v>
      </c>
      <c r="AC812" s="1"/>
    </row>
    <row r="813">
      <c r="A813" s="1" t="str">
        <f>"0007XN"</f>
        <v>0007XN</v>
      </c>
      <c r="B813" s="1" t="s">
        <v>3425</v>
      </c>
      <c r="C813" s="1" t="s">
        <v>3426</v>
      </c>
      <c r="D813" s="1"/>
      <c r="E813" s="1">
        <v>1293.0</v>
      </c>
      <c r="F813" s="1" t="s">
        <v>44</v>
      </c>
      <c r="G813" s="1" t="s">
        <v>3427</v>
      </c>
      <c r="H813" s="1"/>
      <c r="I813" s="1"/>
      <c r="J813" s="1"/>
      <c r="K813" s="1"/>
      <c r="L813" s="1"/>
      <c r="M813" s="1" t="s">
        <v>3428</v>
      </c>
      <c r="N813" s="1" t="s">
        <v>135</v>
      </c>
      <c r="O813" s="1" t="s">
        <v>3300</v>
      </c>
      <c r="P813" s="1"/>
      <c r="Q813" s="3">
        <v>36892.0</v>
      </c>
      <c r="R813" s="1"/>
      <c r="S813" s="1"/>
      <c r="T813" s="1" t="s">
        <v>37</v>
      </c>
      <c r="U813" s="1"/>
      <c r="V813" s="1" t="s">
        <v>38</v>
      </c>
      <c r="W813" s="1"/>
      <c r="X813" s="1"/>
      <c r="Y813" s="1" t="s">
        <v>49</v>
      </c>
      <c r="Z813" s="1"/>
      <c r="AA813" s="1" t="s">
        <v>40</v>
      </c>
      <c r="AB813" s="1" t="s">
        <v>3301</v>
      </c>
      <c r="AC813" s="1"/>
    </row>
    <row r="814">
      <c r="A814" s="1" t="str">
        <f>"0007XM"</f>
        <v>0007XM</v>
      </c>
      <c r="B814" s="1" t="s">
        <v>3429</v>
      </c>
      <c r="C814" s="1" t="s">
        <v>3430</v>
      </c>
      <c r="D814" s="1" t="str">
        <f>"8026552194"</f>
        <v>8026552194</v>
      </c>
      <c r="E814" s="1">
        <v>1292.0</v>
      </c>
      <c r="F814" s="1" t="s">
        <v>44</v>
      </c>
      <c r="G814" s="1" t="s">
        <v>3431</v>
      </c>
      <c r="H814" s="1">
        <v>1.0</v>
      </c>
      <c r="I814" s="1"/>
      <c r="J814" s="1"/>
      <c r="K814" s="1"/>
      <c r="L814" s="1"/>
      <c r="M814" s="1" t="s">
        <v>3432</v>
      </c>
      <c r="N814" s="1" t="s">
        <v>107</v>
      </c>
      <c r="O814" s="1" t="s">
        <v>724</v>
      </c>
      <c r="P814" s="1"/>
      <c r="Q814" s="3">
        <v>36892.0</v>
      </c>
      <c r="R814" s="1"/>
      <c r="S814" s="1"/>
      <c r="T814" s="1" t="s">
        <v>37</v>
      </c>
      <c r="U814" s="1"/>
      <c r="V814" s="1" t="s">
        <v>38</v>
      </c>
      <c r="W814" s="1"/>
      <c r="X814" s="1"/>
      <c r="Y814" s="1" t="s">
        <v>49</v>
      </c>
      <c r="Z814" s="1"/>
      <c r="AA814" s="1" t="s">
        <v>40</v>
      </c>
      <c r="AB814" s="1" t="s">
        <v>725</v>
      </c>
      <c r="AC814" s="1">
        <v>0.0</v>
      </c>
    </row>
    <row r="815">
      <c r="A815" s="1" t="str">
        <f>"0007XK"</f>
        <v>0007XK</v>
      </c>
      <c r="B815" s="1" t="s">
        <v>3433</v>
      </c>
      <c r="C815" s="1" t="s">
        <v>3434</v>
      </c>
      <c r="D815" s="1" t="str">
        <f>"8028795569"</f>
        <v>8028795569</v>
      </c>
      <c r="E815" s="1">
        <v>1290.0</v>
      </c>
      <c r="F815" s="1" t="s">
        <v>31</v>
      </c>
      <c r="G815" s="1" t="s">
        <v>3435</v>
      </c>
      <c r="H815" s="1">
        <v>1.0</v>
      </c>
      <c r="I815" s="1"/>
      <c r="J815" s="1"/>
      <c r="K815" s="1"/>
      <c r="L815" s="1"/>
      <c r="M815" s="1" t="s">
        <v>3436</v>
      </c>
      <c r="N815" s="1" t="s">
        <v>57</v>
      </c>
      <c r="O815" s="1" t="s">
        <v>509</v>
      </c>
      <c r="P815" s="1" t="s">
        <v>3437</v>
      </c>
      <c r="Q815" s="3">
        <v>36892.0</v>
      </c>
      <c r="R815" s="1"/>
      <c r="S815" s="3">
        <v>37453.0</v>
      </c>
      <c r="T815" s="1" t="s">
        <v>37</v>
      </c>
      <c r="U815" s="1"/>
      <c r="V815" s="1" t="s">
        <v>38</v>
      </c>
      <c r="W815" s="1">
        <v>44.498344</v>
      </c>
      <c r="X815" s="1">
        <v>-73.104851</v>
      </c>
      <c r="Y815" s="1" t="s">
        <v>3438</v>
      </c>
      <c r="Z815" s="1"/>
      <c r="AA815" s="1" t="s">
        <v>40</v>
      </c>
      <c r="AB815" s="1" t="s">
        <v>331</v>
      </c>
      <c r="AC815" s="1">
        <v>5452.0</v>
      </c>
    </row>
    <row r="816">
      <c r="A816" s="1" t="str">
        <f>"0007XJ"</f>
        <v>0007XJ</v>
      </c>
      <c r="B816" s="1" t="s">
        <v>3439</v>
      </c>
      <c r="C816" s="1" t="s">
        <v>3440</v>
      </c>
      <c r="D816" s="1"/>
      <c r="E816" s="1">
        <v>1287.0</v>
      </c>
      <c r="F816" s="1" t="s">
        <v>44</v>
      </c>
      <c r="G816" s="1" t="s">
        <v>3441</v>
      </c>
      <c r="H816" s="1"/>
      <c r="I816" s="1"/>
      <c r="J816" s="1"/>
      <c r="K816" s="1"/>
      <c r="L816" s="1"/>
      <c r="M816" s="1" t="s">
        <v>72</v>
      </c>
      <c r="N816" s="1" t="s">
        <v>57</v>
      </c>
      <c r="O816" s="1" t="s">
        <v>559</v>
      </c>
      <c r="P816" s="1"/>
      <c r="Q816" s="3">
        <v>36892.0</v>
      </c>
      <c r="R816" s="1"/>
      <c r="S816" s="1"/>
      <c r="T816" s="1" t="s">
        <v>37</v>
      </c>
      <c r="U816" s="1"/>
      <c r="V816" s="1" t="s">
        <v>38</v>
      </c>
      <c r="W816" s="1"/>
      <c r="X816" s="1"/>
      <c r="Y816" s="1" t="s">
        <v>49</v>
      </c>
      <c r="Z816" s="1"/>
      <c r="AA816" s="1" t="s">
        <v>40</v>
      </c>
      <c r="AB816" s="1" t="s">
        <v>560</v>
      </c>
      <c r="AC816" s="1"/>
    </row>
    <row r="817">
      <c r="A817" s="1" t="str">
        <f>"00092K"</f>
        <v>00092K</v>
      </c>
      <c r="B817" s="1" t="s">
        <v>3442</v>
      </c>
      <c r="C817" s="1" t="s">
        <v>3443</v>
      </c>
      <c r="D817" s="1" t="str">
        <f>"8027654454"</f>
        <v>8027654454</v>
      </c>
      <c r="E817" s="1">
        <v>3862.0</v>
      </c>
      <c r="F817" s="1" t="s">
        <v>44</v>
      </c>
      <c r="G817" s="1" t="s">
        <v>3444</v>
      </c>
      <c r="H817" s="1">
        <v>1.0</v>
      </c>
      <c r="I817" s="1"/>
      <c r="J817" s="1"/>
      <c r="K817" s="1"/>
      <c r="L817" s="1"/>
      <c r="M817" s="1" t="s">
        <v>72</v>
      </c>
      <c r="N817" s="1" t="s">
        <v>34</v>
      </c>
      <c r="O817" s="1" t="s">
        <v>88</v>
      </c>
      <c r="P817" s="1"/>
      <c r="Q817" s="3">
        <v>36892.0</v>
      </c>
      <c r="R817" s="1"/>
      <c r="S817" s="3">
        <v>39339.0</v>
      </c>
      <c r="T817" s="1" t="s">
        <v>37</v>
      </c>
      <c r="U817" s="1"/>
      <c r="V817" s="1" t="s">
        <v>38</v>
      </c>
      <c r="W817" s="1"/>
      <c r="X817" s="1"/>
      <c r="Y817" s="1" t="s">
        <v>49</v>
      </c>
      <c r="Z817" s="1"/>
      <c r="AA817" s="1" t="s">
        <v>40</v>
      </c>
      <c r="AB817" s="1" t="s">
        <v>89</v>
      </c>
      <c r="AC817" s="1"/>
    </row>
    <row r="818">
      <c r="A818" s="1" t="str">
        <f>"0008GQ"</f>
        <v>0008GQ</v>
      </c>
      <c r="B818" s="1" t="s">
        <v>3445</v>
      </c>
      <c r="C818" s="1" t="s">
        <v>3446</v>
      </c>
      <c r="D818" s="1" t="str">
        <f>"8025243805"</f>
        <v>8025243805</v>
      </c>
      <c r="E818" s="1">
        <v>4017.0</v>
      </c>
      <c r="F818" s="1" t="s">
        <v>117</v>
      </c>
      <c r="G818" s="1" t="s">
        <v>3447</v>
      </c>
      <c r="H818" s="1">
        <v>2.0</v>
      </c>
      <c r="I818" s="2" t="s">
        <v>119</v>
      </c>
      <c r="J818" s="2">
        <v>1.0</v>
      </c>
      <c r="K818" s="2" t="s">
        <v>119</v>
      </c>
      <c r="L818" s="1"/>
      <c r="M818" s="1" t="s">
        <v>3448</v>
      </c>
      <c r="N818" s="1" t="s">
        <v>47</v>
      </c>
      <c r="O818" s="1" t="s">
        <v>582</v>
      </c>
      <c r="P818" s="1" t="s">
        <v>2894</v>
      </c>
      <c r="Q818" s="3">
        <v>36892.0</v>
      </c>
      <c r="R818" s="1"/>
      <c r="S818" s="1"/>
      <c r="T818" s="1" t="s">
        <v>37</v>
      </c>
      <c r="U818" s="1"/>
      <c r="V818" s="1" t="s">
        <v>38</v>
      </c>
      <c r="W818" s="1">
        <v>44.699917</v>
      </c>
      <c r="X818" s="1">
        <v>-73.125969</v>
      </c>
      <c r="Y818" s="1" t="s">
        <v>3449</v>
      </c>
      <c r="Z818" s="1"/>
      <c r="AA818" s="1" t="s">
        <v>40</v>
      </c>
      <c r="AB818" s="1" t="s">
        <v>583</v>
      </c>
      <c r="AC818" s="1">
        <v>5478.0</v>
      </c>
    </row>
    <row r="819">
      <c r="A819" s="1" t="str">
        <f>"0007BQ"</f>
        <v>0007BQ</v>
      </c>
      <c r="B819" s="1" t="s">
        <v>3450</v>
      </c>
      <c r="C819" s="1" t="s">
        <v>3451</v>
      </c>
      <c r="D819" s="1" t="str">
        <f>"8026264439"</f>
        <v>8026264439</v>
      </c>
      <c r="E819" s="1">
        <v>3738.0</v>
      </c>
      <c r="F819" s="1" t="s">
        <v>31</v>
      </c>
      <c r="G819" s="1" t="s">
        <v>3452</v>
      </c>
      <c r="H819" s="1">
        <v>1.0</v>
      </c>
      <c r="I819" s="1"/>
      <c r="J819" s="1"/>
      <c r="K819" s="1"/>
      <c r="L819" s="1"/>
      <c r="M819" s="1" t="s">
        <v>72</v>
      </c>
      <c r="N819" s="1" t="s">
        <v>128</v>
      </c>
      <c r="O819" s="1" t="s">
        <v>525</v>
      </c>
      <c r="P819" s="1" t="s">
        <v>3453</v>
      </c>
      <c r="Q819" s="3">
        <v>36892.0</v>
      </c>
      <c r="R819" s="1"/>
      <c r="S819" s="1"/>
      <c r="T819" s="1" t="s">
        <v>37</v>
      </c>
      <c r="U819" s="1"/>
      <c r="V819" s="1" t="s">
        <v>38</v>
      </c>
      <c r="W819" s="1">
        <v>44.5487611</v>
      </c>
      <c r="X819" s="1">
        <v>-71.9305951</v>
      </c>
      <c r="Y819" s="1" t="s">
        <v>3454</v>
      </c>
      <c r="Z819" s="1"/>
      <c r="AA819" s="1" t="s">
        <v>40</v>
      </c>
      <c r="AB819" s="1" t="s">
        <v>526</v>
      </c>
      <c r="AC819" s="1">
        <v>5832.0</v>
      </c>
    </row>
    <row r="820">
      <c r="A820" s="1" t="str">
        <f>"0007NQ"</f>
        <v>0007NQ</v>
      </c>
      <c r="B820" s="1" t="s">
        <v>3455</v>
      </c>
      <c r="C820" s="1" t="s">
        <v>3456</v>
      </c>
      <c r="D820" s="1"/>
      <c r="E820" s="1">
        <v>1004.0</v>
      </c>
      <c r="F820" s="1" t="s">
        <v>44</v>
      </c>
      <c r="G820" s="1" t="s">
        <v>3457</v>
      </c>
      <c r="H820" s="1">
        <v>1.0</v>
      </c>
      <c r="I820" s="1"/>
      <c r="J820" s="1"/>
      <c r="K820" s="1"/>
      <c r="L820" s="1"/>
      <c r="M820" s="1" t="s">
        <v>72</v>
      </c>
      <c r="N820" s="1" t="s">
        <v>78</v>
      </c>
      <c r="O820" s="1" t="s">
        <v>702</v>
      </c>
      <c r="P820" s="1"/>
      <c r="Q820" s="3">
        <v>36892.0</v>
      </c>
      <c r="R820" s="1"/>
      <c r="S820" s="3">
        <v>32351.0</v>
      </c>
      <c r="T820" s="1" t="s">
        <v>37</v>
      </c>
      <c r="U820" s="1"/>
      <c r="V820" s="1" t="s">
        <v>38</v>
      </c>
      <c r="W820" s="1"/>
      <c r="X820" s="1"/>
      <c r="Y820" s="1" t="s">
        <v>49</v>
      </c>
      <c r="Z820" s="1"/>
      <c r="AA820" s="1" t="s">
        <v>40</v>
      </c>
      <c r="AB820" s="1" t="s">
        <v>702</v>
      </c>
      <c r="AC820" s="1"/>
    </row>
    <row r="821">
      <c r="A821" s="1" t="str">
        <f>"0007XD"</f>
        <v>0007XD</v>
      </c>
      <c r="B821" s="1" t="s">
        <v>3458</v>
      </c>
      <c r="C821" s="1" t="s">
        <v>3459</v>
      </c>
      <c r="D821" s="1" t="str">
        <f>"8024725879"</f>
        <v>8024725879</v>
      </c>
      <c r="E821" s="1">
        <v>2949.0</v>
      </c>
      <c r="F821" s="1" t="s">
        <v>44</v>
      </c>
      <c r="G821" s="1" t="s">
        <v>3460</v>
      </c>
      <c r="H821" s="1">
        <v>12.0</v>
      </c>
      <c r="I821" s="1"/>
      <c r="J821" s="1"/>
      <c r="K821" s="1"/>
      <c r="L821" s="1"/>
      <c r="M821" s="1" t="s">
        <v>72</v>
      </c>
      <c r="N821" s="1" t="s">
        <v>128</v>
      </c>
      <c r="O821" s="1" t="s">
        <v>1079</v>
      </c>
      <c r="P821" s="1"/>
      <c r="Q821" s="3">
        <v>36892.0</v>
      </c>
      <c r="R821" s="1"/>
      <c r="S821" s="3">
        <v>37466.0</v>
      </c>
      <c r="T821" s="1" t="s">
        <v>37</v>
      </c>
      <c r="U821" s="1"/>
      <c r="V821" s="1" t="s">
        <v>38</v>
      </c>
      <c r="W821" s="1"/>
      <c r="X821" s="1"/>
      <c r="Y821" s="1" t="s">
        <v>49</v>
      </c>
      <c r="Z821" s="1"/>
      <c r="AA821" s="1" t="s">
        <v>40</v>
      </c>
      <c r="AB821" s="1" t="s">
        <v>1080</v>
      </c>
      <c r="AC821" s="1"/>
    </row>
    <row r="822">
      <c r="A822" s="1" t="str">
        <f>"0007WA"</f>
        <v>0007WA</v>
      </c>
      <c r="B822" s="1" t="s">
        <v>157</v>
      </c>
      <c r="C822" s="1" t="s">
        <v>158</v>
      </c>
      <c r="D822" s="1" t="str">
        <f>"8029482057"</f>
        <v>8029482057</v>
      </c>
      <c r="E822" s="1">
        <v>1217.0</v>
      </c>
      <c r="F822" s="1" t="s">
        <v>31</v>
      </c>
      <c r="G822" s="1" t="s">
        <v>3461</v>
      </c>
      <c r="H822" s="1">
        <v>11.0</v>
      </c>
      <c r="I822" s="1"/>
      <c r="J822" s="1"/>
      <c r="K822" s="1"/>
      <c r="L822" s="1"/>
      <c r="M822" s="1" t="s">
        <v>3462</v>
      </c>
      <c r="N822" s="1" t="s">
        <v>57</v>
      </c>
      <c r="O822" s="1" t="s">
        <v>1633</v>
      </c>
      <c r="P822" s="1" t="s">
        <v>3463</v>
      </c>
      <c r="Q822" s="3">
        <v>36892.0</v>
      </c>
      <c r="R822" s="1"/>
      <c r="S822" s="3">
        <v>41912.0</v>
      </c>
      <c r="T822" s="1" t="s">
        <v>164</v>
      </c>
      <c r="U822" s="1"/>
      <c r="V822" s="1" t="s">
        <v>38</v>
      </c>
      <c r="W822" s="1">
        <v>44.276944</v>
      </c>
      <c r="X822" s="1">
        <v>-73.1994439999999</v>
      </c>
      <c r="Y822" s="1" t="s">
        <v>3464</v>
      </c>
      <c r="Z822" s="1"/>
      <c r="AA822" s="1" t="s">
        <v>40</v>
      </c>
      <c r="AB822" s="1" t="s">
        <v>1634</v>
      </c>
      <c r="AC822" s="1">
        <v>5445.0</v>
      </c>
    </row>
    <row r="823">
      <c r="A823" s="1" t="str">
        <f>"0007XB"</f>
        <v>0007XB</v>
      </c>
      <c r="B823" s="1" t="s">
        <v>3465</v>
      </c>
      <c r="C823" s="1" t="s">
        <v>3466</v>
      </c>
      <c r="D823" s="1" t="str">
        <f>"8025249454"</f>
        <v>8025249454</v>
      </c>
      <c r="E823" s="1">
        <v>2693.0</v>
      </c>
      <c r="F823" s="1" t="s">
        <v>44</v>
      </c>
      <c r="G823" s="1" t="s">
        <v>3467</v>
      </c>
      <c r="H823" s="1">
        <v>2.0</v>
      </c>
      <c r="I823" s="1"/>
      <c r="J823" s="1"/>
      <c r="K823" s="1"/>
      <c r="L823" s="1"/>
      <c r="M823" s="1" t="s">
        <v>72</v>
      </c>
      <c r="N823" s="1" t="s">
        <v>47</v>
      </c>
      <c r="O823" s="1" t="s">
        <v>2753</v>
      </c>
      <c r="P823" s="1"/>
      <c r="Q823" s="3">
        <v>36892.0</v>
      </c>
      <c r="R823" s="1"/>
      <c r="S823" s="3">
        <v>33032.0</v>
      </c>
      <c r="T823" s="1" t="s">
        <v>37</v>
      </c>
      <c r="U823" s="1"/>
      <c r="V823" s="1" t="s">
        <v>38</v>
      </c>
      <c r="W823" s="1"/>
      <c r="X823" s="1"/>
      <c r="Y823" s="1" t="s">
        <v>49</v>
      </c>
      <c r="Z823" s="1"/>
      <c r="AA823" s="1" t="s">
        <v>40</v>
      </c>
      <c r="AB823" s="1" t="s">
        <v>2756</v>
      </c>
      <c r="AC823" s="1"/>
    </row>
    <row r="824">
      <c r="A824" s="1" t="str">
        <f>"0007XA"</f>
        <v>0007XA</v>
      </c>
      <c r="B824" s="1" t="s">
        <v>3468</v>
      </c>
      <c r="C824" s="1" t="s">
        <v>3469</v>
      </c>
      <c r="D824" s="1"/>
      <c r="E824" s="1">
        <v>1274.0</v>
      </c>
      <c r="F824" s="1" t="s">
        <v>44</v>
      </c>
      <c r="G824" s="1" t="s">
        <v>3470</v>
      </c>
      <c r="H824" s="1">
        <v>1.0</v>
      </c>
      <c r="I824" s="1"/>
      <c r="J824" s="1"/>
      <c r="K824" s="1"/>
      <c r="L824" s="1"/>
      <c r="M824" s="1" t="s">
        <v>3471</v>
      </c>
      <c r="N824" s="1" t="s">
        <v>57</v>
      </c>
      <c r="O824" s="1" t="s">
        <v>1633</v>
      </c>
      <c r="P824" s="1"/>
      <c r="Q824" s="3">
        <v>36892.0</v>
      </c>
      <c r="R824" s="1"/>
      <c r="S824" s="3">
        <v>33018.0</v>
      </c>
      <c r="T824" s="1" t="s">
        <v>37</v>
      </c>
      <c r="U824" s="1"/>
      <c r="V824" s="1" t="s">
        <v>38</v>
      </c>
      <c r="W824" s="1"/>
      <c r="X824" s="1"/>
      <c r="Y824" s="1" t="s">
        <v>49</v>
      </c>
      <c r="Z824" s="1"/>
      <c r="AA824" s="1" t="s">
        <v>40</v>
      </c>
      <c r="AB824" s="1" t="s">
        <v>1634</v>
      </c>
      <c r="AC824" s="1"/>
    </row>
    <row r="825">
      <c r="A825" s="1" t="str">
        <f>"0007X9"</f>
        <v>0007X9</v>
      </c>
      <c r="B825" s="1" t="s">
        <v>3472</v>
      </c>
      <c r="C825" s="1" t="s">
        <v>3473</v>
      </c>
      <c r="D825" s="1" t="str">
        <f>"8024252049"</f>
        <v>8024252049</v>
      </c>
      <c r="E825" s="1">
        <v>1273.0</v>
      </c>
      <c r="F825" s="1" t="s">
        <v>44</v>
      </c>
      <c r="G825" s="1" t="s">
        <v>3474</v>
      </c>
      <c r="H825" s="1">
        <v>2.0</v>
      </c>
      <c r="I825" s="1"/>
      <c r="J825" s="1"/>
      <c r="K825" s="1"/>
      <c r="L825" s="1"/>
      <c r="M825" s="1" t="s">
        <v>3475</v>
      </c>
      <c r="N825" s="1" t="s">
        <v>57</v>
      </c>
      <c r="O825" s="1" t="s">
        <v>1633</v>
      </c>
      <c r="P825" s="1"/>
      <c r="Q825" s="3">
        <v>36892.0</v>
      </c>
      <c r="R825" s="1"/>
      <c r="S825" s="3">
        <v>35957.0</v>
      </c>
      <c r="T825" s="1" t="s">
        <v>37</v>
      </c>
      <c r="U825" s="1"/>
      <c r="V825" s="1" t="s">
        <v>38</v>
      </c>
      <c r="W825" s="1"/>
      <c r="X825" s="1"/>
      <c r="Y825" s="1" t="s">
        <v>49</v>
      </c>
      <c r="Z825" s="1"/>
      <c r="AA825" s="1" t="s">
        <v>40</v>
      </c>
      <c r="AB825" s="1" t="s">
        <v>1634</v>
      </c>
      <c r="AC825" s="1"/>
    </row>
    <row r="826">
      <c r="A826" s="1" t="str">
        <f>"0007WA"</f>
        <v>0007WA</v>
      </c>
      <c r="B826" s="1" t="s">
        <v>157</v>
      </c>
      <c r="C826" s="1" t="s">
        <v>158</v>
      </c>
      <c r="D826" s="1" t="str">
        <f>"8029482057"</f>
        <v>8029482057</v>
      </c>
      <c r="E826" s="1">
        <v>1217.0</v>
      </c>
      <c r="F826" s="1" t="s">
        <v>31</v>
      </c>
      <c r="G826" s="1" t="s">
        <v>3476</v>
      </c>
      <c r="H826" s="1">
        <v>18.0</v>
      </c>
      <c r="I826" s="1"/>
      <c r="J826" s="1"/>
      <c r="K826" s="1"/>
      <c r="L826" s="1"/>
      <c r="M826" s="1" t="s">
        <v>3477</v>
      </c>
      <c r="N826" s="1" t="s">
        <v>161</v>
      </c>
      <c r="O826" s="1" t="s">
        <v>531</v>
      </c>
      <c r="P826" s="1" t="s">
        <v>3477</v>
      </c>
      <c r="Q826" s="3">
        <v>36892.0</v>
      </c>
      <c r="R826" s="1"/>
      <c r="S826" s="3">
        <v>40675.0</v>
      </c>
      <c r="T826" s="1" t="s">
        <v>164</v>
      </c>
      <c r="U826" s="1"/>
      <c r="V826" s="1" t="s">
        <v>38</v>
      </c>
      <c r="W826" s="1"/>
      <c r="X826" s="1"/>
      <c r="Y826" s="1" t="s">
        <v>3478</v>
      </c>
      <c r="Z826" s="1"/>
      <c r="AA826" s="1" t="s">
        <v>40</v>
      </c>
      <c r="AB826" s="1" t="s">
        <v>532</v>
      </c>
      <c r="AC826" s="1">
        <v>5760.0</v>
      </c>
    </row>
    <row r="827">
      <c r="A827" s="1" t="str">
        <f>"00088B"</f>
        <v>00088B</v>
      </c>
      <c r="B827" s="1" t="s">
        <v>3479</v>
      </c>
      <c r="C827" s="1" t="s">
        <v>3480</v>
      </c>
      <c r="D827" s="1" t="str">
        <f>"8028993847"</f>
        <v>8028993847</v>
      </c>
      <c r="E827" s="1">
        <v>2968.0</v>
      </c>
      <c r="F827" s="1" t="s">
        <v>31</v>
      </c>
      <c r="G827" s="1" t="s">
        <v>3481</v>
      </c>
      <c r="H827" s="1">
        <v>1.0</v>
      </c>
      <c r="I827" s="1"/>
      <c r="J827" s="1"/>
      <c r="K827" s="1"/>
      <c r="L827" s="1"/>
      <c r="M827" s="1" t="s">
        <v>33</v>
      </c>
      <c r="N827" s="1" t="s">
        <v>57</v>
      </c>
      <c r="O827" s="1" t="s">
        <v>58</v>
      </c>
      <c r="P827" s="1" t="s">
        <v>3482</v>
      </c>
      <c r="Q827" s="3">
        <v>36892.0</v>
      </c>
      <c r="R827" s="1"/>
      <c r="S827" s="3">
        <v>37736.0</v>
      </c>
      <c r="T827" s="1" t="s">
        <v>37</v>
      </c>
      <c r="U827" s="1"/>
      <c r="V827" s="1" t="s">
        <v>38</v>
      </c>
      <c r="W827" s="1">
        <v>44.568848</v>
      </c>
      <c r="X827" s="1">
        <v>-72.8670879999999</v>
      </c>
      <c r="Y827" s="1" t="s">
        <v>3483</v>
      </c>
      <c r="Z827" s="1"/>
      <c r="AA827" s="1" t="s">
        <v>40</v>
      </c>
      <c r="AB827" s="1" t="s">
        <v>61</v>
      </c>
      <c r="AC827" s="1">
        <v>5489.0</v>
      </c>
    </row>
    <row r="828">
      <c r="A828" s="1" t="str">
        <f>"0007X8"</f>
        <v>0007X8</v>
      </c>
      <c r="B828" s="1" t="s">
        <v>3484</v>
      </c>
      <c r="C828" s="1" t="s">
        <v>3485</v>
      </c>
      <c r="D828" s="1"/>
      <c r="E828" s="1">
        <v>3688.0</v>
      </c>
      <c r="F828" s="1" t="s">
        <v>44</v>
      </c>
      <c r="G828" s="1" t="s">
        <v>3486</v>
      </c>
      <c r="H828" s="1"/>
      <c r="I828" s="1"/>
      <c r="J828" s="1"/>
      <c r="K828" s="1"/>
      <c r="L828" s="1"/>
      <c r="M828" s="1" t="s">
        <v>72</v>
      </c>
      <c r="N828" s="1" t="s">
        <v>142</v>
      </c>
      <c r="O828" s="1" t="s">
        <v>1026</v>
      </c>
      <c r="P828" s="1"/>
      <c r="Q828" s="3">
        <v>36892.0</v>
      </c>
      <c r="R828" s="1"/>
      <c r="S828" s="1"/>
      <c r="T828" s="1" t="s">
        <v>37</v>
      </c>
      <c r="U828" s="1"/>
      <c r="V828" s="1" t="s">
        <v>38</v>
      </c>
      <c r="W828" s="1"/>
      <c r="X828" s="1"/>
      <c r="Y828" s="1" t="s">
        <v>49</v>
      </c>
      <c r="Z828" s="1"/>
      <c r="AA828" s="1" t="s">
        <v>40</v>
      </c>
      <c r="AB828" s="1" t="s">
        <v>135</v>
      </c>
      <c r="AC828" s="1"/>
    </row>
    <row r="829">
      <c r="A829" s="1" t="str">
        <f t="shared" ref="A829:A830" si="52">"0007K0"</f>
        <v>0007K0</v>
      </c>
      <c r="B829" s="1" t="s">
        <v>2767</v>
      </c>
      <c r="C829" s="1" t="s">
        <v>2768</v>
      </c>
      <c r="D829" s="1" t="str">
        <f t="shared" ref="D829:D830" si="53">"8023887724"</f>
        <v>8023887724</v>
      </c>
      <c r="E829" s="1">
        <v>851.0</v>
      </c>
      <c r="F829" s="1" t="s">
        <v>117</v>
      </c>
      <c r="G829" s="1" t="s">
        <v>3487</v>
      </c>
      <c r="H829" s="1">
        <v>27.0</v>
      </c>
      <c r="I829" s="2" t="s">
        <v>119</v>
      </c>
      <c r="J829" s="2" t="s">
        <v>119</v>
      </c>
      <c r="K829" s="2" t="s">
        <v>119</v>
      </c>
      <c r="L829" s="1"/>
      <c r="M829" s="1" t="s">
        <v>3488</v>
      </c>
      <c r="N829" s="1" t="s">
        <v>57</v>
      </c>
      <c r="O829" s="1" t="s">
        <v>1633</v>
      </c>
      <c r="P829" s="1"/>
      <c r="Q829" s="3">
        <v>36892.0</v>
      </c>
      <c r="R829" s="1"/>
      <c r="S829" s="3">
        <v>41912.0</v>
      </c>
      <c r="T829" s="1" t="s">
        <v>37</v>
      </c>
      <c r="U829" s="1"/>
      <c r="V829" s="1" t="s">
        <v>38</v>
      </c>
      <c r="W829" s="1">
        <v>44.3261890320929</v>
      </c>
      <c r="X829" s="1">
        <v>-73.27810049057</v>
      </c>
      <c r="Y829" s="1" t="s">
        <v>3489</v>
      </c>
      <c r="Z829" s="1"/>
      <c r="AA829" s="1" t="s">
        <v>40</v>
      </c>
      <c r="AB829" s="1" t="s">
        <v>1634</v>
      </c>
      <c r="AC829" s="1">
        <v>0.0</v>
      </c>
    </row>
    <row r="830">
      <c r="A830" s="1" t="str">
        <f t="shared" si="52"/>
        <v>0007K0</v>
      </c>
      <c r="B830" s="1" t="s">
        <v>2767</v>
      </c>
      <c r="C830" s="1" t="s">
        <v>2768</v>
      </c>
      <c r="D830" s="1" t="str">
        <f t="shared" si="53"/>
        <v>8023887724</v>
      </c>
      <c r="E830" s="1">
        <v>851.0</v>
      </c>
      <c r="F830" s="1" t="s">
        <v>117</v>
      </c>
      <c r="G830" s="1" t="s">
        <v>3490</v>
      </c>
      <c r="H830" s="1">
        <v>17.0</v>
      </c>
      <c r="I830" s="2" t="s">
        <v>119</v>
      </c>
      <c r="J830" s="2" t="s">
        <v>119</v>
      </c>
      <c r="K830" s="2" t="s">
        <v>119</v>
      </c>
      <c r="L830" s="1"/>
      <c r="M830" s="1" t="s">
        <v>3491</v>
      </c>
      <c r="N830" s="1" t="s">
        <v>57</v>
      </c>
      <c r="O830" s="1" t="s">
        <v>1633</v>
      </c>
      <c r="P830" s="1"/>
      <c r="Q830" s="3">
        <v>36892.0</v>
      </c>
      <c r="R830" s="1"/>
      <c r="S830" s="3">
        <v>41933.0</v>
      </c>
      <c r="T830" s="1" t="s">
        <v>37</v>
      </c>
      <c r="U830" s="1"/>
      <c r="V830" s="1" t="s">
        <v>38</v>
      </c>
      <c r="W830" s="1">
        <v>44.2919921481625</v>
      </c>
      <c r="X830" s="1">
        <v>-73.2449081540107</v>
      </c>
      <c r="Y830" s="1" t="s">
        <v>2962</v>
      </c>
      <c r="Z830" s="1"/>
      <c r="AA830" s="1" t="s">
        <v>40</v>
      </c>
      <c r="AB830" s="1" t="s">
        <v>1634</v>
      </c>
      <c r="AC830" s="1">
        <v>0.0</v>
      </c>
    </row>
    <row r="831">
      <c r="A831" s="1" t="str">
        <f>"0007JZ"</f>
        <v>0007JZ</v>
      </c>
      <c r="B831" s="1" t="s">
        <v>3492</v>
      </c>
      <c r="C831" s="1" t="s">
        <v>3493</v>
      </c>
      <c r="D831" s="1" t="str">
        <f>"8028773309"</f>
        <v>8028773309</v>
      </c>
      <c r="E831" s="1">
        <v>850.0</v>
      </c>
      <c r="F831" s="1" t="s">
        <v>44</v>
      </c>
      <c r="G831" s="1" t="s">
        <v>3494</v>
      </c>
      <c r="H831" s="1">
        <v>0.0</v>
      </c>
      <c r="I831" s="2"/>
      <c r="J831" s="2"/>
      <c r="K831" s="2"/>
      <c r="L831" s="1"/>
      <c r="M831" s="1" t="s">
        <v>3495</v>
      </c>
      <c r="N831" s="1" t="s">
        <v>57</v>
      </c>
      <c r="O831" s="1" t="s">
        <v>1633</v>
      </c>
      <c r="P831" s="1"/>
      <c r="Q831" s="3">
        <v>36892.0</v>
      </c>
      <c r="R831" s="1"/>
      <c r="S831" s="3">
        <v>33018.0</v>
      </c>
      <c r="T831" s="1" t="s">
        <v>37</v>
      </c>
      <c r="U831" s="1"/>
      <c r="V831" s="1" t="s">
        <v>38</v>
      </c>
      <c r="W831" s="1"/>
      <c r="X831" s="1"/>
      <c r="Y831" s="1" t="s">
        <v>49</v>
      </c>
      <c r="Z831" s="1"/>
      <c r="AA831" s="1" t="s">
        <v>40</v>
      </c>
      <c r="AB831" s="1" t="s">
        <v>1634</v>
      </c>
      <c r="AC831" s="1"/>
    </row>
    <row r="832">
      <c r="A832" s="1" t="str">
        <f>"0007X4"</f>
        <v>0007X4</v>
      </c>
      <c r="B832" s="1" t="s">
        <v>3496</v>
      </c>
      <c r="C832" s="1" t="s">
        <v>3497</v>
      </c>
      <c r="D832" s="1" t="str">
        <f>"8028492356"</f>
        <v>8028492356</v>
      </c>
      <c r="E832" s="1">
        <v>4122.0</v>
      </c>
      <c r="F832" s="1" t="s">
        <v>44</v>
      </c>
      <c r="G832" s="1" t="s">
        <v>3498</v>
      </c>
      <c r="H832" s="1">
        <v>0.0</v>
      </c>
      <c r="I832" s="1"/>
      <c r="J832" s="1"/>
      <c r="K832" s="1"/>
      <c r="L832" s="1"/>
      <c r="M832" s="1" t="s">
        <v>72</v>
      </c>
      <c r="N832" s="1" t="s">
        <v>47</v>
      </c>
      <c r="O832" s="1" t="s">
        <v>763</v>
      </c>
      <c r="P832" s="1"/>
      <c r="Q832" s="3">
        <v>36892.0</v>
      </c>
      <c r="R832" s="1"/>
      <c r="S832" s="1"/>
      <c r="T832" s="1" t="s">
        <v>37</v>
      </c>
      <c r="U832" s="1"/>
      <c r="V832" s="1" t="s">
        <v>38</v>
      </c>
      <c r="W832" s="1">
        <v>44.6704157</v>
      </c>
      <c r="X832" s="1">
        <v>-72.9295028999999</v>
      </c>
      <c r="Y832" s="1" t="s">
        <v>3499</v>
      </c>
      <c r="Z832" s="1"/>
      <c r="AA832" s="1" t="s">
        <v>40</v>
      </c>
      <c r="AB832" s="1" t="s">
        <v>764</v>
      </c>
      <c r="AC832" s="1">
        <v>5444.0</v>
      </c>
    </row>
    <row r="833">
      <c r="A833" s="1" t="str">
        <f>"0007JW"</f>
        <v>0007JW</v>
      </c>
      <c r="B833" s="1" t="s">
        <v>3500</v>
      </c>
      <c r="C833" s="1" t="s">
        <v>3501</v>
      </c>
      <c r="D833" s="1" t="str">
        <f>"8027592572"</f>
        <v>8027592572</v>
      </c>
      <c r="E833" s="1">
        <v>3097.0</v>
      </c>
      <c r="F833" s="1" t="s">
        <v>117</v>
      </c>
      <c r="G833" s="1" t="s">
        <v>3502</v>
      </c>
      <c r="H833" s="1">
        <v>21.0</v>
      </c>
      <c r="I833" s="2" t="s">
        <v>119</v>
      </c>
      <c r="J833" s="2">
        <v>4.0</v>
      </c>
      <c r="K833" s="2" t="s">
        <v>119</v>
      </c>
      <c r="L833" s="1"/>
      <c r="M833" s="1" t="s">
        <v>3503</v>
      </c>
      <c r="N833" s="1" t="s">
        <v>161</v>
      </c>
      <c r="O833" s="1" t="s">
        <v>3504</v>
      </c>
      <c r="P833" s="1" t="s">
        <v>3505</v>
      </c>
      <c r="Q833" s="3">
        <v>36892.0</v>
      </c>
      <c r="R833" s="1"/>
      <c r="S833" s="3">
        <v>39183.0</v>
      </c>
      <c r="T833" s="1" t="s">
        <v>37</v>
      </c>
      <c r="U833" s="1"/>
      <c r="V833" s="1" t="s">
        <v>38</v>
      </c>
      <c r="W833" s="1">
        <v>44.12</v>
      </c>
      <c r="X833" s="1">
        <v>-73.2925</v>
      </c>
      <c r="Y833" s="1" t="s">
        <v>3506</v>
      </c>
      <c r="Z833" s="1"/>
      <c r="AA833" s="1" t="s">
        <v>40</v>
      </c>
      <c r="AB833" s="1" t="s">
        <v>3507</v>
      </c>
      <c r="AC833" s="1">
        <v>5491.0</v>
      </c>
    </row>
    <row r="834">
      <c r="A834" s="1" t="str">
        <f>"0007X1"</f>
        <v>0007X1</v>
      </c>
      <c r="B834" s="1" t="s">
        <v>3508</v>
      </c>
      <c r="C834" s="1" t="s">
        <v>3509</v>
      </c>
      <c r="D834" s="1"/>
      <c r="E834" s="1">
        <v>1251.0</v>
      </c>
      <c r="F834" s="1" t="s">
        <v>44</v>
      </c>
      <c r="G834" s="1" t="s">
        <v>3510</v>
      </c>
      <c r="H834" s="1"/>
      <c r="I834" s="1"/>
      <c r="J834" s="1"/>
      <c r="K834" s="1"/>
      <c r="L834" s="1"/>
      <c r="M834" s="1" t="s">
        <v>72</v>
      </c>
      <c r="N834" s="1" t="s">
        <v>57</v>
      </c>
      <c r="O834" s="1" t="s">
        <v>503</v>
      </c>
      <c r="P834" s="1"/>
      <c r="Q834" s="3">
        <v>36892.0</v>
      </c>
      <c r="R834" s="1"/>
      <c r="S834" s="1"/>
      <c r="T834" s="1" t="s">
        <v>37</v>
      </c>
      <c r="U834" s="1"/>
      <c r="V834" s="1" t="s">
        <v>38</v>
      </c>
      <c r="W834" s="1"/>
      <c r="X834" s="1"/>
      <c r="Y834" s="1" t="s">
        <v>49</v>
      </c>
      <c r="Z834" s="1"/>
      <c r="AA834" s="1" t="s">
        <v>40</v>
      </c>
      <c r="AB834" s="1" t="s">
        <v>504</v>
      </c>
      <c r="AC834" s="1"/>
    </row>
    <row r="835">
      <c r="A835" s="1" t="str">
        <f>"0007X0"</f>
        <v>0007X0</v>
      </c>
      <c r="B835" s="1" t="s">
        <v>3511</v>
      </c>
      <c r="C835" s="1" t="s">
        <v>3512</v>
      </c>
      <c r="D835" s="1"/>
      <c r="E835" s="1">
        <v>1250.0</v>
      </c>
      <c r="F835" s="1" t="s">
        <v>44</v>
      </c>
      <c r="G835" s="1" t="s">
        <v>3513</v>
      </c>
      <c r="H835" s="1"/>
      <c r="I835" s="1"/>
      <c r="J835" s="1"/>
      <c r="K835" s="1"/>
      <c r="L835" s="1"/>
      <c r="M835" s="1" t="s">
        <v>72</v>
      </c>
      <c r="N835" s="1" t="s">
        <v>57</v>
      </c>
      <c r="O835" s="1" t="s">
        <v>503</v>
      </c>
      <c r="P835" s="1"/>
      <c r="Q835" s="3">
        <v>36892.0</v>
      </c>
      <c r="R835" s="1"/>
      <c r="S835" s="1"/>
      <c r="T835" s="1" t="s">
        <v>37</v>
      </c>
      <c r="U835" s="1"/>
      <c r="V835" s="1" t="s">
        <v>38</v>
      </c>
      <c r="W835" s="1"/>
      <c r="X835" s="1"/>
      <c r="Y835" s="1" t="s">
        <v>49</v>
      </c>
      <c r="Z835" s="1"/>
      <c r="AA835" s="1" t="s">
        <v>40</v>
      </c>
      <c r="AB835" s="1" t="s">
        <v>504</v>
      </c>
      <c r="AC835" s="1"/>
    </row>
    <row r="836">
      <c r="A836" s="1" t="str">
        <f>"0007WZ"</f>
        <v>0007WZ</v>
      </c>
      <c r="B836" s="1" t="s">
        <v>3514</v>
      </c>
      <c r="C836" s="1" t="s">
        <v>3515</v>
      </c>
      <c r="D836" s="1" t="str">
        <f>"8028646631"</f>
        <v>8028646631</v>
      </c>
      <c r="E836" s="1">
        <v>1246.0</v>
      </c>
      <c r="F836" s="1" t="s">
        <v>44</v>
      </c>
      <c r="G836" s="1" t="s">
        <v>3516</v>
      </c>
      <c r="H836" s="1">
        <v>2.0</v>
      </c>
      <c r="I836" s="1"/>
      <c r="J836" s="1"/>
      <c r="K836" s="1"/>
      <c r="L836" s="1"/>
      <c r="M836" s="1" t="s">
        <v>3517</v>
      </c>
      <c r="N836" s="1" t="s">
        <v>57</v>
      </c>
      <c r="O836" s="1" t="s">
        <v>503</v>
      </c>
      <c r="P836" s="1"/>
      <c r="Q836" s="3">
        <v>36892.0</v>
      </c>
      <c r="R836" s="1"/>
      <c r="S836" s="3">
        <v>34912.0</v>
      </c>
      <c r="T836" s="1" t="s">
        <v>37</v>
      </c>
      <c r="U836" s="1"/>
      <c r="V836" s="1" t="s">
        <v>38</v>
      </c>
      <c r="W836" s="1"/>
      <c r="X836" s="1"/>
      <c r="Y836" s="1" t="s">
        <v>49</v>
      </c>
      <c r="Z836" s="1"/>
      <c r="AA836" s="1" t="s">
        <v>40</v>
      </c>
      <c r="AB836" s="1" t="s">
        <v>504</v>
      </c>
      <c r="AC836" s="1"/>
    </row>
    <row r="837">
      <c r="A837" s="1" t="str">
        <f>"0007VF"</f>
        <v>0007VF</v>
      </c>
      <c r="B837" s="1" t="s">
        <v>3518</v>
      </c>
      <c r="C837" s="1" t="s">
        <v>3519</v>
      </c>
      <c r="D837" s="1" t="str">
        <f>"8025843509"</f>
        <v>8025843509</v>
      </c>
      <c r="E837" s="1">
        <v>2915.0</v>
      </c>
      <c r="F837" s="1" t="s">
        <v>117</v>
      </c>
      <c r="G837" s="1" t="s">
        <v>3520</v>
      </c>
      <c r="H837" s="1">
        <v>1.0</v>
      </c>
      <c r="I837" s="2">
        <v>0.0</v>
      </c>
      <c r="J837" s="2">
        <v>0.0</v>
      </c>
      <c r="K837" s="2" t="s">
        <v>829</v>
      </c>
      <c r="L837" s="1"/>
      <c r="M837" s="1" t="s">
        <v>3521</v>
      </c>
      <c r="N837" s="1" t="s">
        <v>128</v>
      </c>
      <c r="O837" s="1" t="s">
        <v>1048</v>
      </c>
      <c r="P837" s="1" t="s">
        <v>3522</v>
      </c>
      <c r="Q837" s="3">
        <v>36892.0</v>
      </c>
      <c r="R837" s="1"/>
      <c r="S837" s="1"/>
      <c r="T837" s="1" t="s">
        <v>37</v>
      </c>
      <c r="U837" s="1"/>
      <c r="V837" s="1" t="s">
        <v>38</v>
      </c>
      <c r="W837" s="1">
        <v>44.1911744082822</v>
      </c>
      <c r="X837" s="1">
        <v>-72.1339344978332</v>
      </c>
      <c r="Y837" s="1" t="s">
        <v>3523</v>
      </c>
      <c r="Z837" s="1" t="s">
        <v>3524</v>
      </c>
      <c r="AA837" s="1" t="s">
        <v>40</v>
      </c>
      <c r="AB837" s="1" t="s">
        <v>1049</v>
      </c>
      <c r="AC837" s="1">
        <v>5069.0</v>
      </c>
    </row>
    <row r="838">
      <c r="A838" s="1" t="str">
        <f>"0007WA"</f>
        <v>0007WA</v>
      </c>
      <c r="B838" s="1" t="s">
        <v>157</v>
      </c>
      <c r="C838" s="1" t="s">
        <v>158</v>
      </c>
      <c r="D838" s="1" t="str">
        <f>"8029482057"</f>
        <v>8029482057</v>
      </c>
      <c r="E838" s="1">
        <v>1217.0</v>
      </c>
      <c r="F838" s="1" t="s">
        <v>31</v>
      </c>
      <c r="G838" s="1" t="s">
        <v>3525</v>
      </c>
      <c r="H838" s="1">
        <v>21.0</v>
      </c>
      <c r="I838" s="1"/>
      <c r="J838" s="1"/>
      <c r="K838" s="1"/>
      <c r="L838" s="1"/>
      <c r="M838" s="1" t="s">
        <v>3526</v>
      </c>
      <c r="N838" s="1" t="s">
        <v>161</v>
      </c>
      <c r="O838" s="1" t="s">
        <v>531</v>
      </c>
      <c r="P838" s="1" t="s">
        <v>3527</v>
      </c>
      <c r="Q838" s="3">
        <v>36892.0</v>
      </c>
      <c r="R838" s="1"/>
      <c r="S838" s="3">
        <v>41912.0</v>
      </c>
      <c r="T838" s="1" t="s">
        <v>164</v>
      </c>
      <c r="U838" s="1"/>
      <c r="V838" s="1" t="s">
        <v>38</v>
      </c>
      <c r="W838" s="1">
        <v>43.8449</v>
      </c>
      <c r="X838" s="1">
        <v>-73.2802699999999</v>
      </c>
      <c r="Y838" s="1" t="s">
        <v>3527</v>
      </c>
      <c r="Z838" s="1"/>
      <c r="AA838" s="1" t="s">
        <v>40</v>
      </c>
      <c r="AB838" s="1" t="s">
        <v>532</v>
      </c>
      <c r="AC838" s="1">
        <v>5760.0</v>
      </c>
    </row>
    <row r="839">
      <c r="A839" s="1" t="str">
        <f>"0008G2"</f>
        <v>0008G2</v>
      </c>
      <c r="B839" s="1" t="s">
        <v>3528</v>
      </c>
      <c r="C839" s="1" t="s">
        <v>3529</v>
      </c>
      <c r="D839" s="1" t="str">
        <f>"8028744729"</f>
        <v>8028744729</v>
      </c>
      <c r="E839" s="1">
        <v>2940.0</v>
      </c>
      <c r="F839" s="1" t="s">
        <v>44</v>
      </c>
      <c r="G839" s="1" t="s">
        <v>3530</v>
      </c>
      <c r="H839" s="1">
        <v>1.0</v>
      </c>
      <c r="I839" s="1"/>
      <c r="J839" s="1"/>
      <c r="K839" s="1"/>
      <c r="L839" s="1"/>
      <c r="M839" s="1" t="s">
        <v>72</v>
      </c>
      <c r="N839" s="1" t="s">
        <v>66</v>
      </c>
      <c r="O839" s="1" t="s">
        <v>751</v>
      </c>
      <c r="P839" s="1" t="s">
        <v>3531</v>
      </c>
      <c r="Q839" s="3">
        <v>36892.0</v>
      </c>
      <c r="R839" s="1"/>
      <c r="S839" s="3">
        <v>35207.0</v>
      </c>
      <c r="T839" s="1" t="s">
        <v>37</v>
      </c>
      <c r="U839" s="1"/>
      <c r="V839" s="1" t="s">
        <v>38</v>
      </c>
      <c r="W839" s="1">
        <v>43.0703089999999</v>
      </c>
      <c r="X839" s="1">
        <v>-72.8479079999999</v>
      </c>
      <c r="Y839" s="1" t="s">
        <v>3532</v>
      </c>
      <c r="Z839" s="1"/>
      <c r="AA839" s="1" t="s">
        <v>40</v>
      </c>
      <c r="AB839" s="1" t="s">
        <v>754</v>
      </c>
      <c r="AC839" s="1">
        <v>5343.0</v>
      </c>
    </row>
    <row r="840">
      <c r="A840" s="1" t="str">
        <f>"0007WA"</f>
        <v>0007WA</v>
      </c>
      <c r="B840" s="1" t="s">
        <v>157</v>
      </c>
      <c r="C840" s="1" t="s">
        <v>158</v>
      </c>
      <c r="D840" s="1" t="str">
        <f>"8029482057"</f>
        <v>8029482057</v>
      </c>
      <c r="E840" s="1">
        <v>1217.0</v>
      </c>
      <c r="F840" s="1" t="s">
        <v>31</v>
      </c>
      <c r="G840" s="1" t="s">
        <v>3533</v>
      </c>
      <c r="H840" s="1">
        <v>0.0</v>
      </c>
      <c r="I840" s="1"/>
      <c r="J840" s="1"/>
      <c r="K840" s="1"/>
      <c r="L840" s="1"/>
      <c r="M840" s="1" t="s">
        <v>3534</v>
      </c>
      <c r="N840" s="1" t="s">
        <v>57</v>
      </c>
      <c r="O840" s="1" t="s">
        <v>238</v>
      </c>
      <c r="P840" s="1"/>
      <c r="Q840" s="3">
        <v>36892.0</v>
      </c>
      <c r="R840" s="3">
        <v>42155.0</v>
      </c>
      <c r="S840" s="3">
        <v>41914.0</v>
      </c>
      <c r="T840" s="1" t="s">
        <v>164</v>
      </c>
      <c r="U840" s="1"/>
      <c r="V840" s="1" t="s">
        <v>38</v>
      </c>
      <c r="W840" s="1">
        <v>44.37433</v>
      </c>
      <c r="X840" s="1">
        <v>-73.2035799999999</v>
      </c>
      <c r="Y840" s="1" t="s">
        <v>49</v>
      </c>
      <c r="Z840" s="1"/>
      <c r="AA840" s="1" t="s">
        <v>40</v>
      </c>
      <c r="AB840" s="1" t="s">
        <v>239</v>
      </c>
      <c r="AC840" s="1">
        <v>5482.0</v>
      </c>
    </row>
    <row r="841">
      <c r="A841" s="1" t="str">
        <f>"00081Y"</f>
        <v>00081Y</v>
      </c>
      <c r="B841" s="1" t="s">
        <v>1108</v>
      </c>
      <c r="C841" s="1" t="s">
        <v>1109</v>
      </c>
      <c r="D841" s="1" t="str">
        <f>"8025242433"</f>
        <v>8025242433</v>
      </c>
      <c r="E841" s="1">
        <v>1523.0</v>
      </c>
      <c r="F841" s="1" t="s">
        <v>117</v>
      </c>
      <c r="G841" s="1" t="s">
        <v>3535</v>
      </c>
      <c r="H841" s="1">
        <v>25.0</v>
      </c>
      <c r="I841" s="2" t="s">
        <v>119</v>
      </c>
      <c r="J841" s="2" t="s">
        <v>119</v>
      </c>
      <c r="K841" s="2" t="s">
        <v>119</v>
      </c>
      <c r="L841" s="1"/>
      <c r="M841" s="1" t="s">
        <v>3536</v>
      </c>
      <c r="N841" s="1" t="s">
        <v>47</v>
      </c>
      <c r="O841" s="1" t="s">
        <v>2753</v>
      </c>
      <c r="P841" s="1" t="s">
        <v>3537</v>
      </c>
      <c r="Q841" s="3">
        <v>36892.0</v>
      </c>
      <c r="R841" s="1"/>
      <c r="S841" s="3">
        <v>41550.0</v>
      </c>
      <c r="T841" s="1" t="s">
        <v>37</v>
      </c>
      <c r="U841" s="1"/>
      <c r="V841" s="1" t="s">
        <v>38</v>
      </c>
      <c r="W841" s="1">
        <v>44.82634</v>
      </c>
      <c r="X841" s="1">
        <v>-73.12286</v>
      </c>
      <c r="Y841" s="1" t="s">
        <v>3538</v>
      </c>
      <c r="Z841" s="1"/>
      <c r="AA841" s="1" t="s">
        <v>40</v>
      </c>
      <c r="AB841" s="1" t="s">
        <v>2756</v>
      </c>
      <c r="AC841" s="1">
        <v>5478.0</v>
      </c>
    </row>
    <row r="842">
      <c r="A842" s="1" t="str">
        <f>"0007K0"</f>
        <v>0007K0</v>
      </c>
      <c r="B842" s="1" t="s">
        <v>2767</v>
      </c>
      <c r="C842" s="1" t="s">
        <v>2768</v>
      </c>
      <c r="D842" s="1" t="str">
        <f>"8023887724"</f>
        <v>8023887724</v>
      </c>
      <c r="E842" s="1">
        <v>851.0</v>
      </c>
      <c r="F842" s="1" t="s">
        <v>117</v>
      </c>
      <c r="G842" s="1" t="s">
        <v>3539</v>
      </c>
      <c r="H842" s="1">
        <v>36.0</v>
      </c>
      <c r="I842" s="2" t="s">
        <v>119</v>
      </c>
      <c r="J842" s="2" t="s">
        <v>119</v>
      </c>
      <c r="K842" s="2" t="s">
        <v>119</v>
      </c>
      <c r="L842" s="1"/>
      <c r="M842" s="1" t="s">
        <v>3540</v>
      </c>
      <c r="N842" s="1" t="s">
        <v>161</v>
      </c>
      <c r="O842" s="1" t="s">
        <v>3541</v>
      </c>
      <c r="P842" s="1" t="s">
        <v>3542</v>
      </c>
      <c r="Q842" s="3">
        <v>36892.0</v>
      </c>
      <c r="R842" s="1"/>
      <c r="S842" s="3">
        <v>41914.0</v>
      </c>
      <c r="T842" s="1" t="s">
        <v>37</v>
      </c>
      <c r="U842" s="1"/>
      <c r="V842" s="1" t="s">
        <v>38</v>
      </c>
      <c r="W842" s="1">
        <v>43.8611111</v>
      </c>
      <c r="X842" s="1">
        <v>-73.1886109999999</v>
      </c>
      <c r="Y842" s="1" t="s">
        <v>3543</v>
      </c>
      <c r="Z842" s="1"/>
      <c r="AA842" s="1" t="s">
        <v>40</v>
      </c>
      <c r="AB842" s="1" t="s">
        <v>3544</v>
      </c>
      <c r="AC842" s="1">
        <v>0.0</v>
      </c>
    </row>
    <row r="843">
      <c r="A843" s="1" t="str">
        <f>"000736"</f>
        <v>000736</v>
      </c>
      <c r="B843" s="1" t="s">
        <v>3545</v>
      </c>
      <c r="C843" s="1" t="s">
        <v>3546</v>
      </c>
      <c r="D843" s="1" t="str">
        <f>"8024532380"</f>
        <v>8024532380</v>
      </c>
      <c r="E843" s="1">
        <v>3618.0</v>
      </c>
      <c r="F843" s="1" t="s">
        <v>44</v>
      </c>
      <c r="G843" s="1" t="s">
        <v>3547</v>
      </c>
      <c r="H843" s="1">
        <v>1.0</v>
      </c>
      <c r="I843" s="1"/>
      <c r="J843" s="1"/>
      <c r="K843" s="1"/>
      <c r="L843" s="1"/>
      <c r="M843" s="1" t="s">
        <v>72</v>
      </c>
      <c r="N843" s="1" t="s">
        <v>161</v>
      </c>
      <c r="O843" s="1" t="s">
        <v>180</v>
      </c>
      <c r="P843" s="1"/>
      <c r="Q843" s="3">
        <v>36892.0</v>
      </c>
      <c r="R843" s="1"/>
      <c r="S843" s="3">
        <v>40721.0</v>
      </c>
      <c r="T843" s="1" t="s">
        <v>37</v>
      </c>
      <c r="U843" s="1"/>
      <c r="V843" s="1" t="s">
        <v>38</v>
      </c>
      <c r="W843" s="1"/>
      <c r="X843" s="1"/>
      <c r="Y843" s="1" t="s">
        <v>49</v>
      </c>
      <c r="Z843" s="1"/>
      <c r="AA843" s="1" t="s">
        <v>40</v>
      </c>
      <c r="AB843" s="1" t="s">
        <v>181</v>
      </c>
      <c r="AC843" s="1"/>
    </row>
    <row r="844">
      <c r="A844" s="1" t="str">
        <f>"0008B5"</f>
        <v>0008B5</v>
      </c>
      <c r="B844" s="1" t="s">
        <v>218</v>
      </c>
      <c r="C844" s="1" t="s">
        <v>219</v>
      </c>
      <c r="D844" s="1" t="str">
        <f>"8024395635"</f>
        <v>8024395635</v>
      </c>
      <c r="E844" s="1">
        <v>2843.0</v>
      </c>
      <c r="F844" s="1" t="s">
        <v>44</v>
      </c>
      <c r="G844" s="1" t="s">
        <v>3548</v>
      </c>
      <c r="H844" s="1"/>
      <c r="I844" s="1"/>
      <c r="J844" s="1"/>
      <c r="K844" s="1"/>
      <c r="L844" s="1"/>
      <c r="M844" s="1" t="s">
        <v>3549</v>
      </c>
      <c r="N844" s="1" t="s">
        <v>142</v>
      </c>
      <c r="O844" s="1" t="s">
        <v>844</v>
      </c>
      <c r="P844" s="1"/>
      <c r="Q844" s="3">
        <v>36892.0</v>
      </c>
      <c r="R844" s="1"/>
      <c r="S844" s="1"/>
      <c r="T844" s="1" t="s">
        <v>37</v>
      </c>
      <c r="U844" s="1"/>
      <c r="V844" s="1" t="s">
        <v>38</v>
      </c>
      <c r="W844" s="1"/>
      <c r="X844" s="1"/>
      <c r="Y844" s="1" t="s">
        <v>49</v>
      </c>
      <c r="Z844" s="1"/>
      <c r="AA844" s="1" t="s">
        <v>40</v>
      </c>
      <c r="AB844" s="1" t="s">
        <v>847</v>
      </c>
      <c r="AC844" s="1"/>
    </row>
    <row r="845">
      <c r="A845" s="1" t="str">
        <f>"00084M"</f>
        <v>00084M</v>
      </c>
      <c r="B845" s="1" t="s">
        <v>2601</v>
      </c>
      <c r="C845" s="1" t="s">
        <v>2602</v>
      </c>
      <c r="D845" s="1" t="str">
        <f>"8024736222"</f>
        <v>8024736222</v>
      </c>
      <c r="E845" s="1">
        <v>1642.0</v>
      </c>
      <c r="F845" s="1" t="s">
        <v>44</v>
      </c>
      <c r="G845" s="1" t="s">
        <v>3550</v>
      </c>
      <c r="H845" s="1">
        <v>4.0</v>
      </c>
      <c r="I845" s="1"/>
      <c r="J845" s="1"/>
      <c r="K845" s="1"/>
      <c r="L845" s="1"/>
      <c r="M845" s="1" t="s">
        <v>3551</v>
      </c>
      <c r="N845" s="1" t="s">
        <v>128</v>
      </c>
      <c r="O845" s="1" t="s">
        <v>1707</v>
      </c>
      <c r="P845" s="1"/>
      <c r="Q845" s="3">
        <v>36892.0</v>
      </c>
      <c r="R845" s="1"/>
      <c r="S845" s="3">
        <v>32622.0</v>
      </c>
      <c r="T845" s="1" t="s">
        <v>37</v>
      </c>
      <c r="U845" s="1"/>
      <c r="V845" s="1" t="s">
        <v>38</v>
      </c>
      <c r="W845" s="1"/>
      <c r="X845" s="1"/>
      <c r="Y845" s="1" t="s">
        <v>49</v>
      </c>
      <c r="Z845" s="1"/>
      <c r="AA845" s="1" t="s">
        <v>40</v>
      </c>
      <c r="AB845" s="1" t="s">
        <v>196</v>
      </c>
      <c r="AC845" s="1"/>
    </row>
    <row r="846">
      <c r="A846" s="1" t="str">
        <f>"0007WN"</f>
        <v>0007WN</v>
      </c>
      <c r="B846" s="1" t="s">
        <v>3552</v>
      </c>
      <c r="C846" s="1" t="s">
        <v>3553</v>
      </c>
      <c r="D846" s="1"/>
      <c r="E846" s="1">
        <v>1233.0</v>
      </c>
      <c r="F846" s="1" t="s">
        <v>44</v>
      </c>
      <c r="G846" s="1" t="s">
        <v>3554</v>
      </c>
      <c r="H846" s="1">
        <v>3.0</v>
      </c>
      <c r="I846" s="1"/>
      <c r="J846" s="1"/>
      <c r="K846" s="1"/>
      <c r="L846" s="1"/>
      <c r="M846" s="1" t="s">
        <v>3555</v>
      </c>
      <c r="N846" s="1" t="s">
        <v>161</v>
      </c>
      <c r="O846" s="1" t="s">
        <v>3541</v>
      </c>
      <c r="P846" s="1"/>
      <c r="Q846" s="3">
        <v>36892.0</v>
      </c>
      <c r="R846" s="1"/>
      <c r="S846" s="3">
        <v>33795.0</v>
      </c>
      <c r="T846" s="1" t="s">
        <v>37</v>
      </c>
      <c r="U846" s="1"/>
      <c r="V846" s="1" t="s">
        <v>38</v>
      </c>
      <c r="W846" s="1"/>
      <c r="X846" s="1"/>
      <c r="Y846" s="1" t="s">
        <v>49</v>
      </c>
      <c r="Z846" s="1"/>
      <c r="AA846" s="1" t="s">
        <v>40</v>
      </c>
      <c r="AB846" s="1" t="s">
        <v>3544</v>
      </c>
      <c r="AC846" s="1"/>
    </row>
    <row r="847">
      <c r="A847" s="1" t="str">
        <f>"0008N3"</f>
        <v>0008N3</v>
      </c>
      <c r="B847" s="1" t="s">
        <v>1553</v>
      </c>
      <c r="C847" s="1" t="s">
        <v>1554</v>
      </c>
      <c r="D847" s="1" t="str">
        <f>"8023284085"</f>
        <v>8023284085</v>
      </c>
      <c r="E847" s="1">
        <v>3177.0</v>
      </c>
      <c r="F847" s="1" t="s">
        <v>44</v>
      </c>
      <c r="G847" s="1" t="s">
        <v>3556</v>
      </c>
      <c r="H847" s="1">
        <v>15.0</v>
      </c>
      <c r="I847" s="1"/>
      <c r="J847" s="1"/>
      <c r="K847" s="1"/>
      <c r="L847" s="1"/>
      <c r="M847" s="1" t="s">
        <v>72</v>
      </c>
      <c r="N847" s="1" t="s">
        <v>331</v>
      </c>
      <c r="O847" s="1" t="s">
        <v>3557</v>
      </c>
      <c r="P847" s="1"/>
      <c r="Q847" s="3">
        <v>36892.0</v>
      </c>
      <c r="R847" s="1"/>
      <c r="S847" s="3">
        <v>36360.0</v>
      </c>
      <c r="T847" s="1" t="s">
        <v>37</v>
      </c>
      <c r="U847" s="1"/>
      <c r="V847" s="1" t="s">
        <v>38</v>
      </c>
      <c r="W847" s="1"/>
      <c r="X847" s="1"/>
      <c r="Y847" s="1" t="s">
        <v>49</v>
      </c>
      <c r="Z847" s="1"/>
      <c r="AA847" s="1" t="s">
        <v>40</v>
      </c>
      <c r="AB847" s="1" t="s">
        <v>3558</v>
      </c>
      <c r="AC847" s="1"/>
    </row>
    <row r="848">
      <c r="A848" s="1" t="str">
        <f>"0007WM"</f>
        <v>0007WM</v>
      </c>
      <c r="B848" s="1" t="s">
        <v>3559</v>
      </c>
      <c r="C848" s="1" t="s">
        <v>3560</v>
      </c>
      <c r="D848" s="1" t="str">
        <f>"8023887830"</f>
        <v>8023887830</v>
      </c>
      <c r="E848" s="1">
        <v>1232.0</v>
      </c>
      <c r="F848" s="1" t="s">
        <v>31</v>
      </c>
      <c r="G848" s="1" t="s">
        <v>3561</v>
      </c>
      <c r="H848" s="1">
        <v>3.0</v>
      </c>
      <c r="I848" s="1"/>
      <c r="J848" s="1"/>
      <c r="K848" s="1"/>
      <c r="L848" s="1"/>
      <c r="M848" s="1">
        <v>1.0</v>
      </c>
      <c r="N848" s="1" t="s">
        <v>161</v>
      </c>
      <c r="O848" s="1" t="s">
        <v>943</v>
      </c>
      <c r="P848" s="1" t="s">
        <v>318</v>
      </c>
      <c r="Q848" s="3">
        <v>36892.0</v>
      </c>
      <c r="R848" s="1"/>
      <c r="S848" s="3">
        <v>32308.0</v>
      </c>
      <c r="T848" s="1" t="s">
        <v>37</v>
      </c>
      <c r="U848" s="1"/>
      <c r="V848" s="1" t="s">
        <v>38</v>
      </c>
      <c r="W848" s="1">
        <v>44.027882</v>
      </c>
      <c r="X848" s="1">
        <v>-73.1159129999999</v>
      </c>
      <c r="Y848" s="1" t="s">
        <v>3562</v>
      </c>
      <c r="Z848" s="1"/>
      <c r="AA848" s="1" t="s">
        <v>40</v>
      </c>
      <c r="AB848" s="1" t="s">
        <v>945</v>
      </c>
      <c r="AC848" s="1">
        <v>5753.0</v>
      </c>
    </row>
    <row r="849">
      <c r="A849" s="1" t="str">
        <f t="shared" ref="A849:A851" si="54">"0007K0"</f>
        <v>0007K0</v>
      </c>
      <c r="B849" s="1" t="s">
        <v>2767</v>
      </c>
      <c r="C849" s="1" t="s">
        <v>2768</v>
      </c>
      <c r="D849" s="1" t="str">
        <f t="shared" ref="D849:D851" si="55">"8023887724"</f>
        <v>8023887724</v>
      </c>
      <c r="E849" s="1">
        <v>851.0</v>
      </c>
      <c r="F849" s="1" t="s">
        <v>117</v>
      </c>
      <c r="G849" s="1" t="s">
        <v>3563</v>
      </c>
      <c r="H849" s="1">
        <v>29.0</v>
      </c>
      <c r="I849" s="2" t="s">
        <v>119</v>
      </c>
      <c r="J849" s="2" t="s">
        <v>119</v>
      </c>
      <c r="K849" s="2" t="s">
        <v>119</v>
      </c>
      <c r="L849" s="1"/>
      <c r="M849" s="1" t="s">
        <v>3564</v>
      </c>
      <c r="N849" s="1" t="s">
        <v>161</v>
      </c>
      <c r="O849" s="1" t="s">
        <v>1761</v>
      </c>
      <c r="P849" s="1"/>
      <c r="Q849" s="3">
        <v>36892.0</v>
      </c>
      <c r="R849" s="1"/>
      <c r="S849" s="3">
        <v>38660.0</v>
      </c>
      <c r="T849" s="1" t="s">
        <v>37</v>
      </c>
      <c r="U849" s="1"/>
      <c r="V849" s="1" t="s">
        <v>38</v>
      </c>
      <c r="W849" s="1">
        <v>44.032222</v>
      </c>
      <c r="X849" s="1">
        <v>-73.1836109999999</v>
      </c>
      <c r="Y849" s="1" t="s">
        <v>1780</v>
      </c>
      <c r="Z849" s="1"/>
      <c r="AA849" s="1" t="s">
        <v>40</v>
      </c>
      <c r="AB849" s="1" t="s">
        <v>1763</v>
      </c>
      <c r="AC849" s="1">
        <v>0.0</v>
      </c>
    </row>
    <row r="850">
      <c r="A850" s="1" t="str">
        <f t="shared" si="54"/>
        <v>0007K0</v>
      </c>
      <c r="B850" s="1" t="s">
        <v>2767</v>
      </c>
      <c r="C850" s="1" t="s">
        <v>2768</v>
      </c>
      <c r="D850" s="1" t="str">
        <f t="shared" si="55"/>
        <v>8023887724</v>
      </c>
      <c r="E850" s="1">
        <v>851.0</v>
      </c>
      <c r="F850" s="1" t="s">
        <v>117</v>
      </c>
      <c r="G850" s="1" t="s">
        <v>3565</v>
      </c>
      <c r="H850" s="1">
        <v>21.0</v>
      </c>
      <c r="I850" s="2" t="s">
        <v>119</v>
      </c>
      <c r="J850" s="2" t="s">
        <v>119</v>
      </c>
      <c r="K850" s="2" t="s">
        <v>119</v>
      </c>
      <c r="L850" s="1"/>
      <c r="M850" s="1" t="s">
        <v>3566</v>
      </c>
      <c r="N850" s="1" t="s">
        <v>161</v>
      </c>
      <c r="O850" s="1" t="s">
        <v>1761</v>
      </c>
      <c r="P850" s="1" t="s">
        <v>3567</v>
      </c>
      <c r="Q850" s="3">
        <v>36892.0</v>
      </c>
      <c r="R850" s="1"/>
      <c r="S850" s="3">
        <v>41929.0</v>
      </c>
      <c r="T850" s="1" t="s">
        <v>37</v>
      </c>
      <c r="U850" s="1"/>
      <c r="V850" s="1" t="s">
        <v>38</v>
      </c>
      <c r="W850" s="1">
        <v>44.033611</v>
      </c>
      <c r="X850" s="1">
        <v>-73.217778</v>
      </c>
      <c r="Y850" s="1" t="s">
        <v>3568</v>
      </c>
      <c r="Z850" s="1"/>
      <c r="AA850" s="1" t="s">
        <v>40</v>
      </c>
      <c r="AB850" s="1" t="s">
        <v>1763</v>
      </c>
      <c r="AC850" s="1">
        <v>0.0</v>
      </c>
    </row>
    <row r="851">
      <c r="A851" s="1" t="str">
        <f t="shared" si="54"/>
        <v>0007K0</v>
      </c>
      <c r="B851" s="1" t="s">
        <v>2767</v>
      </c>
      <c r="C851" s="1" t="s">
        <v>2768</v>
      </c>
      <c r="D851" s="1" t="str">
        <f t="shared" si="55"/>
        <v>8023887724</v>
      </c>
      <c r="E851" s="1">
        <v>851.0</v>
      </c>
      <c r="F851" s="1" t="s">
        <v>117</v>
      </c>
      <c r="G851" s="1" t="s">
        <v>3569</v>
      </c>
      <c r="H851" s="1">
        <v>19.0</v>
      </c>
      <c r="I851" s="2" t="s">
        <v>119</v>
      </c>
      <c r="J851" s="2" t="s">
        <v>119</v>
      </c>
      <c r="K851" s="2" t="s">
        <v>119</v>
      </c>
      <c r="L851" s="1"/>
      <c r="M851" s="1" t="s">
        <v>3570</v>
      </c>
      <c r="N851" s="1" t="s">
        <v>161</v>
      </c>
      <c r="O851" s="1" t="s">
        <v>1761</v>
      </c>
      <c r="P851" s="1" t="s">
        <v>3571</v>
      </c>
      <c r="Q851" s="3">
        <v>36892.0</v>
      </c>
      <c r="R851" s="1"/>
      <c r="S851" s="3">
        <v>41929.0</v>
      </c>
      <c r="T851" s="1" t="s">
        <v>37</v>
      </c>
      <c r="U851" s="1"/>
      <c r="V851" s="1" t="s">
        <v>38</v>
      </c>
      <c r="W851" s="1">
        <v>44.0624745768556</v>
      </c>
      <c r="X851" s="1">
        <v>-73.2369688153266</v>
      </c>
      <c r="Y851" s="1" t="s">
        <v>3572</v>
      </c>
      <c r="Z851" s="1"/>
      <c r="AA851" s="1" t="s">
        <v>40</v>
      </c>
      <c r="AB851" s="1" t="s">
        <v>1763</v>
      </c>
      <c r="AC851" s="1">
        <v>0.0</v>
      </c>
    </row>
    <row r="852">
      <c r="A852" s="1" t="str">
        <f>"0007WK"</f>
        <v>0007WK</v>
      </c>
      <c r="B852" s="1" t="s">
        <v>3573</v>
      </c>
      <c r="C852" s="1" t="s">
        <v>3574</v>
      </c>
      <c r="D852" s="1" t="str">
        <f>"8023282683"</f>
        <v>8023282683</v>
      </c>
      <c r="E852" s="1">
        <v>2994.0</v>
      </c>
      <c r="F852" s="1" t="s">
        <v>44</v>
      </c>
      <c r="G852" s="1" t="s">
        <v>3575</v>
      </c>
      <c r="H852" s="1"/>
      <c r="I852" s="1"/>
      <c r="J852" s="1"/>
      <c r="K852" s="1"/>
      <c r="L852" s="1"/>
      <c r="M852" s="1" t="s">
        <v>72</v>
      </c>
      <c r="N852" s="1" t="s">
        <v>331</v>
      </c>
      <c r="O852" s="1" t="s">
        <v>1557</v>
      </c>
      <c r="P852" s="1"/>
      <c r="Q852" s="3">
        <v>36892.0</v>
      </c>
      <c r="R852" s="1"/>
      <c r="S852" s="1"/>
      <c r="T852" s="1" t="s">
        <v>37</v>
      </c>
      <c r="U852" s="1"/>
      <c r="V852" s="1" t="s">
        <v>38</v>
      </c>
      <c r="W852" s="1"/>
      <c r="X852" s="1"/>
      <c r="Y852" s="1" t="s">
        <v>49</v>
      </c>
      <c r="Z852" s="1"/>
      <c r="AA852" s="1" t="s">
        <v>40</v>
      </c>
      <c r="AB852" s="1" t="s">
        <v>1558</v>
      </c>
      <c r="AC852" s="1"/>
    </row>
    <row r="853">
      <c r="A853" s="1" t="str">
        <f t="shared" ref="A853:A854" si="56">"0007K0"</f>
        <v>0007K0</v>
      </c>
      <c r="B853" s="1" t="s">
        <v>2767</v>
      </c>
      <c r="C853" s="1" t="s">
        <v>2768</v>
      </c>
      <c r="D853" s="1" t="str">
        <f t="shared" ref="D853:D854" si="57">"8023887724"</f>
        <v>8023887724</v>
      </c>
      <c r="E853" s="1">
        <v>851.0</v>
      </c>
      <c r="F853" s="1" t="s">
        <v>117</v>
      </c>
      <c r="G853" s="1" t="s">
        <v>3576</v>
      </c>
      <c r="H853" s="1">
        <v>28.0</v>
      </c>
      <c r="I853" s="2" t="s">
        <v>119</v>
      </c>
      <c r="J853" s="2" t="s">
        <v>119</v>
      </c>
      <c r="K853" s="2" t="s">
        <v>119</v>
      </c>
      <c r="L853" s="1"/>
      <c r="M853" s="1" t="s">
        <v>3577</v>
      </c>
      <c r="N853" s="1" t="s">
        <v>161</v>
      </c>
      <c r="O853" s="1" t="s">
        <v>3407</v>
      </c>
      <c r="P853" s="1"/>
      <c r="Q853" s="3">
        <v>36892.0</v>
      </c>
      <c r="R853" s="1"/>
      <c r="S853" s="3">
        <v>38287.0</v>
      </c>
      <c r="T853" s="1" t="s">
        <v>37</v>
      </c>
      <c r="U853" s="1"/>
      <c r="V853" s="1" t="s">
        <v>38</v>
      </c>
      <c r="W853" s="1">
        <v>44.13404</v>
      </c>
      <c r="X853" s="1">
        <v>-73.2390399999999</v>
      </c>
      <c r="Y853" s="1" t="s">
        <v>1623</v>
      </c>
      <c r="Z853" s="1"/>
      <c r="AA853" s="1" t="s">
        <v>40</v>
      </c>
      <c r="AB853" s="1" t="s">
        <v>3410</v>
      </c>
      <c r="AC853" s="1">
        <v>0.0</v>
      </c>
    </row>
    <row r="854">
      <c r="A854" s="1" t="str">
        <f t="shared" si="56"/>
        <v>0007K0</v>
      </c>
      <c r="B854" s="1" t="s">
        <v>2767</v>
      </c>
      <c r="C854" s="1" t="s">
        <v>2768</v>
      </c>
      <c r="D854" s="1" t="str">
        <f t="shared" si="57"/>
        <v>8023887724</v>
      </c>
      <c r="E854" s="1">
        <v>851.0</v>
      </c>
      <c r="F854" s="1" t="s">
        <v>117</v>
      </c>
      <c r="G854" s="1" t="s">
        <v>3578</v>
      </c>
      <c r="H854" s="1">
        <v>18.0</v>
      </c>
      <c r="I854" s="2" t="s">
        <v>119</v>
      </c>
      <c r="J854" s="2" t="s">
        <v>119</v>
      </c>
      <c r="K854" s="2" t="s">
        <v>119</v>
      </c>
      <c r="L854" s="1"/>
      <c r="M854" s="1" t="s">
        <v>3579</v>
      </c>
      <c r="N854" s="1" t="s">
        <v>161</v>
      </c>
      <c r="O854" s="1" t="s">
        <v>3580</v>
      </c>
      <c r="P854" s="1"/>
      <c r="Q854" s="3">
        <v>36892.0</v>
      </c>
      <c r="R854" s="1"/>
      <c r="S854" s="3">
        <v>38287.0</v>
      </c>
      <c r="T854" s="1" t="s">
        <v>37</v>
      </c>
      <c r="U854" s="1"/>
      <c r="V854" s="1" t="s">
        <v>38</v>
      </c>
      <c r="W854" s="1">
        <v>44.14788</v>
      </c>
      <c r="X854" s="1">
        <v>-73.24538</v>
      </c>
      <c r="Y854" s="1" t="s">
        <v>1623</v>
      </c>
      <c r="Z854" s="1"/>
      <c r="AA854" s="1" t="s">
        <v>40</v>
      </c>
      <c r="AB854" s="1" t="s">
        <v>3581</v>
      </c>
      <c r="AC854" s="1">
        <v>0.0</v>
      </c>
    </row>
    <row r="855">
      <c r="A855" s="1" t="str">
        <f>"0008PM"</f>
        <v>0008PM</v>
      </c>
      <c r="B855" s="1" t="s">
        <v>3582</v>
      </c>
      <c r="C855" s="1" t="s">
        <v>3583</v>
      </c>
      <c r="D855" s="1" t="str">
        <f>"8029859457"</f>
        <v>8029859457</v>
      </c>
      <c r="E855" s="1">
        <v>3247.0</v>
      </c>
      <c r="F855" s="1" t="s">
        <v>117</v>
      </c>
      <c r="G855" s="1" t="s">
        <v>3584</v>
      </c>
      <c r="H855" s="1">
        <v>6.0</v>
      </c>
      <c r="I855" s="2">
        <v>3.0</v>
      </c>
      <c r="J855" s="2">
        <v>3.0</v>
      </c>
      <c r="K855" s="2" t="s">
        <v>119</v>
      </c>
      <c r="L855" s="1"/>
      <c r="M855" s="1" t="s">
        <v>3585</v>
      </c>
      <c r="N855" s="1" t="s">
        <v>57</v>
      </c>
      <c r="O855" s="1" t="s">
        <v>238</v>
      </c>
      <c r="P855" s="1" t="s">
        <v>3586</v>
      </c>
      <c r="Q855" s="3">
        <v>36892.0</v>
      </c>
      <c r="R855" s="1"/>
      <c r="S855" s="3">
        <v>38883.0</v>
      </c>
      <c r="T855" s="1" t="s">
        <v>37</v>
      </c>
      <c r="U855" s="1"/>
      <c r="V855" s="1" t="s">
        <v>38</v>
      </c>
      <c r="W855" s="1">
        <v>44.3665347881057</v>
      </c>
      <c r="X855" s="1">
        <v>-73.1836089491844</v>
      </c>
      <c r="Y855" s="1" t="s">
        <v>3587</v>
      </c>
      <c r="Z855" s="1"/>
      <c r="AA855" s="1" t="s">
        <v>40</v>
      </c>
      <c r="AB855" s="1" t="s">
        <v>239</v>
      </c>
      <c r="AC855" s="1">
        <v>5482.0</v>
      </c>
    </row>
    <row r="856">
      <c r="A856" s="1" t="str">
        <f>"0007WH"</f>
        <v>0007WH</v>
      </c>
      <c r="B856" s="1" t="s">
        <v>3588</v>
      </c>
      <c r="C856" s="1" t="s">
        <v>3589</v>
      </c>
      <c r="D856" s="1"/>
      <c r="E856" s="1">
        <v>1228.0</v>
      </c>
      <c r="F856" s="1" t="s">
        <v>44</v>
      </c>
      <c r="G856" s="1" t="s">
        <v>3590</v>
      </c>
      <c r="H856" s="1">
        <v>4.0</v>
      </c>
      <c r="I856" s="1"/>
      <c r="J856" s="1"/>
      <c r="K856" s="1"/>
      <c r="L856" s="1"/>
      <c r="M856" s="1" t="s">
        <v>3591</v>
      </c>
      <c r="N856" s="1" t="s">
        <v>161</v>
      </c>
      <c r="O856" s="1" t="s">
        <v>180</v>
      </c>
      <c r="P856" s="1"/>
      <c r="Q856" s="3">
        <v>36892.0</v>
      </c>
      <c r="R856" s="1"/>
      <c r="S856" s="3">
        <v>32358.0</v>
      </c>
      <c r="T856" s="1" t="s">
        <v>37</v>
      </c>
      <c r="U856" s="1"/>
      <c r="V856" s="1" t="s">
        <v>38</v>
      </c>
      <c r="W856" s="1"/>
      <c r="X856" s="1"/>
      <c r="Y856" s="1" t="s">
        <v>49</v>
      </c>
      <c r="Z856" s="1"/>
      <c r="AA856" s="1" t="s">
        <v>40</v>
      </c>
      <c r="AB856" s="1" t="s">
        <v>181</v>
      </c>
      <c r="AC856" s="1"/>
    </row>
    <row r="857">
      <c r="A857" s="1" t="str">
        <f>"0007WG"</f>
        <v>0007WG</v>
      </c>
      <c r="B857" s="1" t="s">
        <v>3592</v>
      </c>
      <c r="C857" s="1" t="s">
        <v>3593</v>
      </c>
      <c r="D857" s="1"/>
      <c r="E857" s="1">
        <v>1225.0</v>
      </c>
      <c r="F857" s="1" t="s">
        <v>44</v>
      </c>
      <c r="G857" s="1" t="s">
        <v>3594</v>
      </c>
      <c r="H857" s="1">
        <v>4.0</v>
      </c>
      <c r="I857" s="1"/>
      <c r="J857" s="1"/>
      <c r="K857" s="1"/>
      <c r="L857" s="1"/>
      <c r="M857" s="1" t="s">
        <v>3595</v>
      </c>
      <c r="N857" s="1" t="s">
        <v>161</v>
      </c>
      <c r="O857" s="1" t="s">
        <v>180</v>
      </c>
      <c r="P857" s="1"/>
      <c r="Q857" s="3">
        <v>36892.0</v>
      </c>
      <c r="R857" s="1"/>
      <c r="S857" s="3">
        <v>32358.0</v>
      </c>
      <c r="T857" s="1" t="s">
        <v>37</v>
      </c>
      <c r="U857" s="1"/>
      <c r="V857" s="1" t="s">
        <v>38</v>
      </c>
      <c r="W857" s="1"/>
      <c r="X857" s="1"/>
      <c r="Y857" s="1" t="s">
        <v>49</v>
      </c>
      <c r="Z857" s="1"/>
      <c r="AA857" s="1" t="s">
        <v>40</v>
      </c>
      <c r="AB857" s="1" t="s">
        <v>181</v>
      </c>
      <c r="AC857" s="1"/>
    </row>
    <row r="858">
      <c r="A858" s="1" t="str">
        <f>"0007WD"</f>
        <v>0007WD</v>
      </c>
      <c r="B858" s="1" t="s">
        <v>3596</v>
      </c>
      <c r="C858" s="1" t="s">
        <v>3597</v>
      </c>
      <c r="D858" s="1"/>
      <c r="E858" s="1">
        <v>1222.0</v>
      </c>
      <c r="F858" s="1" t="s">
        <v>44</v>
      </c>
      <c r="G858" s="1" t="s">
        <v>3598</v>
      </c>
      <c r="H858" s="1"/>
      <c r="I858" s="1"/>
      <c r="J858" s="1"/>
      <c r="K858" s="1"/>
      <c r="L858" s="1"/>
      <c r="M858" s="1" t="s">
        <v>3599</v>
      </c>
      <c r="N858" s="1" t="s">
        <v>161</v>
      </c>
      <c r="O858" s="1" t="s">
        <v>180</v>
      </c>
      <c r="P858" s="1"/>
      <c r="Q858" s="3">
        <v>36892.0</v>
      </c>
      <c r="R858" s="1"/>
      <c r="S858" s="1"/>
      <c r="T858" s="1" t="s">
        <v>37</v>
      </c>
      <c r="U858" s="1"/>
      <c r="V858" s="1" t="s">
        <v>38</v>
      </c>
      <c r="W858" s="1"/>
      <c r="X858" s="1"/>
      <c r="Y858" s="1" t="s">
        <v>49</v>
      </c>
      <c r="Z858" s="1"/>
      <c r="AA858" s="1" t="s">
        <v>40</v>
      </c>
      <c r="AB858" s="1" t="s">
        <v>181</v>
      </c>
      <c r="AC858" s="1"/>
    </row>
    <row r="859">
      <c r="A859" s="1" t="str">
        <f>"0007WC"</f>
        <v>0007WC</v>
      </c>
      <c r="B859" s="1" t="s">
        <v>3600</v>
      </c>
      <c r="C859" s="1" t="s">
        <v>3601</v>
      </c>
      <c r="D859" s="1"/>
      <c r="E859" s="1">
        <v>1221.0</v>
      </c>
      <c r="F859" s="1" t="s">
        <v>44</v>
      </c>
      <c r="G859" s="1" t="s">
        <v>3602</v>
      </c>
      <c r="H859" s="1"/>
      <c r="I859" s="1"/>
      <c r="J859" s="1"/>
      <c r="K859" s="1"/>
      <c r="L859" s="1"/>
      <c r="M859" s="1" t="s">
        <v>72</v>
      </c>
      <c r="N859" s="1" t="s">
        <v>161</v>
      </c>
      <c r="O859" s="1" t="s">
        <v>180</v>
      </c>
      <c r="P859" s="1"/>
      <c r="Q859" s="3">
        <v>36892.0</v>
      </c>
      <c r="R859" s="1"/>
      <c r="S859" s="1"/>
      <c r="T859" s="1" t="s">
        <v>37</v>
      </c>
      <c r="U859" s="1"/>
      <c r="V859" s="1" t="s">
        <v>38</v>
      </c>
      <c r="W859" s="1"/>
      <c r="X859" s="1"/>
      <c r="Y859" s="1" t="s">
        <v>49</v>
      </c>
      <c r="Z859" s="1"/>
      <c r="AA859" s="1" t="s">
        <v>40</v>
      </c>
      <c r="AB859" s="1" t="s">
        <v>181</v>
      </c>
      <c r="AC859" s="1"/>
    </row>
    <row r="860">
      <c r="A860" s="1" t="str">
        <f>"0007QV"</f>
        <v>0007QV</v>
      </c>
      <c r="B860" s="1" t="s">
        <v>1070</v>
      </c>
      <c r="C860" s="1" t="s">
        <v>1071</v>
      </c>
      <c r="D860" s="1" t="str">
        <f>"8024263564"</f>
        <v>8024263564</v>
      </c>
      <c r="E860" s="1">
        <v>1120.0</v>
      </c>
      <c r="F860" s="1" t="s">
        <v>44</v>
      </c>
      <c r="G860" s="1" t="s">
        <v>3603</v>
      </c>
      <c r="H860" s="1"/>
      <c r="I860" s="1"/>
      <c r="J860" s="1"/>
      <c r="K860" s="1"/>
      <c r="L860" s="1"/>
      <c r="M860" s="1" t="s">
        <v>3604</v>
      </c>
      <c r="N860" s="1" t="s">
        <v>135</v>
      </c>
      <c r="O860" s="1" t="s">
        <v>1073</v>
      </c>
      <c r="P860" s="1"/>
      <c r="Q860" s="3">
        <v>36892.0</v>
      </c>
      <c r="R860" s="1"/>
      <c r="S860" s="1"/>
      <c r="T860" s="1" t="s">
        <v>37</v>
      </c>
      <c r="U860" s="1"/>
      <c r="V860" s="1" t="s">
        <v>38</v>
      </c>
      <c r="W860" s="1"/>
      <c r="X860" s="1"/>
      <c r="Y860" s="1" t="s">
        <v>49</v>
      </c>
      <c r="Z860" s="1"/>
      <c r="AA860" s="1" t="s">
        <v>40</v>
      </c>
      <c r="AB860" s="1" t="s">
        <v>1075</v>
      </c>
      <c r="AC860" s="1"/>
    </row>
    <row r="861">
      <c r="A861" s="1" t="str">
        <f>"0007WA"</f>
        <v>0007WA</v>
      </c>
      <c r="B861" s="1" t="s">
        <v>157</v>
      </c>
      <c r="C861" s="1" t="s">
        <v>158</v>
      </c>
      <c r="D861" s="1" t="str">
        <f>"8029482057"</f>
        <v>8029482057</v>
      </c>
      <c r="E861" s="1">
        <v>1217.0</v>
      </c>
      <c r="F861" s="1" t="s">
        <v>31</v>
      </c>
      <c r="G861" s="1" t="s">
        <v>3605</v>
      </c>
      <c r="H861" s="1">
        <v>20.0</v>
      </c>
      <c r="I861" s="1"/>
      <c r="J861" s="1"/>
      <c r="K861" s="1"/>
      <c r="L861" s="1"/>
      <c r="M861" s="1" t="s">
        <v>3606</v>
      </c>
      <c r="N861" s="1" t="s">
        <v>161</v>
      </c>
      <c r="O861" s="1" t="s">
        <v>1053</v>
      </c>
      <c r="P861" s="1" t="s">
        <v>3607</v>
      </c>
      <c r="Q861" s="3">
        <v>36892.0</v>
      </c>
      <c r="R861" s="1"/>
      <c r="S861" s="3">
        <v>41424.0</v>
      </c>
      <c r="T861" s="1" t="s">
        <v>164</v>
      </c>
      <c r="U861" s="1"/>
      <c r="V861" s="1" t="s">
        <v>38</v>
      </c>
      <c r="W861" s="1">
        <v>43.861</v>
      </c>
      <c r="X861" s="1">
        <v>-73.308889</v>
      </c>
      <c r="Y861" s="1" t="s">
        <v>3478</v>
      </c>
      <c r="Z861" s="1"/>
      <c r="AA861" s="1" t="s">
        <v>40</v>
      </c>
      <c r="AB861" s="1" t="s">
        <v>1054</v>
      </c>
      <c r="AC861" s="1">
        <v>5770.0</v>
      </c>
    </row>
    <row r="862">
      <c r="A862" s="1" t="str">
        <f>"0007W9"</f>
        <v>0007W9</v>
      </c>
      <c r="B862" s="1" t="s">
        <v>3608</v>
      </c>
      <c r="C862" s="1" t="s">
        <v>3609</v>
      </c>
      <c r="D862" s="1" t="str">
        <f>"8022290111"</f>
        <v>8022290111</v>
      </c>
      <c r="E862" s="1">
        <v>2934.0</v>
      </c>
      <c r="F862" s="1" t="s">
        <v>44</v>
      </c>
      <c r="G862" s="1" t="s">
        <v>3610</v>
      </c>
      <c r="H862" s="1"/>
      <c r="I862" s="1"/>
      <c r="J862" s="1"/>
      <c r="K862" s="1"/>
      <c r="L862" s="1"/>
      <c r="M862" s="1" t="s">
        <v>72</v>
      </c>
      <c r="N862" s="1" t="s">
        <v>135</v>
      </c>
      <c r="O862" s="1" t="s">
        <v>2713</v>
      </c>
      <c r="P862" s="1"/>
      <c r="Q862" s="3">
        <v>36892.0</v>
      </c>
      <c r="R862" s="1"/>
      <c r="S862" s="1"/>
      <c r="T862" s="1" t="s">
        <v>37</v>
      </c>
      <c r="U862" s="1"/>
      <c r="V862" s="1" t="s">
        <v>38</v>
      </c>
      <c r="W862" s="1"/>
      <c r="X862" s="1"/>
      <c r="Y862" s="1" t="s">
        <v>49</v>
      </c>
      <c r="Z862" s="1"/>
      <c r="AA862" s="1" t="s">
        <v>40</v>
      </c>
      <c r="AB862" s="1" t="s">
        <v>2715</v>
      </c>
      <c r="AC862" s="1"/>
    </row>
    <row r="863">
      <c r="A863" s="1" t="str">
        <f>"000705"</f>
        <v>000705</v>
      </c>
      <c r="B863" s="1" t="s">
        <v>3611</v>
      </c>
      <c r="C863" s="1" t="s">
        <v>3612</v>
      </c>
      <c r="D863" s="1" t="str">
        <f>"8024832672"</f>
        <v>8024832672</v>
      </c>
      <c r="E863" s="1">
        <v>3019.0</v>
      </c>
      <c r="F863" s="1" t="s">
        <v>44</v>
      </c>
      <c r="G863" s="1" t="s">
        <v>3613</v>
      </c>
      <c r="H863" s="1">
        <v>7.0</v>
      </c>
      <c r="I863" s="1"/>
      <c r="J863" s="1"/>
      <c r="K863" s="1"/>
      <c r="L863" s="1"/>
      <c r="M863" s="1" t="s">
        <v>72</v>
      </c>
      <c r="N863" s="1" t="s">
        <v>78</v>
      </c>
      <c r="O863" s="1" t="s">
        <v>79</v>
      </c>
      <c r="P863" s="1"/>
      <c r="Q863" s="3">
        <v>36892.0</v>
      </c>
      <c r="R863" s="1"/>
      <c r="S863" s="3">
        <v>38198.0</v>
      </c>
      <c r="T863" s="1" t="s">
        <v>37</v>
      </c>
      <c r="U863" s="1"/>
      <c r="V863" s="1" t="s">
        <v>38</v>
      </c>
      <c r="W863" s="1"/>
      <c r="X863" s="1"/>
      <c r="Y863" s="1" t="s">
        <v>49</v>
      </c>
      <c r="Z863" s="1"/>
      <c r="AA863" s="1" t="s">
        <v>40</v>
      </c>
      <c r="AB863" s="1" t="s">
        <v>80</v>
      </c>
      <c r="AC863" s="1"/>
    </row>
    <row r="864">
      <c r="A864" s="1" t="str">
        <f>"00089H"</f>
        <v>00089H</v>
      </c>
      <c r="B864" s="1" t="s">
        <v>3614</v>
      </c>
      <c r="C864" s="1" t="s">
        <v>3615</v>
      </c>
      <c r="D864" s="1" t="str">
        <f>"8028885441"</f>
        <v>8028885441</v>
      </c>
      <c r="E864" s="1">
        <v>2893.0</v>
      </c>
      <c r="F864" s="1" t="s">
        <v>44</v>
      </c>
      <c r="G864" s="1" t="s">
        <v>3616</v>
      </c>
      <c r="H864" s="1">
        <v>7.0</v>
      </c>
      <c r="I864" s="1"/>
      <c r="J864" s="1"/>
      <c r="K864" s="1"/>
      <c r="L864" s="1"/>
      <c r="M864" s="1" t="s">
        <v>3617</v>
      </c>
      <c r="N864" s="1" t="s">
        <v>213</v>
      </c>
      <c r="O864" s="1" t="s">
        <v>214</v>
      </c>
      <c r="P864" s="1"/>
      <c r="Q864" s="3">
        <v>36892.0</v>
      </c>
      <c r="R864" s="1"/>
      <c r="S864" s="3">
        <v>39708.0</v>
      </c>
      <c r="T864" s="1" t="s">
        <v>37</v>
      </c>
      <c r="U864" s="1"/>
      <c r="V864" s="1" t="s">
        <v>38</v>
      </c>
      <c r="W864" s="1">
        <v>44.57084</v>
      </c>
      <c r="X864" s="1">
        <v>-72.6</v>
      </c>
      <c r="Y864" s="1" t="s">
        <v>3618</v>
      </c>
      <c r="Z864" s="1"/>
      <c r="AA864" s="1" t="s">
        <v>40</v>
      </c>
      <c r="AB864" s="1" t="s">
        <v>217</v>
      </c>
      <c r="AC864" s="1">
        <v>5661.0</v>
      </c>
    </row>
    <row r="865">
      <c r="A865" s="1" t="str">
        <f>"000708"</f>
        <v>000708</v>
      </c>
      <c r="B865" s="1" t="s">
        <v>3619</v>
      </c>
      <c r="C865" s="1" t="s">
        <v>3620</v>
      </c>
      <c r="D865" s="1" t="str">
        <f>"8026738292"</f>
        <v>8026738292</v>
      </c>
      <c r="E865" s="1">
        <v>3861.0</v>
      </c>
      <c r="F865" s="1" t="s">
        <v>44</v>
      </c>
      <c r="G865" s="1" t="s">
        <v>3621</v>
      </c>
      <c r="H865" s="1"/>
      <c r="I865" s="1"/>
      <c r="J865" s="1"/>
      <c r="K865" s="1"/>
      <c r="L865" s="1"/>
      <c r="M865" s="1" t="s">
        <v>3622</v>
      </c>
      <c r="N865" s="1" t="s">
        <v>94</v>
      </c>
      <c r="O865" s="1" t="s">
        <v>3623</v>
      </c>
      <c r="P865" s="1"/>
      <c r="Q865" s="3">
        <v>36892.0</v>
      </c>
      <c r="R865" s="1"/>
      <c r="S865" s="1"/>
      <c r="T865" s="1" t="s">
        <v>37</v>
      </c>
      <c r="U865" s="1"/>
      <c r="V865" s="1" t="s">
        <v>38</v>
      </c>
      <c r="W865" s="1"/>
      <c r="X865" s="1"/>
      <c r="Y865" s="1" t="s">
        <v>49</v>
      </c>
      <c r="Z865" s="1"/>
      <c r="AA865" s="1" t="s">
        <v>40</v>
      </c>
      <c r="AB865" s="1" t="s">
        <v>3624</v>
      </c>
      <c r="AC865" s="1"/>
    </row>
    <row r="866">
      <c r="A866" s="1" t="str">
        <f t="shared" ref="A866:A868" si="58">"0007K0"</f>
        <v>0007K0</v>
      </c>
      <c r="B866" s="1" t="s">
        <v>2767</v>
      </c>
      <c r="C866" s="1" t="s">
        <v>2768</v>
      </c>
      <c r="D866" s="1" t="str">
        <f t="shared" ref="D866:D868" si="59">"8023887724"</f>
        <v>8023887724</v>
      </c>
      <c r="E866" s="1">
        <v>851.0</v>
      </c>
      <c r="F866" s="1" t="s">
        <v>117</v>
      </c>
      <c r="G866" s="1" t="s">
        <v>3625</v>
      </c>
      <c r="H866" s="1">
        <v>0.0</v>
      </c>
      <c r="I866" s="2" t="s">
        <v>119</v>
      </c>
      <c r="J866" s="2" t="s">
        <v>119</v>
      </c>
      <c r="K866" s="2" t="s">
        <v>119</v>
      </c>
      <c r="L866" s="1"/>
      <c r="M866" s="1" t="s">
        <v>3626</v>
      </c>
      <c r="N866" s="1" t="s">
        <v>161</v>
      </c>
      <c r="O866" s="1" t="s">
        <v>586</v>
      </c>
      <c r="P866" s="1"/>
      <c r="Q866" s="3">
        <v>36892.0</v>
      </c>
      <c r="R866" s="1"/>
      <c r="S866" s="3">
        <v>41870.0</v>
      </c>
      <c r="T866" s="1" t="s">
        <v>37</v>
      </c>
      <c r="U866" s="1"/>
      <c r="V866" s="1" t="s">
        <v>38</v>
      </c>
      <c r="W866" s="1">
        <v>43.9425</v>
      </c>
      <c r="X866" s="1">
        <v>-73.310556</v>
      </c>
      <c r="Y866" s="1" t="s">
        <v>49</v>
      </c>
      <c r="Z866" s="1"/>
      <c r="AA866" s="1" t="s">
        <v>40</v>
      </c>
      <c r="AB866" s="1" t="s">
        <v>589</v>
      </c>
      <c r="AC866" s="1">
        <v>0.0</v>
      </c>
    </row>
    <row r="867">
      <c r="A867" s="1" t="str">
        <f t="shared" si="58"/>
        <v>0007K0</v>
      </c>
      <c r="B867" s="1" t="s">
        <v>2767</v>
      </c>
      <c r="C867" s="1" t="s">
        <v>2768</v>
      </c>
      <c r="D867" s="1" t="str">
        <f t="shared" si="59"/>
        <v>8023887724</v>
      </c>
      <c r="E867" s="1">
        <v>851.0</v>
      </c>
      <c r="F867" s="1" t="s">
        <v>117</v>
      </c>
      <c r="G867" s="1" t="s">
        <v>3627</v>
      </c>
      <c r="H867" s="1">
        <v>22.0</v>
      </c>
      <c r="I867" s="2" t="s">
        <v>119</v>
      </c>
      <c r="J867" s="2" t="s">
        <v>119</v>
      </c>
      <c r="K867" s="2" t="s">
        <v>119</v>
      </c>
      <c r="L867" s="1"/>
      <c r="M867" s="1" t="s">
        <v>3628</v>
      </c>
      <c r="N867" s="1" t="s">
        <v>161</v>
      </c>
      <c r="O867" s="1" t="s">
        <v>1053</v>
      </c>
      <c r="P867" s="1" t="s">
        <v>3629</v>
      </c>
      <c r="Q867" s="3">
        <v>36892.0</v>
      </c>
      <c r="R867" s="1"/>
      <c r="S867" s="3">
        <v>41914.0</v>
      </c>
      <c r="T867" s="1" t="s">
        <v>37</v>
      </c>
      <c r="U867" s="1"/>
      <c r="V867" s="1" t="s">
        <v>38</v>
      </c>
      <c r="W867" s="1">
        <v>43.8651892347355</v>
      </c>
      <c r="X867" s="1">
        <v>-73.2783660292625</v>
      </c>
      <c r="Y867" s="1" t="s">
        <v>3630</v>
      </c>
      <c r="Z867" s="1"/>
      <c r="AA867" s="1" t="s">
        <v>40</v>
      </c>
      <c r="AB867" s="1" t="s">
        <v>1054</v>
      </c>
      <c r="AC867" s="1">
        <v>5770.0</v>
      </c>
    </row>
    <row r="868">
      <c r="A868" s="1" t="str">
        <f t="shared" si="58"/>
        <v>0007K0</v>
      </c>
      <c r="B868" s="1" t="s">
        <v>2767</v>
      </c>
      <c r="C868" s="1" t="s">
        <v>2768</v>
      </c>
      <c r="D868" s="1" t="str">
        <f t="shared" si="59"/>
        <v>8023887724</v>
      </c>
      <c r="E868" s="1">
        <v>851.0</v>
      </c>
      <c r="F868" s="1" t="s">
        <v>117</v>
      </c>
      <c r="G868" s="1" t="s">
        <v>3631</v>
      </c>
      <c r="H868" s="1">
        <v>15.0</v>
      </c>
      <c r="I868" s="2" t="s">
        <v>119</v>
      </c>
      <c r="J868" s="2" t="s">
        <v>119</v>
      </c>
      <c r="K868" s="2" t="s">
        <v>119</v>
      </c>
      <c r="L868" s="1"/>
      <c r="M868" s="1" t="s">
        <v>3632</v>
      </c>
      <c r="N868" s="1" t="s">
        <v>161</v>
      </c>
      <c r="O868" s="1" t="s">
        <v>1053</v>
      </c>
      <c r="P868" s="1"/>
      <c r="Q868" s="3">
        <v>36892.0</v>
      </c>
      <c r="R868" s="1"/>
      <c r="S868" s="3">
        <v>41914.0</v>
      </c>
      <c r="T868" s="1" t="s">
        <v>37</v>
      </c>
      <c r="U868" s="1"/>
      <c r="V868" s="1" t="s">
        <v>38</v>
      </c>
      <c r="W868" s="1">
        <v>43.86711</v>
      </c>
      <c r="X868" s="1">
        <v>-73.23234</v>
      </c>
      <c r="Y868" s="1" t="s">
        <v>3633</v>
      </c>
      <c r="Z868" s="1"/>
      <c r="AA868" s="1" t="s">
        <v>40</v>
      </c>
      <c r="AB868" s="1" t="s">
        <v>1054</v>
      </c>
      <c r="AC868" s="1">
        <v>5770.0</v>
      </c>
    </row>
    <row r="869">
      <c r="A869" s="1" t="str">
        <f>"00089H"</f>
        <v>00089H</v>
      </c>
      <c r="B869" s="1" t="s">
        <v>3614</v>
      </c>
      <c r="C869" s="1" t="s">
        <v>3615</v>
      </c>
      <c r="D869" s="1" t="str">
        <f>"8028885441"</f>
        <v>8028885441</v>
      </c>
      <c r="E869" s="1">
        <v>2893.0</v>
      </c>
      <c r="F869" s="1" t="s">
        <v>44</v>
      </c>
      <c r="G869" s="1" t="s">
        <v>3634</v>
      </c>
      <c r="H869" s="1"/>
      <c r="I869" s="1"/>
      <c r="J869" s="1"/>
      <c r="K869" s="1"/>
      <c r="L869" s="1"/>
      <c r="M869" s="1" t="s">
        <v>3635</v>
      </c>
      <c r="N869" s="1" t="s">
        <v>213</v>
      </c>
      <c r="O869" s="1" t="s">
        <v>214</v>
      </c>
      <c r="P869" s="1"/>
      <c r="Q869" s="3">
        <v>36892.0</v>
      </c>
      <c r="R869" s="1"/>
      <c r="S869" s="1"/>
      <c r="T869" s="1" t="s">
        <v>37</v>
      </c>
      <c r="U869" s="1"/>
      <c r="V869" s="1" t="s">
        <v>38</v>
      </c>
      <c r="W869" s="1"/>
      <c r="X869" s="1"/>
      <c r="Y869" s="1" t="s">
        <v>49</v>
      </c>
      <c r="Z869" s="1"/>
      <c r="AA869" s="1" t="s">
        <v>40</v>
      </c>
      <c r="AB869" s="1" t="s">
        <v>217</v>
      </c>
      <c r="AC869" s="1"/>
    </row>
    <row r="870">
      <c r="A870" s="1" t="str">
        <f>"0007JZ"</f>
        <v>0007JZ</v>
      </c>
      <c r="B870" s="1" t="s">
        <v>3492</v>
      </c>
      <c r="C870" s="1" t="s">
        <v>3493</v>
      </c>
      <c r="D870" s="1" t="str">
        <f>"8028773309"</f>
        <v>8028773309</v>
      </c>
      <c r="E870" s="1">
        <v>850.0</v>
      </c>
      <c r="F870" s="1" t="s">
        <v>44</v>
      </c>
      <c r="G870" s="1" t="s">
        <v>3636</v>
      </c>
      <c r="H870" s="1">
        <v>0.0</v>
      </c>
      <c r="I870" s="2"/>
      <c r="J870" s="2"/>
      <c r="K870" s="2"/>
      <c r="L870" s="1"/>
      <c r="M870" s="1" t="s">
        <v>3637</v>
      </c>
      <c r="N870" s="1" t="s">
        <v>161</v>
      </c>
      <c r="O870" s="1" t="s">
        <v>1053</v>
      </c>
      <c r="P870" s="1"/>
      <c r="Q870" s="3">
        <v>36892.0</v>
      </c>
      <c r="R870" s="1"/>
      <c r="S870" s="3">
        <v>35571.0</v>
      </c>
      <c r="T870" s="1" t="s">
        <v>37</v>
      </c>
      <c r="U870" s="1"/>
      <c r="V870" s="1" t="s">
        <v>38</v>
      </c>
      <c r="W870" s="1"/>
      <c r="X870" s="1"/>
      <c r="Y870" s="1" t="s">
        <v>49</v>
      </c>
      <c r="Z870" s="1"/>
      <c r="AA870" s="1" t="s">
        <v>40</v>
      </c>
      <c r="AB870" s="1" t="s">
        <v>1054</v>
      </c>
      <c r="AC870" s="1"/>
    </row>
    <row r="871">
      <c r="A871" s="1" t="str">
        <f>"0007WA"</f>
        <v>0007WA</v>
      </c>
      <c r="B871" s="1" t="s">
        <v>157</v>
      </c>
      <c r="C871" s="1" t="s">
        <v>158</v>
      </c>
      <c r="D871" s="1" t="str">
        <f>"8029482057"</f>
        <v>8029482057</v>
      </c>
      <c r="E871" s="1">
        <v>1217.0</v>
      </c>
      <c r="F871" s="1" t="s">
        <v>31</v>
      </c>
      <c r="G871" s="1" t="s">
        <v>3638</v>
      </c>
      <c r="H871" s="1">
        <v>12.0</v>
      </c>
      <c r="I871" s="1"/>
      <c r="J871" s="1"/>
      <c r="K871" s="1"/>
      <c r="L871" s="1"/>
      <c r="M871" s="1" t="s">
        <v>3639</v>
      </c>
      <c r="N871" s="1" t="s">
        <v>78</v>
      </c>
      <c r="O871" s="1" t="s">
        <v>426</v>
      </c>
      <c r="P871" s="1" t="s">
        <v>3639</v>
      </c>
      <c r="Q871" s="3">
        <v>36892.0</v>
      </c>
      <c r="R871" s="1"/>
      <c r="S871" s="3">
        <v>38124.0</v>
      </c>
      <c r="T871" s="1" t="s">
        <v>164</v>
      </c>
      <c r="U871" s="1"/>
      <c r="V871" s="1" t="s">
        <v>38</v>
      </c>
      <c r="W871" s="1">
        <v>43.6915023245021</v>
      </c>
      <c r="X871" s="1">
        <v>-73.2677042484283</v>
      </c>
      <c r="Y871" s="1" t="s">
        <v>1426</v>
      </c>
      <c r="Z871" s="1"/>
      <c r="AA871" s="1" t="s">
        <v>40</v>
      </c>
      <c r="AB871" s="1" t="s">
        <v>427</v>
      </c>
      <c r="AC871" s="1">
        <v>5743.0</v>
      </c>
    </row>
    <row r="872">
      <c r="A872" s="1" t="str">
        <f t="shared" ref="A872:A873" si="60">"0007XY"</f>
        <v>0007XY</v>
      </c>
      <c r="B872" s="1" t="s">
        <v>3640</v>
      </c>
      <c r="C872" s="1" t="s">
        <v>3641</v>
      </c>
      <c r="D872" s="1" t="str">
        <f t="shared" ref="D872:D873" si="61">"8023724641"</f>
        <v>8023724641</v>
      </c>
      <c r="E872" s="1">
        <v>1303.0</v>
      </c>
      <c r="F872" s="1" t="s">
        <v>44</v>
      </c>
      <c r="G872" s="1" t="s">
        <v>3642</v>
      </c>
      <c r="H872" s="1">
        <v>0.0</v>
      </c>
      <c r="I872" s="1"/>
      <c r="J872" s="1"/>
      <c r="K872" s="1"/>
      <c r="L872" s="1"/>
      <c r="M872" s="1" t="s">
        <v>3643</v>
      </c>
      <c r="N872" s="1" t="s">
        <v>107</v>
      </c>
      <c r="O872" s="1" t="s">
        <v>108</v>
      </c>
      <c r="P872" s="1"/>
      <c r="Q872" s="3">
        <v>36892.0</v>
      </c>
      <c r="R872" s="1"/>
      <c r="S872" s="3">
        <v>38278.0</v>
      </c>
      <c r="T872" s="1" t="s">
        <v>37</v>
      </c>
      <c r="U872" s="1"/>
      <c r="V872" s="1" t="s">
        <v>38</v>
      </c>
      <c r="W872" s="1"/>
      <c r="X872" s="1"/>
      <c r="Y872" s="1" t="s">
        <v>49</v>
      </c>
      <c r="Z872" s="1"/>
      <c r="AA872" s="1" t="s">
        <v>40</v>
      </c>
      <c r="AB872" s="1" t="s">
        <v>107</v>
      </c>
      <c r="AC872" s="1"/>
    </row>
    <row r="873">
      <c r="A873" s="1" t="str">
        <f t="shared" si="60"/>
        <v>0007XY</v>
      </c>
      <c r="B873" s="1" t="s">
        <v>3640</v>
      </c>
      <c r="C873" s="1" t="s">
        <v>3641</v>
      </c>
      <c r="D873" s="1" t="str">
        <f t="shared" si="61"/>
        <v>8023724641</v>
      </c>
      <c r="E873" s="1">
        <v>1303.0</v>
      </c>
      <c r="F873" s="1" t="s">
        <v>44</v>
      </c>
      <c r="G873" s="1" t="s">
        <v>3644</v>
      </c>
      <c r="H873" s="1">
        <v>7.0</v>
      </c>
      <c r="I873" s="1"/>
      <c r="J873" s="1"/>
      <c r="K873" s="1"/>
      <c r="L873" s="1"/>
      <c r="M873" s="1" t="s">
        <v>72</v>
      </c>
      <c r="N873" s="1" t="s">
        <v>107</v>
      </c>
      <c r="O873" s="1" t="s">
        <v>108</v>
      </c>
      <c r="P873" s="1"/>
      <c r="Q873" s="3">
        <v>36892.0</v>
      </c>
      <c r="R873" s="1"/>
      <c r="S873" s="3">
        <v>36367.0</v>
      </c>
      <c r="T873" s="1" t="s">
        <v>37</v>
      </c>
      <c r="U873" s="1"/>
      <c r="V873" s="1" t="s">
        <v>38</v>
      </c>
      <c r="W873" s="1"/>
      <c r="X873" s="1"/>
      <c r="Y873" s="1" t="s">
        <v>49</v>
      </c>
      <c r="Z873" s="1"/>
      <c r="AA873" s="1" t="s">
        <v>40</v>
      </c>
      <c r="AB873" s="1" t="s">
        <v>107</v>
      </c>
      <c r="AC873" s="1"/>
    </row>
    <row r="874">
      <c r="A874" s="1" t="str">
        <f>"0007W7"</f>
        <v>0007W7</v>
      </c>
      <c r="B874" s="1" t="s">
        <v>3645</v>
      </c>
      <c r="C874" s="1" t="s">
        <v>3646</v>
      </c>
      <c r="D874" s="1" t="str">
        <f>"8028235360"</f>
        <v>8028235360</v>
      </c>
      <c r="E874" s="1">
        <v>3716.0</v>
      </c>
      <c r="F874" s="1" t="s">
        <v>44</v>
      </c>
      <c r="G874" s="1" t="s">
        <v>3647</v>
      </c>
      <c r="H874" s="1"/>
      <c r="I874" s="1"/>
      <c r="J874" s="1"/>
      <c r="K874" s="1"/>
      <c r="L874" s="1"/>
      <c r="M874" s="1" t="s">
        <v>72</v>
      </c>
      <c r="N874" s="1" t="s">
        <v>414</v>
      </c>
      <c r="O874" s="1" t="s">
        <v>720</v>
      </c>
      <c r="P874" s="1"/>
      <c r="Q874" s="3">
        <v>36892.0</v>
      </c>
      <c r="R874" s="1"/>
      <c r="S874" s="1"/>
      <c r="T874" s="1" t="s">
        <v>37</v>
      </c>
      <c r="U874" s="1"/>
      <c r="V874" s="1" t="s">
        <v>38</v>
      </c>
      <c r="W874" s="1"/>
      <c r="X874" s="1"/>
      <c r="Y874" s="1" t="s">
        <v>49</v>
      </c>
      <c r="Z874" s="1"/>
      <c r="AA874" s="1" t="s">
        <v>40</v>
      </c>
      <c r="AB874" s="1" t="s">
        <v>414</v>
      </c>
      <c r="AC874" s="1"/>
    </row>
    <row r="875">
      <c r="A875" s="1" t="str">
        <f>"0007AQ"</f>
        <v>0007AQ</v>
      </c>
      <c r="B875" s="1" t="s">
        <v>3648</v>
      </c>
      <c r="C875" s="1" t="s">
        <v>3649</v>
      </c>
      <c r="D875" s="1" t="str">
        <f>"8026722046"</f>
        <v>8026722046</v>
      </c>
      <c r="E875" s="1">
        <v>3391.0</v>
      </c>
      <c r="F875" s="1" t="s">
        <v>44</v>
      </c>
      <c r="G875" s="1" t="s">
        <v>3650</v>
      </c>
      <c r="H875" s="1">
        <v>7.0</v>
      </c>
      <c r="I875" s="1"/>
      <c r="J875" s="1"/>
      <c r="K875" s="1"/>
      <c r="L875" s="1"/>
      <c r="M875" s="1" t="s">
        <v>72</v>
      </c>
      <c r="N875" s="1" t="s">
        <v>34</v>
      </c>
      <c r="O875" s="1" t="s">
        <v>985</v>
      </c>
      <c r="P875" s="1"/>
      <c r="Q875" s="3">
        <v>36892.0</v>
      </c>
      <c r="R875" s="1"/>
      <c r="S875" s="3">
        <v>39205.0</v>
      </c>
      <c r="T875" s="1" t="s">
        <v>37</v>
      </c>
      <c r="U875" s="1"/>
      <c r="V875" s="1" t="s">
        <v>38</v>
      </c>
      <c r="W875" s="1">
        <v>43.5886633</v>
      </c>
      <c r="X875" s="1">
        <v>-72.6250056999999</v>
      </c>
      <c r="Y875" s="1" t="s">
        <v>3651</v>
      </c>
      <c r="Z875" s="1"/>
      <c r="AA875" s="1" t="s">
        <v>40</v>
      </c>
      <c r="AB875" s="1" t="s">
        <v>987</v>
      </c>
      <c r="AC875" s="1">
        <v>5034.0</v>
      </c>
    </row>
    <row r="876">
      <c r="A876" s="1" t="str">
        <f>"000737"</f>
        <v>000737</v>
      </c>
      <c r="B876" s="1" t="s">
        <v>595</v>
      </c>
      <c r="C876" s="1" t="s">
        <v>596</v>
      </c>
      <c r="D876" s="1" t="str">
        <f>"8023264164"</f>
        <v>8023264164</v>
      </c>
      <c r="E876" s="1">
        <v>3626.0</v>
      </c>
      <c r="F876" s="1" t="s">
        <v>117</v>
      </c>
      <c r="G876" s="1" t="s">
        <v>3652</v>
      </c>
      <c r="H876" s="1">
        <v>5.0</v>
      </c>
      <c r="I876" s="2" t="s">
        <v>119</v>
      </c>
      <c r="J876" s="2" t="s">
        <v>119</v>
      </c>
      <c r="K876" s="2" t="s">
        <v>119</v>
      </c>
      <c r="L876" s="1"/>
      <c r="M876" s="1">
        <v>2.0</v>
      </c>
      <c r="N876" s="1" t="s">
        <v>47</v>
      </c>
      <c r="O876" s="1" t="s">
        <v>599</v>
      </c>
      <c r="P876" s="1" t="s">
        <v>2083</v>
      </c>
      <c r="Q876" s="3">
        <v>36892.0</v>
      </c>
      <c r="R876" s="1"/>
      <c r="S876" s="1"/>
      <c r="T876" s="1" t="s">
        <v>37</v>
      </c>
      <c r="U876" s="1"/>
      <c r="V876" s="1" t="s">
        <v>38</v>
      </c>
      <c r="W876" s="1">
        <v>44.5588028</v>
      </c>
      <c r="X876" s="1">
        <v>-72.5778414999999</v>
      </c>
      <c r="Y876" s="1" t="s">
        <v>49</v>
      </c>
      <c r="Z876" s="1"/>
      <c r="AA876" s="1" t="s">
        <v>40</v>
      </c>
      <c r="AB876" s="1" t="s">
        <v>602</v>
      </c>
      <c r="AC876" s="1">
        <v>5661.0</v>
      </c>
    </row>
    <row r="877">
      <c r="A877" s="1" t="str">
        <f t="shared" ref="A877:A879" si="62">"0007WA"</f>
        <v>0007WA</v>
      </c>
      <c r="B877" s="1" t="s">
        <v>157</v>
      </c>
      <c r="C877" s="1" t="s">
        <v>158</v>
      </c>
      <c r="D877" s="1" t="str">
        <f t="shared" ref="D877:D879" si="63">"8029482057"</f>
        <v>8029482057</v>
      </c>
      <c r="E877" s="1">
        <v>1217.0</v>
      </c>
      <c r="F877" s="1" t="s">
        <v>31</v>
      </c>
      <c r="G877" s="1" t="s">
        <v>3653</v>
      </c>
      <c r="H877" s="1">
        <v>32.0</v>
      </c>
      <c r="I877" s="1"/>
      <c r="J877" s="1"/>
      <c r="K877" s="1"/>
      <c r="L877" s="1"/>
      <c r="M877" s="1" t="s">
        <v>3654</v>
      </c>
      <c r="N877" s="1" t="s">
        <v>161</v>
      </c>
      <c r="O877" s="1" t="s">
        <v>1053</v>
      </c>
      <c r="P877" s="1"/>
      <c r="Q877" s="3">
        <v>36892.0</v>
      </c>
      <c r="R877" s="1"/>
      <c r="S877" s="3">
        <v>40094.0</v>
      </c>
      <c r="T877" s="1" t="s">
        <v>37</v>
      </c>
      <c r="U877" s="1"/>
      <c r="V877" s="1" t="s">
        <v>38</v>
      </c>
      <c r="W877" s="1"/>
      <c r="X877" s="1"/>
      <c r="Y877" s="1" t="s">
        <v>49</v>
      </c>
      <c r="Z877" s="1"/>
      <c r="AA877" s="1" t="s">
        <v>40</v>
      </c>
      <c r="AB877" s="1" t="s">
        <v>1054</v>
      </c>
      <c r="AC877" s="1"/>
    </row>
    <row r="878">
      <c r="A878" s="1" t="str">
        <f t="shared" si="62"/>
        <v>0007WA</v>
      </c>
      <c r="B878" s="1" t="s">
        <v>157</v>
      </c>
      <c r="C878" s="1" t="s">
        <v>158</v>
      </c>
      <c r="D878" s="1" t="str">
        <f t="shared" si="63"/>
        <v>8029482057</v>
      </c>
      <c r="E878" s="1">
        <v>1217.0</v>
      </c>
      <c r="F878" s="1" t="s">
        <v>31</v>
      </c>
      <c r="G878" s="1" t="s">
        <v>3655</v>
      </c>
      <c r="H878" s="1">
        <v>31.0</v>
      </c>
      <c r="I878" s="1"/>
      <c r="J878" s="1"/>
      <c r="K878" s="1"/>
      <c r="L878" s="1"/>
      <c r="M878" s="1" t="s">
        <v>3656</v>
      </c>
      <c r="N878" s="1" t="s">
        <v>161</v>
      </c>
      <c r="O878" s="1" t="s">
        <v>307</v>
      </c>
      <c r="P878" s="1" t="s">
        <v>3657</v>
      </c>
      <c r="Q878" s="3">
        <v>36892.0</v>
      </c>
      <c r="R878" s="1"/>
      <c r="S878" s="3">
        <v>38512.0</v>
      </c>
      <c r="T878" s="1" t="s">
        <v>37</v>
      </c>
      <c r="U878" s="1"/>
      <c r="V878" s="1" t="s">
        <v>38</v>
      </c>
      <c r="W878" s="1">
        <v>44.1515057</v>
      </c>
      <c r="X878" s="1">
        <v>-73.1232082999999</v>
      </c>
      <c r="Y878" s="1" t="s">
        <v>3658</v>
      </c>
      <c r="Z878" s="1"/>
      <c r="AA878" s="1" t="s">
        <v>40</v>
      </c>
      <c r="AB878" s="1" t="s">
        <v>308</v>
      </c>
      <c r="AC878" s="1">
        <v>0.0</v>
      </c>
    </row>
    <row r="879">
      <c r="A879" s="1" t="str">
        <f t="shared" si="62"/>
        <v>0007WA</v>
      </c>
      <c r="B879" s="1" t="s">
        <v>157</v>
      </c>
      <c r="C879" s="1" t="s">
        <v>158</v>
      </c>
      <c r="D879" s="1" t="str">
        <f t="shared" si="63"/>
        <v>8029482057</v>
      </c>
      <c r="E879" s="1">
        <v>1217.0</v>
      </c>
      <c r="F879" s="1" t="s">
        <v>31</v>
      </c>
      <c r="G879" s="1" t="s">
        <v>3659</v>
      </c>
      <c r="H879" s="1">
        <v>27.0</v>
      </c>
      <c r="I879" s="1"/>
      <c r="J879" s="1"/>
      <c r="K879" s="1"/>
      <c r="L879" s="1"/>
      <c r="M879" s="1" t="s">
        <v>3660</v>
      </c>
      <c r="N879" s="1" t="s">
        <v>161</v>
      </c>
      <c r="O879" s="1" t="s">
        <v>943</v>
      </c>
      <c r="P879" s="1" t="s">
        <v>3661</v>
      </c>
      <c r="Q879" s="3">
        <v>36892.0</v>
      </c>
      <c r="R879" s="1"/>
      <c r="S879" s="3">
        <v>38940.0</v>
      </c>
      <c r="T879" s="1" t="s">
        <v>37</v>
      </c>
      <c r="U879" s="1"/>
      <c r="V879" s="1" t="s">
        <v>38</v>
      </c>
      <c r="W879" s="1">
        <v>44.0005154</v>
      </c>
      <c r="X879" s="1">
        <v>-73.134478</v>
      </c>
      <c r="Y879" s="1" t="s">
        <v>3662</v>
      </c>
      <c r="Z879" s="1"/>
      <c r="AA879" s="1" t="s">
        <v>40</v>
      </c>
      <c r="AB879" s="1" t="s">
        <v>945</v>
      </c>
      <c r="AC879" s="1">
        <v>0.0</v>
      </c>
    </row>
    <row r="880">
      <c r="A880" s="1" t="str">
        <f>"0007V3"</f>
        <v>0007V3</v>
      </c>
      <c r="B880" s="1" t="s">
        <v>3663</v>
      </c>
      <c r="C880" s="1" t="s">
        <v>3664</v>
      </c>
      <c r="D880" s="1"/>
      <c r="E880" s="1">
        <v>4039.0</v>
      </c>
      <c r="F880" s="1" t="s">
        <v>44</v>
      </c>
      <c r="G880" s="1" t="s">
        <v>3665</v>
      </c>
      <c r="H880" s="1">
        <v>13.0</v>
      </c>
      <c r="I880" s="1"/>
      <c r="J880" s="1"/>
      <c r="K880" s="1"/>
      <c r="L880" s="1"/>
      <c r="M880" s="1" t="s">
        <v>72</v>
      </c>
      <c r="N880" s="1" t="s">
        <v>161</v>
      </c>
      <c r="O880" s="1" t="s">
        <v>571</v>
      </c>
      <c r="P880" s="1"/>
      <c r="Q880" s="3">
        <v>36892.0</v>
      </c>
      <c r="R880" s="1"/>
      <c r="S880" s="1"/>
      <c r="T880" s="1" t="s">
        <v>37</v>
      </c>
      <c r="U880" s="1"/>
      <c r="V880" s="1" t="s">
        <v>38</v>
      </c>
      <c r="W880" s="1"/>
      <c r="X880" s="1"/>
      <c r="Y880" s="1" t="s">
        <v>49</v>
      </c>
      <c r="Z880" s="1"/>
      <c r="AA880" s="1" t="s">
        <v>40</v>
      </c>
      <c r="AB880" s="1" t="s">
        <v>573</v>
      </c>
      <c r="AC880" s="1"/>
    </row>
    <row r="881">
      <c r="A881" s="1" t="str">
        <f>"0007J1"</f>
        <v>0007J1</v>
      </c>
      <c r="B881" s="1" t="s">
        <v>3666</v>
      </c>
      <c r="C881" s="1" t="s">
        <v>3667</v>
      </c>
      <c r="D881" s="1" t="str">
        <f>"8028496429"</f>
        <v>8028496429</v>
      </c>
      <c r="E881" s="1">
        <v>3115.0</v>
      </c>
      <c r="F881" s="1" t="s">
        <v>44</v>
      </c>
      <c r="G881" s="1" t="s">
        <v>3668</v>
      </c>
      <c r="H881" s="1">
        <v>4.0</v>
      </c>
      <c r="I881" s="1"/>
      <c r="J881" s="1"/>
      <c r="K881" s="1"/>
      <c r="L881" s="1"/>
      <c r="M881" s="1" t="s">
        <v>72</v>
      </c>
      <c r="N881" s="1" t="s">
        <v>47</v>
      </c>
      <c r="O881" s="1" t="s">
        <v>100</v>
      </c>
      <c r="P881" s="1"/>
      <c r="Q881" s="3">
        <v>36892.0</v>
      </c>
      <c r="R881" s="1"/>
      <c r="S881" s="3">
        <v>36635.0</v>
      </c>
      <c r="T881" s="1" t="s">
        <v>37</v>
      </c>
      <c r="U881" s="1"/>
      <c r="V881" s="1" t="s">
        <v>38</v>
      </c>
      <c r="W881" s="1"/>
      <c r="X881" s="1"/>
      <c r="Y881" s="1" t="s">
        <v>49</v>
      </c>
      <c r="Z881" s="1"/>
      <c r="AA881" s="1" t="s">
        <v>40</v>
      </c>
      <c r="AB881" s="1" t="s">
        <v>102</v>
      </c>
      <c r="AC881" s="1"/>
    </row>
    <row r="882">
      <c r="A882" s="1" t="str">
        <f t="shared" ref="A882:A883" si="64">"0007K0"</f>
        <v>0007K0</v>
      </c>
      <c r="B882" s="1" t="s">
        <v>2767</v>
      </c>
      <c r="C882" s="1" t="s">
        <v>2768</v>
      </c>
      <c r="D882" s="1" t="str">
        <f t="shared" ref="D882:D883" si="65">"8023887724"</f>
        <v>8023887724</v>
      </c>
      <c r="E882" s="1">
        <v>851.0</v>
      </c>
      <c r="F882" s="1" t="s">
        <v>117</v>
      </c>
      <c r="G882" s="1" t="s">
        <v>3669</v>
      </c>
      <c r="H882" s="1">
        <v>0.0</v>
      </c>
      <c r="I882" s="2" t="s">
        <v>119</v>
      </c>
      <c r="J882" s="2" t="s">
        <v>119</v>
      </c>
      <c r="K882" s="2" t="s">
        <v>119</v>
      </c>
      <c r="L882" s="1"/>
      <c r="M882" s="1" t="s">
        <v>3670</v>
      </c>
      <c r="N882" s="1" t="s">
        <v>161</v>
      </c>
      <c r="O882" s="1" t="s">
        <v>3504</v>
      </c>
      <c r="P882" s="1"/>
      <c r="Q882" s="3">
        <v>36892.0</v>
      </c>
      <c r="R882" s="1"/>
      <c r="S882" s="3">
        <v>41929.0</v>
      </c>
      <c r="T882" s="1" t="s">
        <v>37</v>
      </c>
      <c r="U882" s="1"/>
      <c r="V882" s="1" t="s">
        <v>38</v>
      </c>
      <c r="W882" s="1">
        <v>44.13515</v>
      </c>
      <c r="X882" s="1">
        <v>-73.3132</v>
      </c>
      <c r="Y882" s="1" t="s">
        <v>3671</v>
      </c>
      <c r="Z882" s="1"/>
      <c r="AA882" s="1" t="s">
        <v>40</v>
      </c>
      <c r="AB882" s="1" t="s">
        <v>3507</v>
      </c>
      <c r="AC882" s="1">
        <v>0.0</v>
      </c>
    </row>
    <row r="883">
      <c r="A883" s="1" t="str">
        <f t="shared" si="64"/>
        <v>0007K0</v>
      </c>
      <c r="B883" s="1" t="s">
        <v>2767</v>
      </c>
      <c r="C883" s="1" t="s">
        <v>2768</v>
      </c>
      <c r="D883" s="1" t="str">
        <f t="shared" si="65"/>
        <v>8023887724</v>
      </c>
      <c r="E883" s="1">
        <v>851.0</v>
      </c>
      <c r="F883" s="1" t="s">
        <v>117</v>
      </c>
      <c r="G883" s="1" t="s">
        <v>3672</v>
      </c>
      <c r="H883" s="1">
        <v>15.0</v>
      </c>
      <c r="I883" s="2" t="s">
        <v>119</v>
      </c>
      <c r="J883" s="2" t="s">
        <v>119</v>
      </c>
      <c r="K883" s="2" t="s">
        <v>119</v>
      </c>
      <c r="L883" s="1"/>
      <c r="M883" s="1" t="s">
        <v>3673</v>
      </c>
      <c r="N883" s="1" t="s">
        <v>161</v>
      </c>
      <c r="O883" s="1" t="s">
        <v>3504</v>
      </c>
      <c r="P883" s="1" t="s">
        <v>3674</v>
      </c>
      <c r="Q883" s="3">
        <v>36892.0</v>
      </c>
      <c r="R883" s="1"/>
      <c r="S883" s="3">
        <v>41583.0</v>
      </c>
      <c r="T883" s="1" t="s">
        <v>37</v>
      </c>
      <c r="U883" s="1"/>
      <c r="V883" s="1" t="s">
        <v>38</v>
      </c>
      <c r="W883" s="1">
        <v>44.1584</v>
      </c>
      <c r="X883" s="1">
        <v>-73.33924</v>
      </c>
      <c r="Y883" s="1" t="s">
        <v>3675</v>
      </c>
      <c r="Z883" s="1"/>
      <c r="AA883" s="1" t="s">
        <v>40</v>
      </c>
      <c r="AB883" s="1" t="s">
        <v>3507</v>
      </c>
      <c r="AC883" s="1">
        <v>0.0</v>
      </c>
    </row>
    <row r="884">
      <c r="A884" s="1" t="str">
        <f>"00079B"</f>
        <v>00079B</v>
      </c>
      <c r="B884" s="1" t="s">
        <v>3676</v>
      </c>
      <c r="C884" s="1" t="s">
        <v>3677</v>
      </c>
      <c r="D884" s="1" t="str">
        <f>"8024395335"</f>
        <v>8024395335</v>
      </c>
      <c r="E884" s="1">
        <v>3596.0</v>
      </c>
      <c r="F884" s="1" t="s">
        <v>44</v>
      </c>
      <c r="G884" s="1" t="s">
        <v>3678</v>
      </c>
      <c r="H884" s="1">
        <v>1.0</v>
      </c>
      <c r="I884" s="1"/>
      <c r="J884" s="1"/>
      <c r="K884" s="1"/>
      <c r="L884" s="1"/>
      <c r="M884" s="1" t="s">
        <v>72</v>
      </c>
      <c r="N884" s="1" t="s">
        <v>142</v>
      </c>
      <c r="O884" s="1" t="s">
        <v>227</v>
      </c>
      <c r="P884" s="1" t="s">
        <v>3679</v>
      </c>
      <c r="Q884" s="3">
        <v>36892.0</v>
      </c>
      <c r="R884" s="1"/>
      <c r="S884" s="1"/>
      <c r="T884" s="1" t="s">
        <v>37</v>
      </c>
      <c r="U884" s="1"/>
      <c r="V884" s="1" t="s">
        <v>38</v>
      </c>
      <c r="W884" s="1">
        <v>44.0553331776433</v>
      </c>
      <c r="X884" s="1">
        <v>-72.1520662307739</v>
      </c>
      <c r="Y884" s="1" t="s">
        <v>3680</v>
      </c>
      <c r="Z884" s="1"/>
      <c r="AA884" s="1" t="s">
        <v>40</v>
      </c>
      <c r="AB884" s="1" t="s">
        <v>228</v>
      </c>
      <c r="AC884" s="1">
        <v>0.0</v>
      </c>
    </row>
    <row r="885">
      <c r="A885" s="1" t="str">
        <f>"0007JZ"</f>
        <v>0007JZ</v>
      </c>
      <c r="B885" s="1" t="s">
        <v>3492</v>
      </c>
      <c r="C885" s="1" t="s">
        <v>3493</v>
      </c>
      <c r="D885" s="1" t="str">
        <f>"8028773309"</f>
        <v>8028773309</v>
      </c>
      <c r="E885" s="1">
        <v>850.0</v>
      </c>
      <c r="F885" s="1" t="s">
        <v>44</v>
      </c>
      <c r="G885" s="1" t="s">
        <v>3681</v>
      </c>
      <c r="H885" s="1">
        <v>0.0</v>
      </c>
      <c r="I885" s="2"/>
      <c r="J885" s="2"/>
      <c r="K885" s="2"/>
      <c r="L885" s="1"/>
      <c r="M885" s="1" t="s">
        <v>3682</v>
      </c>
      <c r="N885" s="1" t="s">
        <v>161</v>
      </c>
      <c r="O885" s="1" t="s">
        <v>3504</v>
      </c>
      <c r="P885" s="1"/>
      <c r="Q885" s="3">
        <v>36892.0</v>
      </c>
      <c r="R885" s="1"/>
      <c r="S885" s="3">
        <v>34507.0</v>
      </c>
      <c r="T885" s="1" t="s">
        <v>37</v>
      </c>
      <c r="U885" s="1"/>
      <c r="V885" s="1" t="s">
        <v>38</v>
      </c>
      <c r="W885" s="1"/>
      <c r="X885" s="1"/>
      <c r="Y885" s="1" t="s">
        <v>49</v>
      </c>
      <c r="Z885" s="1"/>
      <c r="AA885" s="1" t="s">
        <v>40</v>
      </c>
      <c r="AB885" s="1" t="s">
        <v>3507</v>
      </c>
      <c r="AC885" s="1"/>
    </row>
    <row r="886">
      <c r="A886" s="1" t="str">
        <f>"00084W"</f>
        <v>00084W</v>
      </c>
      <c r="B886" s="1" t="s">
        <v>3683</v>
      </c>
      <c r="C886" s="1" t="s">
        <v>3684</v>
      </c>
      <c r="D886" s="1" t="str">
        <f>"8028883838"</f>
        <v>8028883838</v>
      </c>
      <c r="E886" s="1">
        <v>3595.0</v>
      </c>
      <c r="F886" s="1" t="s">
        <v>117</v>
      </c>
      <c r="G886" s="1" t="s">
        <v>3685</v>
      </c>
      <c r="H886" s="1">
        <v>0.0</v>
      </c>
      <c r="I886" s="2">
        <v>4.0</v>
      </c>
      <c r="J886" s="2">
        <v>4.0</v>
      </c>
      <c r="K886" s="2" t="s">
        <v>119</v>
      </c>
      <c r="L886" s="1"/>
      <c r="M886" s="1" t="s">
        <v>3686</v>
      </c>
      <c r="N886" s="1" t="s">
        <v>213</v>
      </c>
      <c r="O886" s="1" t="s">
        <v>2562</v>
      </c>
      <c r="P886" s="1" t="s">
        <v>3687</v>
      </c>
      <c r="Q886" s="3">
        <v>36892.0</v>
      </c>
      <c r="R886" s="1"/>
      <c r="S886" s="1"/>
      <c r="T886" s="1" t="s">
        <v>37</v>
      </c>
      <c r="U886" s="1"/>
      <c r="V886" s="1" t="s">
        <v>38</v>
      </c>
      <c r="W886" s="1">
        <v>44.569528539652</v>
      </c>
      <c r="X886" s="1">
        <v>-72.441508769989</v>
      </c>
      <c r="Y886" s="1" t="s">
        <v>3688</v>
      </c>
      <c r="Z886" s="1"/>
      <c r="AA886" s="1" t="s">
        <v>40</v>
      </c>
      <c r="AB886" s="1" t="s">
        <v>2563</v>
      </c>
      <c r="AC886" s="1">
        <v>5680.0</v>
      </c>
    </row>
    <row r="887">
      <c r="A887" s="1" t="str">
        <f>"0007QQ"</f>
        <v>0007QQ</v>
      </c>
      <c r="B887" s="1" t="s">
        <v>3689</v>
      </c>
      <c r="C887" s="1" t="s">
        <v>3690</v>
      </c>
      <c r="D887" s="1" t="str">
        <f>"8027854088"</f>
        <v>8027854088</v>
      </c>
      <c r="E887" s="1">
        <v>3601.0</v>
      </c>
      <c r="F887" s="1" t="s">
        <v>44</v>
      </c>
      <c r="G887" s="1" t="s">
        <v>3691</v>
      </c>
      <c r="H887" s="1"/>
      <c r="I887" s="1"/>
      <c r="J887" s="1"/>
      <c r="K887" s="1"/>
      <c r="L887" s="1"/>
      <c r="M887" s="1" t="s">
        <v>72</v>
      </c>
      <c r="N887" s="1" t="s">
        <v>142</v>
      </c>
      <c r="O887" s="1" t="s">
        <v>143</v>
      </c>
      <c r="P887" s="1"/>
      <c r="Q887" s="3">
        <v>36892.0</v>
      </c>
      <c r="R887" s="1"/>
      <c r="S887" s="1"/>
      <c r="T887" s="1" t="s">
        <v>37</v>
      </c>
      <c r="U887" s="1"/>
      <c r="V887" s="1" t="s">
        <v>38</v>
      </c>
      <c r="W887" s="1"/>
      <c r="X887" s="1"/>
      <c r="Y887" s="1" t="s">
        <v>49</v>
      </c>
      <c r="Z887" s="1"/>
      <c r="AA887" s="1" t="s">
        <v>40</v>
      </c>
      <c r="AB887" s="1" t="s">
        <v>146</v>
      </c>
      <c r="AC887" s="1"/>
    </row>
    <row r="888">
      <c r="A888" s="1" t="str">
        <f>"0007WA"</f>
        <v>0007WA</v>
      </c>
      <c r="B888" s="1" t="s">
        <v>157</v>
      </c>
      <c r="C888" s="1" t="s">
        <v>158</v>
      </c>
      <c r="D888" s="1" t="str">
        <f>"8029482057"</f>
        <v>8029482057</v>
      </c>
      <c r="E888" s="1">
        <v>1217.0</v>
      </c>
      <c r="F888" s="1" t="s">
        <v>31</v>
      </c>
      <c r="G888" s="1" t="s">
        <v>3692</v>
      </c>
      <c r="H888" s="1">
        <v>0.0</v>
      </c>
      <c r="I888" s="1"/>
      <c r="J888" s="1"/>
      <c r="K888" s="1"/>
      <c r="L888" s="1"/>
      <c r="M888" s="1" t="s">
        <v>3693</v>
      </c>
      <c r="N888" s="1" t="s">
        <v>57</v>
      </c>
      <c r="O888" s="1" t="s">
        <v>503</v>
      </c>
      <c r="P888" s="1"/>
      <c r="Q888" s="3">
        <v>36892.0</v>
      </c>
      <c r="R888" s="3">
        <v>42156.0</v>
      </c>
      <c r="S888" s="3">
        <v>39744.0</v>
      </c>
      <c r="T888" s="1" t="s">
        <v>164</v>
      </c>
      <c r="U888" s="1"/>
      <c r="V888" s="1" t="s">
        <v>38</v>
      </c>
      <c r="W888" s="1"/>
      <c r="X888" s="1"/>
      <c r="Y888" s="1" t="s">
        <v>49</v>
      </c>
      <c r="Z888" s="1"/>
      <c r="AA888" s="1" t="s">
        <v>40</v>
      </c>
      <c r="AB888" s="1" t="s">
        <v>504</v>
      </c>
      <c r="AC888" s="1">
        <v>0.0</v>
      </c>
    </row>
    <row r="889">
      <c r="A889" s="1" t="str">
        <f>"000909"</f>
        <v>000909</v>
      </c>
      <c r="B889" s="1" t="s">
        <v>3694</v>
      </c>
      <c r="C889" s="1" t="s">
        <v>3695</v>
      </c>
      <c r="D889" s="1" t="str">
        <f>"8026332689"</f>
        <v>8026332689</v>
      </c>
      <c r="E889" s="1">
        <v>3564.0</v>
      </c>
      <c r="F889" s="1" t="s">
        <v>44</v>
      </c>
      <c r="G889" s="1" t="s">
        <v>3696</v>
      </c>
      <c r="H889" s="1">
        <v>1.0</v>
      </c>
      <c r="I889" s="1"/>
      <c r="J889" s="1"/>
      <c r="K889" s="1"/>
      <c r="L889" s="1"/>
      <c r="M889" s="1" t="s">
        <v>72</v>
      </c>
      <c r="N889" s="1" t="s">
        <v>128</v>
      </c>
      <c r="O889" s="1" t="s">
        <v>194</v>
      </c>
      <c r="P889" s="1"/>
      <c r="Q889" s="3">
        <v>36892.0</v>
      </c>
      <c r="R889" s="1"/>
      <c r="S889" s="3">
        <v>38201.0</v>
      </c>
      <c r="T889" s="1" t="s">
        <v>37</v>
      </c>
      <c r="U889" s="1"/>
      <c r="V889" s="1" t="s">
        <v>38</v>
      </c>
      <c r="W889" s="1">
        <v>44.298084</v>
      </c>
      <c r="X889" s="1">
        <v>-72.1468889999999</v>
      </c>
      <c r="Y889" s="1" t="s">
        <v>3697</v>
      </c>
      <c r="Z889" s="1"/>
      <c r="AA889" s="1" t="s">
        <v>40</v>
      </c>
      <c r="AB889" s="1" t="s">
        <v>3698</v>
      </c>
      <c r="AC889" s="1">
        <v>5821.0</v>
      </c>
    </row>
    <row r="890">
      <c r="A890" s="1" t="str">
        <f>"0007W2"</f>
        <v>0007W2</v>
      </c>
      <c r="B890" s="1" t="s">
        <v>3699</v>
      </c>
      <c r="C890" s="1" t="s">
        <v>3700</v>
      </c>
      <c r="D890" s="1" t="str">
        <f>"8024567068"</f>
        <v>8024567068</v>
      </c>
      <c r="E890" s="1">
        <v>2950.0</v>
      </c>
      <c r="F890" s="1" t="s">
        <v>44</v>
      </c>
      <c r="G890" s="1" t="s">
        <v>3701</v>
      </c>
      <c r="H890" s="1">
        <v>1.0</v>
      </c>
      <c r="I890" s="1"/>
      <c r="J890" s="1"/>
      <c r="K890" s="1"/>
      <c r="L890" s="1"/>
      <c r="M890" s="1" t="s">
        <v>72</v>
      </c>
      <c r="N890" s="1" t="s">
        <v>135</v>
      </c>
      <c r="O890" s="1" t="s">
        <v>655</v>
      </c>
      <c r="P890" s="1"/>
      <c r="Q890" s="3">
        <v>36892.0</v>
      </c>
      <c r="R890" s="1"/>
      <c r="S890" s="3">
        <v>35541.0</v>
      </c>
      <c r="T890" s="1" t="s">
        <v>37</v>
      </c>
      <c r="U890" s="1"/>
      <c r="V890" s="1" t="s">
        <v>38</v>
      </c>
      <c r="W890" s="1"/>
      <c r="X890" s="1"/>
      <c r="Y890" s="1" t="s">
        <v>49</v>
      </c>
      <c r="Z890" s="1"/>
      <c r="AA890" s="1" t="s">
        <v>40</v>
      </c>
      <c r="AB890" s="1" t="s">
        <v>656</v>
      </c>
      <c r="AC890" s="1"/>
    </row>
    <row r="891">
      <c r="A891" s="1" t="str">
        <f>"0007JY"</f>
        <v>0007JY</v>
      </c>
      <c r="B891" s="1" t="s">
        <v>871</v>
      </c>
      <c r="C891" s="1" t="s">
        <v>872</v>
      </c>
      <c r="D891" s="1" t="str">
        <f>"8022732186"</f>
        <v>8022732186</v>
      </c>
      <c r="E891" s="1">
        <v>848.0</v>
      </c>
      <c r="F891" s="1" t="s">
        <v>44</v>
      </c>
      <c r="G891" s="1" t="s">
        <v>3702</v>
      </c>
      <c r="H891" s="1">
        <v>20.0</v>
      </c>
      <c r="I891" s="1"/>
      <c r="J891" s="1"/>
      <c r="K891" s="1"/>
      <c r="L891" s="1"/>
      <c r="M891" s="1" t="s">
        <v>3703</v>
      </c>
      <c r="N891" s="1" t="s">
        <v>161</v>
      </c>
      <c r="O891" s="1" t="s">
        <v>3504</v>
      </c>
      <c r="P891" s="1"/>
      <c r="Q891" s="3">
        <v>36892.0</v>
      </c>
      <c r="R891" s="1"/>
      <c r="S891" s="3">
        <v>39701.0</v>
      </c>
      <c r="T891" s="1" t="s">
        <v>37</v>
      </c>
      <c r="U891" s="1"/>
      <c r="V891" s="1" t="s">
        <v>38</v>
      </c>
      <c r="W891" s="1"/>
      <c r="X891" s="1"/>
      <c r="Y891" s="1" t="s">
        <v>49</v>
      </c>
      <c r="Z891" s="1"/>
      <c r="AA891" s="1" t="s">
        <v>40</v>
      </c>
      <c r="AB891" s="1" t="s">
        <v>3507</v>
      </c>
      <c r="AC891" s="1"/>
    </row>
    <row r="892">
      <c r="A892" s="1" t="str">
        <f>"0008W7"</f>
        <v>0008W7</v>
      </c>
      <c r="B892" s="1" t="s">
        <v>3704</v>
      </c>
      <c r="C892" s="1" t="s">
        <v>3705</v>
      </c>
      <c r="D892" s="1" t="str">
        <f>"8026450652"</f>
        <v>8026450652</v>
      </c>
      <c r="E892" s="1">
        <v>3381.0</v>
      </c>
      <c r="F892" s="1" t="s">
        <v>117</v>
      </c>
      <c r="G892" s="1" t="s">
        <v>3706</v>
      </c>
      <c r="H892" s="1">
        <v>12.0</v>
      </c>
      <c r="I892" s="2">
        <v>4.0</v>
      </c>
      <c r="J892" s="2">
        <v>3.0</v>
      </c>
      <c r="K892" s="2">
        <v>6.0</v>
      </c>
      <c r="L892" s="1"/>
      <c r="M892" s="1" t="s">
        <v>3707</v>
      </c>
      <c r="N892" s="1" t="s">
        <v>78</v>
      </c>
      <c r="O892" s="1" t="s">
        <v>434</v>
      </c>
      <c r="P892" s="1" t="s">
        <v>3708</v>
      </c>
      <c r="Q892" s="3">
        <v>36892.0</v>
      </c>
      <c r="R892" s="1"/>
      <c r="S892" s="3">
        <v>42110.0</v>
      </c>
      <c r="T892" s="1" t="s">
        <v>37</v>
      </c>
      <c r="U892" s="1"/>
      <c r="V892" s="1" t="s">
        <v>38</v>
      </c>
      <c r="W892" s="1">
        <v>43.3403</v>
      </c>
      <c r="X892" s="1">
        <v>-73.2318599999999</v>
      </c>
      <c r="Y892" s="1" t="s">
        <v>3709</v>
      </c>
      <c r="Z892" s="1"/>
      <c r="AA892" s="1" t="s">
        <v>40</v>
      </c>
      <c r="AB892" s="1" t="s">
        <v>3710</v>
      </c>
      <c r="AC892" s="1">
        <v>5775.0</v>
      </c>
    </row>
    <row r="893">
      <c r="A893" s="1" t="str">
        <f>"000827"</f>
        <v>000827</v>
      </c>
      <c r="B893" s="1" t="s">
        <v>3711</v>
      </c>
      <c r="C893" s="1" t="s">
        <v>3712</v>
      </c>
      <c r="D893" s="1" t="str">
        <f>"8023253126"</f>
        <v>8023253126</v>
      </c>
      <c r="E893" s="1">
        <v>2961.0</v>
      </c>
      <c r="F893" s="1" t="s">
        <v>44</v>
      </c>
      <c r="G893" s="1" t="s">
        <v>3713</v>
      </c>
      <c r="H893" s="1"/>
      <c r="I893" s="1"/>
      <c r="J893" s="1"/>
      <c r="K893" s="1"/>
      <c r="L893" s="1"/>
      <c r="M893" s="1" t="s">
        <v>72</v>
      </c>
      <c r="N893" s="1" t="s">
        <v>78</v>
      </c>
      <c r="O893" s="1" t="s">
        <v>434</v>
      </c>
      <c r="P893" s="1"/>
      <c r="Q893" s="3">
        <v>36892.0</v>
      </c>
      <c r="R893" s="1"/>
      <c r="S893" s="1"/>
      <c r="T893" s="1" t="s">
        <v>37</v>
      </c>
      <c r="U893" s="1"/>
      <c r="V893" s="1" t="s">
        <v>38</v>
      </c>
      <c r="W893" s="1"/>
      <c r="X893" s="1"/>
      <c r="Y893" s="1" t="s">
        <v>49</v>
      </c>
      <c r="Z893" s="1"/>
      <c r="AA893" s="1" t="s">
        <v>40</v>
      </c>
      <c r="AB893" s="1" t="s">
        <v>435</v>
      </c>
      <c r="AC893" s="1"/>
    </row>
    <row r="894">
      <c r="A894" s="1" t="str">
        <f t="shared" ref="A894:A895" si="66">"0007WA"</f>
        <v>0007WA</v>
      </c>
      <c r="B894" s="1" t="s">
        <v>157</v>
      </c>
      <c r="C894" s="1" t="s">
        <v>158</v>
      </c>
      <c r="D894" s="1" t="str">
        <f t="shared" ref="D894:D895" si="67">"8029482057"</f>
        <v>8029482057</v>
      </c>
      <c r="E894" s="1">
        <v>1217.0</v>
      </c>
      <c r="F894" s="1" t="s">
        <v>31</v>
      </c>
      <c r="G894" s="1" t="s">
        <v>3714</v>
      </c>
      <c r="H894" s="1">
        <v>20.0</v>
      </c>
      <c r="I894" s="1"/>
      <c r="J894" s="1"/>
      <c r="K894" s="1"/>
      <c r="L894" s="1"/>
      <c r="M894" s="1" t="s">
        <v>3715</v>
      </c>
      <c r="N894" s="1" t="s">
        <v>161</v>
      </c>
      <c r="O894" s="1" t="s">
        <v>185</v>
      </c>
      <c r="P894" s="1" t="s">
        <v>3716</v>
      </c>
      <c r="Q894" s="3">
        <v>36892.0</v>
      </c>
      <c r="R894" s="1"/>
      <c r="S894" s="3">
        <v>40842.0</v>
      </c>
      <c r="T894" s="1" t="s">
        <v>37</v>
      </c>
      <c r="U894" s="1"/>
      <c r="V894" s="1" t="s">
        <v>38</v>
      </c>
      <c r="W894" s="1"/>
      <c r="X894" s="1"/>
      <c r="Y894" s="1" t="s">
        <v>49</v>
      </c>
      <c r="Z894" s="1"/>
      <c r="AA894" s="1" t="s">
        <v>40</v>
      </c>
      <c r="AB894" s="1" t="s">
        <v>186</v>
      </c>
      <c r="AC894" s="1">
        <v>0.0</v>
      </c>
    </row>
    <row r="895">
      <c r="A895" s="1" t="str">
        <f t="shared" si="66"/>
        <v>0007WA</v>
      </c>
      <c r="B895" s="1" t="s">
        <v>157</v>
      </c>
      <c r="C895" s="1" t="s">
        <v>158</v>
      </c>
      <c r="D895" s="1" t="str">
        <f t="shared" si="67"/>
        <v>8029482057</v>
      </c>
      <c r="E895" s="1">
        <v>1217.0</v>
      </c>
      <c r="F895" s="1" t="s">
        <v>31</v>
      </c>
      <c r="G895" s="1" t="s">
        <v>3717</v>
      </c>
      <c r="H895" s="1">
        <v>17.0</v>
      </c>
      <c r="I895" s="1"/>
      <c r="J895" s="1"/>
      <c r="K895" s="1"/>
      <c r="L895" s="1"/>
      <c r="M895" s="1" t="s">
        <v>3718</v>
      </c>
      <c r="N895" s="1" t="s">
        <v>161</v>
      </c>
      <c r="O895" s="1" t="s">
        <v>185</v>
      </c>
      <c r="P895" s="1" t="s">
        <v>3719</v>
      </c>
      <c r="Q895" s="3">
        <v>36892.0</v>
      </c>
      <c r="R895" s="1"/>
      <c r="S895" s="3">
        <v>40842.0</v>
      </c>
      <c r="T895" s="1" t="s">
        <v>37</v>
      </c>
      <c r="U895" s="1"/>
      <c r="V895" s="1" t="s">
        <v>38</v>
      </c>
      <c r="W895" s="1"/>
      <c r="X895" s="1"/>
      <c r="Y895" s="1" t="s">
        <v>49</v>
      </c>
      <c r="Z895" s="1"/>
      <c r="AA895" s="1" t="s">
        <v>40</v>
      </c>
      <c r="AB895" s="1" t="s">
        <v>186</v>
      </c>
      <c r="AC895" s="1">
        <v>0.0</v>
      </c>
    </row>
    <row r="896">
      <c r="A896" s="1" t="str">
        <f>"0007VX"</f>
        <v>0007VX</v>
      </c>
      <c r="B896" s="1" t="s">
        <v>3720</v>
      </c>
      <c r="C896" s="1" t="s">
        <v>3721</v>
      </c>
      <c r="D896" s="1" t="str">
        <f>"8024823624"</f>
        <v>8024823624</v>
      </c>
      <c r="E896" s="1">
        <v>1179.0</v>
      </c>
      <c r="F896" s="1" t="s">
        <v>44</v>
      </c>
      <c r="G896" s="1" t="s">
        <v>3722</v>
      </c>
      <c r="H896" s="1">
        <v>2.0</v>
      </c>
      <c r="I896" s="1"/>
      <c r="J896" s="1"/>
      <c r="K896" s="1"/>
      <c r="L896" s="1"/>
      <c r="M896" s="1" t="s">
        <v>72</v>
      </c>
      <c r="N896" s="1" t="s">
        <v>57</v>
      </c>
      <c r="O896" s="1" t="s">
        <v>3723</v>
      </c>
      <c r="P896" s="1"/>
      <c r="Q896" s="3">
        <v>36892.0</v>
      </c>
      <c r="R896" s="1"/>
      <c r="S896" s="3">
        <v>39275.0</v>
      </c>
      <c r="T896" s="1" t="s">
        <v>37</v>
      </c>
      <c r="U896" s="1"/>
      <c r="V896" s="1" t="s">
        <v>38</v>
      </c>
      <c r="W896" s="1"/>
      <c r="X896" s="1"/>
      <c r="Y896" s="1" t="s">
        <v>49</v>
      </c>
      <c r="Z896" s="1"/>
      <c r="AA896" s="1" t="s">
        <v>40</v>
      </c>
      <c r="AB896" s="1" t="s">
        <v>3724</v>
      </c>
      <c r="AC896" s="1"/>
    </row>
    <row r="897">
      <c r="A897" s="1" t="str">
        <f>"0007VW"</f>
        <v>0007VW</v>
      </c>
      <c r="B897" s="1" t="s">
        <v>3725</v>
      </c>
      <c r="C897" s="1" t="s">
        <v>3726</v>
      </c>
      <c r="D897" s="1" t="str">
        <f>"8022445889"</f>
        <v>8022445889</v>
      </c>
      <c r="E897" s="1">
        <v>1177.0</v>
      </c>
      <c r="F897" s="1" t="s">
        <v>44</v>
      </c>
      <c r="G897" s="1" t="s">
        <v>3727</v>
      </c>
      <c r="H897" s="1">
        <v>0.0</v>
      </c>
      <c r="I897" s="1"/>
      <c r="J897" s="1"/>
      <c r="K897" s="1"/>
      <c r="L897" s="1"/>
      <c r="M897" s="1" t="s">
        <v>72</v>
      </c>
      <c r="N897" s="1" t="s">
        <v>135</v>
      </c>
      <c r="O897" s="1" t="s">
        <v>775</v>
      </c>
      <c r="P897" s="1"/>
      <c r="Q897" s="3">
        <v>36892.0</v>
      </c>
      <c r="R897" s="1"/>
      <c r="S897" s="3">
        <v>36040.0</v>
      </c>
      <c r="T897" s="1" t="s">
        <v>37</v>
      </c>
      <c r="U897" s="1"/>
      <c r="V897" s="1" t="s">
        <v>38</v>
      </c>
      <c r="W897" s="1"/>
      <c r="X897" s="1"/>
      <c r="Y897" s="1" t="s">
        <v>49</v>
      </c>
      <c r="Z897" s="1"/>
      <c r="AA897" s="1" t="s">
        <v>40</v>
      </c>
      <c r="AB897" s="1" t="s">
        <v>776</v>
      </c>
      <c r="AC897" s="1"/>
    </row>
    <row r="898">
      <c r="A898" s="1" t="str">
        <f>"0007PH"</f>
        <v>0007PH</v>
      </c>
      <c r="B898" s="1" t="s">
        <v>3728</v>
      </c>
      <c r="C898" s="1" t="s">
        <v>3729</v>
      </c>
      <c r="D898" s="1" t="str">
        <f>"8024847240"</f>
        <v>8024847240</v>
      </c>
      <c r="E898" s="1">
        <v>2472.0</v>
      </c>
      <c r="F898" s="1" t="s">
        <v>44</v>
      </c>
      <c r="G898" s="1" t="s">
        <v>3730</v>
      </c>
      <c r="H898" s="1">
        <v>1.0</v>
      </c>
      <c r="I898" s="1"/>
      <c r="J898" s="1"/>
      <c r="K898" s="1"/>
      <c r="L898" s="1"/>
      <c r="M898" s="1" t="s">
        <v>3731</v>
      </c>
      <c r="N898" s="1" t="s">
        <v>34</v>
      </c>
      <c r="O898" s="1" t="s">
        <v>1085</v>
      </c>
      <c r="P898" s="1"/>
      <c r="Q898" s="3">
        <v>36892.0</v>
      </c>
      <c r="R898" s="1"/>
      <c r="S898" s="3">
        <v>32722.0</v>
      </c>
      <c r="T898" s="1" t="s">
        <v>37</v>
      </c>
      <c r="U898" s="1"/>
      <c r="V898" s="1" t="s">
        <v>38</v>
      </c>
      <c r="W898" s="1"/>
      <c r="X898" s="1"/>
      <c r="Y898" s="1" t="s">
        <v>49</v>
      </c>
      <c r="Z898" s="1"/>
      <c r="AA898" s="1" t="s">
        <v>40</v>
      </c>
      <c r="AB898" s="1" t="s">
        <v>1086</v>
      </c>
      <c r="AC898" s="1"/>
    </row>
    <row r="899">
      <c r="A899" s="1" t="str">
        <f>"00076V"</f>
        <v>00076V</v>
      </c>
      <c r="B899" s="1" t="s">
        <v>3732</v>
      </c>
      <c r="C899" s="1" t="s">
        <v>3733</v>
      </c>
      <c r="D899" s="1" t="str">
        <f>"9734772831"</f>
        <v>9734772831</v>
      </c>
      <c r="E899" s="1">
        <v>3652.0</v>
      </c>
      <c r="F899" s="1" t="s">
        <v>117</v>
      </c>
      <c r="G899" s="1" t="s">
        <v>3734</v>
      </c>
      <c r="H899" s="1">
        <v>5.0</v>
      </c>
      <c r="I899" s="2" t="s">
        <v>119</v>
      </c>
      <c r="J899" s="2">
        <v>2.0</v>
      </c>
      <c r="K899" s="2" t="s">
        <v>119</v>
      </c>
      <c r="L899" s="1"/>
      <c r="M899" s="1" t="s">
        <v>3735</v>
      </c>
      <c r="N899" s="1" t="s">
        <v>414</v>
      </c>
      <c r="O899" s="1" t="s">
        <v>3034</v>
      </c>
      <c r="P899" s="1" t="s">
        <v>3736</v>
      </c>
      <c r="Q899" s="3">
        <v>36892.0</v>
      </c>
      <c r="R899" s="1"/>
      <c r="S899" s="3">
        <v>39981.0</v>
      </c>
      <c r="T899" s="1" t="s">
        <v>37</v>
      </c>
      <c r="U899" s="1"/>
      <c r="V899" s="1" t="s">
        <v>38</v>
      </c>
      <c r="W899" s="1">
        <v>43.0964783527723</v>
      </c>
      <c r="X899" s="1">
        <v>-73.2041895389556</v>
      </c>
      <c r="Y899" s="1" t="s">
        <v>3737</v>
      </c>
      <c r="Z899" s="1"/>
      <c r="AA899" s="1" t="s">
        <v>40</v>
      </c>
      <c r="AB899" s="1" t="s">
        <v>3036</v>
      </c>
      <c r="AC899" s="1">
        <v>5000.0</v>
      </c>
    </row>
    <row r="900">
      <c r="A900" s="1" t="str">
        <f>"0008F9"</f>
        <v>0008F9</v>
      </c>
      <c r="B900" s="1" t="s">
        <v>3738</v>
      </c>
      <c r="C900" s="1" t="s">
        <v>3739</v>
      </c>
      <c r="D900" s="1" t="str">
        <f>"8024335944"</f>
        <v>8024335944</v>
      </c>
      <c r="E900" s="1">
        <v>3635.0</v>
      </c>
      <c r="F900" s="1" t="s">
        <v>117</v>
      </c>
      <c r="G900" s="1" t="s">
        <v>3740</v>
      </c>
      <c r="H900" s="1">
        <v>1.0</v>
      </c>
      <c r="I900" s="2">
        <v>1.0</v>
      </c>
      <c r="J900" s="2" t="s">
        <v>119</v>
      </c>
      <c r="K900" s="2" t="s">
        <v>119</v>
      </c>
      <c r="L900" s="1"/>
      <c r="M900" s="1" t="s">
        <v>3741</v>
      </c>
      <c r="N900" s="1" t="s">
        <v>142</v>
      </c>
      <c r="O900" s="1" t="s">
        <v>2253</v>
      </c>
      <c r="P900" s="1" t="s">
        <v>3742</v>
      </c>
      <c r="Q900" s="3">
        <v>36892.0</v>
      </c>
      <c r="R900" s="1"/>
      <c r="S900" s="3">
        <v>38608.0</v>
      </c>
      <c r="T900" s="1" t="s">
        <v>37</v>
      </c>
      <c r="U900" s="1"/>
      <c r="V900" s="1" t="s">
        <v>38</v>
      </c>
      <c r="W900" s="1">
        <v>44.140285</v>
      </c>
      <c r="X900" s="1">
        <v>-72.5450819</v>
      </c>
      <c r="Y900" s="1" t="s">
        <v>3743</v>
      </c>
      <c r="Z900" s="1"/>
      <c r="AA900" s="1" t="s">
        <v>40</v>
      </c>
      <c r="AB900" s="1" t="s">
        <v>2254</v>
      </c>
      <c r="AC900" s="1">
        <v>5679.0</v>
      </c>
    </row>
    <row r="901">
      <c r="A901" s="1" t="str">
        <f>"00087N"</f>
        <v>00087N</v>
      </c>
      <c r="B901" s="1" t="s">
        <v>2509</v>
      </c>
      <c r="C901" s="1" t="s">
        <v>2510</v>
      </c>
      <c r="D901" s="1" t="str">
        <f>"8022445287"</f>
        <v>8022445287</v>
      </c>
      <c r="E901" s="1">
        <v>3080.0</v>
      </c>
      <c r="F901" s="1" t="s">
        <v>44</v>
      </c>
      <c r="G901" s="1" t="s">
        <v>3744</v>
      </c>
      <c r="H901" s="1"/>
      <c r="I901" s="1"/>
      <c r="J901" s="1"/>
      <c r="K901" s="1"/>
      <c r="L901" s="1"/>
      <c r="M901" s="1" t="s">
        <v>3745</v>
      </c>
      <c r="N901" s="1" t="s">
        <v>135</v>
      </c>
      <c r="O901" s="1" t="s">
        <v>3300</v>
      </c>
      <c r="P901" s="1"/>
      <c r="Q901" s="3">
        <v>36892.0</v>
      </c>
      <c r="R901" s="1"/>
      <c r="S901" s="1"/>
      <c r="T901" s="1" t="s">
        <v>37</v>
      </c>
      <c r="U901" s="1"/>
      <c r="V901" s="1" t="s">
        <v>38</v>
      </c>
      <c r="W901" s="1"/>
      <c r="X901" s="1"/>
      <c r="Y901" s="1" t="s">
        <v>49</v>
      </c>
      <c r="Z901" s="1"/>
      <c r="AA901" s="1" t="s">
        <v>40</v>
      </c>
      <c r="AB901" s="1" t="s">
        <v>3301</v>
      </c>
      <c r="AC901" s="1"/>
    </row>
    <row r="902">
      <c r="A902" s="1" t="str">
        <f>"00076Q"</f>
        <v>00076Q</v>
      </c>
      <c r="B902" s="1" t="s">
        <v>3746</v>
      </c>
      <c r="C902" s="1" t="s">
        <v>3747</v>
      </c>
      <c r="D902" s="1" t="str">
        <f>"8024533675"</f>
        <v>8024533675</v>
      </c>
      <c r="E902" s="1">
        <v>3076.0</v>
      </c>
      <c r="F902" s="1" t="s">
        <v>44</v>
      </c>
      <c r="G902" s="1" t="s">
        <v>3748</v>
      </c>
      <c r="H902" s="1">
        <v>0.0</v>
      </c>
      <c r="I902" s="1"/>
      <c r="J902" s="1"/>
      <c r="K902" s="1"/>
      <c r="L902" s="1"/>
      <c r="M902" s="1" t="s">
        <v>72</v>
      </c>
      <c r="N902" s="1" t="s">
        <v>161</v>
      </c>
      <c r="O902" s="1" t="s">
        <v>307</v>
      </c>
      <c r="P902" s="1"/>
      <c r="Q902" s="3">
        <v>36892.0</v>
      </c>
      <c r="R902" s="1"/>
      <c r="S902" s="3">
        <v>38161.0</v>
      </c>
      <c r="T902" s="1" t="s">
        <v>37</v>
      </c>
      <c r="U902" s="1"/>
      <c r="V902" s="1" t="s">
        <v>38</v>
      </c>
      <c r="W902" s="1"/>
      <c r="X902" s="1"/>
      <c r="Y902" s="1" t="s">
        <v>49</v>
      </c>
      <c r="Z902" s="1"/>
      <c r="AA902" s="1" t="s">
        <v>40</v>
      </c>
      <c r="AB902" s="1" t="s">
        <v>308</v>
      </c>
      <c r="AC902" s="1"/>
    </row>
    <row r="903">
      <c r="A903" s="1" t="str">
        <f>"0007VM"</f>
        <v>0007VM</v>
      </c>
      <c r="B903" s="1" t="s">
        <v>3749</v>
      </c>
      <c r="C903" s="1" t="s">
        <v>3750</v>
      </c>
      <c r="D903" s="1" t="str">
        <f>"8022447460"</f>
        <v>8022447460</v>
      </c>
      <c r="E903" s="1">
        <v>1169.0</v>
      </c>
      <c r="F903" s="1" t="s">
        <v>117</v>
      </c>
      <c r="G903" s="1" t="s">
        <v>3751</v>
      </c>
      <c r="H903" s="1">
        <v>7.0</v>
      </c>
      <c r="I903" s="2">
        <v>10.0</v>
      </c>
      <c r="J903" s="2">
        <v>8.0</v>
      </c>
      <c r="K903" s="2" t="s">
        <v>119</v>
      </c>
      <c r="L903" s="1"/>
      <c r="M903" s="1" t="s">
        <v>3752</v>
      </c>
      <c r="N903" s="1" t="s">
        <v>135</v>
      </c>
      <c r="O903" s="1" t="s">
        <v>775</v>
      </c>
      <c r="P903" s="1" t="s">
        <v>3753</v>
      </c>
      <c r="Q903" s="3">
        <v>36892.0</v>
      </c>
      <c r="R903" s="1"/>
      <c r="S903" s="3">
        <v>34898.0</v>
      </c>
      <c r="T903" s="1" t="s">
        <v>37</v>
      </c>
      <c r="U903" s="1"/>
      <c r="V903" s="1" t="s">
        <v>38</v>
      </c>
      <c r="W903" s="1">
        <v>44.383586</v>
      </c>
      <c r="X903" s="1">
        <v>-72.6842889999999</v>
      </c>
      <c r="Y903" s="1" t="s">
        <v>3754</v>
      </c>
      <c r="Z903" s="1"/>
      <c r="AA903" s="1" t="s">
        <v>40</v>
      </c>
      <c r="AB903" s="1" t="s">
        <v>3755</v>
      </c>
      <c r="AC903" s="1">
        <v>5677.0</v>
      </c>
    </row>
    <row r="904">
      <c r="A904" s="1" t="str">
        <f>"000895"</f>
        <v>000895</v>
      </c>
      <c r="B904" s="1" t="s">
        <v>3756</v>
      </c>
      <c r="C904" s="1" t="s">
        <v>3757</v>
      </c>
      <c r="D904" s="1" t="str">
        <f>"8027486384"</f>
        <v>8027486384</v>
      </c>
      <c r="E904" s="1">
        <v>3870.0</v>
      </c>
      <c r="F904" s="1" t="s">
        <v>44</v>
      </c>
      <c r="G904" s="1" t="s">
        <v>3758</v>
      </c>
      <c r="H904" s="1"/>
      <c r="I904" s="1"/>
      <c r="J904" s="1"/>
      <c r="K904" s="1"/>
      <c r="L904" s="1"/>
      <c r="M904" s="1" t="s">
        <v>72</v>
      </c>
      <c r="N904" s="1" t="s">
        <v>128</v>
      </c>
      <c r="O904" s="1" t="s">
        <v>1707</v>
      </c>
      <c r="P904" s="1"/>
      <c r="Q904" s="3">
        <v>36892.0</v>
      </c>
      <c r="R904" s="1"/>
      <c r="S904" s="1"/>
      <c r="T904" s="1" t="s">
        <v>37</v>
      </c>
      <c r="U904" s="1"/>
      <c r="V904" s="1" t="s">
        <v>38</v>
      </c>
      <c r="W904" s="1"/>
      <c r="X904" s="1"/>
      <c r="Y904" s="1" t="s">
        <v>49</v>
      </c>
      <c r="Z904" s="1"/>
      <c r="AA904" s="1" t="s">
        <v>40</v>
      </c>
      <c r="AB904" s="1" t="s">
        <v>196</v>
      </c>
      <c r="AC904" s="1"/>
    </row>
    <row r="905">
      <c r="A905" s="1" t="str">
        <f>"0008FG"</f>
        <v>0008FG</v>
      </c>
      <c r="B905" s="1" t="s">
        <v>3759</v>
      </c>
      <c r="C905" s="1" t="s">
        <v>3760</v>
      </c>
      <c r="D905" s="1" t="str">
        <f>"8024574731"</f>
        <v>8024574731</v>
      </c>
      <c r="E905" s="1">
        <v>3694.0</v>
      </c>
      <c r="F905" s="1" t="s">
        <v>44</v>
      </c>
      <c r="G905" s="1" t="s">
        <v>3761</v>
      </c>
      <c r="H905" s="1">
        <v>2.0</v>
      </c>
      <c r="I905" s="1"/>
      <c r="J905" s="1"/>
      <c r="K905" s="1"/>
      <c r="L905" s="1"/>
      <c r="M905" s="1" t="s">
        <v>72</v>
      </c>
      <c r="N905" s="1" t="s">
        <v>34</v>
      </c>
      <c r="O905" s="1" t="s">
        <v>324</v>
      </c>
      <c r="P905" s="1"/>
      <c r="Q905" s="3">
        <v>36892.0</v>
      </c>
      <c r="R905" s="1"/>
      <c r="S905" s="3">
        <v>39279.0</v>
      </c>
      <c r="T905" s="1" t="s">
        <v>37</v>
      </c>
      <c r="U905" s="1"/>
      <c r="V905" s="1" t="s">
        <v>38</v>
      </c>
      <c r="W905" s="1"/>
      <c r="X905" s="1"/>
      <c r="Y905" s="1" t="s">
        <v>49</v>
      </c>
      <c r="Z905" s="1"/>
      <c r="AA905" s="1" t="s">
        <v>40</v>
      </c>
      <c r="AB905" s="1" t="s">
        <v>326</v>
      </c>
      <c r="AC905" s="1"/>
    </row>
    <row r="906">
      <c r="A906" s="1" t="str">
        <f>"0007VD"</f>
        <v>0007VD</v>
      </c>
      <c r="B906" s="1" t="s">
        <v>3762</v>
      </c>
      <c r="C906" s="1" t="s">
        <v>3763</v>
      </c>
      <c r="D906" s="1" t="str">
        <f>"8024965054"</f>
        <v>8024965054</v>
      </c>
      <c r="E906" s="1">
        <v>1159.0</v>
      </c>
      <c r="F906" s="1" t="s">
        <v>44</v>
      </c>
      <c r="G906" s="1" t="s">
        <v>3764</v>
      </c>
      <c r="H906" s="1">
        <v>8.0</v>
      </c>
      <c r="I906" s="1"/>
      <c r="J906" s="1"/>
      <c r="K906" s="1"/>
      <c r="L906" s="1"/>
      <c r="M906" s="1" t="s">
        <v>3765</v>
      </c>
      <c r="N906" s="1" t="s">
        <v>135</v>
      </c>
      <c r="O906" s="1" t="s">
        <v>440</v>
      </c>
      <c r="P906" s="1"/>
      <c r="Q906" s="3">
        <v>36892.0</v>
      </c>
      <c r="R906" s="1"/>
      <c r="S906" s="3">
        <v>35604.0</v>
      </c>
      <c r="T906" s="1" t="s">
        <v>37</v>
      </c>
      <c r="U906" s="1"/>
      <c r="V906" s="1" t="s">
        <v>38</v>
      </c>
      <c r="W906" s="1"/>
      <c r="X906" s="1"/>
      <c r="Y906" s="1" t="s">
        <v>49</v>
      </c>
      <c r="Z906" s="1"/>
      <c r="AA906" s="1" t="s">
        <v>40</v>
      </c>
      <c r="AB906" s="1" t="s">
        <v>441</v>
      </c>
      <c r="AC906" s="1"/>
    </row>
    <row r="907">
      <c r="A907" s="1" t="str">
        <f>"0007VC"</f>
        <v>0007VC</v>
      </c>
      <c r="B907" s="1" t="s">
        <v>3766</v>
      </c>
      <c r="C907" s="1" t="s">
        <v>3767</v>
      </c>
      <c r="D907" s="1"/>
      <c r="E907" s="1">
        <v>1155.0</v>
      </c>
      <c r="F907" s="1" t="s">
        <v>44</v>
      </c>
      <c r="G907" s="1" t="s">
        <v>3768</v>
      </c>
      <c r="H907" s="1"/>
      <c r="I907" s="1"/>
      <c r="J907" s="1"/>
      <c r="K907" s="1"/>
      <c r="L907" s="1"/>
      <c r="M907" s="1" t="s">
        <v>72</v>
      </c>
      <c r="N907" s="1" t="s">
        <v>135</v>
      </c>
      <c r="O907" s="1" t="s">
        <v>758</v>
      </c>
      <c r="P907" s="1"/>
      <c r="Q907" s="3">
        <v>36892.0</v>
      </c>
      <c r="R907" s="1"/>
      <c r="S907" s="1"/>
      <c r="T907" s="1" t="s">
        <v>37</v>
      </c>
      <c r="U907" s="1"/>
      <c r="V907" s="1" t="s">
        <v>38</v>
      </c>
      <c r="W907" s="1"/>
      <c r="X907" s="1"/>
      <c r="Y907" s="1" t="s">
        <v>49</v>
      </c>
      <c r="Z907" s="1"/>
      <c r="AA907" s="1" t="s">
        <v>40</v>
      </c>
      <c r="AB907" s="1" t="s">
        <v>759</v>
      </c>
      <c r="AC907" s="1"/>
    </row>
    <row r="908">
      <c r="A908" s="1" t="str">
        <f>"0007WB"</f>
        <v>0007WB</v>
      </c>
      <c r="B908" s="1" t="s">
        <v>567</v>
      </c>
      <c r="C908" s="1" t="s">
        <v>568</v>
      </c>
      <c r="D908" s="1" t="str">
        <f>"8029895895"</f>
        <v>8029895895</v>
      </c>
      <c r="E908" s="1">
        <v>2046.0</v>
      </c>
      <c r="F908" s="1" t="s">
        <v>117</v>
      </c>
      <c r="G908" s="1" t="s">
        <v>3769</v>
      </c>
      <c r="H908" s="1">
        <v>26.0</v>
      </c>
      <c r="I908" s="2" t="s">
        <v>119</v>
      </c>
      <c r="J908" s="2" t="s">
        <v>119</v>
      </c>
      <c r="K908" s="2" t="s">
        <v>119</v>
      </c>
      <c r="L908" s="1"/>
      <c r="M908" s="1" t="s">
        <v>3770</v>
      </c>
      <c r="N908" s="1" t="s">
        <v>161</v>
      </c>
      <c r="O908" s="1" t="s">
        <v>3541</v>
      </c>
      <c r="P908" s="1" t="s">
        <v>3771</v>
      </c>
      <c r="Q908" s="3">
        <v>36892.0</v>
      </c>
      <c r="R908" s="1"/>
      <c r="S908" s="3">
        <v>41943.0</v>
      </c>
      <c r="T908" s="1" t="s">
        <v>37</v>
      </c>
      <c r="U908" s="1"/>
      <c r="V908" s="1" t="s">
        <v>38</v>
      </c>
      <c r="W908" s="1">
        <v>43.90854</v>
      </c>
      <c r="X908" s="1">
        <v>-73.2177399999999</v>
      </c>
      <c r="Y908" s="1" t="s">
        <v>3772</v>
      </c>
      <c r="Z908" s="1"/>
      <c r="AA908" s="1" t="s">
        <v>40</v>
      </c>
      <c r="AB908" s="1" t="s">
        <v>3544</v>
      </c>
      <c r="AC908" s="1">
        <v>0.0</v>
      </c>
    </row>
    <row r="909">
      <c r="A909" s="1" t="str">
        <f>"0007VA"</f>
        <v>0007VA</v>
      </c>
      <c r="B909" s="1" t="s">
        <v>3773</v>
      </c>
      <c r="C909" s="1" t="s">
        <v>3774</v>
      </c>
      <c r="D909" s="1" t="str">
        <f>"8024547798"</f>
        <v>8024547798</v>
      </c>
      <c r="E909" s="1">
        <v>1149.0</v>
      </c>
      <c r="F909" s="1" t="s">
        <v>117</v>
      </c>
      <c r="G909" s="1" t="s">
        <v>3775</v>
      </c>
      <c r="H909" s="1">
        <v>2.0</v>
      </c>
      <c r="I909" s="2" t="s">
        <v>119</v>
      </c>
      <c r="J909" s="2" t="s">
        <v>119</v>
      </c>
      <c r="K909" s="2" t="s">
        <v>119</v>
      </c>
      <c r="L909" s="1"/>
      <c r="M909" s="1" t="s">
        <v>3776</v>
      </c>
      <c r="N909" s="1" t="s">
        <v>135</v>
      </c>
      <c r="O909" s="1" t="s">
        <v>758</v>
      </c>
      <c r="P909" s="1" t="s">
        <v>3777</v>
      </c>
      <c r="Q909" s="3">
        <v>36892.0</v>
      </c>
      <c r="R909" s="1"/>
      <c r="S909" s="3">
        <v>32300.0</v>
      </c>
      <c r="T909" s="1" t="s">
        <v>37</v>
      </c>
      <c r="U909" s="1"/>
      <c r="V909" s="1" t="s">
        <v>38</v>
      </c>
      <c r="W909" s="1">
        <v>44.275532</v>
      </c>
      <c r="X909" s="1">
        <v>-72.386169</v>
      </c>
      <c r="Y909" s="1" t="s">
        <v>3778</v>
      </c>
      <c r="Z909" s="1"/>
      <c r="AA909" s="1" t="s">
        <v>40</v>
      </c>
      <c r="AB909" s="1" t="s">
        <v>759</v>
      </c>
      <c r="AC909" s="1">
        <v>5667.0</v>
      </c>
    </row>
    <row r="910">
      <c r="A910" s="1" t="str">
        <f>"0007V9"</f>
        <v>0007V9</v>
      </c>
      <c r="B910" s="1" t="s">
        <v>3779</v>
      </c>
      <c r="C910" s="1" t="s">
        <v>3780</v>
      </c>
      <c r="D910" s="1" t="str">
        <f>"8024799344"</f>
        <v>8024799344</v>
      </c>
      <c r="E910" s="1">
        <v>1148.0</v>
      </c>
      <c r="F910" s="1" t="s">
        <v>44</v>
      </c>
      <c r="G910" s="1" t="s">
        <v>3781</v>
      </c>
      <c r="H910" s="1"/>
      <c r="I910" s="1"/>
      <c r="J910" s="1"/>
      <c r="K910" s="1"/>
      <c r="L910" s="1"/>
      <c r="M910" s="1" t="s">
        <v>3782</v>
      </c>
      <c r="N910" s="1" t="s">
        <v>135</v>
      </c>
      <c r="O910" s="1" t="s">
        <v>758</v>
      </c>
      <c r="P910" s="1"/>
      <c r="Q910" s="3">
        <v>36892.0</v>
      </c>
      <c r="R910" s="1"/>
      <c r="S910" s="1"/>
      <c r="T910" s="1" t="s">
        <v>37</v>
      </c>
      <c r="U910" s="1"/>
      <c r="V910" s="1" t="s">
        <v>38</v>
      </c>
      <c r="W910" s="1"/>
      <c r="X910" s="1"/>
      <c r="Y910" s="1" t="s">
        <v>49</v>
      </c>
      <c r="Z910" s="1"/>
      <c r="AA910" s="1" t="s">
        <v>40</v>
      </c>
      <c r="AB910" s="1" t="s">
        <v>759</v>
      </c>
      <c r="AC910" s="1"/>
    </row>
    <row r="911">
      <c r="A911" s="1" t="str">
        <f>"0007V8"</f>
        <v>0007V8</v>
      </c>
      <c r="B911" s="1" t="s">
        <v>3783</v>
      </c>
      <c r="C911" s="1" t="s">
        <v>3784</v>
      </c>
      <c r="D911" s="1" t="str">
        <f>"8024858284"</f>
        <v>8024858284</v>
      </c>
      <c r="E911" s="1">
        <v>1146.0</v>
      </c>
      <c r="F911" s="1" t="s">
        <v>44</v>
      </c>
      <c r="G911" s="1" t="s">
        <v>3785</v>
      </c>
      <c r="H911" s="1">
        <v>2.0</v>
      </c>
      <c r="I911" s="2">
        <v>2.0</v>
      </c>
      <c r="J911" s="2">
        <v>0.0</v>
      </c>
      <c r="K911" s="2" t="s">
        <v>119</v>
      </c>
      <c r="L911" s="1"/>
      <c r="M911" s="1" t="s">
        <v>33</v>
      </c>
      <c r="N911" s="1" t="s">
        <v>135</v>
      </c>
      <c r="O911" s="1" t="s">
        <v>136</v>
      </c>
      <c r="P911" s="1" t="s">
        <v>36</v>
      </c>
      <c r="Q911" s="3">
        <v>36892.0</v>
      </c>
      <c r="R911" s="1"/>
      <c r="S911" s="3">
        <v>37461.0</v>
      </c>
      <c r="T911" s="1" t="s">
        <v>37</v>
      </c>
      <c r="U911" s="1"/>
      <c r="V911" s="1" t="s">
        <v>38</v>
      </c>
      <c r="W911" s="1">
        <v>44.1676209</v>
      </c>
      <c r="X911" s="1">
        <v>-72.6480849999999</v>
      </c>
      <c r="Y911" s="1" t="s">
        <v>3786</v>
      </c>
      <c r="Z911" s="1"/>
      <c r="AA911" s="1" t="s">
        <v>40</v>
      </c>
      <c r="AB911" s="1" t="s">
        <v>2197</v>
      </c>
      <c r="AC911" s="1">
        <v>5664.0</v>
      </c>
    </row>
    <row r="912">
      <c r="A912" s="1" t="str">
        <f>"0007V7"</f>
        <v>0007V7</v>
      </c>
      <c r="B912" s="1" t="s">
        <v>3787</v>
      </c>
      <c r="C912" s="1" t="s">
        <v>3788</v>
      </c>
      <c r="D912" s="1"/>
      <c r="E912" s="1">
        <v>1145.0</v>
      </c>
      <c r="F912" s="1" t="s">
        <v>44</v>
      </c>
      <c r="G912" s="1" t="s">
        <v>3789</v>
      </c>
      <c r="H912" s="1">
        <v>1.0</v>
      </c>
      <c r="I912" s="1"/>
      <c r="J912" s="1"/>
      <c r="K912" s="1"/>
      <c r="L912" s="1"/>
      <c r="M912" s="1" t="s">
        <v>3790</v>
      </c>
      <c r="N912" s="1" t="s">
        <v>135</v>
      </c>
      <c r="O912" s="1" t="s">
        <v>136</v>
      </c>
      <c r="P912" s="1"/>
      <c r="Q912" s="3">
        <v>36892.0</v>
      </c>
      <c r="R912" s="1"/>
      <c r="S912" s="3">
        <v>32680.0</v>
      </c>
      <c r="T912" s="1" t="s">
        <v>37</v>
      </c>
      <c r="U912" s="1"/>
      <c r="V912" s="1" t="s">
        <v>38</v>
      </c>
      <c r="W912" s="1"/>
      <c r="X912" s="1"/>
      <c r="Y912" s="1" t="s">
        <v>49</v>
      </c>
      <c r="Z912" s="1"/>
      <c r="AA912" s="1" t="s">
        <v>40</v>
      </c>
      <c r="AB912" s="1" t="s">
        <v>137</v>
      </c>
      <c r="AC912" s="1"/>
    </row>
    <row r="913">
      <c r="A913" s="1" t="str">
        <f>"0007V5"</f>
        <v>0007V5</v>
      </c>
      <c r="B913" s="1" t="s">
        <v>3791</v>
      </c>
      <c r="C913" s="1" t="s">
        <v>3792</v>
      </c>
      <c r="D913" s="1" t="str">
        <f>"8027753603"</f>
        <v>8027753603</v>
      </c>
      <c r="E913" s="1">
        <v>3140.0</v>
      </c>
      <c r="F913" s="1" t="s">
        <v>44</v>
      </c>
      <c r="G913" s="1" t="s">
        <v>3793</v>
      </c>
      <c r="H913" s="1"/>
      <c r="I913" s="1"/>
      <c r="J913" s="1"/>
      <c r="K913" s="1"/>
      <c r="L913" s="1"/>
      <c r="M913" s="1" t="s">
        <v>3794</v>
      </c>
      <c r="N913" s="1" t="s">
        <v>78</v>
      </c>
      <c r="O913" s="1" t="s">
        <v>855</v>
      </c>
      <c r="P913" s="1"/>
      <c r="Q913" s="3">
        <v>36892.0</v>
      </c>
      <c r="R913" s="1"/>
      <c r="S913" s="1"/>
      <c r="T913" s="1" t="s">
        <v>37</v>
      </c>
      <c r="U913" s="1"/>
      <c r="V913" s="1" t="s">
        <v>38</v>
      </c>
      <c r="W913" s="1"/>
      <c r="X913" s="1"/>
      <c r="Y913" s="1" t="s">
        <v>49</v>
      </c>
      <c r="Z913" s="1"/>
      <c r="AA913" s="1" t="s">
        <v>40</v>
      </c>
      <c r="AB913" s="1" t="s">
        <v>857</v>
      </c>
      <c r="AC913" s="1"/>
    </row>
    <row r="914">
      <c r="A914" s="1" t="str">
        <f>"0007PJ"</f>
        <v>0007PJ</v>
      </c>
      <c r="B914" s="1" t="s">
        <v>3795</v>
      </c>
      <c r="C914" s="1" t="s">
        <v>3796</v>
      </c>
      <c r="D914" s="1" t="str">
        <f>"8028279981"</f>
        <v>8028279981</v>
      </c>
      <c r="E914" s="1">
        <v>3506.0</v>
      </c>
      <c r="F914" s="1" t="s">
        <v>44</v>
      </c>
      <c r="G914" s="1" t="s">
        <v>3797</v>
      </c>
      <c r="H914" s="1"/>
      <c r="I914" s="1"/>
      <c r="J914" s="1"/>
      <c r="K914" s="1"/>
      <c r="L914" s="1"/>
      <c r="M914" s="1" t="s">
        <v>72</v>
      </c>
      <c r="N914" s="1" t="s">
        <v>47</v>
      </c>
      <c r="O914" s="1" t="s">
        <v>928</v>
      </c>
      <c r="P914" s="1"/>
      <c r="Q914" s="3">
        <v>36892.0</v>
      </c>
      <c r="R914" s="1"/>
      <c r="S914" s="1"/>
      <c r="T914" s="1" t="s">
        <v>37</v>
      </c>
      <c r="U914" s="1"/>
      <c r="V914" s="1" t="s">
        <v>38</v>
      </c>
      <c r="W914" s="1"/>
      <c r="X914" s="1"/>
      <c r="Y914" s="1" t="s">
        <v>49</v>
      </c>
      <c r="Z914" s="1"/>
      <c r="AA914" s="1" t="s">
        <v>40</v>
      </c>
      <c r="AB914" s="1" t="s">
        <v>929</v>
      </c>
      <c r="AC914" s="1"/>
    </row>
    <row r="915">
      <c r="A915" s="1" t="str">
        <f>"0007X7"</f>
        <v>0007X7</v>
      </c>
      <c r="B915" s="1" t="s">
        <v>2198</v>
      </c>
      <c r="C915" s="1" t="s">
        <v>2199</v>
      </c>
      <c r="D915" s="1" t="str">
        <f>"8024263432"</f>
        <v>8024263432</v>
      </c>
      <c r="E915" s="1">
        <v>3027.0</v>
      </c>
      <c r="F915" s="1" t="s">
        <v>44</v>
      </c>
      <c r="G915" s="1" t="s">
        <v>3798</v>
      </c>
      <c r="H915" s="1"/>
      <c r="I915" s="1"/>
      <c r="J915" s="1"/>
      <c r="K915" s="1"/>
      <c r="L915" s="1"/>
      <c r="M915" s="1" t="s">
        <v>1107</v>
      </c>
      <c r="N915" s="1" t="s">
        <v>135</v>
      </c>
      <c r="O915" s="1" t="s">
        <v>758</v>
      </c>
      <c r="P915" s="1"/>
      <c r="Q915" s="3">
        <v>36892.0</v>
      </c>
      <c r="R915" s="1"/>
      <c r="S915" s="1"/>
      <c r="T915" s="1" t="s">
        <v>37</v>
      </c>
      <c r="U915" s="1"/>
      <c r="V915" s="1" t="s">
        <v>38</v>
      </c>
      <c r="W915" s="1"/>
      <c r="X915" s="1"/>
      <c r="Y915" s="1" t="s">
        <v>49</v>
      </c>
      <c r="Z915" s="1"/>
      <c r="AA915" s="1" t="s">
        <v>40</v>
      </c>
      <c r="AB915" s="1" t="s">
        <v>759</v>
      </c>
      <c r="AC915" s="1"/>
    </row>
    <row r="916">
      <c r="A916" s="1" t="str">
        <f>"0007V2"</f>
        <v>0007V2</v>
      </c>
      <c r="B916" s="1" t="s">
        <v>3799</v>
      </c>
      <c r="C916" s="1" t="s">
        <v>3800</v>
      </c>
      <c r="D916" s="1" t="str">
        <f>"8024963614"</f>
        <v>8024963614</v>
      </c>
      <c r="E916" s="1">
        <v>1132.0</v>
      </c>
      <c r="F916" s="1" t="s">
        <v>31</v>
      </c>
      <c r="G916" s="1" t="s">
        <v>3801</v>
      </c>
      <c r="H916" s="1">
        <v>1.0</v>
      </c>
      <c r="I916" s="1"/>
      <c r="J916" s="1"/>
      <c r="K916" s="1"/>
      <c r="L916" s="1"/>
      <c r="M916" s="1" t="s">
        <v>3802</v>
      </c>
      <c r="N916" s="1" t="s">
        <v>135</v>
      </c>
      <c r="O916" s="1" t="s">
        <v>2331</v>
      </c>
      <c r="P916" s="1" t="s">
        <v>3803</v>
      </c>
      <c r="Q916" s="3">
        <v>36892.0</v>
      </c>
      <c r="R916" s="1"/>
      <c r="S916" s="3">
        <v>42895.0</v>
      </c>
      <c r="T916" s="1" t="s">
        <v>37</v>
      </c>
      <c r="U916" s="1"/>
      <c r="V916" s="1" t="s">
        <v>38</v>
      </c>
      <c r="W916" s="1">
        <v>44.2427356925005</v>
      </c>
      <c r="X916" s="1">
        <v>-72.7758246660232</v>
      </c>
      <c r="Y916" s="1" t="s">
        <v>3804</v>
      </c>
      <c r="Z916" s="1"/>
      <c r="AA916" s="1" t="s">
        <v>40</v>
      </c>
      <c r="AB916" s="1" t="s">
        <v>2332</v>
      </c>
      <c r="AC916" s="1">
        <v>5660.0</v>
      </c>
    </row>
    <row r="917">
      <c r="A917" s="1" t="str">
        <f>"0007V1"</f>
        <v>0007V1</v>
      </c>
      <c r="B917" s="1" t="s">
        <v>3805</v>
      </c>
      <c r="C917" s="1" t="s">
        <v>3806</v>
      </c>
      <c r="D917" s="1" t="str">
        <f>"8024965912"</f>
        <v>8024965912</v>
      </c>
      <c r="E917" s="1">
        <v>4026.0</v>
      </c>
      <c r="F917" s="1" t="s">
        <v>44</v>
      </c>
      <c r="G917" s="1" t="s">
        <v>3807</v>
      </c>
      <c r="H917" s="1"/>
      <c r="I917" s="1"/>
      <c r="J917" s="1"/>
      <c r="K917" s="1"/>
      <c r="L917" s="1"/>
      <c r="M917" s="1" t="s">
        <v>3808</v>
      </c>
      <c r="N917" s="1" t="s">
        <v>135</v>
      </c>
      <c r="O917" s="1" t="s">
        <v>2331</v>
      </c>
      <c r="P917" s="1"/>
      <c r="Q917" s="3">
        <v>36892.0</v>
      </c>
      <c r="R917" s="1"/>
      <c r="S917" s="1"/>
      <c r="T917" s="1" t="s">
        <v>37</v>
      </c>
      <c r="U917" s="1"/>
      <c r="V917" s="1" t="s">
        <v>38</v>
      </c>
      <c r="W917" s="1"/>
      <c r="X917" s="1"/>
      <c r="Y917" s="1" t="s">
        <v>49</v>
      </c>
      <c r="Z917" s="1"/>
      <c r="AA917" s="1" t="s">
        <v>40</v>
      </c>
      <c r="AB917" s="1" t="s">
        <v>2332</v>
      </c>
      <c r="AC917" s="1"/>
    </row>
    <row r="918">
      <c r="A918" s="1" t="str">
        <f>"0007WB"</f>
        <v>0007WB</v>
      </c>
      <c r="B918" s="1" t="s">
        <v>567</v>
      </c>
      <c r="C918" s="1" t="s">
        <v>568</v>
      </c>
      <c r="D918" s="1" t="str">
        <f>"8029895895"</f>
        <v>8029895895</v>
      </c>
      <c r="E918" s="1">
        <v>2046.0</v>
      </c>
      <c r="F918" s="1" t="s">
        <v>117</v>
      </c>
      <c r="G918" s="1" t="s">
        <v>3809</v>
      </c>
      <c r="H918" s="1">
        <v>15.0</v>
      </c>
      <c r="I918" s="2" t="s">
        <v>119</v>
      </c>
      <c r="J918" s="2" t="s">
        <v>119</v>
      </c>
      <c r="K918" s="2" t="s">
        <v>119</v>
      </c>
      <c r="L918" s="1"/>
      <c r="M918" s="1" t="s">
        <v>3810</v>
      </c>
      <c r="N918" s="1" t="s">
        <v>161</v>
      </c>
      <c r="O918" s="1" t="s">
        <v>571</v>
      </c>
      <c r="P918" s="1" t="s">
        <v>3811</v>
      </c>
      <c r="Q918" s="3">
        <v>36892.0</v>
      </c>
      <c r="R918" s="1"/>
      <c r="S918" s="3">
        <v>38869.0</v>
      </c>
      <c r="T918" s="1" t="s">
        <v>37</v>
      </c>
      <c r="U918" s="1"/>
      <c r="V918" s="1" t="s">
        <v>38</v>
      </c>
      <c r="W918" s="1">
        <v>44.1268152622242</v>
      </c>
      <c r="X918" s="1">
        <v>-73.0002779513597</v>
      </c>
      <c r="Y918" s="1" t="s">
        <v>3812</v>
      </c>
      <c r="Z918" s="1"/>
      <c r="AA918" s="1" t="s">
        <v>40</v>
      </c>
      <c r="AB918" s="1" t="s">
        <v>573</v>
      </c>
      <c r="AC918" s="1">
        <v>5443.0</v>
      </c>
    </row>
    <row r="919">
      <c r="A919" s="1" t="str">
        <f>"0007QZ"</f>
        <v>0007QZ</v>
      </c>
      <c r="B919" s="1" t="s">
        <v>3813</v>
      </c>
      <c r="C919" s="1" t="s">
        <v>3814</v>
      </c>
      <c r="D919" s="1" t="str">
        <f>"8024572829"</f>
        <v>8024572829</v>
      </c>
      <c r="E919" s="1">
        <v>3829.0</v>
      </c>
      <c r="F919" s="1" t="s">
        <v>44</v>
      </c>
      <c r="G919" s="1" t="s">
        <v>3815</v>
      </c>
      <c r="H919" s="1">
        <v>2.0</v>
      </c>
      <c r="I919" s="1"/>
      <c r="J919" s="1"/>
      <c r="K919" s="1"/>
      <c r="L919" s="1"/>
      <c r="M919" s="1" t="s">
        <v>72</v>
      </c>
      <c r="N919" s="1" t="s">
        <v>34</v>
      </c>
      <c r="O919" s="1" t="s">
        <v>324</v>
      </c>
      <c r="P919" s="1"/>
      <c r="Q919" s="3">
        <v>36892.0</v>
      </c>
      <c r="R919" s="1"/>
      <c r="S919" s="3">
        <v>39279.0</v>
      </c>
      <c r="T919" s="1" t="s">
        <v>37</v>
      </c>
      <c r="U919" s="1"/>
      <c r="V919" s="1" t="s">
        <v>38</v>
      </c>
      <c r="W919" s="1"/>
      <c r="X919" s="1"/>
      <c r="Y919" s="1" t="s">
        <v>49</v>
      </c>
      <c r="Z919" s="1"/>
      <c r="AA919" s="1" t="s">
        <v>40</v>
      </c>
      <c r="AB919" s="1" t="s">
        <v>326</v>
      </c>
      <c r="AC919" s="1"/>
    </row>
    <row r="920">
      <c r="A920" s="1" t="str">
        <f>"0007QY"</f>
        <v>0007QY</v>
      </c>
      <c r="B920" s="1" t="s">
        <v>3816</v>
      </c>
      <c r="C920" s="1" t="s">
        <v>3817</v>
      </c>
      <c r="D920" s="1" t="str">
        <f>"8023883711"</f>
        <v>8023883711</v>
      </c>
      <c r="E920" s="1">
        <v>2663.0</v>
      </c>
      <c r="F920" s="1" t="s">
        <v>44</v>
      </c>
      <c r="G920" s="1" t="s">
        <v>3818</v>
      </c>
      <c r="H920" s="1"/>
      <c r="I920" s="1"/>
      <c r="J920" s="1"/>
      <c r="K920" s="1"/>
      <c r="L920" s="1"/>
      <c r="M920" s="1" t="s">
        <v>3819</v>
      </c>
      <c r="N920" s="1" t="s">
        <v>161</v>
      </c>
      <c r="O920" s="1" t="s">
        <v>943</v>
      </c>
      <c r="P920" s="1"/>
      <c r="Q920" s="3">
        <v>36892.0</v>
      </c>
      <c r="R920" s="1"/>
      <c r="S920" s="1"/>
      <c r="T920" s="1" t="s">
        <v>37</v>
      </c>
      <c r="U920" s="1"/>
      <c r="V920" s="1" t="s">
        <v>38</v>
      </c>
      <c r="W920" s="1"/>
      <c r="X920" s="1"/>
      <c r="Y920" s="1" t="s">
        <v>49</v>
      </c>
      <c r="Z920" s="1"/>
      <c r="AA920" s="1" t="s">
        <v>40</v>
      </c>
      <c r="AB920" s="1" t="s">
        <v>945</v>
      </c>
      <c r="AC920" s="1"/>
    </row>
    <row r="921">
      <c r="A921" s="1" t="str">
        <f>"0007QX"</f>
        <v>0007QX</v>
      </c>
      <c r="B921" s="1" t="s">
        <v>3820</v>
      </c>
      <c r="C921" s="1" t="s">
        <v>3821</v>
      </c>
      <c r="D921" s="1"/>
      <c r="E921" s="1">
        <v>1124.0</v>
      </c>
      <c r="F921" s="1" t="s">
        <v>44</v>
      </c>
      <c r="G921" s="1" t="s">
        <v>3822</v>
      </c>
      <c r="H921" s="1">
        <v>1.0</v>
      </c>
      <c r="I921" s="1"/>
      <c r="J921" s="1"/>
      <c r="K921" s="1"/>
      <c r="L921" s="1"/>
      <c r="M921" s="1" t="s">
        <v>3823</v>
      </c>
      <c r="N921" s="1" t="s">
        <v>135</v>
      </c>
      <c r="O921" s="1" t="s">
        <v>1073</v>
      </c>
      <c r="P921" s="1"/>
      <c r="Q921" s="3">
        <v>36892.0</v>
      </c>
      <c r="R921" s="1"/>
      <c r="S921" s="3">
        <v>32300.0</v>
      </c>
      <c r="T921" s="1" t="s">
        <v>37</v>
      </c>
      <c r="U921" s="1"/>
      <c r="V921" s="1" t="s">
        <v>38</v>
      </c>
      <c r="W921" s="1"/>
      <c r="X921" s="1"/>
      <c r="Y921" s="1" t="s">
        <v>49</v>
      </c>
      <c r="Z921" s="1"/>
      <c r="AA921" s="1" t="s">
        <v>40</v>
      </c>
      <c r="AB921" s="1" t="s">
        <v>1075</v>
      </c>
      <c r="AC921" s="1"/>
    </row>
    <row r="922">
      <c r="A922" s="1" t="str">
        <f>"0008VF"</f>
        <v>0008VF</v>
      </c>
      <c r="B922" s="1" t="s">
        <v>3824</v>
      </c>
      <c r="C922" s="1" t="s">
        <v>3825</v>
      </c>
      <c r="D922" s="1" t="str">
        <f>"8024385208"</f>
        <v>8024385208</v>
      </c>
      <c r="E922" s="1">
        <v>3321.0</v>
      </c>
      <c r="F922" s="1" t="s">
        <v>31</v>
      </c>
      <c r="G922" s="1" t="s">
        <v>3826</v>
      </c>
      <c r="H922" s="1">
        <v>2.0</v>
      </c>
      <c r="I922" s="1"/>
      <c r="J922" s="1"/>
      <c r="K922" s="1"/>
      <c r="L922" s="1"/>
      <c r="M922" s="1" t="s">
        <v>3827</v>
      </c>
      <c r="N922" s="1" t="s">
        <v>78</v>
      </c>
      <c r="O922" s="1" t="s">
        <v>3828</v>
      </c>
      <c r="P922" s="1" t="s">
        <v>3829</v>
      </c>
      <c r="Q922" s="3">
        <v>36892.0</v>
      </c>
      <c r="R922" s="1"/>
      <c r="S922" s="1"/>
      <c r="T922" s="1" t="s">
        <v>37</v>
      </c>
      <c r="U922" s="1"/>
      <c r="V922" s="1" t="s">
        <v>38</v>
      </c>
      <c r="W922" s="1">
        <v>43.495216</v>
      </c>
      <c r="X922" s="1">
        <v>-73.012489</v>
      </c>
      <c r="Y922" s="1" t="s">
        <v>3830</v>
      </c>
      <c r="Z922" s="1"/>
      <c r="AA922" s="1" t="s">
        <v>40</v>
      </c>
      <c r="AB922" s="1" t="s">
        <v>3831</v>
      </c>
      <c r="AC922" s="1">
        <v>5777.0</v>
      </c>
    </row>
    <row r="923">
      <c r="A923" s="1" t="str">
        <f>"0008N0"</f>
        <v>0008N0</v>
      </c>
      <c r="B923" s="1" t="s">
        <v>3832</v>
      </c>
      <c r="C923" s="1" t="s">
        <v>3833</v>
      </c>
      <c r="D923" s="1" t="str">
        <f>"8028693515"</f>
        <v>8028693515</v>
      </c>
      <c r="E923" s="1">
        <v>3159.0</v>
      </c>
      <c r="F923" s="1" t="s">
        <v>117</v>
      </c>
      <c r="G923" s="1" t="s">
        <v>3834</v>
      </c>
      <c r="H923" s="1">
        <v>0.0</v>
      </c>
      <c r="I923" s="2">
        <v>1.0</v>
      </c>
      <c r="J923" s="2">
        <v>1.0</v>
      </c>
      <c r="K923" s="2" t="s">
        <v>119</v>
      </c>
      <c r="L923" s="1"/>
      <c r="M923" s="1" t="s">
        <v>3835</v>
      </c>
      <c r="N923" s="1" t="s">
        <v>66</v>
      </c>
      <c r="O923" s="1" t="s">
        <v>1199</v>
      </c>
      <c r="P923" s="1" t="s">
        <v>3836</v>
      </c>
      <c r="Q923" s="3">
        <v>36892.0</v>
      </c>
      <c r="R923" s="1"/>
      <c r="S923" s="3">
        <v>42858.0</v>
      </c>
      <c r="T923" s="1" t="s">
        <v>37</v>
      </c>
      <c r="U923" s="1"/>
      <c r="V923" s="1" t="s">
        <v>38</v>
      </c>
      <c r="W923" s="1">
        <v>43.144623</v>
      </c>
      <c r="X923" s="1">
        <v>-72.5161289999999</v>
      </c>
      <c r="Y923" s="1" t="s">
        <v>3837</v>
      </c>
      <c r="Z923" s="1"/>
      <c r="AA923" s="1" t="s">
        <v>40</v>
      </c>
      <c r="AB923" s="1" t="s">
        <v>1200</v>
      </c>
      <c r="AC923" s="1">
        <v>5101.0</v>
      </c>
    </row>
    <row r="924">
      <c r="A924" s="1" t="str">
        <f>"0007QV"</f>
        <v>0007QV</v>
      </c>
      <c r="B924" s="1" t="s">
        <v>1070</v>
      </c>
      <c r="C924" s="1" t="s">
        <v>1071</v>
      </c>
      <c r="D924" s="1" t="str">
        <f>"8024263564"</f>
        <v>8024263564</v>
      </c>
      <c r="E924" s="1">
        <v>1120.0</v>
      </c>
      <c r="F924" s="1" t="s">
        <v>44</v>
      </c>
      <c r="G924" s="1" t="s">
        <v>3838</v>
      </c>
      <c r="H924" s="1">
        <v>2.0</v>
      </c>
      <c r="I924" s="1"/>
      <c r="J924" s="1"/>
      <c r="K924" s="1"/>
      <c r="L924" s="1"/>
      <c r="M924" s="1" t="s">
        <v>3839</v>
      </c>
      <c r="N924" s="1" t="s">
        <v>135</v>
      </c>
      <c r="O924" s="1" t="s">
        <v>1073</v>
      </c>
      <c r="P924" s="1"/>
      <c r="Q924" s="3">
        <v>36892.0</v>
      </c>
      <c r="R924" s="1"/>
      <c r="S924" s="3">
        <v>35688.0</v>
      </c>
      <c r="T924" s="1" t="s">
        <v>37</v>
      </c>
      <c r="U924" s="1"/>
      <c r="V924" s="1" t="s">
        <v>38</v>
      </c>
      <c r="W924" s="1"/>
      <c r="X924" s="1"/>
      <c r="Y924" s="1" t="s">
        <v>49</v>
      </c>
      <c r="Z924" s="1"/>
      <c r="AA924" s="1" t="s">
        <v>40</v>
      </c>
      <c r="AB924" s="1" t="s">
        <v>1075</v>
      </c>
      <c r="AC924" s="1"/>
    </row>
    <row r="925">
      <c r="A925" s="1" t="str">
        <f>"0007P4"</f>
        <v>0007P4</v>
      </c>
      <c r="B925" s="1" t="s">
        <v>1258</v>
      </c>
      <c r="C925" s="1" t="s">
        <v>1259</v>
      </c>
      <c r="D925" s="1" t="str">
        <f>"8022237316"</f>
        <v>8022237316</v>
      </c>
      <c r="E925" s="1">
        <v>1021.0</v>
      </c>
      <c r="F925" s="1" t="s">
        <v>117</v>
      </c>
      <c r="G925" s="1" t="s">
        <v>3840</v>
      </c>
      <c r="H925" s="1">
        <v>16.0</v>
      </c>
      <c r="I925" s="2">
        <v>2.0</v>
      </c>
      <c r="J925" s="2">
        <v>2.0</v>
      </c>
      <c r="K925" s="2" t="s">
        <v>119</v>
      </c>
      <c r="L925" s="2" t="s">
        <v>2117</v>
      </c>
      <c r="M925" s="1" t="s">
        <v>3841</v>
      </c>
      <c r="N925" s="1" t="s">
        <v>57</v>
      </c>
      <c r="O925" s="1" t="s">
        <v>238</v>
      </c>
      <c r="P925" s="1" t="s">
        <v>3842</v>
      </c>
      <c r="Q925" s="3">
        <v>40544.0</v>
      </c>
      <c r="R925" s="1"/>
      <c r="S925" s="3">
        <v>41547.0</v>
      </c>
      <c r="T925" s="1" t="s">
        <v>37</v>
      </c>
      <c r="U925" s="1"/>
      <c r="V925" s="1" t="s">
        <v>38</v>
      </c>
      <c r="W925" s="1">
        <v>44.3606032</v>
      </c>
      <c r="X925" s="1">
        <v>-73.1790135</v>
      </c>
      <c r="Y925" s="1" t="s">
        <v>3843</v>
      </c>
      <c r="Z925" s="1"/>
      <c r="AA925" s="1" t="s">
        <v>40</v>
      </c>
      <c r="AB925" s="1" t="s">
        <v>239</v>
      </c>
      <c r="AC925" s="1">
        <v>0.0</v>
      </c>
    </row>
    <row r="926">
      <c r="A926" s="1" t="str">
        <f>"0007QK"</f>
        <v>0007QK</v>
      </c>
      <c r="B926" s="1" t="s">
        <v>1383</v>
      </c>
      <c r="C926" s="1" t="s">
        <v>1384</v>
      </c>
      <c r="D926" s="1" t="str">
        <f>"8022288105"</f>
        <v>8022288105</v>
      </c>
      <c r="E926" s="1">
        <v>2869.0</v>
      </c>
      <c r="F926" s="1" t="s">
        <v>117</v>
      </c>
      <c r="G926" s="1" t="s">
        <v>3844</v>
      </c>
      <c r="H926" s="1">
        <v>0.0</v>
      </c>
      <c r="I926" s="2" t="s">
        <v>119</v>
      </c>
      <c r="J926" s="2" t="s">
        <v>119</v>
      </c>
      <c r="K926" s="2" t="s">
        <v>119</v>
      </c>
      <c r="L926" s="1"/>
      <c r="M926" s="1" t="s">
        <v>3845</v>
      </c>
      <c r="N926" s="1" t="s">
        <v>34</v>
      </c>
      <c r="O926" s="1" t="s">
        <v>1237</v>
      </c>
      <c r="P926" s="1"/>
      <c r="Q926" s="3">
        <v>36892.0</v>
      </c>
      <c r="R926" s="3">
        <v>42156.0</v>
      </c>
      <c r="S926" s="3">
        <v>34947.0</v>
      </c>
      <c r="T926" s="1" t="s">
        <v>37</v>
      </c>
      <c r="U926" s="1"/>
      <c r="V926" s="1" t="s">
        <v>38</v>
      </c>
      <c r="W926" s="1"/>
      <c r="X926" s="1"/>
      <c r="Y926" s="1" t="s">
        <v>49</v>
      </c>
      <c r="Z926" s="1"/>
      <c r="AA926" s="1" t="s">
        <v>40</v>
      </c>
      <c r="AB926" s="1" t="s">
        <v>1238</v>
      </c>
      <c r="AC926" s="1">
        <v>5149.0</v>
      </c>
    </row>
    <row r="927">
      <c r="A927" s="1" t="str">
        <f>"0007QJ"</f>
        <v>0007QJ</v>
      </c>
      <c r="B927" s="1" t="s">
        <v>3846</v>
      </c>
      <c r="C927" s="1" t="s">
        <v>3847</v>
      </c>
      <c r="D927" s="1"/>
      <c r="E927" s="1">
        <v>1098.0</v>
      </c>
      <c r="F927" s="1" t="s">
        <v>44</v>
      </c>
      <c r="G927" s="1" t="s">
        <v>3848</v>
      </c>
      <c r="H927" s="1"/>
      <c r="I927" s="1"/>
      <c r="J927" s="1"/>
      <c r="K927" s="1"/>
      <c r="L927" s="1"/>
      <c r="M927" s="1" t="s">
        <v>3849</v>
      </c>
      <c r="N927" s="1" t="s">
        <v>135</v>
      </c>
      <c r="O927" s="1" t="s">
        <v>805</v>
      </c>
      <c r="P927" s="1"/>
      <c r="Q927" s="3">
        <v>36892.0</v>
      </c>
      <c r="R927" s="1"/>
      <c r="S927" s="1"/>
      <c r="T927" s="1" t="s">
        <v>37</v>
      </c>
      <c r="U927" s="1"/>
      <c r="V927" s="1" t="s">
        <v>38</v>
      </c>
      <c r="W927" s="1"/>
      <c r="X927" s="1"/>
      <c r="Y927" s="1" t="s">
        <v>49</v>
      </c>
      <c r="Z927" s="1"/>
      <c r="AA927" s="1" t="s">
        <v>40</v>
      </c>
      <c r="AB927" s="1" t="s">
        <v>806</v>
      </c>
      <c r="AC927" s="1"/>
    </row>
    <row r="928">
      <c r="A928" s="1" t="str">
        <f>"0007QH"</f>
        <v>0007QH</v>
      </c>
      <c r="B928" s="1" t="s">
        <v>3850</v>
      </c>
      <c r="C928" s="1" t="s">
        <v>3851</v>
      </c>
      <c r="D928" s="1" t="str">
        <f>"8023772578"</f>
        <v>8023772578</v>
      </c>
      <c r="E928" s="1">
        <v>3736.0</v>
      </c>
      <c r="F928" s="1" t="s">
        <v>117</v>
      </c>
      <c r="G928" s="1" t="s">
        <v>3852</v>
      </c>
      <c r="H928" s="1">
        <v>5.0</v>
      </c>
      <c r="I928" s="2" t="s">
        <v>119</v>
      </c>
      <c r="J928" s="2">
        <v>5.0</v>
      </c>
      <c r="K928" s="2" t="s">
        <v>119</v>
      </c>
      <c r="L928" s="1"/>
      <c r="M928" s="1" t="s">
        <v>3853</v>
      </c>
      <c r="N928" s="1" t="s">
        <v>161</v>
      </c>
      <c r="O928" s="1" t="s">
        <v>394</v>
      </c>
      <c r="P928" s="1" t="s">
        <v>3854</v>
      </c>
      <c r="Q928" s="3">
        <v>36892.0</v>
      </c>
      <c r="R928" s="1"/>
      <c r="S928" s="1"/>
      <c r="T928" s="1" t="s">
        <v>37</v>
      </c>
      <c r="U928" s="1"/>
      <c r="V928" s="1" t="s">
        <v>38</v>
      </c>
      <c r="W928" s="1">
        <v>44.237198</v>
      </c>
      <c r="X928" s="1">
        <v>-73.1451189</v>
      </c>
      <c r="Y928" s="1" t="s">
        <v>3855</v>
      </c>
      <c r="Z928" s="1"/>
      <c r="AA928" s="1" t="s">
        <v>40</v>
      </c>
      <c r="AB928" s="1" t="s">
        <v>3856</v>
      </c>
      <c r="AC928" s="1">
        <v>5473.0</v>
      </c>
    </row>
    <row r="929">
      <c r="A929" s="1" t="str">
        <f>"0008MY"</f>
        <v>0008MY</v>
      </c>
      <c r="B929" s="1" t="s">
        <v>3857</v>
      </c>
      <c r="C929" s="1" t="s">
        <v>3858</v>
      </c>
      <c r="D929" s="1" t="str">
        <f>"8025862849"</f>
        <v>8025862849</v>
      </c>
      <c r="E929" s="1">
        <v>3165.0</v>
      </c>
      <c r="F929" s="1" t="s">
        <v>44</v>
      </c>
      <c r="G929" s="1" t="s">
        <v>3859</v>
      </c>
      <c r="H929" s="1">
        <v>0.0</v>
      </c>
      <c r="I929" s="1"/>
      <c r="J929" s="1"/>
      <c r="K929" s="1"/>
      <c r="L929" s="1"/>
      <c r="M929" s="1" t="s">
        <v>72</v>
      </c>
      <c r="N929" s="1" t="s">
        <v>94</v>
      </c>
      <c r="O929" s="1" t="s">
        <v>1688</v>
      </c>
      <c r="P929" s="1"/>
      <c r="Q929" s="3">
        <v>36892.0</v>
      </c>
      <c r="R929" s="1"/>
      <c r="S929" s="1"/>
      <c r="T929" s="1" t="s">
        <v>37</v>
      </c>
      <c r="U929" s="1"/>
      <c r="V929" s="1" t="s">
        <v>38</v>
      </c>
      <c r="W929" s="1">
        <v>44.62048</v>
      </c>
      <c r="X929" s="1">
        <v>-72.3840329999999</v>
      </c>
      <c r="Y929" s="1" t="s">
        <v>3860</v>
      </c>
      <c r="Z929" s="1"/>
      <c r="AA929" s="1" t="s">
        <v>40</v>
      </c>
      <c r="AB929" s="1" t="s">
        <v>1690</v>
      </c>
      <c r="AC929" s="1">
        <v>5826.0</v>
      </c>
    </row>
    <row r="930">
      <c r="A930" s="1" t="str">
        <f>"0007BJ"</f>
        <v>0007BJ</v>
      </c>
      <c r="B930" s="1" t="s">
        <v>1402</v>
      </c>
      <c r="C930" s="1" t="s">
        <v>1403</v>
      </c>
      <c r="D930" s="1" t="str">
        <f>"8027852206"</f>
        <v>8027852206</v>
      </c>
      <c r="E930" s="1">
        <v>584.0</v>
      </c>
      <c r="F930" s="1" t="s">
        <v>44</v>
      </c>
      <c r="G930" s="1" t="s">
        <v>3861</v>
      </c>
      <c r="H930" s="1">
        <v>2.0</v>
      </c>
      <c r="I930" s="1"/>
      <c r="J930" s="1"/>
      <c r="K930" s="1"/>
      <c r="L930" s="1"/>
      <c r="M930" s="1" t="s">
        <v>3862</v>
      </c>
      <c r="N930" s="1" t="s">
        <v>142</v>
      </c>
      <c r="O930" s="1" t="s">
        <v>2474</v>
      </c>
      <c r="P930" s="1"/>
      <c r="Q930" s="3">
        <v>36892.0</v>
      </c>
      <c r="R930" s="1"/>
      <c r="S930" s="3">
        <v>39349.0</v>
      </c>
      <c r="T930" s="1" t="s">
        <v>37</v>
      </c>
      <c r="U930" s="1"/>
      <c r="V930" s="1" t="s">
        <v>38</v>
      </c>
      <c r="W930" s="1"/>
      <c r="X930" s="1"/>
      <c r="Y930" s="1" t="s">
        <v>49</v>
      </c>
      <c r="Z930" s="1"/>
      <c r="AA930" s="1" t="s">
        <v>40</v>
      </c>
      <c r="AB930" s="1" t="s">
        <v>2475</v>
      </c>
      <c r="AC930" s="1"/>
    </row>
    <row r="931">
      <c r="A931" s="1" t="str">
        <f>"0007QD"</f>
        <v>0007QD</v>
      </c>
      <c r="B931" s="1" t="s">
        <v>2876</v>
      </c>
      <c r="C931" s="1" t="s">
        <v>2877</v>
      </c>
      <c r="D931" s="1" t="str">
        <f>"8023624269"</f>
        <v>8023624269</v>
      </c>
      <c r="E931" s="1">
        <v>2929.0</v>
      </c>
      <c r="F931" s="1" t="s">
        <v>44</v>
      </c>
      <c r="G931" s="1" t="s">
        <v>3863</v>
      </c>
      <c r="H931" s="1">
        <v>2.0</v>
      </c>
      <c r="I931" s="1"/>
      <c r="J931" s="1"/>
      <c r="K931" s="1"/>
      <c r="L931" s="1"/>
      <c r="M931" s="1" t="s">
        <v>3864</v>
      </c>
      <c r="N931" s="1" t="s">
        <v>414</v>
      </c>
      <c r="O931" s="1" t="s">
        <v>2880</v>
      </c>
      <c r="P931" s="1"/>
      <c r="Q931" s="3">
        <v>36892.0</v>
      </c>
      <c r="R931" s="1"/>
      <c r="S931" s="3">
        <v>35935.0</v>
      </c>
      <c r="T931" s="1" t="s">
        <v>37</v>
      </c>
      <c r="U931" s="1"/>
      <c r="V931" s="1" t="s">
        <v>38</v>
      </c>
      <c r="W931" s="1"/>
      <c r="X931" s="1"/>
      <c r="Y931" s="1" t="s">
        <v>49</v>
      </c>
      <c r="Z931" s="1"/>
      <c r="AA931" s="1" t="s">
        <v>40</v>
      </c>
      <c r="AB931" s="1" t="s">
        <v>2881</v>
      </c>
      <c r="AC931" s="1"/>
    </row>
    <row r="932">
      <c r="A932" s="1" t="str">
        <f>"00070Z"</f>
        <v>00070Z</v>
      </c>
      <c r="B932" s="1" t="s">
        <v>1408</v>
      </c>
      <c r="C932" s="1" t="s">
        <v>1409</v>
      </c>
      <c r="D932" s="1" t="str">
        <f>"8024640343"</f>
        <v>8024640343</v>
      </c>
      <c r="E932" s="1">
        <v>3069.0</v>
      </c>
      <c r="F932" s="1" t="s">
        <v>44</v>
      </c>
      <c r="G932" s="1" t="s">
        <v>3865</v>
      </c>
      <c r="H932" s="1"/>
      <c r="I932" s="1"/>
      <c r="J932" s="1"/>
      <c r="K932" s="1"/>
      <c r="L932" s="1"/>
      <c r="M932" s="1" t="s">
        <v>3866</v>
      </c>
      <c r="N932" s="1" t="s">
        <v>66</v>
      </c>
      <c r="O932" s="1" t="s">
        <v>1411</v>
      </c>
      <c r="P932" s="1"/>
      <c r="Q932" s="3">
        <v>36892.0</v>
      </c>
      <c r="R932" s="1"/>
      <c r="S932" s="1"/>
      <c r="T932" s="1" t="s">
        <v>37</v>
      </c>
      <c r="U932" s="1"/>
      <c r="V932" s="1" t="s">
        <v>38</v>
      </c>
      <c r="W932" s="1"/>
      <c r="X932" s="1"/>
      <c r="Y932" s="1" t="s">
        <v>49</v>
      </c>
      <c r="Z932" s="1"/>
      <c r="AA932" s="1" t="s">
        <v>40</v>
      </c>
      <c r="AB932" s="1" t="s">
        <v>1412</v>
      </c>
      <c r="AC932" s="1"/>
    </row>
    <row r="933">
      <c r="A933" s="1" t="str">
        <f>"0007QC"</f>
        <v>0007QC</v>
      </c>
      <c r="B933" s="1" t="s">
        <v>3867</v>
      </c>
      <c r="C933" s="1" t="s">
        <v>3868</v>
      </c>
      <c r="D933" s="1"/>
      <c r="E933" s="1">
        <v>1086.0</v>
      </c>
      <c r="F933" s="1" t="s">
        <v>44</v>
      </c>
      <c r="G933" s="1" t="s">
        <v>3869</v>
      </c>
      <c r="H933" s="1"/>
      <c r="I933" s="1"/>
      <c r="J933" s="1"/>
      <c r="K933" s="1"/>
      <c r="L933" s="1"/>
      <c r="M933" s="1" t="s">
        <v>3870</v>
      </c>
      <c r="N933" s="1" t="s">
        <v>135</v>
      </c>
      <c r="O933" s="1" t="s">
        <v>805</v>
      </c>
      <c r="P933" s="1"/>
      <c r="Q933" s="3">
        <v>36892.0</v>
      </c>
      <c r="R933" s="1"/>
      <c r="S933" s="1"/>
      <c r="T933" s="1" t="s">
        <v>37</v>
      </c>
      <c r="U933" s="1"/>
      <c r="V933" s="1" t="s">
        <v>38</v>
      </c>
      <c r="W933" s="1"/>
      <c r="X933" s="1"/>
      <c r="Y933" s="1" t="s">
        <v>49</v>
      </c>
      <c r="Z933" s="1"/>
      <c r="AA933" s="1" t="s">
        <v>40</v>
      </c>
      <c r="AB933" s="1" t="s">
        <v>806</v>
      </c>
      <c r="AC933" s="1"/>
    </row>
    <row r="934">
      <c r="A934" s="1" t="str">
        <f>"0007QB"</f>
        <v>0007QB</v>
      </c>
      <c r="B934" s="1" t="s">
        <v>3871</v>
      </c>
      <c r="C934" s="1" t="s">
        <v>3872</v>
      </c>
      <c r="D934" s="1"/>
      <c r="E934" s="1">
        <v>1085.0</v>
      </c>
      <c r="F934" s="1" t="s">
        <v>44</v>
      </c>
      <c r="G934" s="1" t="s">
        <v>3873</v>
      </c>
      <c r="H934" s="1">
        <v>1.0</v>
      </c>
      <c r="I934" s="1"/>
      <c r="J934" s="1"/>
      <c r="K934" s="1"/>
      <c r="L934" s="1"/>
      <c r="M934" s="1" t="s">
        <v>3874</v>
      </c>
      <c r="N934" s="1" t="s">
        <v>135</v>
      </c>
      <c r="O934" s="1" t="s">
        <v>805</v>
      </c>
      <c r="P934" s="1"/>
      <c r="Q934" s="3">
        <v>36892.0</v>
      </c>
      <c r="R934" s="1"/>
      <c r="S934" s="3">
        <v>32300.0</v>
      </c>
      <c r="T934" s="1" t="s">
        <v>37</v>
      </c>
      <c r="U934" s="1"/>
      <c r="V934" s="1" t="s">
        <v>38</v>
      </c>
      <c r="W934" s="1"/>
      <c r="X934" s="1"/>
      <c r="Y934" s="1" t="s">
        <v>49</v>
      </c>
      <c r="Z934" s="1"/>
      <c r="AA934" s="1" t="s">
        <v>40</v>
      </c>
      <c r="AB934" s="1" t="s">
        <v>806</v>
      </c>
      <c r="AC934" s="1"/>
    </row>
    <row r="935">
      <c r="A935" s="1" t="str">
        <f>"0007QA"</f>
        <v>0007QA</v>
      </c>
      <c r="B935" s="1" t="s">
        <v>3875</v>
      </c>
      <c r="C935" s="1" t="s">
        <v>3876</v>
      </c>
      <c r="D935" s="1" t="str">
        <f>"8022639562"</f>
        <v>8022639562</v>
      </c>
      <c r="E935" s="1">
        <v>3977.0</v>
      </c>
      <c r="F935" s="1" t="s">
        <v>44</v>
      </c>
      <c r="G935" s="1" t="s">
        <v>3877</v>
      </c>
      <c r="H935" s="1">
        <v>5.0</v>
      </c>
      <c r="I935" s="1"/>
      <c r="J935" s="1"/>
      <c r="K935" s="1"/>
      <c r="L935" s="1"/>
      <c r="M935" s="1" t="s">
        <v>3878</v>
      </c>
      <c r="N935" s="1" t="s">
        <v>34</v>
      </c>
      <c r="O935" s="1" t="s">
        <v>1085</v>
      </c>
      <c r="P935" s="1"/>
      <c r="Q935" s="3">
        <v>36892.0</v>
      </c>
      <c r="R935" s="1"/>
      <c r="S935" s="3">
        <v>39721.0</v>
      </c>
      <c r="T935" s="1" t="s">
        <v>37</v>
      </c>
      <c r="U935" s="1"/>
      <c r="V935" s="1" t="s">
        <v>38</v>
      </c>
      <c r="W935" s="1"/>
      <c r="X935" s="1"/>
      <c r="Y935" s="1" t="s">
        <v>49</v>
      </c>
      <c r="Z935" s="1"/>
      <c r="AA935" s="1" t="s">
        <v>40</v>
      </c>
      <c r="AB935" s="1" t="s">
        <v>1086</v>
      </c>
      <c r="AC935" s="1"/>
    </row>
    <row r="936">
      <c r="A936" s="1" t="str">
        <f>"0007Q9"</f>
        <v>0007Q9</v>
      </c>
      <c r="B936" s="1" t="s">
        <v>3879</v>
      </c>
      <c r="C936" s="1" t="s">
        <v>3880</v>
      </c>
      <c r="D936" s="1" t="str">
        <f>"8024429490"</f>
        <v>8024429490</v>
      </c>
      <c r="E936" s="1">
        <v>2521.0</v>
      </c>
      <c r="F936" s="1" t="s">
        <v>44</v>
      </c>
      <c r="G936" s="1" t="s">
        <v>3881</v>
      </c>
      <c r="H936" s="1">
        <v>2.0</v>
      </c>
      <c r="I936" s="1"/>
      <c r="J936" s="1"/>
      <c r="K936" s="1"/>
      <c r="L936" s="1"/>
      <c r="M936" s="1" t="s">
        <v>3882</v>
      </c>
      <c r="N936" s="1" t="s">
        <v>414</v>
      </c>
      <c r="O936" s="1" t="s">
        <v>720</v>
      </c>
      <c r="P936" s="1"/>
      <c r="Q936" s="3">
        <v>36892.0</v>
      </c>
      <c r="R936" s="1"/>
      <c r="S936" s="3">
        <v>32332.0</v>
      </c>
      <c r="T936" s="1" t="s">
        <v>37</v>
      </c>
      <c r="U936" s="1"/>
      <c r="V936" s="1" t="s">
        <v>38</v>
      </c>
      <c r="W936" s="1"/>
      <c r="X936" s="1"/>
      <c r="Y936" s="1" t="s">
        <v>49</v>
      </c>
      <c r="Z936" s="1"/>
      <c r="AA936" s="1" t="s">
        <v>40</v>
      </c>
      <c r="AB936" s="1" t="s">
        <v>414</v>
      </c>
      <c r="AC936" s="1"/>
    </row>
    <row r="937">
      <c r="A937" s="1" t="str">
        <f>"0007Q8"</f>
        <v>0007Q8</v>
      </c>
      <c r="B937" s="1" t="s">
        <v>3883</v>
      </c>
      <c r="C937" s="1" t="s">
        <v>3884</v>
      </c>
      <c r="D937" s="1" t="str">
        <f>"8022237423"</f>
        <v>8022237423</v>
      </c>
      <c r="E937" s="1">
        <v>1078.0</v>
      </c>
      <c r="F937" s="1" t="s">
        <v>44</v>
      </c>
      <c r="G937" s="1" t="s">
        <v>3885</v>
      </c>
      <c r="H937" s="1"/>
      <c r="I937" s="1"/>
      <c r="J937" s="1"/>
      <c r="K937" s="1"/>
      <c r="L937" s="1"/>
      <c r="M937" s="1" t="s">
        <v>3886</v>
      </c>
      <c r="N937" s="1" t="s">
        <v>135</v>
      </c>
      <c r="O937" s="1" t="s">
        <v>1142</v>
      </c>
      <c r="P937" s="1"/>
      <c r="Q937" s="3">
        <v>36892.0</v>
      </c>
      <c r="R937" s="1"/>
      <c r="S937" s="1"/>
      <c r="T937" s="1" t="s">
        <v>37</v>
      </c>
      <c r="U937" s="1"/>
      <c r="V937" s="1" t="s">
        <v>38</v>
      </c>
      <c r="W937" s="1"/>
      <c r="X937" s="1"/>
      <c r="Y937" s="1" t="s">
        <v>49</v>
      </c>
      <c r="Z937" s="1"/>
      <c r="AA937" s="1" t="s">
        <v>40</v>
      </c>
      <c r="AB937" s="1" t="s">
        <v>1145</v>
      </c>
      <c r="AC937" s="1"/>
    </row>
    <row r="938">
      <c r="A938" s="1" t="str">
        <f>"00070H"</f>
        <v>00070H</v>
      </c>
      <c r="B938" s="1" t="s">
        <v>3272</v>
      </c>
      <c r="C938" s="1" t="s">
        <v>3273</v>
      </c>
      <c r="D938" s="1" t="str">
        <f>"8024969250"</f>
        <v>8024969250</v>
      </c>
      <c r="E938" s="1">
        <v>3433.0</v>
      </c>
      <c r="F938" s="1" t="s">
        <v>117</v>
      </c>
      <c r="G938" s="1" t="s">
        <v>3887</v>
      </c>
      <c r="H938" s="1">
        <v>7.0</v>
      </c>
      <c r="I938" s="2">
        <v>0.0</v>
      </c>
      <c r="J938" s="2">
        <v>5.0</v>
      </c>
      <c r="K938" s="4">
        <v>42861.0</v>
      </c>
      <c r="L938" s="1"/>
      <c r="M938" s="1" t="s">
        <v>3888</v>
      </c>
      <c r="N938" s="1" t="s">
        <v>135</v>
      </c>
      <c r="O938" s="1" t="s">
        <v>440</v>
      </c>
      <c r="P938" s="1" t="s">
        <v>3889</v>
      </c>
      <c r="Q938" s="3">
        <v>36892.0</v>
      </c>
      <c r="R938" s="1"/>
      <c r="S938" s="3">
        <v>41485.0</v>
      </c>
      <c r="T938" s="1" t="s">
        <v>37</v>
      </c>
      <c r="U938" s="1"/>
      <c r="V938" s="1" t="s">
        <v>38</v>
      </c>
      <c r="W938" s="1">
        <v>44.2146480610472</v>
      </c>
      <c r="X938" s="1">
        <v>-72.7955389022827</v>
      </c>
      <c r="Y938" s="1" t="s">
        <v>3890</v>
      </c>
      <c r="Z938" s="1"/>
      <c r="AA938" s="1" t="s">
        <v>40</v>
      </c>
      <c r="AB938" s="1" t="s">
        <v>441</v>
      </c>
      <c r="AC938" s="1">
        <v>5673.0</v>
      </c>
    </row>
    <row r="939">
      <c r="A939" s="1" t="str">
        <f>"0007Q6"</f>
        <v>0007Q6</v>
      </c>
      <c r="B939" s="1" t="s">
        <v>3891</v>
      </c>
      <c r="C939" s="1" t="s">
        <v>3892</v>
      </c>
      <c r="D939" s="1" t="str">
        <f>"8022236466"</f>
        <v>8022236466</v>
      </c>
      <c r="E939" s="1">
        <v>1075.0</v>
      </c>
      <c r="F939" s="1" t="s">
        <v>31</v>
      </c>
      <c r="G939" s="1" t="s">
        <v>3893</v>
      </c>
      <c r="H939" s="1">
        <v>2.0</v>
      </c>
      <c r="I939" s="1"/>
      <c r="J939" s="1"/>
      <c r="K939" s="1"/>
      <c r="L939" s="1"/>
      <c r="M939" s="1" t="s">
        <v>3894</v>
      </c>
      <c r="N939" s="1" t="s">
        <v>135</v>
      </c>
      <c r="O939" s="1" t="s">
        <v>805</v>
      </c>
      <c r="P939" s="1"/>
      <c r="Q939" s="3">
        <v>36892.0</v>
      </c>
      <c r="R939" s="1"/>
      <c r="S939" s="3">
        <v>39280.0</v>
      </c>
      <c r="T939" s="1" t="s">
        <v>37</v>
      </c>
      <c r="U939" s="1"/>
      <c r="V939" s="1" t="s">
        <v>38</v>
      </c>
      <c r="W939" s="1"/>
      <c r="X939" s="1"/>
      <c r="Y939" s="1" t="s">
        <v>49</v>
      </c>
      <c r="Z939" s="1"/>
      <c r="AA939" s="1" t="s">
        <v>40</v>
      </c>
      <c r="AB939" s="1" t="s">
        <v>806</v>
      </c>
      <c r="AC939" s="1"/>
    </row>
    <row r="940">
      <c r="A940" s="1" t="str">
        <f>"0007Q5"</f>
        <v>0007Q5</v>
      </c>
      <c r="B940" s="1" t="s">
        <v>3895</v>
      </c>
      <c r="C940" s="1" t="s">
        <v>3896</v>
      </c>
      <c r="D940" s="1"/>
      <c r="E940" s="1">
        <v>2657.0</v>
      </c>
      <c r="F940" s="1" t="s">
        <v>44</v>
      </c>
      <c r="G940" s="1" t="s">
        <v>3897</v>
      </c>
      <c r="H940" s="1">
        <v>2.0</v>
      </c>
      <c r="I940" s="1"/>
      <c r="J940" s="1"/>
      <c r="K940" s="1"/>
      <c r="L940" s="1"/>
      <c r="M940" s="1" t="s">
        <v>1641</v>
      </c>
      <c r="N940" s="1" t="s">
        <v>135</v>
      </c>
      <c r="O940" s="1" t="s">
        <v>440</v>
      </c>
      <c r="P940" s="1"/>
      <c r="Q940" s="3">
        <v>36892.0</v>
      </c>
      <c r="R940" s="1"/>
      <c r="S940" s="3">
        <v>35604.0</v>
      </c>
      <c r="T940" s="1" t="s">
        <v>37</v>
      </c>
      <c r="U940" s="1"/>
      <c r="V940" s="1" t="s">
        <v>38</v>
      </c>
      <c r="W940" s="1"/>
      <c r="X940" s="1"/>
      <c r="Y940" s="1" t="s">
        <v>49</v>
      </c>
      <c r="Z940" s="1"/>
      <c r="AA940" s="1" t="s">
        <v>40</v>
      </c>
      <c r="AB940" s="1" t="s">
        <v>441</v>
      </c>
      <c r="AC940" s="1"/>
    </row>
    <row r="941">
      <c r="A941" s="1" t="str">
        <f>"0007Q4"</f>
        <v>0007Q4</v>
      </c>
      <c r="B941" s="1" t="s">
        <v>3898</v>
      </c>
      <c r="C941" s="1" t="s">
        <v>3899</v>
      </c>
      <c r="D941" s="1" t="str">
        <f>"8022874300"</f>
        <v>8022874300</v>
      </c>
      <c r="E941" s="1">
        <v>3830.0</v>
      </c>
      <c r="F941" s="1" t="s">
        <v>31</v>
      </c>
      <c r="G941" s="1" t="s">
        <v>3900</v>
      </c>
      <c r="H941" s="1">
        <v>1.0</v>
      </c>
      <c r="I941" s="1"/>
      <c r="J941" s="1"/>
      <c r="K941" s="1"/>
      <c r="L941" s="1"/>
      <c r="M941" s="1" t="s">
        <v>72</v>
      </c>
      <c r="N941" s="1" t="s">
        <v>78</v>
      </c>
      <c r="O941" s="1" t="s">
        <v>615</v>
      </c>
      <c r="P941" s="1"/>
      <c r="Q941" s="3">
        <v>36892.0</v>
      </c>
      <c r="R941" s="1"/>
      <c r="S941" s="3">
        <v>39276.0</v>
      </c>
      <c r="T941" s="1" t="s">
        <v>37</v>
      </c>
      <c r="U941" s="1"/>
      <c r="V941" s="1" t="s">
        <v>38</v>
      </c>
      <c r="W941" s="1"/>
      <c r="X941" s="1"/>
      <c r="Y941" s="1" t="s">
        <v>49</v>
      </c>
      <c r="Z941" s="1"/>
      <c r="AA941" s="1" t="s">
        <v>40</v>
      </c>
      <c r="AB941" s="1" t="s">
        <v>616</v>
      </c>
      <c r="AC941" s="1"/>
    </row>
    <row r="942">
      <c r="A942" s="1" t="str">
        <f>"0007Q3"</f>
        <v>0007Q3</v>
      </c>
      <c r="B942" s="1" t="s">
        <v>3901</v>
      </c>
      <c r="C942" s="1" t="s">
        <v>3902</v>
      </c>
      <c r="D942" s="1" t="str">
        <f>"8022446446"</f>
        <v>8022446446</v>
      </c>
      <c r="E942" s="1">
        <v>1070.0</v>
      </c>
      <c r="F942" s="1" t="s">
        <v>44</v>
      </c>
      <c r="G942" s="1" t="s">
        <v>3903</v>
      </c>
      <c r="H942" s="1"/>
      <c r="I942" s="1"/>
      <c r="J942" s="1"/>
      <c r="K942" s="1"/>
      <c r="L942" s="1"/>
      <c r="M942" s="1" t="s">
        <v>2523</v>
      </c>
      <c r="N942" s="1" t="s">
        <v>135</v>
      </c>
      <c r="O942" s="1" t="s">
        <v>758</v>
      </c>
      <c r="P942" s="1"/>
      <c r="Q942" s="3">
        <v>36892.0</v>
      </c>
      <c r="R942" s="1"/>
      <c r="S942" s="1"/>
      <c r="T942" s="1" t="s">
        <v>37</v>
      </c>
      <c r="U942" s="1"/>
      <c r="V942" s="1" t="s">
        <v>38</v>
      </c>
      <c r="W942" s="1"/>
      <c r="X942" s="1"/>
      <c r="Y942" s="1" t="s">
        <v>49</v>
      </c>
      <c r="Z942" s="1"/>
      <c r="AA942" s="1" t="s">
        <v>40</v>
      </c>
      <c r="AB942" s="1" t="s">
        <v>759</v>
      </c>
      <c r="AC942" s="1"/>
    </row>
    <row r="943">
      <c r="A943" s="1" t="str">
        <f>"0007Q2"</f>
        <v>0007Q2</v>
      </c>
      <c r="B943" s="1" t="s">
        <v>3904</v>
      </c>
      <c r="C943" s="1" t="s">
        <v>3905</v>
      </c>
      <c r="D943" s="1"/>
      <c r="E943" s="1">
        <v>1068.0</v>
      </c>
      <c r="F943" s="1" t="s">
        <v>44</v>
      </c>
      <c r="G943" s="1" t="s">
        <v>3906</v>
      </c>
      <c r="H943" s="1"/>
      <c r="I943" s="1"/>
      <c r="J943" s="1"/>
      <c r="K943" s="1"/>
      <c r="L943" s="1"/>
      <c r="M943" s="1" t="s">
        <v>3907</v>
      </c>
      <c r="N943" s="1" t="s">
        <v>135</v>
      </c>
      <c r="O943" s="1" t="s">
        <v>3300</v>
      </c>
      <c r="P943" s="1"/>
      <c r="Q943" s="3">
        <v>36892.0</v>
      </c>
      <c r="R943" s="1"/>
      <c r="S943" s="1"/>
      <c r="T943" s="1" t="s">
        <v>37</v>
      </c>
      <c r="U943" s="1"/>
      <c r="V943" s="1" t="s">
        <v>38</v>
      </c>
      <c r="W943" s="1"/>
      <c r="X943" s="1"/>
      <c r="Y943" s="1" t="s">
        <v>49</v>
      </c>
      <c r="Z943" s="1"/>
      <c r="AA943" s="1" t="s">
        <v>40</v>
      </c>
      <c r="AB943" s="1" t="s">
        <v>3301</v>
      </c>
      <c r="AC943" s="1"/>
    </row>
    <row r="944">
      <c r="A944" s="1" t="str">
        <f>"0007Q1"</f>
        <v>0007Q1</v>
      </c>
      <c r="B944" s="1" t="s">
        <v>3908</v>
      </c>
      <c r="C944" s="1" t="s">
        <v>3909</v>
      </c>
      <c r="D944" s="1" t="str">
        <f>"8022294380"</f>
        <v>8022294380</v>
      </c>
      <c r="E944" s="1">
        <v>3677.0</v>
      </c>
      <c r="F944" s="1" t="s">
        <v>117</v>
      </c>
      <c r="G944" s="1" t="s">
        <v>3910</v>
      </c>
      <c r="H944" s="1">
        <v>3.0</v>
      </c>
      <c r="I944" s="2">
        <v>2.0</v>
      </c>
      <c r="J944" s="2">
        <v>5.0</v>
      </c>
      <c r="K944" s="2" t="s">
        <v>829</v>
      </c>
      <c r="L944" s="1"/>
      <c r="M944" s="1" t="s">
        <v>3911</v>
      </c>
      <c r="N944" s="1" t="s">
        <v>135</v>
      </c>
      <c r="O944" s="1" t="s">
        <v>2331</v>
      </c>
      <c r="P944" s="1" t="s">
        <v>3912</v>
      </c>
      <c r="Q944" s="3">
        <v>36892.0</v>
      </c>
      <c r="R944" s="1"/>
      <c r="S944" s="3">
        <v>39238.0</v>
      </c>
      <c r="T944" s="1" t="s">
        <v>37</v>
      </c>
      <c r="U944" s="1"/>
      <c r="V944" s="1" t="s">
        <v>38</v>
      </c>
      <c r="W944" s="1">
        <v>44.2851504285167</v>
      </c>
      <c r="X944" s="1">
        <v>-72.6693419687217</v>
      </c>
      <c r="Y944" s="1" t="s">
        <v>3913</v>
      </c>
      <c r="Z944" s="1"/>
      <c r="AA944" s="1" t="s">
        <v>40</v>
      </c>
      <c r="AB944" s="1" t="s">
        <v>1145</v>
      </c>
      <c r="AC944" s="1">
        <v>5602.0</v>
      </c>
    </row>
    <row r="945">
      <c r="A945" s="1" t="str">
        <f>"0008VH"</f>
        <v>0008VH</v>
      </c>
      <c r="B945" s="1" t="s">
        <v>3914</v>
      </c>
      <c r="C945" s="1" t="s">
        <v>3915</v>
      </c>
      <c r="D945" s="1" t="str">
        <f>"8024252178"</f>
        <v>8024252178</v>
      </c>
      <c r="E945" s="1">
        <v>3323.0</v>
      </c>
      <c r="F945" s="1" t="s">
        <v>31</v>
      </c>
      <c r="G945" s="1" t="s">
        <v>3916</v>
      </c>
      <c r="H945" s="1">
        <v>2.0</v>
      </c>
      <c r="I945" s="1"/>
      <c r="J945" s="1"/>
      <c r="K945" s="1"/>
      <c r="L945" s="1"/>
      <c r="M945" s="1" t="s">
        <v>72</v>
      </c>
      <c r="N945" s="1" t="s">
        <v>161</v>
      </c>
      <c r="O945" s="1" t="s">
        <v>394</v>
      </c>
      <c r="P945" s="1" t="s">
        <v>3917</v>
      </c>
      <c r="Q945" s="3">
        <v>36892.0</v>
      </c>
      <c r="R945" s="1"/>
      <c r="S945" s="3">
        <v>39532.0</v>
      </c>
      <c r="T945" s="1" t="s">
        <v>37</v>
      </c>
      <c r="U945" s="1"/>
      <c r="V945" s="1" t="s">
        <v>38</v>
      </c>
      <c r="W945" s="1">
        <v>44.2670051052648</v>
      </c>
      <c r="X945" s="1">
        <v>-73.1833863258361</v>
      </c>
      <c r="Y945" s="1" t="s">
        <v>3918</v>
      </c>
      <c r="Z945" s="1"/>
      <c r="AA945" s="1" t="s">
        <v>40</v>
      </c>
      <c r="AB945" s="1" t="s">
        <v>395</v>
      </c>
      <c r="AC945" s="1">
        <v>5473.0</v>
      </c>
    </row>
    <row r="946">
      <c r="A946" s="1" t="str">
        <f>"00089Z"</f>
        <v>00089Z</v>
      </c>
      <c r="B946" s="1" t="s">
        <v>3919</v>
      </c>
      <c r="C946" s="1" t="s">
        <v>3920</v>
      </c>
      <c r="D946" s="1" t="str">
        <f>"8025246232"</f>
        <v>8025246232</v>
      </c>
      <c r="E946" s="1">
        <v>2686.0</v>
      </c>
      <c r="F946" s="1" t="s">
        <v>44</v>
      </c>
      <c r="G946" s="1" t="s">
        <v>3921</v>
      </c>
      <c r="H946" s="1">
        <v>3.0</v>
      </c>
      <c r="I946" s="1"/>
      <c r="J946" s="1"/>
      <c r="K946" s="1"/>
      <c r="L946" s="1"/>
      <c r="M946" s="1" t="s">
        <v>3922</v>
      </c>
      <c r="N946" s="1" t="s">
        <v>47</v>
      </c>
      <c r="O946" s="1" t="s">
        <v>2753</v>
      </c>
      <c r="P946" s="1"/>
      <c r="Q946" s="3">
        <v>36892.0</v>
      </c>
      <c r="R946" s="1"/>
      <c r="S946" s="3">
        <v>33032.0</v>
      </c>
      <c r="T946" s="1" t="s">
        <v>37</v>
      </c>
      <c r="U946" s="1"/>
      <c r="V946" s="1" t="s">
        <v>38</v>
      </c>
      <c r="W946" s="1"/>
      <c r="X946" s="1"/>
      <c r="Y946" s="1" t="s">
        <v>49</v>
      </c>
      <c r="Z946" s="1"/>
      <c r="AA946" s="1" t="s">
        <v>40</v>
      </c>
      <c r="AB946" s="1" t="s">
        <v>2756</v>
      </c>
      <c r="AC946" s="1"/>
    </row>
    <row r="947">
      <c r="A947" s="1" t="str">
        <f>"000885"</f>
        <v>000885</v>
      </c>
      <c r="B947" s="1" t="s">
        <v>2274</v>
      </c>
      <c r="C947" s="1" t="s">
        <v>2275</v>
      </c>
      <c r="D947" s="1" t="str">
        <f>"8028839386"</f>
        <v>8028839386</v>
      </c>
      <c r="E947" s="1">
        <v>1819.0</v>
      </c>
      <c r="F947" s="1" t="s">
        <v>44</v>
      </c>
      <c r="G947" s="1" t="s">
        <v>3923</v>
      </c>
      <c r="H947" s="1">
        <v>3.0</v>
      </c>
      <c r="I947" s="1"/>
      <c r="J947" s="1"/>
      <c r="K947" s="1"/>
      <c r="L947" s="1"/>
      <c r="M947" s="1" t="s">
        <v>3924</v>
      </c>
      <c r="N947" s="1" t="s">
        <v>142</v>
      </c>
      <c r="O947" s="1" t="s">
        <v>1026</v>
      </c>
      <c r="P947" s="1"/>
      <c r="Q947" s="3">
        <v>36892.0</v>
      </c>
      <c r="R947" s="1"/>
      <c r="S947" s="3">
        <v>39735.0</v>
      </c>
      <c r="T947" s="1" t="s">
        <v>37</v>
      </c>
      <c r="U947" s="1"/>
      <c r="V947" s="1" t="s">
        <v>38</v>
      </c>
      <c r="W947" s="1"/>
      <c r="X947" s="1"/>
      <c r="Y947" s="1" t="s">
        <v>49</v>
      </c>
      <c r="Z947" s="1"/>
      <c r="AA947" s="1" t="s">
        <v>40</v>
      </c>
      <c r="AB947" s="1" t="s">
        <v>135</v>
      </c>
      <c r="AC947" s="1"/>
    </row>
    <row r="948">
      <c r="A948" s="1" t="str">
        <f>"00093F"</f>
        <v>00093F</v>
      </c>
      <c r="B948" s="1" t="s">
        <v>3925</v>
      </c>
      <c r="C948" s="1" t="s">
        <v>3926</v>
      </c>
      <c r="D948" s="1" t="str">
        <f>"8023726605"</f>
        <v>8023726605</v>
      </c>
      <c r="E948" s="1">
        <v>3811.0</v>
      </c>
      <c r="F948" s="1" t="s">
        <v>44</v>
      </c>
      <c r="G948" s="1" t="s">
        <v>3927</v>
      </c>
      <c r="H948" s="1">
        <v>1.0</v>
      </c>
      <c r="I948" s="1"/>
      <c r="J948" s="1"/>
      <c r="K948" s="1"/>
      <c r="L948" s="1"/>
      <c r="M948" s="1" t="s">
        <v>72</v>
      </c>
      <c r="N948" s="1" t="s">
        <v>107</v>
      </c>
      <c r="O948" s="1" t="s">
        <v>821</v>
      </c>
      <c r="P948" s="1"/>
      <c r="Q948" s="3">
        <v>36892.0</v>
      </c>
      <c r="R948" s="1"/>
      <c r="S948" s="3">
        <v>39240.0</v>
      </c>
      <c r="T948" s="1" t="s">
        <v>37</v>
      </c>
      <c r="U948" s="1"/>
      <c r="V948" s="1" t="s">
        <v>38</v>
      </c>
      <c r="W948" s="1"/>
      <c r="X948" s="1"/>
      <c r="Y948" s="1" t="s">
        <v>49</v>
      </c>
      <c r="Z948" s="1"/>
      <c r="AA948" s="1" t="s">
        <v>40</v>
      </c>
      <c r="AB948" s="1" t="s">
        <v>822</v>
      </c>
      <c r="AC948" s="1"/>
    </row>
    <row r="949">
      <c r="A949" s="1" t="str">
        <f>"0007P4"</f>
        <v>0007P4</v>
      </c>
      <c r="B949" s="1" t="s">
        <v>1258</v>
      </c>
      <c r="C949" s="1" t="s">
        <v>1259</v>
      </c>
      <c r="D949" s="1" t="str">
        <f>"8022237316"</f>
        <v>8022237316</v>
      </c>
      <c r="E949" s="1">
        <v>1021.0</v>
      </c>
      <c r="F949" s="1" t="s">
        <v>117</v>
      </c>
      <c r="G949" s="1" t="s">
        <v>3928</v>
      </c>
      <c r="H949" s="1">
        <v>14.0</v>
      </c>
      <c r="I949" s="2">
        <v>6.0</v>
      </c>
      <c r="J949" s="2">
        <v>6.0</v>
      </c>
      <c r="K949" s="2" t="s">
        <v>119</v>
      </c>
      <c r="L949" s="2" t="s">
        <v>2117</v>
      </c>
      <c r="M949" s="1" t="s">
        <v>3929</v>
      </c>
      <c r="N949" s="1" t="s">
        <v>57</v>
      </c>
      <c r="O949" s="1" t="s">
        <v>204</v>
      </c>
      <c r="P949" s="1" t="s">
        <v>3930</v>
      </c>
      <c r="Q949" s="3">
        <v>40544.0</v>
      </c>
      <c r="R949" s="1"/>
      <c r="S949" s="1"/>
      <c r="T949" s="1" t="s">
        <v>37</v>
      </c>
      <c r="U949" s="1"/>
      <c r="V949" s="1" t="s">
        <v>38</v>
      </c>
      <c r="W949" s="1">
        <v>44.3432926757621</v>
      </c>
      <c r="X949" s="1">
        <v>-73.1181307090514</v>
      </c>
      <c r="Y949" s="1" t="s">
        <v>3931</v>
      </c>
      <c r="Z949" s="1"/>
      <c r="AA949" s="1" t="s">
        <v>40</v>
      </c>
      <c r="AB949" s="1" t="s">
        <v>205</v>
      </c>
      <c r="AC949" s="1">
        <v>0.0</v>
      </c>
    </row>
    <row r="950">
      <c r="A950" s="1" t="str">
        <f>"0007PX"</f>
        <v>0007PX</v>
      </c>
      <c r="B950" s="1" t="s">
        <v>3932</v>
      </c>
      <c r="C950" s="1" t="s">
        <v>3933</v>
      </c>
      <c r="D950" s="1"/>
      <c r="E950" s="1">
        <v>1055.0</v>
      </c>
      <c r="F950" s="1" t="s">
        <v>44</v>
      </c>
      <c r="G950" s="1" t="s">
        <v>3934</v>
      </c>
      <c r="H950" s="1"/>
      <c r="I950" s="1"/>
      <c r="J950" s="1"/>
      <c r="K950" s="1"/>
      <c r="L950" s="1"/>
      <c r="M950" s="1" t="s">
        <v>3935</v>
      </c>
      <c r="N950" s="1" t="s">
        <v>135</v>
      </c>
      <c r="O950" s="1" t="s">
        <v>3116</v>
      </c>
      <c r="P950" s="1"/>
      <c r="Q950" s="3">
        <v>36892.0</v>
      </c>
      <c r="R950" s="1"/>
      <c r="S950" s="1"/>
      <c r="T950" s="1" t="s">
        <v>37</v>
      </c>
      <c r="U950" s="1"/>
      <c r="V950" s="1" t="s">
        <v>38</v>
      </c>
      <c r="W950" s="1"/>
      <c r="X950" s="1"/>
      <c r="Y950" s="1" t="s">
        <v>49</v>
      </c>
      <c r="Z950" s="1"/>
      <c r="AA950" s="1" t="s">
        <v>40</v>
      </c>
      <c r="AB950" s="1" t="s">
        <v>3117</v>
      </c>
      <c r="AC950" s="1"/>
    </row>
    <row r="951">
      <c r="A951" s="1" t="str">
        <f>"0007PW"</f>
        <v>0007PW</v>
      </c>
      <c r="B951" s="1" t="s">
        <v>3936</v>
      </c>
      <c r="C951" s="1" t="s">
        <v>3937</v>
      </c>
      <c r="D951" s="1" t="str">
        <f>"8025632527"</f>
        <v>8025632527</v>
      </c>
      <c r="E951" s="1">
        <v>1052.0</v>
      </c>
      <c r="F951" s="1" t="s">
        <v>44</v>
      </c>
      <c r="G951" s="1" t="s">
        <v>3938</v>
      </c>
      <c r="H951" s="1">
        <v>5.0</v>
      </c>
      <c r="I951" s="1"/>
      <c r="J951" s="1"/>
      <c r="K951" s="1"/>
      <c r="L951" s="1"/>
      <c r="M951" s="1" t="s">
        <v>3939</v>
      </c>
      <c r="N951" s="1" t="s">
        <v>128</v>
      </c>
      <c r="O951" s="1" t="s">
        <v>129</v>
      </c>
      <c r="P951" s="1"/>
      <c r="Q951" s="3">
        <v>36892.0</v>
      </c>
      <c r="R951" s="1"/>
      <c r="S951" s="3">
        <v>37028.0</v>
      </c>
      <c r="T951" s="1" t="s">
        <v>37</v>
      </c>
      <c r="U951" s="1"/>
      <c r="V951" s="1" t="s">
        <v>38</v>
      </c>
      <c r="W951" s="1"/>
      <c r="X951" s="1"/>
      <c r="Y951" s="1" t="s">
        <v>49</v>
      </c>
      <c r="Z951" s="1"/>
      <c r="AA951" s="1" t="s">
        <v>40</v>
      </c>
      <c r="AB951" s="1" t="s">
        <v>130</v>
      </c>
      <c r="AC951" s="1"/>
    </row>
    <row r="952">
      <c r="A952" s="1" t="str">
        <f>"0007PV"</f>
        <v>0007PV</v>
      </c>
      <c r="B952" s="1" t="s">
        <v>3940</v>
      </c>
      <c r="C952" s="1" t="s">
        <v>3941</v>
      </c>
      <c r="D952" s="1" t="str">
        <f>"8024343769"</f>
        <v>8024343769</v>
      </c>
      <c r="E952" s="1">
        <v>3053.0</v>
      </c>
      <c r="F952" s="1" t="s">
        <v>44</v>
      </c>
      <c r="G952" s="1" t="s">
        <v>3942</v>
      </c>
      <c r="H952" s="1">
        <v>1.0</v>
      </c>
      <c r="I952" s="2">
        <v>1.0</v>
      </c>
      <c r="J952" s="2" t="s">
        <v>119</v>
      </c>
      <c r="K952" s="2" t="s">
        <v>119</v>
      </c>
      <c r="L952" s="1"/>
      <c r="M952" s="1" t="s">
        <v>72</v>
      </c>
      <c r="N952" s="1" t="s">
        <v>57</v>
      </c>
      <c r="O952" s="1" t="s">
        <v>3943</v>
      </c>
      <c r="P952" s="1" t="s">
        <v>3944</v>
      </c>
      <c r="Q952" s="3">
        <v>36892.0</v>
      </c>
      <c r="R952" s="1"/>
      <c r="S952" s="3">
        <v>36041.0</v>
      </c>
      <c r="T952" s="1" t="s">
        <v>37</v>
      </c>
      <c r="U952" s="1"/>
      <c r="V952" s="1" t="s">
        <v>38</v>
      </c>
      <c r="W952" s="1">
        <v>44.382416</v>
      </c>
      <c r="X952" s="1">
        <v>-72.914574</v>
      </c>
      <c r="Y952" s="1" t="s">
        <v>3945</v>
      </c>
      <c r="Z952" s="1"/>
      <c r="AA952" s="1" t="s">
        <v>40</v>
      </c>
      <c r="AB952" s="1" t="s">
        <v>3946</v>
      </c>
      <c r="AC952" s="1">
        <v>5676.0</v>
      </c>
    </row>
    <row r="953">
      <c r="A953" s="1" t="str">
        <f>"0007PQ"</f>
        <v>0007PQ</v>
      </c>
      <c r="B953" s="1" t="s">
        <v>3947</v>
      </c>
      <c r="C953" s="1" t="s">
        <v>3948</v>
      </c>
      <c r="D953" s="1"/>
      <c r="E953" s="1">
        <v>1050.0</v>
      </c>
      <c r="F953" s="1" t="s">
        <v>44</v>
      </c>
      <c r="G953" s="1" t="s">
        <v>3949</v>
      </c>
      <c r="H953" s="1">
        <v>1.0</v>
      </c>
      <c r="I953" s="1"/>
      <c r="J953" s="1"/>
      <c r="K953" s="1"/>
      <c r="L953" s="1"/>
      <c r="M953" s="1" t="s">
        <v>3950</v>
      </c>
      <c r="N953" s="1" t="s">
        <v>135</v>
      </c>
      <c r="O953" s="1" t="s">
        <v>409</v>
      </c>
      <c r="P953" s="1"/>
      <c r="Q953" s="3">
        <v>36892.0</v>
      </c>
      <c r="R953" s="1"/>
      <c r="S953" s="3">
        <v>35970.0</v>
      </c>
      <c r="T953" s="1" t="s">
        <v>37</v>
      </c>
      <c r="U953" s="1"/>
      <c r="V953" s="1" t="s">
        <v>38</v>
      </c>
      <c r="W953" s="1"/>
      <c r="X953" s="1"/>
      <c r="Y953" s="1" t="s">
        <v>49</v>
      </c>
      <c r="Z953" s="1"/>
      <c r="AA953" s="1" t="s">
        <v>40</v>
      </c>
      <c r="AB953" s="1" t="s">
        <v>410</v>
      </c>
      <c r="AC953" s="1"/>
    </row>
    <row r="954">
      <c r="A954" s="1" t="str">
        <f>"00088V"</f>
        <v>00088V</v>
      </c>
      <c r="B954" s="1" t="s">
        <v>3951</v>
      </c>
      <c r="C954" s="1" t="s">
        <v>3952</v>
      </c>
      <c r="D954" s="1" t="str">
        <f>"8022235780"</f>
        <v>8022235780</v>
      </c>
      <c r="E954" s="1">
        <v>2945.0</v>
      </c>
      <c r="F954" s="1" t="s">
        <v>44</v>
      </c>
      <c r="G954" s="1" t="s">
        <v>3953</v>
      </c>
      <c r="H954" s="1">
        <v>1.0</v>
      </c>
      <c r="I954" s="1"/>
      <c r="J954" s="1"/>
      <c r="K954" s="1"/>
      <c r="L954" s="1"/>
      <c r="M954" s="1" t="s">
        <v>33</v>
      </c>
      <c r="N954" s="1" t="s">
        <v>135</v>
      </c>
      <c r="O954" s="1" t="s">
        <v>3116</v>
      </c>
      <c r="P954" s="1" t="s">
        <v>36</v>
      </c>
      <c r="Q954" s="3">
        <v>36892.0</v>
      </c>
      <c r="R954" s="1"/>
      <c r="S954" s="1"/>
      <c r="T954" s="1" t="s">
        <v>37</v>
      </c>
      <c r="U954" s="1"/>
      <c r="V954" s="1" t="s">
        <v>38</v>
      </c>
      <c r="W954" s="1"/>
      <c r="X954" s="1"/>
      <c r="Y954" s="1" t="s">
        <v>49</v>
      </c>
      <c r="Z954" s="1"/>
      <c r="AA954" s="1" t="s">
        <v>40</v>
      </c>
      <c r="AB954" s="1" t="s">
        <v>3117</v>
      </c>
      <c r="AC954" s="1"/>
    </row>
    <row r="955">
      <c r="A955" s="1" t="str">
        <f>"0007PN"</f>
        <v>0007PN</v>
      </c>
      <c r="B955" s="1" t="s">
        <v>3954</v>
      </c>
      <c r="C955" s="1" t="s">
        <v>3955</v>
      </c>
      <c r="D955" s="1"/>
      <c r="E955" s="1">
        <v>1047.0</v>
      </c>
      <c r="F955" s="1" t="s">
        <v>44</v>
      </c>
      <c r="G955" s="1" t="s">
        <v>3956</v>
      </c>
      <c r="H955" s="1">
        <v>3.0</v>
      </c>
      <c r="I955" s="1"/>
      <c r="J955" s="1"/>
      <c r="K955" s="1"/>
      <c r="L955" s="1"/>
      <c r="M955" s="1" t="s">
        <v>72</v>
      </c>
      <c r="N955" s="1" t="s">
        <v>135</v>
      </c>
      <c r="O955" s="1" t="s">
        <v>279</v>
      </c>
      <c r="P955" s="1"/>
      <c r="Q955" s="3">
        <v>36892.0</v>
      </c>
      <c r="R955" s="1"/>
      <c r="S955" s="3">
        <v>33120.0</v>
      </c>
      <c r="T955" s="1" t="s">
        <v>37</v>
      </c>
      <c r="U955" s="1"/>
      <c r="V955" s="1" t="s">
        <v>38</v>
      </c>
      <c r="W955" s="1"/>
      <c r="X955" s="1"/>
      <c r="Y955" s="1" t="s">
        <v>49</v>
      </c>
      <c r="Z955" s="1"/>
      <c r="AA955" s="1" t="s">
        <v>40</v>
      </c>
      <c r="AB955" s="1" t="s">
        <v>281</v>
      </c>
      <c r="AC955" s="1"/>
    </row>
    <row r="956">
      <c r="A956" s="1" t="str">
        <f>"0007PM"</f>
        <v>0007PM</v>
      </c>
      <c r="B956" s="1" t="s">
        <v>3957</v>
      </c>
      <c r="C956" s="1" t="s">
        <v>3958</v>
      </c>
      <c r="D956" s="1" t="str">
        <f>"8022232295"</f>
        <v>8022232295</v>
      </c>
      <c r="E956" s="1">
        <v>1046.0</v>
      </c>
      <c r="F956" s="1" t="s">
        <v>117</v>
      </c>
      <c r="G956" s="1" t="s">
        <v>3959</v>
      </c>
      <c r="H956" s="1">
        <v>2.0</v>
      </c>
      <c r="I956" s="2">
        <v>3.0</v>
      </c>
      <c r="J956" s="2">
        <v>2.0</v>
      </c>
      <c r="K956" s="2" t="s">
        <v>119</v>
      </c>
      <c r="L956" s="1"/>
      <c r="M956" s="1" t="s">
        <v>3960</v>
      </c>
      <c r="N956" s="1" t="s">
        <v>135</v>
      </c>
      <c r="O956" s="1" t="s">
        <v>279</v>
      </c>
      <c r="P956" s="1" t="s">
        <v>3961</v>
      </c>
      <c r="Q956" s="3">
        <v>36892.0</v>
      </c>
      <c r="R956" s="1"/>
      <c r="S956" s="3">
        <v>39559.0</v>
      </c>
      <c r="T956" s="1" t="s">
        <v>37</v>
      </c>
      <c r="U956" s="1"/>
      <c r="V956" s="1" t="s">
        <v>38</v>
      </c>
      <c r="W956" s="1">
        <v>44.189663</v>
      </c>
      <c r="X956" s="1">
        <v>-72.6441649999999</v>
      </c>
      <c r="Y956" s="1" t="s">
        <v>3962</v>
      </c>
      <c r="Z956" s="1"/>
      <c r="AA956" s="1" t="s">
        <v>40</v>
      </c>
      <c r="AB956" s="1" t="s">
        <v>137</v>
      </c>
      <c r="AC956" s="1">
        <v>5663.0</v>
      </c>
    </row>
    <row r="957">
      <c r="A957" s="1" t="str">
        <f>"0008MB"</f>
        <v>0008MB</v>
      </c>
      <c r="B957" s="1" t="s">
        <v>3963</v>
      </c>
      <c r="C957" s="1" t="s">
        <v>3964</v>
      </c>
      <c r="D957" s="1"/>
      <c r="E957" s="1">
        <v>2905.0</v>
      </c>
      <c r="F957" s="1" t="s">
        <v>44</v>
      </c>
      <c r="G957" s="1" t="s">
        <v>3965</v>
      </c>
      <c r="H957" s="1">
        <v>1.0</v>
      </c>
      <c r="I957" s="1"/>
      <c r="J957" s="1"/>
      <c r="K957" s="1"/>
      <c r="L957" s="1"/>
      <c r="M957" s="1" t="s">
        <v>72</v>
      </c>
      <c r="N957" s="1" t="s">
        <v>161</v>
      </c>
      <c r="O957" s="1" t="s">
        <v>180</v>
      </c>
      <c r="P957" s="1"/>
      <c r="Q957" s="3">
        <v>36892.0</v>
      </c>
      <c r="R957" s="1"/>
      <c r="S957" s="3">
        <v>34873.0</v>
      </c>
      <c r="T957" s="1" t="s">
        <v>37</v>
      </c>
      <c r="U957" s="1"/>
      <c r="V957" s="1" t="s">
        <v>38</v>
      </c>
      <c r="W957" s="1"/>
      <c r="X957" s="1"/>
      <c r="Y957" s="1" t="s">
        <v>49</v>
      </c>
      <c r="Z957" s="1"/>
      <c r="AA957" s="1" t="s">
        <v>40</v>
      </c>
      <c r="AB957" s="1" t="s">
        <v>181</v>
      </c>
      <c r="AC957" s="1"/>
    </row>
    <row r="958">
      <c r="A958" s="1" t="str">
        <f>"0007XC"</f>
        <v>0007XC</v>
      </c>
      <c r="B958" s="1" t="s">
        <v>3966</v>
      </c>
      <c r="C958" s="1" t="s">
        <v>3967</v>
      </c>
      <c r="D958" s="1" t="str">
        <f>"8028776766"</f>
        <v>8028776766</v>
      </c>
      <c r="E958" s="1">
        <v>1277.0</v>
      </c>
      <c r="F958" s="1" t="s">
        <v>44</v>
      </c>
      <c r="G958" s="1" t="s">
        <v>3968</v>
      </c>
      <c r="H958" s="1">
        <v>19.0</v>
      </c>
      <c r="I958" s="1"/>
      <c r="J958" s="1"/>
      <c r="K958" s="1"/>
      <c r="L958" s="1"/>
      <c r="M958" s="1" t="s">
        <v>3969</v>
      </c>
      <c r="N958" s="1" t="s">
        <v>161</v>
      </c>
      <c r="O958" s="1" t="s">
        <v>769</v>
      </c>
      <c r="P958" s="1"/>
      <c r="Q958" s="3">
        <v>36892.0</v>
      </c>
      <c r="R958" s="1"/>
      <c r="S958" s="3">
        <v>39245.0</v>
      </c>
      <c r="T958" s="1" t="s">
        <v>37</v>
      </c>
      <c r="U958" s="1"/>
      <c r="V958" s="1" t="s">
        <v>38</v>
      </c>
      <c r="W958" s="1"/>
      <c r="X958" s="1"/>
      <c r="Y958" s="1" t="s">
        <v>49</v>
      </c>
      <c r="Z958" s="1"/>
      <c r="AA958" s="1" t="s">
        <v>40</v>
      </c>
      <c r="AB958" s="1" t="s">
        <v>770</v>
      </c>
      <c r="AC958" s="1"/>
    </row>
    <row r="959">
      <c r="A959" s="1" t="str">
        <f>"00081C"</f>
        <v>00081C</v>
      </c>
      <c r="B959" s="1" t="s">
        <v>3970</v>
      </c>
      <c r="C959" s="1" t="s">
        <v>3971</v>
      </c>
      <c r="D959" s="1" t="str">
        <f>"8027488746"</f>
        <v>8027488746</v>
      </c>
      <c r="E959" s="1">
        <v>2470.0</v>
      </c>
      <c r="F959" s="1" t="s">
        <v>44</v>
      </c>
      <c r="G959" s="1" t="s">
        <v>3972</v>
      </c>
      <c r="H959" s="1">
        <v>1.0</v>
      </c>
      <c r="I959" s="1"/>
      <c r="J959" s="1"/>
      <c r="K959" s="1"/>
      <c r="L959" s="1"/>
      <c r="M959" s="1" t="s">
        <v>3973</v>
      </c>
      <c r="N959" s="1" t="s">
        <v>128</v>
      </c>
      <c r="O959" s="1" t="s">
        <v>129</v>
      </c>
      <c r="P959" s="1"/>
      <c r="Q959" s="3">
        <v>36892.0</v>
      </c>
      <c r="R959" s="1"/>
      <c r="S959" s="3">
        <v>32716.0</v>
      </c>
      <c r="T959" s="1" t="s">
        <v>37</v>
      </c>
      <c r="U959" s="1"/>
      <c r="V959" s="1" t="s">
        <v>38</v>
      </c>
      <c r="W959" s="1"/>
      <c r="X959" s="1"/>
      <c r="Y959" s="1" t="s">
        <v>49</v>
      </c>
      <c r="Z959" s="1"/>
      <c r="AA959" s="1" t="s">
        <v>40</v>
      </c>
      <c r="AB959" s="1" t="s">
        <v>130</v>
      </c>
      <c r="AC959" s="1"/>
    </row>
    <row r="960">
      <c r="A960" s="1" t="str">
        <f>"0008AB"</f>
        <v>0008AB</v>
      </c>
      <c r="B960" s="1" t="s">
        <v>3974</v>
      </c>
      <c r="C960" s="1" t="s">
        <v>3975</v>
      </c>
      <c r="D960" s="1" t="str">
        <f>"8029339723"</f>
        <v>8029339723</v>
      </c>
      <c r="E960" s="1">
        <v>3350.0</v>
      </c>
      <c r="F960" s="1" t="s">
        <v>44</v>
      </c>
      <c r="G960" s="1" t="s">
        <v>3976</v>
      </c>
      <c r="H960" s="1"/>
      <c r="I960" s="1"/>
      <c r="J960" s="1"/>
      <c r="K960" s="1"/>
      <c r="L960" s="1"/>
      <c r="M960" s="1" t="s">
        <v>72</v>
      </c>
      <c r="N960" s="1" t="s">
        <v>47</v>
      </c>
      <c r="O960" s="1" t="s">
        <v>264</v>
      </c>
      <c r="P960" s="1"/>
      <c r="Q960" s="3">
        <v>36892.0</v>
      </c>
      <c r="R960" s="1"/>
      <c r="S960" s="1"/>
      <c r="T960" s="1" t="s">
        <v>37</v>
      </c>
      <c r="U960" s="1"/>
      <c r="V960" s="1" t="s">
        <v>38</v>
      </c>
      <c r="W960" s="1"/>
      <c r="X960" s="1"/>
      <c r="Y960" s="1" t="s">
        <v>49</v>
      </c>
      <c r="Z960" s="1"/>
      <c r="AA960" s="1" t="s">
        <v>40</v>
      </c>
      <c r="AB960" s="1" t="s">
        <v>498</v>
      </c>
      <c r="AC960" s="1"/>
    </row>
    <row r="961">
      <c r="A961" s="1" t="str">
        <f>"000817"</f>
        <v>000817</v>
      </c>
      <c r="B961" s="1" t="s">
        <v>3977</v>
      </c>
      <c r="C961" s="1" t="s">
        <v>3978</v>
      </c>
      <c r="D961" s="1"/>
      <c r="E961" s="1">
        <v>2840.0</v>
      </c>
      <c r="F961" s="1" t="s">
        <v>44</v>
      </c>
      <c r="G961" s="1" t="s">
        <v>3979</v>
      </c>
      <c r="H961" s="1">
        <v>1.0</v>
      </c>
      <c r="I961" s="1"/>
      <c r="J961" s="1"/>
      <c r="K961" s="1"/>
      <c r="L961" s="1"/>
      <c r="M961" s="1" t="s">
        <v>3980</v>
      </c>
      <c r="N961" s="1" t="s">
        <v>66</v>
      </c>
      <c r="O961" s="1" t="s">
        <v>1199</v>
      </c>
      <c r="P961" s="1"/>
      <c r="Q961" s="3">
        <v>36892.0</v>
      </c>
      <c r="R961" s="1"/>
      <c r="S961" s="3">
        <v>34137.0</v>
      </c>
      <c r="T961" s="1" t="s">
        <v>37</v>
      </c>
      <c r="U961" s="1"/>
      <c r="V961" s="1" t="s">
        <v>38</v>
      </c>
      <c r="W961" s="1"/>
      <c r="X961" s="1"/>
      <c r="Y961" s="1" t="s">
        <v>49</v>
      </c>
      <c r="Z961" s="1"/>
      <c r="AA961" s="1" t="s">
        <v>40</v>
      </c>
      <c r="AB961" s="1" t="s">
        <v>1200</v>
      </c>
      <c r="AC961" s="1"/>
    </row>
    <row r="962">
      <c r="A962" s="1" t="str">
        <f>"0007P4"</f>
        <v>0007P4</v>
      </c>
      <c r="B962" s="1" t="s">
        <v>1258</v>
      </c>
      <c r="C962" s="1" t="s">
        <v>1259</v>
      </c>
      <c r="D962" s="1" t="str">
        <f>"8022237316"</f>
        <v>8022237316</v>
      </c>
      <c r="E962" s="1">
        <v>1021.0</v>
      </c>
      <c r="F962" s="1" t="s">
        <v>117</v>
      </c>
      <c r="G962" s="1" t="s">
        <v>3981</v>
      </c>
      <c r="H962" s="1">
        <v>11.0</v>
      </c>
      <c r="I962" s="2">
        <v>4.0</v>
      </c>
      <c r="J962" s="2">
        <v>4.0</v>
      </c>
      <c r="K962" s="2" t="s">
        <v>119</v>
      </c>
      <c r="L962" s="2" t="s">
        <v>1261</v>
      </c>
      <c r="M962" s="1" t="s">
        <v>3982</v>
      </c>
      <c r="N962" s="1" t="s">
        <v>135</v>
      </c>
      <c r="O962" s="1" t="s">
        <v>3983</v>
      </c>
      <c r="P962" s="1" t="s">
        <v>3984</v>
      </c>
      <c r="Q962" s="3">
        <v>36892.0</v>
      </c>
      <c r="R962" s="1"/>
      <c r="S962" s="3">
        <v>42514.0</v>
      </c>
      <c r="T962" s="1" t="s">
        <v>37</v>
      </c>
      <c r="U962" s="1"/>
      <c r="V962" s="1" t="s">
        <v>38</v>
      </c>
      <c r="W962" s="1">
        <v>44.34248</v>
      </c>
      <c r="X962" s="1">
        <v>-72.5642</v>
      </c>
      <c r="Y962" s="1" t="s">
        <v>3985</v>
      </c>
      <c r="Z962" s="1"/>
      <c r="AA962" s="1" t="s">
        <v>40</v>
      </c>
      <c r="AB962" s="1" t="s">
        <v>3986</v>
      </c>
      <c r="AC962" s="1">
        <v>5682.0</v>
      </c>
    </row>
    <row r="963">
      <c r="A963" s="1" t="str">
        <f>"00088H"</f>
        <v>00088H</v>
      </c>
      <c r="B963" s="1" t="s">
        <v>2463</v>
      </c>
      <c r="C963" s="1" t="s">
        <v>2464</v>
      </c>
      <c r="D963" s="1" t="str">
        <f>"8027442007"</f>
        <v>8027442007</v>
      </c>
      <c r="E963" s="1">
        <v>3222.0</v>
      </c>
      <c r="F963" s="1" t="s">
        <v>117</v>
      </c>
      <c r="G963" s="1" t="s">
        <v>3987</v>
      </c>
      <c r="H963" s="1">
        <v>32.0</v>
      </c>
      <c r="I963" s="1"/>
      <c r="J963" s="1"/>
      <c r="K963" s="1"/>
      <c r="L963" s="1"/>
      <c r="M963" s="1" t="s">
        <v>3988</v>
      </c>
      <c r="N963" s="1" t="s">
        <v>213</v>
      </c>
      <c r="O963" s="1" t="s">
        <v>1154</v>
      </c>
      <c r="P963" s="1" t="s">
        <v>3989</v>
      </c>
      <c r="Q963" s="3">
        <v>36892.0</v>
      </c>
      <c r="R963" s="1"/>
      <c r="S963" s="1"/>
      <c r="T963" s="1" t="s">
        <v>37</v>
      </c>
      <c r="U963" s="1"/>
      <c r="V963" s="1" t="s">
        <v>38</v>
      </c>
      <c r="W963" s="1">
        <v>44.63893</v>
      </c>
      <c r="X963" s="1">
        <v>-72.70666</v>
      </c>
      <c r="Y963" s="1" t="s">
        <v>49</v>
      </c>
      <c r="Z963" s="1"/>
      <c r="AA963" s="1" t="s">
        <v>40</v>
      </c>
      <c r="AB963" s="1" t="s">
        <v>1155</v>
      </c>
      <c r="AC963" s="1">
        <v>0.0</v>
      </c>
    </row>
    <row r="964">
      <c r="A964" s="1" t="str">
        <f>"0007PA"</f>
        <v>0007PA</v>
      </c>
      <c r="B964" s="1" t="s">
        <v>3990</v>
      </c>
      <c r="C964" s="1" t="s">
        <v>3991</v>
      </c>
      <c r="D964" s="1" t="str">
        <f>"8024575895"</f>
        <v>8024575895</v>
      </c>
      <c r="E964" s="1">
        <v>3009.0</v>
      </c>
      <c r="F964" s="1" t="s">
        <v>44</v>
      </c>
      <c r="G964" s="1" t="s">
        <v>3992</v>
      </c>
      <c r="H964" s="1"/>
      <c r="I964" s="1"/>
      <c r="J964" s="1"/>
      <c r="K964" s="1"/>
      <c r="L964" s="1"/>
      <c r="M964" s="1" t="s">
        <v>72</v>
      </c>
      <c r="N964" s="1" t="s">
        <v>34</v>
      </c>
      <c r="O964" s="1" t="s">
        <v>324</v>
      </c>
      <c r="P964" s="1"/>
      <c r="Q964" s="3">
        <v>36892.0</v>
      </c>
      <c r="R964" s="1"/>
      <c r="S964" s="1"/>
      <c r="T964" s="1" t="s">
        <v>37</v>
      </c>
      <c r="U964" s="1"/>
      <c r="V964" s="1" t="s">
        <v>38</v>
      </c>
      <c r="W964" s="1"/>
      <c r="X964" s="1"/>
      <c r="Y964" s="1" t="s">
        <v>49</v>
      </c>
      <c r="Z964" s="1"/>
      <c r="AA964" s="1" t="s">
        <v>40</v>
      </c>
      <c r="AB964" s="1" t="s">
        <v>326</v>
      </c>
      <c r="AC964" s="1"/>
    </row>
    <row r="965">
      <c r="A965" s="1" t="str">
        <f>"0007P8"</f>
        <v>0007P8</v>
      </c>
      <c r="B965" s="1" t="s">
        <v>3993</v>
      </c>
      <c r="C965" s="1" t="s">
        <v>3994</v>
      </c>
      <c r="D965" s="1" t="str">
        <f>"8028650120"</f>
        <v>8028650120</v>
      </c>
      <c r="E965" s="1">
        <v>2958.0</v>
      </c>
      <c r="F965" s="1" t="s">
        <v>31</v>
      </c>
      <c r="G965" s="1" t="s">
        <v>3995</v>
      </c>
      <c r="H965" s="1">
        <v>1.0</v>
      </c>
      <c r="I965" s="1"/>
      <c r="J965" s="1"/>
      <c r="K965" s="1"/>
      <c r="L965" s="1"/>
      <c r="M965" s="1" t="s">
        <v>2741</v>
      </c>
      <c r="N965" s="1" t="s">
        <v>57</v>
      </c>
      <c r="O965" s="1" t="s">
        <v>175</v>
      </c>
      <c r="P965" s="1"/>
      <c r="Q965" s="3">
        <v>36892.0</v>
      </c>
      <c r="R965" s="1"/>
      <c r="S965" s="3">
        <v>36735.0</v>
      </c>
      <c r="T965" s="1" t="s">
        <v>37</v>
      </c>
      <c r="U965" s="1"/>
      <c r="V965" s="1" t="s">
        <v>38</v>
      </c>
      <c r="W965" s="1"/>
      <c r="X965" s="1"/>
      <c r="Y965" s="1" t="s">
        <v>49</v>
      </c>
      <c r="Z965" s="1"/>
      <c r="AA965" s="1" t="s">
        <v>40</v>
      </c>
      <c r="AB965" s="1" t="s">
        <v>176</v>
      </c>
      <c r="AC965" s="1">
        <v>5401.0</v>
      </c>
    </row>
    <row r="966">
      <c r="A966" s="1" t="str">
        <f>"0007P7"</f>
        <v>0007P7</v>
      </c>
      <c r="B966" s="1" t="s">
        <v>3996</v>
      </c>
      <c r="C966" s="1" t="s">
        <v>3997</v>
      </c>
      <c r="D966" s="1" t="str">
        <f>"8024799701"</f>
        <v>8024799701</v>
      </c>
      <c r="E966" s="1">
        <v>1025.0</v>
      </c>
      <c r="F966" s="1" t="s">
        <v>44</v>
      </c>
      <c r="G966" s="1" t="s">
        <v>3998</v>
      </c>
      <c r="H966" s="1">
        <v>2.0</v>
      </c>
      <c r="I966" s="1"/>
      <c r="J966" s="1"/>
      <c r="K966" s="1"/>
      <c r="L966" s="1"/>
      <c r="M966" s="1" t="s">
        <v>3999</v>
      </c>
      <c r="N966" s="1" t="s">
        <v>135</v>
      </c>
      <c r="O966" s="1" t="s">
        <v>343</v>
      </c>
      <c r="P966" s="1"/>
      <c r="Q966" s="3">
        <v>36892.0</v>
      </c>
      <c r="R966" s="1"/>
      <c r="S966" s="3">
        <v>32688.0</v>
      </c>
      <c r="T966" s="1" t="s">
        <v>37</v>
      </c>
      <c r="U966" s="1"/>
      <c r="V966" s="1" t="s">
        <v>38</v>
      </c>
      <c r="W966" s="1"/>
      <c r="X966" s="1"/>
      <c r="Y966" s="1" t="s">
        <v>49</v>
      </c>
      <c r="Z966" s="1"/>
      <c r="AA966" s="1" t="s">
        <v>40</v>
      </c>
      <c r="AB966" s="1" t="s">
        <v>343</v>
      </c>
      <c r="AC966" s="1"/>
    </row>
    <row r="967">
      <c r="A967" s="1" t="str">
        <f>"0007P6"</f>
        <v>0007P6</v>
      </c>
      <c r="B967" s="1" t="s">
        <v>4000</v>
      </c>
      <c r="C967" s="1" t="s">
        <v>4001</v>
      </c>
      <c r="D967" s="1" t="str">
        <f>"8024792688"</f>
        <v>8024792688</v>
      </c>
      <c r="E967" s="1">
        <v>1024.0</v>
      </c>
      <c r="F967" s="1" t="s">
        <v>44</v>
      </c>
      <c r="G967" s="1" t="s">
        <v>4002</v>
      </c>
      <c r="H967" s="1">
        <v>3.0</v>
      </c>
      <c r="I967" s="1"/>
      <c r="J967" s="1"/>
      <c r="K967" s="1"/>
      <c r="L967" s="1"/>
      <c r="M967" s="1" t="s">
        <v>4003</v>
      </c>
      <c r="N967" s="1" t="s">
        <v>135</v>
      </c>
      <c r="O967" s="1" t="s">
        <v>343</v>
      </c>
      <c r="P967" s="1"/>
      <c r="Q967" s="3">
        <v>36892.0</v>
      </c>
      <c r="R967" s="1"/>
      <c r="S967" s="3">
        <v>32750.0</v>
      </c>
      <c r="T967" s="1" t="s">
        <v>37</v>
      </c>
      <c r="U967" s="1"/>
      <c r="V967" s="1" t="s">
        <v>38</v>
      </c>
      <c r="W967" s="1"/>
      <c r="X967" s="1"/>
      <c r="Y967" s="1" t="s">
        <v>49</v>
      </c>
      <c r="Z967" s="1"/>
      <c r="AA967" s="1" t="s">
        <v>40</v>
      </c>
      <c r="AB967" s="1" t="s">
        <v>343</v>
      </c>
      <c r="AC967" s="1"/>
    </row>
    <row r="968">
      <c r="A968" s="1" t="str">
        <f>"0007Z6"</f>
        <v>0007Z6</v>
      </c>
      <c r="B968" s="1" t="s">
        <v>4004</v>
      </c>
      <c r="C968" s="1" t="s">
        <v>4005</v>
      </c>
      <c r="D968" s="1" t="str">
        <f>"8022542246"</f>
        <v>8022542246</v>
      </c>
      <c r="E968" s="1">
        <v>4126.0</v>
      </c>
      <c r="F968" s="1" t="s">
        <v>44</v>
      </c>
      <c r="G968" s="1" t="s">
        <v>4006</v>
      </c>
      <c r="H968" s="1"/>
      <c r="I968" s="1"/>
      <c r="J968" s="1"/>
      <c r="K968" s="1"/>
      <c r="L968" s="1"/>
      <c r="M968" s="1" t="s">
        <v>72</v>
      </c>
      <c r="N968" s="1" t="s">
        <v>66</v>
      </c>
      <c r="O968" s="1" t="s">
        <v>73</v>
      </c>
      <c r="P968" s="1"/>
      <c r="Q968" s="3">
        <v>36892.0</v>
      </c>
      <c r="R968" s="1"/>
      <c r="S968" s="1"/>
      <c r="T968" s="1" t="s">
        <v>37</v>
      </c>
      <c r="U968" s="1"/>
      <c r="V968" s="1" t="s">
        <v>38</v>
      </c>
      <c r="W968" s="1"/>
      <c r="X968" s="1"/>
      <c r="Y968" s="1" t="s">
        <v>49</v>
      </c>
      <c r="Z968" s="1"/>
      <c r="AA968" s="1" t="s">
        <v>40</v>
      </c>
      <c r="AB968" s="1" t="s">
        <v>74</v>
      </c>
      <c r="AC968" s="1"/>
    </row>
    <row r="969">
      <c r="A969" s="1" t="str">
        <f>"0007P3"</f>
        <v>0007P3</v>
      </c>
      <c r="B969" s="1" t="s">
        <v>4007</v>
      </c>
      <c r="C969" s="1" t="s">
        <v>4008</v>
      </c>
      <c r="D969" s="1" t="str">
        <f>"8024763853"</f>
        <v>8024763853</v>
      </c>
      <c r="E969" s="1">
        <v>1017.0</v>
      </c>
      <c r="F969" s="1" t="s">
        <v>44</v>
      </c>
      <c r="G969" s="1" t="s">
        <v>4009</v>
      </c>
      <c r="H969" s="1">
        <v>1.0</v>
      </c>
      <c r="I969" s="1"/>
      <c r="J969" s="1"/>
      <c r="K969" s="1"/>
      <c r="L969" s="1"/>
      <c r="M969" s="1" t="s">
        <v>72</v>
      </c>
      <c r="N969" s="1" t="s">
        <v>135</v>
      </c>
      <c r="O969" s="1" t="s">
        <v>343</v>
      </c>
      <c r="P969" s="1"/>
      <c r="Q969" s="3">
        <v>36892.0</v>
      </c>
      <c r="R969" s="1"/>
      <c r="S969" s="3">
        <v>32380.0</v>
      </c>
      <c r="T969" s="1" t="s">
        <v>37</v>
      </c>
      <c r="U969" s="1"/>
      <c r="V969" s="1" t="s">
        <v>38</v>
      </c>
      <c r="W969" s="1"/>
      <c r="X969" s="1"/>
      <c r="Y969" s="1" t="s">
        <v>49</v>
      </c>
      <c r="Z969" s="1"/>
      <c r="AA969" s="1" t="s">
        <v>40</v>
      </c>
      <c r="AB969" s="1" t="s">
        <v>343</v>
      </c>
      <c r="AC969" s="1"/>
    </row>
    <row r="970">
      <c r="A970" s="1" t="str">
        <f>"00086M"</f>
        <v>00086M</v>
      </c>
      <c r="B970" s="1" t="s">
        <v>4010</v>
      </c>
      <c r="C970" s="1" t="s">
        <v>4011</v>
      </c>
      <c r="D970" s="1" t="str">
        <f>"8026261559"</f>
        <v>8026261559</v>
      </c>
      <c r="E970" s="1">
        <v>3698.0</v>
      </c>
      <c r="F970" s="1" t="s">
        <v>44</v>
      </c>
      <c r="G970" s="1" t="s">
        <v>4012</v>
      </c>
      <c r="H970" s="1"/>
      <c r="I970" s="1"/>
      <c r="J970" s="1"/>
      <c r="K970" s="1"/>
      <c r="L970" s="1"/>
      <c r="M970" s="1" t="s">
        <v>72</v>
      </c>
      <c r="N970" s="1" t="s">
        <v>128</v>
      </c>
      <c r="O970" s="1" t="s">
        <v>337</v>
      </c>
      <c r="P970" s="1"/>
      <c r="Q970" s="3">
        <v>36892.0</v>
      </c>
      <c r="R970" s="1"/>
      <c r="S970" s="1"/>
      <c r="T970" s="1" t="s">
        <v>37</v>
      </c>
      <c r="U970" s="1"/>
      <c r="V970" s="1" t="s">
        <v>38</v>
      </c>
      <c r="W970" s="1"/>
      <c r="X970" s="1"/>
      <c r="Y970" s="1" t="s">
        <v>49</v>
      </c>
      <c r="Z970" s="1"/>
      <c r="AA970" s="1" t="s">
        <v>40</v>
      </c>
      <c r="AB970" s="1" t="s">
        <v>338</v>
      </c>
      <c r="AC970" s="1"/>
    </row>
    <row r="971">
      <c r="A971" s="1" t="str">
        <f>"0007P1"</f>
        <v>0007P1</v>
      </c>
      <c r="B971" s="1" t="s">
        <v>4013</v>
      </c>
      <c r="C971" s="1" t="s">
        <v>4014</v>
      </c>
      <c r="D971" s="1" t="str">
        <f>"8024768369"</f>
        <v>8024768369</v>
      </c>
      <c r="E971" s="1">
        <v>1015.0</v>
      </c>
      <c r="F971" s="1" t="s">
        <v>117</v>
      </c>
      <c r="G971" s="1" t="s">
        <v>4015</v>
      </c>
      <c r="H971" s="1">
        <v>3.0</v>
      </c>
      <c r="I971" s="2" t="s">
        <v>119</v>
      </c>
      <c r="J971" s="2">
        <v>5.0</v>
      </c>
      <c r="K971" s="2" t="s">
        <v>119</v>
      </c>
      <c r="L971" s="1"/>
      <c r="M971" s="1" t="s">
        <v>4016</v>
      </c>
      <c r="N971" s="1" t="s">
        <v>135</v>
      </c>
      <c r="O971" s="1" t="s">
        <v>343</v>
      </c>
      <c r="P971" s="1" t="s">
        <v>4017</v>
      </c>
      <c r="Q971" s="3">
        <v>36892.0</v>
      </c>
      <c r="R971" s="1"/>
      <c r="S971" s="1"/>
      <c r="T971" s="1" t="s">
        <v>37</v>
      </c>
      <c r="U971" s="1"/>
      <c r="V971" s="1" t="s">
        <v>38</v>
      </c>
      <c r="W971" s="1">
        <v>44.1668455</v>
      </c>
      <c r="X971" s="1">
        <v>-72.4757814</v>
      </c>
      <c r="Y971" s="1" t="s">
        <v>4018</v>
      </c>
      <c r="Z971" s="1"/>
      <c r="AA971" s="1" t="s">
        <v>40</v>
      </c>
      <c r="AB971" s="1" t="s">
        <v>4019</v>
      </c>
      <c r="AC971" s="1">
        <v>5641.0</v>
      </c>
    </row>
    <row r="972">
      <c r="A972" s="1" t="str">
        <f>"0007P0"</f>
        <v>0007P0</v>
      </c>
      <c r="B972" s="1" t="s">
        <v>4020</v>
      </c>
      <c r="C972" s="1" t="s">
        <v>4021</v>
      </c>
      <c r="D972" s="1" t="str">
        <f>"8024765048"</f>
        <v>8024765048</v>
      </c>
      <c r="E972" s="1">
        <v>1014.0</v>
      </c>
      <c r="F972" s="1" t="s">
        <v>44</v>
      </c>
      <c r="G972" s="1" t="s">
        <v>4022</v>
      </c>
      <c r="H972" s="1">
        <v>3.0</v>
      </c>
      <c r="I972" s="1"/>
      <c r="J972" s="1"/>
      <c r="K972" s="1"/>
      <c r="L972" s="1"/>
      <c r="M972" s="1" t="s">
        <v>72</v>
      </c>
      <c r="N972" s="1" t="s">
        <v>135</v>
      </c>
      <c r="O972" s="1" t="s">
        <v>343</v>
      </c>
      <c r="P972" s="1"/>
      <c r="Q972" s="3">
        <v>36892.0</v>
      </c>
      <c r="R972" s="1"/>
      <c r="S972" s="3">
        <v>32750.0</v>
      </c>
      <c r="T972" s="1" t="s">
        <v>37</v>
      </c>
      <c r="U972" s="1"/>
      <c r="V972" s="1" t="s">
        <v>38</v>
      </c>
      <c r="W972" s="1"/>
      <c r="X972" s="1"/>
      <c r="Y972" s="1" t="s">
        <v>49</v>
      </c>
      <c r="Z972" s="1"/>
      <c r="AA972" s="1" t="s">
        <v>40</v>
      </c>
      <c r="AB972" s="1" t="s">
        <v>343</v>
      </c>
      <c r="AC972" s="1"/>
    </row>
    <row r="973">
      <c r="A973" s="1" t="str">
        <f>"0007NZ"</f>
        <v>0007NZ</v>
      </c>
      <c r="B973" s="1" t="s">
        <v>4023</v>
      </c>
      <c r="C973" s="1" t="s">
        <v>4024</v>
      </c>
      <c r="D973" s="1" t="str">
        <f>"8028622069"</f>
        <v>8028622069</v>
      </c>
      <c r="E973" s="1">
        <v>2959.0</v>
      </c>
      <c r="F973" s="1" t="s">
        <v>117</v>
      </c>
      <c r="G973" s="1" t="s">
        <v>4025</v>
      </c>
      <c r="H973" s="1">
        <v>4.0</v>
      </c>
      <c r="I973" s="1"/>
      <c r="J973" s="1"/>
      <c r="K973" s="1"/>
      <c r="L973" s="1"/>
      <c r="M973" s="1" t="s">
        <v>4026</v>
      </c>
      <c r="N973" s="1" t="s">
        <v>57</v>
      </c>
      <c r="O973" s="1" t="s">
        <v>175</v>
      </c>
      <c r="P973" s="1" t="s">
        <v>4027</v>
      </c>
      <c r="Q973" s="3">
        <v>36892.0</v>
      </c>
      <c r="R973" s="1"/>
      <c r="S973" s="3">
        <v>42556.0</v>
      </c>
      <c r="T973" s="1" t="s">
        <v>37</v>
      </c>
      <c r="U973" s="1"/>
      <c r="V973" s="1" t="s">
        <v>38</v>
      </c>
      <c r="W973" s="1">
        <v>44.502867133983</v>
      </c>
      <c r="X973" s="1">
        <v>-73.2084716856479</v>
      </c>
      <c r="Y973" s="1" t="s">
        <v>174</v>
      </c>
      <c r="Z973" s="1"/>
      <c r="AA973" s="1" t="s">
        <v>40</v>
      </c>
      <c r="AB973" s="1" t="s">
        <v>176</v>
      </c>
      <c r="AC973" s="1">
        <v>5401.0</v>
      </c>
    </row>
    <row r="974">
      <c r="A974" s="1" t="str">
        <f>"00071B"</f>
        <v>00071B</v>
      </c>
      <c r="B974" s="1" t="s">
        <v>4028</v>
      </c>
      <c r="C974" s="1" t="s">
        <v>4029</v>
      </c>
      <c r="D974" s="1" t="str">
        <f>"8022654943"</f>
        <v>8022654943</v>
      </c>
      <c r="E974" s="1">
        <v>93.0</v>
      </c>
      <c r="F974" s="1" t="s">
        <v>44</v>
      </c>
      <c r="G974" s="1" t="s">
        <v>4030</v>
      </c>
      <c r="H974" s="1">
        <v>11.0</v>
      </c>
      <c r="I974" s="1"/>
      <c r="J974" s="1"/>
      <c r="K974" s="1"/>
      <c r="L974" s="1"/>
      <c r="M974" s="1" t="s">
        <v>4031</v>
      </c>
      <c r="N974" s="1" t="s">
        <v>78</v>
      </c>
      <c r="O974" s="1" t="s">
        <v>4032</v>
      </c>
      <c r="P974" s="1"/>
      <c r="Q974" s="3">
        <v>36892.0</v>
      </c>
      <c r="R974" s="1"/>
      <c r="S974" s="3">
        <v>32304.0</v>
      </c>
      <c r="T974" s="1" t="s">
        <v>37</v>
      </c>
      <c r="U974" s="1"/>
      <c r="V974" s="1" t="s">
        <v>38</v>
      </c>
      <c r="W974" s="1"/>
      <c r="X974" s="1"/>
      <c r="Y974" s="1" t="s">
        <v>49</v>
      </c>
      <c r="Z974" s="1"/>
      <c r="AA974" s="1" t="s">
        <v>40</v>
      </c>
      <c r="AB974" s="1" t="s">
        <v>4033</v>
      </c>
      <c r="AC974" s="1"/>
    </row>
    <row r="975">
      <c r="A975" s="1" t="str">
        <f>"000723"</f>
        <v>000723</v>
      </c>
      <c r="B975" s="1" t="s">
        <v>4034</v>
      </c>
      <c r="C975" s="1" t="s">
        <v>4035</v>
      </c>
      <c r="D975" s="1" t="str">
        <f>"8024462072"</f>
        <v>8024462072</v>
      </c>
      <c r="E975" s="1">
        <v>142.0</v>
      </c>
      <c r="F975" s="1" t="s">
        <v>44</v>
      </c>
      <c r="G975" s="1" t="s">
        <v>4036</v>
      </c>
      <c r="H975" s="1"/>
      <c r="I975" s="1"/>
      <c r="J975" s="1"/>
      <c r="K975" s="1"/>
      <c r="L975" s="1"/>
      <c r="M975" s="1" t="s">
        <v>4037</v>
      </c>
      <c r="N975" s="1" t="s">
        <v>78</v>
      </c>
      <c r="O975" s="1" t="s">
        <v>615</v>
      </c>
      <c r="P975" s="1"/>
      <c r="Q975" s="3">
        <v>36892.0</v>
      </c>
      <c r="R975" s="1"/>
      <c r="S975" s="1"/>
      <c r="T975" s="1" t="s">
        <v>37</v>
      </c>
      <c r="U975" s="1"/>
      <c r="V975" s="1" t="s">
        <v>38</v>
      </c>
      <c r="W975" s="1"/>
      <c r="X975" s="1"/>
      <c r="Y975" s="1" t="s">
        <v>49</v>
      </c>
      <c r="Z975" s="1"/>
      <c r="AA975" s="1" t="s">
        <v>40</v>
      </c>
      <c r="AB975" s="1" t="s">
        <v>616</v>
      </c>
      <c r="AC975" s="1"/>
    </row>
    <row r="976">
      <c r="A976" s="1" t="str">
        <f>"0007NX"</f>
        <v>0007NX</v>
      </c>
      <c r="B976" s="1" t="s">
        <v>4038</v>
      </c>
      <c r="C976" s="1" t="s">
        <v>4039</v>
      </c>
      <c r="D976" s="1" t="str">
        <f>"8023553274"</f>
        <v>8023553274</v>
      </c>
      <c r="E976" s="1">
        <v>3983.0</v>
      </c>
      <c r="F976" s="1" t="s">
        <v>44</v>
      </c>
      <c r="G976" s="1" t="s">
        <v>4040</v>
      </c>
      <c r="H976" s="1">
        <v>2.0</v>
      </c>
      <c r="I976" s="1"/>
      <c r="J976" s="1"/>
      <c r="K976" s="1"/>
      <c r="L976" s="1"/>
      <c r="M976" s="1" t="s">
        <v>4041</v>
      </c>
      <c r="N976" s="1" t="s">
        <v>57</v>
      </c>
      <c r="O976" s="1" t="s">
        <v>1633</v>
      </c>
      <c r="P976" s="1"/>
      <c r="Q976" s="3">
        <v>36892.0</v>
      </c>
      <c r="R976" s="1"/>
      <c r="S976" s="3">
        <v>39707.0</v>
      </c>
      <c r="T976" s="1" t="s">
        <v>37</v>
      </c>
      <c r="U976" s="1"/>
      <c r="V976" s="1" t="s">
        <v>38</v>
      </c>
      <c r="W976" s="1"/>
      <c r="X976" s="1"/>
      <c r="Y976" s="1" t="s">
        <v>49</v>
      </c>
      <c r="Z976" s="1"/>
      <c r="AA976" s="1" t="s">
        <v>40</v>
      </c>
      <c r="AB976" s="1" t="s">
        <v>1634</v>
      </c>
      <c r="AC976" s="1"/>
    </row>
    <row r="977">
      <c r="A977" s="1" t="str">
        <f>"0008F3"</f>
        <v>0008F3</v>
      </c>
      <c r="B977" s="1" t="s">
        <v>4042</v>
      </c>
      <c r="C977" s="1" t="s">
        <v>4043</v>
      </c>
      <c r="D977" s="1" t="str">
        <f>"8029859570"</f>
        <v>8029859570</v>
      </c>
      <c r="E977" s="1">
        <v>3810.0</v>
      </c>
      <c r="F977" s="1" t="s">
        <v>44</v>
      </c>
      <c r="G977" s="1" t="s">
        <v>4044</v>
      </c>
      <c r="H977" s="1">
        <v>1.0</v>
      </c>
      <c r="I977" s="1"/>
      <c r="J977" s="1"/>
      <c r="K977" s="1"/>
      <c r="L977" s="1"/>
      <c r="M977" s="1" t="s">
        <v>4045</v>
      </c>
      <c r="N977" s="1" t="s">
        <v>57</v>
      </c>
      <c r="O977" s="1" t="s">
        <v>1633</v>
      </c>
      <c r="P977" s="1"/>
      <c r="Q977" s="3">
        <v>36892.0</v>
      </c>
      <c r="R977" s="1"/>
      <c r="S977" s="3">
        <v>41102.0</v>
      </c>
      <c r="T977" s="1" t="s">
        <v>37</v>
      </c>
      <c r="U977" s="1"/>
      <c r="V977" s="1" t="s">
        <v>38</v>
      </c>
      <c r="W977" s="1"/>
      <c r="X977" s="1"/>
      <c r="Y977" s="1" t="s">
        <v>49</v>
      </c>
      <c r="Z977" s="1"/>
      <c r="AA977" s="1" t="s">
        <v>40</v>
      </c>
      <c r="AB977" s="1" t="s">
        <v>1634</v>
      </c>
      <c r="AC977" s="1"/>
    </row>
    <row r="978">
      <c r="A978" s="1" t="str">
        <f>"00076K"</f>
        <v>00076K</v>
      </c>
      <c r="B978" s="1" t="s">
        <v>4046</v>
      </c>
      <c r="C978" s="1" t="s">
        <v>4047</v>
      </c>
      <c r="D978" s="1" t="str">
        <f>"8026941417"</f>
        <v>8026941417</v>
      </c>
      <c r="E978" s="1">
        <v>332.0</v>
      </c>
      <c r="F978" s="1" t="s">
        <v>44</v>
      </c>
      <c r="G978" s="1" t="s">
        <v>4048</v>
      </c>
      <c r="H978" s="1"/>
      <c r="I978" s="1"/>
      <c r="J978" s="1"/>
      <c r="K978" s="1"/>
      <c r="L978" s="1"/>
      <c r="M978" s="1" t="s">
        <v>4049</v>
      </c>
      <c r="N978" s="1" t="s">
        <v>414</v>
      </c>
      <c r="O978" s="1" t="s">
        <v>4050</v>
      </c>
      <c r="P978" s="1"/>
      <c r="Q978" s="3">
        <v>36892.0</v>
      </c>
      <c r="R978" s="1"/>
      <c r="S978" s="1"/>
      <c r="T978" s="1" t="s">
        <v>37</v>
      </c>
      <c r="U978" s="1"/>
      <c r="V978" s="1" t="s">
        <v>38</v>
      </c>
      <c r="W978" s="1"/>
      <c r="X978" s="1"/>
      <c r="Y978" s="1" t="s">
        <v>49</v>
      </c>
      <c r="Z978" s="1"/>
      <c r="AA978" s="1" t="s">
        <v>40</v>
      </c>
      <c r="AB978" s="1" t="s">
        <v>4051</v>
      </c>
      <c r="AC978" s="1"/>
    </row>
    <row r="979">
      <c r="A979" s="1" t="str">
        <f>"0007NW"</f>
        <v>0007NW</v>
      </c>
      <c r="B979" s="1" t="s">
        <v>4052</v>
      </c>
      <c r="C979" s="1" t="s">
        <v>4053</v>
      </c>
      <c r="D979" s="1"/>
      <c r="E979" s="1">
        <v>2546.0</v>
      </c>
      <c r="F979" s="1" t="s">
        <v>44</v>
      </c>
      <c r="G979" s="1" t="s">
        <v>4054</v>
      </c>
      <c r="H979" s="1">
        <v>4.0</v>
      </c>
      <c r="I979" s="1"/>
      <c r="J979" s="1"/>
      <c r="K979" s="1"/>
      <c r="L979" s="1"/>
      <c r="M979" s="1" t="s">
        <v>4055</v>
      </c>
      <c r="N979" s="1" t="s">
        <v>414</v>
      </c>
      <c r="O979" s="1" t="s">
        <v>4050</v>
      </c>
      <c r="P979" s="1"/>
      <c r="Q979" s="3">
        <v>36892.0</v>
      </c>
      <c r="R979" s="1"/>
      <c r="S979" s="3">
        <v>32374.0</v>
      </c>
      <c r="T979" s="1" t="s">
        <v>37</v>
      </c>
      <c r="U979" s="1"/>
      <c r="V979" s="1" t="s">
        <v>38</v>
      </c>
      <c r="W979" s="1"/>
      <c r="X979" s="1"/>
      <c r="Y979" s="1" t="s">
        <v>49</v>
      </c>
      <c r="Z979" s="1"/>
      <c r="AA979" s="1" t="s">
        <v>40</v>
      </c>
      <c r="AB979" s="1" t="s">
        <v>4051</v>
      </c>
      <c r="AC979" s="1"/>
    </row>
    <row r="980">
      <c r="A980" s="1" t="str">
        <f>"0007NV"</f>
        <v>0007NV</v>
      </c>
      <c r="B980" s="1" t="s">
        <v>4056</v>
      </c>
      <c r="C980" s="1" t="s">
        <v>4057</v>
      </c>
      <c r="D980" s="1"/>
      <c r="E980" s="1">
        <v>1006.0</v>
      </c>
      <c r="F980" s="1" t="s">
        <v>44</v>
      </c>
      <c r="G980" s="1" t="s">
        <v>4058</v>
      </c>
      <c r="H980" s="1">
        <v>1.0</v>
      </c>
      <c r="I980" s="1"/>
      <c r="J980" s="1"/>
      <c r="K980" s="1"/>
      <c r="L980" s="1"/>
      <c r="M980" s="1" t="s">
        <v>72</v>
      </c>
      <c r="N980" s="1" t="s">
        <v>78</v>
      </c>
      <c r="O980" s="1" t="s">
        <v>434</v>
      </c>
      <c r="P980" s="1"/>
      <c r="Q980" s="3">
        <v>36892.0</v>
      </c>
      <c r="R980" s="1"/>
      <c r="S980" s="3">
        <v>32302.0</v>
      </c>
      <c r="T980" s="1" t="s">
        <v>37</v>
      </c>
      <c r="U980" s="1"/>
      <c r="V980" s="1" t="s">
        <v>38</v>
      </c>
      <c r="W980" s="1"/>
      <c r="X980" s="1"/>
      <c r="Y980" s="1" t="s">
        <v>49</v>
      </c>
      <c r="Z980" s="1"/>
      <c r="AA980" s="1" t="s">
        <v>40</v>
      </c>
      <c r="AB980" s="1" t="s">
        <v>435</v>
      </c>
      <c r="AC980" s="1"/>
    </row>
    <row r="981">
      <c r="A981" s="1" t="str">
        <f>"0007NQ"</f>
        <v>0007NQ</v>
      </c>
      <c r="B981" s="1" t="s">
        <v>3455</v>
      </c>
      <c r="C981" s="1" t="s">
        <v>3456</v>
      </c>
      <c r="D981" s="1"/>
      <c r="E981" s="1">
        <v>1004.0</v>
      </c>
      <c r="F981" s="1" t="s">
        <v>44</v>
      </c>
      <c r="G981" s="1" t="s">
        <v>4059</v>
      </c>
      <c r="H981" s="1">
        <v>2.0</v>
      </c>
      <c r="I981" s="1"/>
      <c r="J981" s="1"/>
      <c r="K981" s="1"/>
      <c r="L981" s="1"/>
      <c r="M981" s="1" t="s">
        <v>4060</v>
      </c>
      <c r="N981" s="1" t="s">
        <v>78</v>
      </c>
      <c r="O981" s="1" t="s">
        <v>869</v>
      </c>
      <c r="P981" s="1"/>
      <c r="Q981" s="3">
        <v>36892.0</v>
      </c>
      <c r="R981" s="1"/>
      <c r="S981" s="3">
        <v>32330.0</v>
      </c>
      <c r="T981" s="1" t="s">
        <v>37</v>
      </c>
      <c r="U981" s="1"/>
      <c r="V981" s="1" t="s">
        <v>38</v>
      </c>
      <c r="W981" s="1"/>
      <c r="X981" s="1"/>
      <c r="Y981" s="1" t="s">
        <v>49</v>
      </c>
      <c r="Z981" s="1"/>
      <c r="AA981" s="1" t="s">
        <v>40</v>
      </c>
      <c r="AB981" s="1" t="s">
        <v>870</v>
      </c>
      <c r="AC981" s="1"/>
    </row>
    <row r="982">
      <c r="A982" s="1" t="str">
        <f>"0007NM"</f>
        <v>0007NM</v>
      </c>
      <c r="B982" s="1" t="s">
        <v>4061</v>
      </c>
      <c r="C982" s="1" t="s">
        <v>4062</v>
      </c>
      <c r="D982" s="1" t="str">
        <f>"8024428470"</f>
        <v>8024428470</v>
      </c>
      <c r="E982" s="1">
        <v>1001.0</v>
      </c>
      <c r="F982" s="1" t="s">
        <v>44</v>
      </c>
      <c r="G982" s="1" t="s">
        <v>4063</v>
      </c>
      <c r="H982" s="1">
        <v>3.0</v>
      </c>
      <c r="I982" s="1"/>
      <c r="J982" s="1"/>
      <c r="K982" s="1"/>
      <c r="L982" s="1"/>
      <c r="M982" s="1" t="s">
        <v>4064</v>
      </c>
      <c r="N982" s="1" t="s">
        <v>414</v>
      </c>
      <c r="O982" s="1" t="s">
        <v>720</v>
      </c>
      <c r="P982" s="1"/>
      <c r="Q982" s="3">
        <v>36892.0</v>
      </c>
      <c r="R982" s="1"/>
      <c r="S982" s="3">
        <v>33065.0</v>
      </c>
      <c r="T982" s="1" t="s">
        <v>37</v>
      </c>
      <c r="U982" s="1"/>
      <c r="V982" s="1" t="s">
        <v>38</v>
      </c>
      <c r="W982" s="1"/>
      <c r="X982" s="1"/>
      <c r="Y982" s="1" t="s">
        <v>49</v>
      </c>
      <c r="Z982" s="1"/>
      <c r="AA982" s="1" t="s">
        <v>40</v>
      </c>
      <c r="AB982" s="1" t="s">
        <v>414</v>
      </c>
      <c r="AC982" s="1"/>
    </row>
    <row r="983">
      <c r="A983" s="1" t="str">
        <f>"0007NK"</f>
        <v>0007NK</v>
      </c>
      <c r="B983" s="1" t="s">
        <v>4065</v>
      </c>
      <c r="C983" s="1" t="s">
        <v>4066</v>
      </c>
      <c r="D983" s="1"/>
      <c r="E983" s="1">
        <v>1000.0</v>
      </c>
      <c r="F983" s="1" t="s">
        <v>44</v>
      </c>
      <c r="G983" s="1" t="s">
        <v>4067</v>
      </c>
      <c r="H983" s="1">
        <v>4.0</v>
      </c>
      <c r="I983" s="1"/>
      <c r="J983" s="1"/>
      <c r="K983" s="1"/>
      <c r="L983" s="1"/>
      <c r="M983" s="1" t="s">
        <v>4068</v>
      </c>
      <c r="N983" s="1" t="s">
        <v>414</v>
      </c>
      <c r="O983" s="1" t="s">
        <v>3034</v>
      </c>
      <c r="P983" s="1"/>
      <c r="Q983" s="3">
        <v>36892.0</v>
      </c>
      <c r="R983" s="1"/>
      <c r="S983" s="3">
        <v>32377.0</v>
      </c>
      <c r="T983" s="1" t="s">
        <v>37</v>
      </c>
      <c r="U983" s="1"/>
      <c r="V983" s="1" t="s">
        <v>38</v>
      </c>
      <c r="W983" s="1"/>
      <c r="X983" s="1"/>
      <c r="Y983" s="1" t="s">
        <v>49</v>
      </c>
      <c r="Z983" s="1"/>
      <c r="AA983" s="1" t="s">
        <v>40</v>
      </c>
      <c r="AB983" s="1" t="s">
        <v>3036</v>
      </c>
      <c r="AC983" s="1"/>
    </row>
    <row r="984">
      <c r="A984" s="1" t="str">
        <f>"0008JH"</f>
        <v>0008JH</v>
      </c>
      <c r="B984" s="1" t="s">
        <v>2000</v>
      </c>
      <c r="C984" s="1" t="s">
        <v>2001</v>
      </c>
      <c r="D984" s="1" t="str">
        <f>"8022874059"</f>
        <v>8022874059</v>
      </c>
      <c r="E984" s="1">
        <v>2792.0</v>
      </c>
      <c r="F984" s="1" t="s">
        <v>44</v>
      </c>
      <c r="G984" s="1" t="s">
        <v>4069</v>
      </c>
      <c r="H984" s="1">
        <v>18.0</v>
      </c>
      <c r="I984" s="1"/>
      <c r="J984" s="1"/>
      <c r="K984" s="1"/>
      <c r="L984" s="1"/>
      <c r="M984" s="1" t="s">
        <v>4070</v>
      </c>
      <c r="N984" s="1" t="s">
        <v>78</v>
      </c>
      <c r="O984" s="1" t="s">
        <v>434</v>
      </c>
      <c r="P984" s="1"/>
      <c r="Q984" s="3">
        <v>36892.0</v>
      </c>
      <c r="R984" s="1"/>
      <c r="S984" s="3">
        <v>37565.0</v>
      </c>
      <c r="T984" s="1" t="s">
        <v>37</v>
      </c>
      <c r="U984" s="1"/>
      <c r="V984" s="1" t="s">
        <v>38</v>
      </c>
      <c r="W984" s="1"/>
      <c r="X984" s="1"/>
      <c r="Y984" s="1" t="s">
        <v>49</v>
      </c>
      <c r="Z984" s="1"/>
      <c r="AA984" s="1" t="s">
        <v>40</v>
      </c>
      <c r="AB984" s="1" t="s">
        <v>435</v>
      </c>
      <c r="AC984" s="1"/>
    </row>
    <row r="985">
      <c r="A985" s="1" t="str">
        <f>"0007MA"</f>
        <v>0007MA</v>
      </c>
      <c r="B985" s="1" t="s">
        <v>4071</v>
      </c>
      <c r="C985" s="1" t="s">
        <v>4072</v>
      </c>
      <c r="D985" s="1" t="str">
        <f>"8028772690"</f>
        <v>8028772690</v>
      </c>
      <c r="E985" s="1">
        <v>941.0</v>
      </c>
      <c r="F985" s="1" t="s">
        <v>117</v>
      </c>
      <c r="G985" s="1" t="s">
        <v>4073</v>
      </c>
      <c r="H985" s="1">
        <v>8.0</v>
      </c>
      <c r="I985" s="2">
        <v>15.0</v>
      </c>
      <c r="J985" s="2">
        <v>13.0</v>
      </c>
      <c r="K985" s="2" t="s">
        <v>119</v>
      </c>
      <c r="L985" s="1"/>
      <c r="M985" s="1">
        <v>5.0</v>
      </c>
      <c r="N985" s="1" t="s">
        <v>161</v>
      </c>
      <c r="O985" s="1" t="s">
        <v>769</v>
      </c>
      <c r="P985" s="1" t="s">
        <v>4074</v>
      </c>
      <c r="Q985" s="3">
        <v>36892.0</v>
      </c>
      <c r="R985" s="1"/>
      <c r="S985" s="3">
        <v>35279.0</v>
      </c>
      <c r="T985" s="1" t="s">
        <v>37</v>
      </c>
      <c r="U985" s="1"/>
      <c r="V985" s="1" t="s">
        <v>38</v>
      </c>
      <c r="W985" s="1">
        <v>44.2076</v>
      </c>
      <c r="X985" s="1">
        <v>-73.31105</v>
      </c>
      <c r="Y985" s="1" t="s">
        <v>49</v>
      </c>
      <c r="Z985" s="1"/>
      <c r="AA985" s="1" t="s">
        <v>40</v>
      </c>
      <c r="AB985" s="1" t="s">
        <v>770</v>
      </c>
      <c r="AC985" s="1">
        <v>5661.0</v>
      </c>
    </row>
    <row r="986">
      <c r="A986" s="1" t="str">
        <f>"0007NG"</f>
        <v>0007NG</v>
      </c>
      <c r="B986" s="1" t="s">
        <v>4075</v>
      </c>
      <c r="C986" s="1" t="s">
        <v>4076</v>
      </c>
      <c r="D986" s="1" t="str">
        <f>"8028235606"</f>
        <v>8028235606</v>
      </c>
      <c r="E986" s="1">
        <v>997.0</v>
      </c>
      <c r="F986" s="1" t="s">
        <v>44</v>
      </c>
      <c r="G986" s="1" t="s">
        <v>4077</v>
      </c>
      <c r="H986" s="1">
        <v>2.0</v>
      </c>
      <c r="I986" s="1"/>
      <c r="J986" s="1"/>
      <c r="K986" s="1"/>
      <c r="L986" s="1"/>
      <c r="M986" s="1" t="s">
        <v>4078</v>
      </c>
      <c r="N986" s="1" t="s">
        <v>414</v>
      </c>
      <c r="O986" s="1" t="s">
        <v>794</v>
      </c>
      <c r="P986" s="1"/>
      <c r="Q986" s="3">
        <v>36892.0</v>
      </c>
      <c r="R986" s="1"/>
      <c r="S986" s="3">
        <v>35262.0</v>
      </c>
      <c r="T986" s="1" t="s">
        <v>37</v>
      </c>
      <c r="U986" s="1"/>
      <c r="V986" s="1" t="s">
        <v>38</v>
      </c>
      <c r="W986" s="1"/>
      <c r="X986" s="1"/>
      <c r="Y986" s="1" t="s">
        <v>49</v>
      </c>
      <c r="Z986" s="1"/>
      <c r="AA986" s="1" t="s">
        <v>40</v>
      </c>
      <c r="AB986" s="1" t="s">
        <v>797</v>
      </c>
      <c r="AC986" s="1"/>
    </row>
    <row r="987">
      <c r="A987" s="1" t="str">
        <f>"0007ND"</f>
        <v>0007ND</v>
      </c>
      <c r="B987" s="1" t="s">
        <v>4079</v>
      </c>
      <c r="C987" s="1" t="s">
        <v>4080</v>
      </c>
      <c r="D987" s="1" t="str">
        <f>"8028237220"</f>
        <v>8028237220</v>
      </c>
      <c r="E987" s="1">
        <v>995.0</v>
      </c>
      <c r="F987" s="1" t="s">
        <v>44</v>
      </c>
      <c r="G987" s="1" t="s">
        <v>4081</v>
      </c>
      <c r="H987" s="1"/>
      <c r="I987" s="1"/>
      <c r="J987" s="1"/>
      <c r="K987" s="1"/>
      <c r="L987" s="1"/>
      <c r="M987" s="1" t="s">
        <v>4082</v>
      </c>
      <c r="N987" s="1" t="s">
        <v>414</v>
      </c>
      <c r="O987" s="1" t="s">
        <v>794</v>
      </c>
      <c r="P987" s="1"/>
      <c r="Q987" s="3">
        <v>36892.0</v>
      </c>
      <c r="R987" s="1"/>
      <c r="S987" s="1"/>
      <c r="T987" s="1" t="s">
        <v>37</v>
      </c>
      <c r="U987" s="1"/>
      <c r="V987" s="1" t="s">
        <v>38</v>
      </c>
      <c r="W987" s="1"/>
      <c r="X987" s="1"/>
      <c r="Y987" s="1" t="s">
        <v>49</v>
      </c>
      <c r="Z987" s="1"/>
      <c r="AA987" s="1" t="s">
        <v>40</v>
      </c>
      <c r="AB987" s="1" t="s">
        <v>797</v>
      </c>
      <c r="AC987" s="1"/>
    </row>
    <row r="988">
      <c r="A988" s="1" t="str">
        <f>"00084F"</f>
        <v>00084F</v>
      </c>
      <c r="B988" s="1" t="s">
        <v>4083</v>
      </c>
      <c r="C988" s="1" t="s">
        <v>4084</v>
      </c>
      <c r="D988" s="1" t="str">
        <f>"8028235052"</f>
        <v>8028235052</v>
      </c>
      <c r="E988" s="1">
        <v>2391.0</v>
      </c>
      <c r="F988" s="1" t="s">
        <v>44</v>
      </c>
      <c r="G988" s="1" t="s">
        <v>4085</v>
      </c>
      <c r="H988" s="1">
        <v>2.0</v>
      </c>
      <c r="I988" s="1"/>
      <c r="J988" s="1"/>
      <c r="K988" s="1"/>
      <c r="L988" s="1"/>
      <c r="M988" s="1" t="s">
        <v>4086</v>
      </c>
      <c r="N988" s="1" t="s">
        <v>414</v>
      </c>
      <c r="O988" s="1" t="s">
        <v>794</v>
      </c>
      <c r="P988" s="1"/>
      <c r="Q988" s="3">
        <v>36892.0</v>
      </c>
      <c r="R988" s="1"/>
      <c r="S988" s="3">
        <v>32332.0</v>
      </c>
      <c r="T988" s="1" t="s">
        <v>37</v>
      </c>
      <c r="U988" s="1"/>
      <c r="V988" s="1" t="s">
        <v>38</v>
      </c>
      <c r="W988" s="1"/>
      <c r="X988" s="1"/>
      <c r="Y988" s="1" t="s">
        <v>49</v>
      </c>
      <c r="Z988" s="1"/>
      <c r="AA988" s="1" t="s">
        <v>40</v>
      </c>
      <c r="AB988" s="1" t="s">
        <v>797</v>
      </c>
      <c r="AC988" s="1"/>
    </row>
    <row r="989">
      <c r="A989" s="1" t="str">
        <f>"0008CV"</f>
        <v>0008CV</v>
      </c>
      <c r="B989" s="1" t="s">
        <v>4087</v>
      </c>
      <c r="C989" s="1" t="s">
        <v>4088</v>
      </c>
      <c r="D989" s="1" t="str">
        <f>"8022231292"</f>
        <v>8022231292</v>
      </c>
      <c r="E989" s="1">
        <v>3042.0</v>
      </c>
      <c r="F989" s="1" t="s">
        <v>44</v>
      </c>
      <c r="G989" s="1" t="s">
        <v>4089</v>
      </c>
      <c r="H989" s="1">
        <v>3.0</v>
      </c>
      <c r="I989" s="1"/>
      <c r="J989" s="1"/>
      <c r="K989" s="1"/>
      <c r="L989" s="1"/>
      <c r="M989" s="1" t="s">
        <v>72</v>
      </c>
      <c r="N989" s="1" t="s">
        <v>135</v>
      </c>
      <c r="O989" s="1" t="s">
        <v>805</v>
      </c>
      <c r="P989" s="1"/>
      <c r="Q989" s="3">
        <v>36892.0</v>
      </c>
      <c r="R989" s="1"/>
      <c r="S989" s="3">
        <v>39280.0</v>
      </c>
      <c r="T989" s="1" t="s">
        <v>37</v>
      </c>
      <c r="U989" s="1"/>
      <c r="V989" s="1" t="s">
        <v>38</v>
      </c>
      <c r="W989" s="1"/>
      <c r="X989" s="1"/>
      <c r="Y989" s="1" t="s">
        <v>49</v>
      </c>
      <c r="Z989" s="1"/>
      <c r="AA989" s="1" t="s">
        <v>40</v>
      </c>
      <c r="AB989" s="1" t="s">
        <v>806</v>
      </c>
      <c r="AC989" s="1"/>
    </row>
    <row r="990">
      <c r="A990" s="1" t="str">
        <f>"0007BF"</f>
        <v>0007BF</v>
      </c>
      <c r="B990" s="1" t="s">
        <v>4090</v>
      </c>
      <c r="C990" s="1" t="s">
        <v>4091</v>
      </c>
      <c r="D990" s="1" t="str">
        <f>"8024471391"</f>
        <v>8024471391</v>
      </c>
      <c r="E990" s="1">
        <v>2956.0</v>
      </c>
      <c r="F990" s="1" t="s">
        <v>44</v>
      </c>
      <c r="G990" s="1" t="s">
        <v>4092</v>
      </c>
      <c r="H990" s="1">
        <v>2.0</v>
      </c>
      <c r="I990" s="2">
        <v>3.0</v>
      </c>
      <c r="J990" s="2">
        <v>3.0</v>
      </c>
      <c r="K990" s="2" t="s">
        <v>119</v>
      </c>
      <c r="L990" s="1"/>
      <c r="M990" s="1" t="s">
        <v>72</v>
      </c>
      <c r="N990" s="1" t="s">
        <v>414</v>
      </c>
      <c r="O990" s="1" t="s">
        <v>720</v>
      </c>
      <c r="P990" s="1"/>
      <c r="Q990" s="3">
        <v>36892.0</v>
      </c>
      <c r="R990" s="1"/>
      <c r="S990" s="3">
        <v>35900.0</v>
      </c>
      <c r="T990" s="1" t="s">
        <v>37</v>
      </c>
      <c r="U990" s="1"/>
      <c r="V990" s="1" t="s">
        <v>38</v>
      </c>
      <c r="W990" s="1"/>
      <c r="X990" s="1"/>
      <c r="Y990" s="1" t="s">
        <v>49</v>
      </c>
      <c r="Z990" s="1"/>
      <c r="AA990" s="1" t="s">
        <v>40</v>
      </c>
      <c r="AB990" s="1" t="s">
        <v>414</v>
      </c>
      <c r="AC990" s="1"/>
    </row>
    <row r="991">
      <c r="A991" s="1" t="str">
        <f>"00070D"</f>
        <v>00070D</v>
      </c>
      <c r="B991" s="1" t="s">
        <v>527</v>
      </c>
      <c r="C991" s="1" t="s">
        <v>528</v>
      </c>
      <c r="D991" s="1" t="str">
        <f>"8024923458"</f>
        <v>8024923458</v>
      </c>
      <c r="E991" s="1">
        <v>41.0</v>
      </c>
      <c r="F991" s="1" t="s">
        <v>31</v>
      </c>
      <c r="G991" s="1" t="s">
        <v>4093</v>
      </c>
      <c r="H991" s="1">
        <v>20.0</v>
      </c>
      <c r="I991" s="1"/>
      <c r="J991" s="1"/>
      <c r="K991" s="1"/>
      <c r="L991" s="1"/>
      <c r="M991" s="1" t="s">
        <v>72</v>
      </c>
      <c r="N991" s="1" t="s">
        <v>78</v>
      </c>
      <c r="O991" s="1" t="s">
        <v>1303</v>
      </c>
      <c r="P991" s="1"/>
      <c r="Q991" s="3">
        <v>36892.0</v>
      </c>
      <c r="R991" s="1"/>
      <c r="S991" s="3">
        <v>42934.0</v>
      </c>
      <c r="T991" s="1" t="s">
        <v>37</v>
      </c>
      <c r="U991" s="1"/>
      <c r="V991" s="1" t="s">
        <v>38</v>
      </c>
      <c r="W991" s="1">
        <v>43.490089</v>
      </c>
      <c r="X991" s="1">
        <v>-72.8774799999999</v>
      </c>
      <c r="Y991" s="1" t="s">
        <v>4094</v>
      </c>
      <c r="Z991" s="1"/>
      <c r="AA991" s="1" t="s">
        <v>40</v>
      </c>
      <c r="AB991" s="1" t="s">
        <v>1304</v>
      </c>
      <c r="AC991" s="1">
        <v>5738.0</v>
      </c>
    </row>
    <row r="992">
      <c r="A992" s="1" t="str">
        <f>"00085Y"</f>
        <v>00085Y</v>
      </c>
      <c r="B992" s="1" t="s">
        <v>4095</v>
      </c>
      <c r="C992" s="1" t="s">
        <v>4096</v>
      </c>
      <c r="D992" s="1" t="str">
        <f>"8022953620"</f>
        <v>8022953620</v>
      </c>
      <c r="E992" s="1">
        <v>3724.0</v>
      </c>
      <c r="F992" s="1" t="s">
        <v>31</v>
      </c>
      <c r="G992" s="1" t="s">
        <v>4097</v>
      </c>
      <c r="H992" s="1">
        <v>1.0</v>
      </c>
      <c r="I992" s="1"/>
      <c r="J992" s="1"/>
      <c r="K992" s="1"/>
      <c r="L992" s="1"/>
      <c r="M992" s="1" t="s">
        <v>72</v>
      </c>
      <c r="N992" s="1" t="s">
        <v>34</v>
      </c>
      <c r="O992" s="1" t="s">
        <v>953</v>
      </c>
      <c r="P992" s="1"/>
      <c r="Q992" s="3">
        <v>36892.0</v>
      </c>
      <c r="R992" s="1"/>
      <c r="S992" s="3">
        <v>38889.0</v>
      </c>
      <c r="T992" s="1" t="s">
        <v>37</v>
      </c>
      <c r="U992" s="1"/>
      <c r="V992" s="1" t="s">
        <v>38</v>
      </c>
      <c r="W992" s="1">
        <v>43.672543</v>
      </c>
      <c r="X992" s="1">
        <v>-72.39431</v>
      </c>
      <c r="Y992" s="1" t="s">
        <v>4098</v>
      </c>
      <c r="Z992" s="1"/>
      <c r="AA992" s="1" t="s">
        <v>40</v>
      </c>
      <c r="AB992" s="1" t="s">
        <v>954</v>
      </c>
      <c r="AC992" s="1">
        <v>5001.0</v>
      </c>
    </row>
    <row r="993">
      <c r="A993" s="1" t="str">
        <f>"0007NA"</f>
        <v>0007NA</v>
      </c>
      <c r="B993" s="1" t="s">
        <v>4099</v>
      </c>
      <c r="C993" s="1" t="s">
        <v>4100</v>
      </c>
      <c r="D993" s="1" t="str">
        <f>"8028235471"</f>
        <v>8028235471</v>
      </c>
      <c r="E993" s="1">
        <v>992.0</v>
      </c>
      <c r="F993" s="1" t="s">
        <v>44</v>
      </c>
      <c r="G993" s="1" t="s">
        <v>4101</v>
      </c>
      <c r="H993" s="1"/>
      <c r="I993" s="1"/>
      <c r="J993" s="1"/>
      <c r="K993" s="1"/>
      <c r="L993" s="1"/>
      <c r="M993" s="1" t="s">
        <v>4102</v>
      </c>
      <c r="N993" s="1" t="s">
        <v>414</v>
      </c>
      <c r="O993" s="1" t="s">
        <v>794</v>
      </c>
      <c r="P993" s="1"/>
      <c r="Q993" s="3">
        <v>36892.0</v>
      </c>
      <c r="R993" s="1"/>
      <c r="S993" s="1"/>
      <c r="T993" s="1" t="s">
        <v>37</v>
      </c>
      <c r="U993" s="1"/>
      <c r="V993" s="1" t="s">
        <v>38</v>
      </c>
      <c r="W993" s="1"/>
      <c r="X993" s="1"/>
      <c r="Y993" s="1" t="s">
        <v>49</v>
      </c>
      <c r="Z993" s="1"/>
      <c r="AA993" s="1" t="s">
        <v>40</v>
      </c>
      <c r="AB993" s="1" t="s">
        <v>797</v>
      </c>
      <c r="AC993" s="1"/>
    </row>
    <row r="994">
      <c r="A994" s="1" t="str">
        <f>"00079N"</f>
        <v>00079N</v>
      </c>
      <c r="B994" s="1" t="s">
        <v>1220</v>
      </c>
      <c r="C994" s="1" t="s">
        <v>1221</v>
      </c>
      <c r="D994" s="1" t="str">
        <f>"8022287936"</f>
        <v>8022287936</v>
      </c>
      <c r="E994" s="1">
        <v>489.0</v>
      </c>
      <c r="F994" s="1" t="s">
        <v>44</v>
      </c>
      <c r="G994" s="1" t="s">
        <v>4103</v>
      </c>
      <c r="H994" s="1">
        <v>1.0</v>
      </c>
      <c r="I994" s="1"/>
      <c r="J994" s="1"/>
      <c r="K994" s="1"/>
      <c r="L994" s="1"/>
      <c r="M994" s="1" t="s">
        <v>4104</v>
      </c>
      <c r="N994" s="1" t="s">
        <v>34</v>
      </c>
      <c r="O994" s="1" t="s">
        <v>4105</v>
      </c>
      <c r="P994" s="1"/>
      <c r="Q994" s="3">
        <v>36892.0</v>
      </c>
      <c r="R994" s="1"/>
      <c r="S994" s="3">
        <v>32363.0</v>
      </c>
      <c r="T994" s="1" t="s">
        <v>37</v>
      </c>
      <c r="U994" s="1"/>
      <c r="V994" s="1" t="s">
        <v>38</v>
      </c>
      <c r="W994" s="1"/>
      <c r="X994" s="1"/>
      <c r="Y994" s="1" t="s">
        <v>49</v>
      </c>
      <c r="Z994" s="1"/>
      <c r="AA994" s="1" t="s">
        <v>40</v>
      </c>
      <c r="AB994" s="1" t="s">
        <v>4106</v>
      </c>
      <c r="AC994" s="1"/>
    </row>
    <row r="995">
      <c r="A995" s="1" t="str">
        <f>"00070Z"</f>
        <v>00070Z</v>
      </c>
      <c r="B995" s="1" t="s">
        <v>1408</v>
      </c>
      <c r="C995" s="1" t="s">
        <v>1409</v>
      </c>
      <c r="D995" s="1" t="str">
        <f>"8024640343"</f>
        <v>8024640343</v>
      </c>
      <c r="E995" s="1">
        <v>3069.0</v>
      </c>
      <c r="F995" s="1" t="s">
        <v>44</v>
      </c>
      <c r="G995" s="1" t="s">
        <v>4107</v>
      </c>
      <c r="H995" s="1"/>
      <c r="I995" s="1"/>
      <c r="J995" s="1"/>
      <c r="K995" s="1"/>
      <c r="L995" s="1"/>
      <c r="M995" s="1" t="s">
        <v>4108</v>
      </c>
      <c r="N995" s="1" t="s">
        <v>66</v>
      </c>
      <c r="O995" s="1" t="s">
        <v>1411</v>
      </c>
      <c r="P995" s="1"/>
      <c r="Q995" s="3">
        <v>36892.0</v>
      </c>
      <c r="R995" s="1"/>
      <c r="S995" s="1"/>
      <c r="T995" s="1" t="s">
        <v>37</v>
      </c>
      <c r="U995" s="1"/>
      <c r="V995" s="1" t="s">
        <v>38</v>
      </c>
      <c r="W995" s="1"/>
      <c r="X995" s="1"/>
      <c r="Y995" s="1" t="s">
        <v>49</v>
      </c>
      <c r="Z995" s="1"/>
      <c r="AA995" s="1" t="s">
        <v>40</v>
      </c>
      <c r="AB995" s="1" t="s">
        <v>1412</v>
      </c>
      <c r="AC995" s="1"/>
    </row>
    <row r="996">
      <c r="A996" s="1" t="str">
        <f>"0007N6"</f>
        <v>0007N6</v>
      </c>
      <c r="B996" s="1" t="s">
        <v>4109</v>
      </c>
      <c r="C996" s="1" t="s">
        <v>4110</v>
      </c>
      <c r="D996" s="1"/>
      <c r="E996" s="1">
        <v>987.0</v>
      </c>
      <c r="F996" s="1" t="s">
        <v>44</v>
      </c>
      <c r="G996" s="1" t="s">
        <v>4111</v>
      </c>
      <c r="H996" s="1"/>
      <c r="I996" s="1"/>
      <c r="J996" s="1"/>
      <c r="K996" s="1"/>
      <c r="L996" s="1"/>
      <c r="M996" s="1" t="s">
        <v>4112</v>
      </c>
      <c r="N996" s="1" t="s">
        <v>78</v>
      </c>
      <c r="O996" s="1" t="s">
        <v>2708</v>
      </c>
      <c r="P996" s="1"/>
      <c r="Q996" s="3">
        <v>36892.0</v>
      </c>
      <c r="R996" s="1"/>
      <c r="S996" s="1"/>
      <c r="T996" s="1" t="s">
        <v>37</v>
      </c>
      <c r="U996" s="1"/>
      <c r="V996" s="1" t="s">
        <v>38</v>
      </c>
      <c r="W996" s="1"/>
      <c r="X996" s="1"/>
      <c r="Y996" s="1" t="s">
        <v>49</v>
      </c>
      <c r="Z996" s="1"/>
      <c r="AA996" s="1" t="s">
        <v>40</v>
      </c>
      <c r="AB996" s="1" t="s">
        <v>57</v>
      </c>
      <c r="AC996" s="1"/>
    </row>
    <row r="997">
      <c r="A997" s="1" t="str">
        <f>"0008H7"</f>
        <v>0008H7</v>
      </c>
      <c r="B997" s="1" t="s">
        <v>4113</v>
      </c>
      <c r="C997" s="1" t="s">
        <v>4114</v>
      </c>
      <c r="D997" s="1" t="str">
        <f>"8024462411"</f>
        <v>8024462411</v>
      </c>
      <c r="E997" s="1">
        <v>2737.0</v>
      </c>
      <c r="F997" s="1" t="s">
        <v>44</v>
      </c>
      <c r="G997" s="1" t="s">
        <v>4115</v>
      </c>
      <c r="H997" s="1"/>
      <c r="I997" s="1"/>
      <c r="J997" s="1"/>
      <c r="K997" s="1"/>
      <c r="L997" s="1"/>
      <c r="M997" s="1" t="s">
        <v>72</v>
      </c>
      <c r="N997" s="1" t="s">
        <v>78</v>
      </c>
      <c r="O997" s="1" t="s">
        <v>1124</v>
      </c>
      <c r="P997" s="1"/>
      <c r="Q997" s="3">
        <v>36892.0</v>
      </c>
      <c r="R997" s="1"/>
      <c r="S997" s="1"/>
      <c r="T997" s="1" t="s">
        <v>37</v>
      </c>
      <c r="U997" s="1"/>
      <c r="V997" s="1" t="s">
        <v>38</v>
      </c>
      <c r="W997" s="1"/>
      <c r="X997" s="1"/>
      <c r="Y997" s="1" t="s">
        <v>49</v>
      </c>
      <c r="Z997" s="1"/>
      <c r="AA997" s="1" t="s">
        <v>40</v>
      </c>
      <c r="AB997" s="1" t="s">
        <v>1127</v>
      </c>
      <c r="AC997" s="1"/>
    </row>
    <row r="998">
      <c r="A998" s="1" t="str">
        <f>"0007N5"</f>
        <v>0007N5</v>
      </c>
      <c r="B998" s="1" t="s">
        <v>4116</v>
      </c>
      <c r="C998" s="1" t="s">
        <v>4117</v>
      </c>
      <c r="D998" s="1" t="str">
        <f>"8023759786"</f>
        <v>8023759786</v>
      </c>
      <c r="E998" s="1">
        <v>3783.0</v>
      </c>
      <c r="F998" s="1" t="s">
        <v>44</v>
      </c>
      <c r="G998" s="1" t="s">
        <v>4118</v>
      </c>
      <c r="H998" s="1">
        <v>0.0</v>
      </c>
      <c r="I998" s="1"/>
      <c r="J998" s="1"/>
      <c r="K998" s="1"/>
      <c r="L998" s="1"/>
      <c r="M998" s="1" t="s">
        <v>33</v>
      </c>
      <c r="N998" s="1" t="s">
        <v>414</v>
      </c>
      <c r="O998" s="1" t="s">
        <v>3034</v>
      </c>
      <c r="P998" s="1" t="s">
        <v>36</v>
      </c>
      <c r="Q998" s="3">
        <v>36892.0</v>
      </c>
      <c r="R998" s="1"/>
      <c r="S998" s="3">
        <v>40627.0</v>
      </c>
      <c r="T998" s="1" t="s">
        <v>37</v>
      </c>
      <c r="U998" s="1"/>
      <c r="V998" s="1" t="s">
        <v>38</v>
      </c>
      <c r="W998" s="1"/>
      <c r="X998" s="1"/>
      <c r="Y998" s="1" t="s">
        <v>49</v>
      </c>
      <c r="Z998" s="1"/>
      <c r="AA998" s="1" t="s">
        <v>40</v>
      </c>
      <c r="AB998" s="1" t="s">
        <v>3036</v>
      </c>
      <c r="AC998" s="1"/>
    </row>
    <row r="999">
      <c r="A999" s="1" t="str">
        <f>"0007N4"</f>
        <v>0007N4</v>
      </c>
      <c r="B999" s="1" t="s">
        <v>4119</v>
      </c>
      <c r="C999" s="1" t="s">
        <v>4120</v>
      </c>
      <c r="D999" s="1" t="str">
        <f>"8023875387"</f>
        <v>8023875387</v>
      </c>
      <c r="E999" s="1">
        <v>984.0</v>
      </c>
      <c r="F999" s="1" t="s">
        <v>44</v>
      </c>
      <c r="G999" s="1" t="s">
        <v>4121</v>
      </c>
      <c r="H999" s="1">
        <v>2.0</v>
      </c>
      <c r="I999" s="1"/>
      <c r="J999" s="1"/>
      <c r="K999" s="1"/>
      <c r="L999" s="1"/>
      <c r="M999" s="1" t="s">
        <v>72</v>
      </c>
      <c r="N999" s="1" t="s">
        <v>66</v>
      </c>
      <c r="O999" s="1" t="s">
        <v>593</v>
      </c>
      <c r="P999" s="1"/>
      <c r="Q999" s="3">
        <v>36892.0</v>
      </c>
      <c r="R999" s="1"/>
      <c r="S999" s="3">
        <v>32308.0</v>
      </c>
      <c r="T999" s="1" t="s">
        <v>37</v>
      </c>
      <c r="U999" s="1"/>
      <c r="V999" s="1" t="s">
        <v>38</v>
      </c>
      <c r="W999" s="1"/>
      <c r="X999" s="1"/>
      <c r="Y999" s="1" t="s">
        <v>49</v>
      </c>
      <c r="Z999" s="1"/>
      <c r="AA999" s="1" t="s">
        <v>40</v>
      </c>
      <c r="AB999" s="1" t="s">
        <v>594</v>
      </c>
      <c r="AC999" s="1"/>
    </row>
    <row r="1000">
      <c r="A1000" s="1" t="str">
        <f>"0007N2"</f>
        <v>0007N2</v>
      </c>
      <c r="B1000" s="1" t="s">
        <v>2109</v>
      </c>
      <c r="C1000" s="1" t="s">
        <v>2110</v>
      </c>
      <c r="D1000" s="1" t="str">
        <f>"6037569056"</f>
        <v>6037569056</v>
      </c>
      <c r="E1000" s="1">
        <v>982.0</v>
      </c>
      <c r="F1000" s="1" t="s">
        <v>44</v>
      </c>
      <c r="G1000" s="1" t="s">
        <v>4122</v>
      </c>
      <c r="H1000" s="1">
        <v>12.0</v>
      </c>
      <c r="I1000" s="1"/>
      <c r="J1000" s="1"/>
      <c r="K1000" s="1"/>
      <c r="L1000" s="1"/>
      <c r="M1000" s="1" t="s">
        <v>4123</v>
      </c>
      <c r="N1000" s="1" t="s">
        <v>66</v>
      </c>
      <c r="O1000" s="1" t="s">
        <v>113</v>
      </c>
      <c r="P1000" s="1"/>
      <c r="Q1000" s="3">
        <v>36892.0</v>
      </c>
      <c r="R1000" s="1"/>
      <c r="S1000" s="3">
        <v>39748.0</v>
      </c>
      <c r="T1000" s="1" t="s">
        <v>37</v>
      </c>
      <c r="U1000" s="1"/>
      <c r="V1000" s="1" t="s">
        <v>38</v>
      </c>
      <c r="W1000" s="1"/>
      <c r="X1000" s="1"/>
      <c r="Y1000" s="1" t="s">
        <v>49</v>
      </c>
      <c r="Z1000" s="1"/>
      <c r="AA1000" s="1" t="s">
        <v>40</v>
      </c>
      <c r="AB1000" s="1" t="s">
        <v>114</v>
      </c>
      <c r="AC1000" s="1"/>
    </row>
    <row r="1001">
      <c r="A1001" s="1" t="str">
        <f>"0007A1"</f>
        <v>0007A1</v>
      </c>
      <c r="B1001" s="1" t="s">
        <v>2479</v>
      </c>
      <c r="C1001" s="1" t="s">
        <v>2480</v>
      </c>
      <c r="D1001" s="1" t="str">
        <f>"8028883242"</f>
        <v>8028883242</v>
      </c>
      <c r="E1001" s="1">
        <v>3591.0</v>
      </c>
      <c r="F1001" s="1" t="s">
        <v>117</v>
      </c>
      <c r="G1001" s="1" t="s">
        <v>4124</v>
      </c>
      <c r="H1001" s="1">
        <v>8.0</v>
      </c>
      <c r="I1001" s="2">
        <v>3.0</v>
      </c>
      <c r="J1001" s="2">
        <v>3.0</v>
      </c>
      <c r="K1001" s="2" t="s">
        <v>119</v>
      </c>
      <c r="L1001" s="2" t="s">
        <v>2482</v>
      </c>
      <c r="M1001" s="1" t="s">
        <v>4125</v>
      </c>
      <c r="N1001" s="1" t="s">
        <v>213</v>
      </c>
      <c r="O1001" s="1" t="s">
        <v>214</v>
      </c>
      <c r="P1001" s="1" t="s">
        <v>4126</v>
      </c>
      <c r="Q1001" s="3">
        <v>36892.0</v>
      </c>
      <c r="R1001" s="1"/>
      <c r="S1001" s="1"/>
      <c r="T1001" s="1" t="s">
        <v>37</v>
      </c>
      <c r="U1001" s="1"/>
      <c r="V1001" s="1" t="s">
        <v>38</v>
      </c>
      <c r="W1001" s="1">
        <v>44.548218</v>
      </c>
      <c r="X1001" s="1">
        <v>-72.6050639999999</v>
      </c>
      <c r="Y1001" s="1" t="s">
        <v>4127</v>
      </c>
      <c r="Z1001" s="1"/>
      <c r="AA1001" s="1" t="s">
        <v>40</v>
      </c>
      <c r="AB1001" s="1" t="s">
        <v>217</v>
      </c>
      <c r="AC1001" s="1">
        <v>5661.0</v>
      </c>
    </row>
    <row r="1002">
      <c r="A1002" s="1" t="str">
        <f>"0007YP"</f>
        <v>0007YP</v>
      </c>
      <c r="B1002" s="1" t="s">
        <v>686</v>
      </c>
      <c r="C1002" s="1" t="s">
        <v>687</v>
      </c>
      <c r="D1002" s="1" t="str">
        <f>"8024822664"</f>
        <v>8024822664</v>
      </c>
      <c r="E1002" s="1">
        <v>1343.0</v>
      </c>
      <c r="F1002" s="1" t="s">
        <v>117</v>
      </c>
      <c r="G1002" s="1" t="s">
        <v>4128</v>
      </c>
      <c r="H1002" s="1">
        <v>0.0</v>
      </c>
      <c r="I1002" s="2" t="s">
        <v>119</v>
      </c>
      <c r="J1002" s="2" t="s">
        <v>119</v>
      </c>
      <c r="K1002" s="2" t="s">
        <v>119</v>
      </c>
      <c r="L1002" s="1"/>
      <c r="M1002" s="1" t="s">
        <v>4129</v>
      </c>
      <c r="N1002" s="1" t="s">
        <v>57</v>
      </c>
      <c r="O1002" s="1" t="s">
        <v>204</v>
      </c>
      <c r="P1002" s="1"/>
      <c r="Q1002" s="3">
        <v>36892.0</v>
      </c>
      <c r="R1002" s="1"/>
      <c r="S1002" s="3">
        <v>37160.0</v>
      </c>
      <c r="T1002" s="1" t="s">
        <v>37</v>
      </c>
      <c r="U1002" s="1"/>
      <c r="V1002" s="1" t="s">
        <v>38</v>
      </c>
      <c r="W1002" s="1"/>
      <c r="X1002" s="1"/>
      <c r="Y1002" s="1" t="s">
        <v>49</v>
      </c>
      <c r="Z1002" s="1"/>
      <c r="AA1002" s="1" t="s">
        <v>40</v>
      </c>
      <c r="AB1002" s="1" t="s">
        <v>205</v>
      </c>
      <c r="AC1002" s="1">
        <v>5461.0</v>
      </c>
    </row>
    <row r="1003">
      <c r="A1003" s="1" t="str">
        <f>"0007MZ"</f>
        <v>0007MZ</v>
      </c>
      <c r="B1003" s="1" t="s">
        <v>4130</v>
      </c>
      <c r="C1003" s="1" t="s">
        <v>4131</v>
      </c>
      <c r="D1003" s="1"/>
      <c r="E1003" s="1">
        <v>978.0</v>
      </c>
      <c r="F1003" s="1" t="s">
        <v>44</v>
      </c>
      <c r="G1003" s="1" t="s">
        <v>4132</v>
      </c>
      <c r="H1003" s="1">
        <v>2.0</v>
      </c>
      <c r="I1003" s="1"/>
      <c r="J1003" s="1"/>
      <c r="K1003" s="1"/>
      <c r="L1003" s="1"/>
      <c r="M1003" s="1"/>
      <c r="N1003" s="1" t="s">
        <v>66</v>
      </c>
      <c r="O1003" s="1" t="s">
        <v>2346</v>
      </c>
      <c r="P1003" s="1"/>
      <c r="Q1003" s="3">
        <v>36892.0</v>
      </c>
      <c r="R1003" s="1"/>
      <c r="S1003" s="1"/>
      <c r="T1003" s="1" t="s">
        <v>37</v>
      </c>
      <c r="U1003" s="1"/>
      <c r="V1003" s="1" t="s">
        <v>38</v>
      </c>
      <c r="W1003" s="1">
        <v>42.83246</v>
      </c>
      <c r="X1003" s="1">
        <v>-72.6045699999999</v>
      </c>
      <c r="Y1003" s="1" t="s">
        <v>4133</v>
      </c>
      <c r="Z1003" s="1"/>
      <c r="AA1003" s="1" t="s">
        <v>40</v>
      </c>
      <c r="AB1003" s="1" t="s">
        <v>2349</v>
      </c>
      <c r="AC1003" s="1">
        <v>5301.0</v>
      </c>
    </row>
    <row r="1004">
      <c r="A1004" s="1" t="str">
        <f>"0007M7"</f>
        <v>0007M7</v>
      </c>
      <c r="B1004" s="1" t="s">
        <v>4134</v>
      </c>
      <c r="C1004" s="1" t="s">
        <v>4135</v>
      </c>
      <c r="D1004" s="1" t="str">
        <f>"8024967128"</f>
        <v>8024967128</v>
      </c>
      <c r="E1004" s="1">
        <v>3992.0</v>
      </c>
      <c r="F1004" s="1" t="s">
        <v>117</v>
      </c>
      <c r="G1004" s="1" t="s">
        <v>4136</v>
      </c>
      <c r="H1004" s="1">
        <v>0.0</v>
      </c>
      <c r="I1004" s="2">
        <v>4.0</v>
      </c>
      <c r="J1004" s="2" t="s">
        <v>119</v>
      </c>
      <c r="K1004" s="2" t="s">
        <v>119</v>
      </c>
      <c r="L1004" s="2" t="s">
        <v>2923</v>
      </c>
      <c r="M1004" s="1" t="s">
        <v>4137</v>
      </c>
      <c r="N1004" s="1" t="s">
        <v>135</v>
      </c>
      <c r="O1004" s="1" t="s">
        <v>2331</v>
      </c>
      <c r="P1004" s="1" t="s">
        <v>4138</v>
      </c>
      <c r="Q1004" s="3">
        <v>36892.0</v>
      </c>
      <c r="R1004" s="1"/>
      <c r="S1004" s="3">
        <v>39980.0</v>
      </c>
      <c r="T1004" s="1" t="s">
        <v>37</v>
      </c>
      <c r="U1004" s="1"/>
      <c r="V1004" s="1" t="s">
        <v>38</v>
      </c>
      <c r="W1004" s="1">
        <v>44.2501637765568</v>
      </c>
      <c r="X1004" s="1">
        <v>-72.7706480026245</v>
      </c>
      <c r="Y1004" s="1" t="s">
        <v>4139</v>
      </c>
      <c r="Z1004" s="1"/>
      <c r="AA1004" s="1" t="s">
        <v>40</v>
      </c>
      <c r="AB1004" s="1" t="s">
        <v>2332</v>
      </c>
      <c r="AC1004" s="1">
        <v>5660.0</v>
      </c>
    </row>
    <row r="1005">
      <c r="A1005" s="1" t="str">
        <f>"0007MX"</f>
        <v>0007MX</v>
      </c>
      <c r="B1005" s="1" t="s">
        <v>1081</v>
      </c>
      <c r="C1005" s="1" t="s">
        <v>1082</v>
      </c>
      <c r="D1005" s="1" t="str">
        <f>"8026745280"</f>
        <v>8026745280</v>
      </c>
      <c r="E1005" s="1">
        <v>972.0</v>
      </c>
      <c r="F1005" s="1" t="s">
        <v>44</v>
      </c>
      <c r="G1005" s="1" t="s">
        <v>4140</v>
      </c>
      <c r="H1005" s="1">
        <v>1.0</v>
      </c>
      <c r="I1005" s="1"/>
      <c r="J1005" s="1"/>
      <c r="K1005" s="1"/>
      <c r="L1005" s="1"/>
      <c r="M1005" s="1" t="s">
        <v>72</v>
      </c>
      <c r="N1005" s="1" t="s">
        <v>34</v>
      </c>
      <c r="O1005" s="1" t="s">
        <v>1085</v>
      </c>
      <c r="P1005" s="1"/>
      <c r="Q1005" s="3">
        <v>36892.0</v>
      </c>
      <c r="R1005" s="1"/>
      <c r="S1005" s="3">
        <v>36007.0</v>
      </c>
      <c r="T1005" s="1" t="s">
        <v>37</v>
      </c>
      <c r="U1005" s="1"/>
      <c r="V1005" s="1" t="s">
        <v>38</v>
      </c>
      <c r="W1005" s="1"/>
      <c r="X1005" s="1"/>
      <c r="Y1005" s="1" t="s">
        <v>49</v>
      </c>
      <c r="Z1005" s="1"/>
      <c r="AA1005" s="1" t="s">
        <v>40</v>
      </c>
      <c r="AB1005" s="1" t="s">
        <v>1086</v>
      </c>
      <c r="AC1005" s="1"/>
    </row>
    <row r="1006">
      <c r="A1006" s="1" t="str">
        <f>"0008WG"</f>
        <v>0008WG</v>
      </c>
      <c r="B1006" s="1" t="s">
        <v>4141</v>
      </c>
      <c r="C1006" s="1" t="s">
        <v>4142</v>
      </c>
      <c r="D1006" s="1" t="str">
        <f>"8027592058"</f>
        <v>8027592058</v>
      </c>
      <c r="E1006" s="1">
        <v>3858.0</v>
      </c>
      <c r="F1006" s="1" t="s">
        <v>44</v>
      </c>
      <c r="G1006" s="1" t="s">
        <v>4143</v>
      </c>
      <c r="H1006" s="1"/>
      <c r="I1006" s="1"/>
      <c r="J1006" s="1"/>
      <c r="K1006" s="1"/>
      <c r="L1006" s="1"/>
      <c r="M1006" s="1" t="s">
        <v>72</v>
      </c>
      <c r="N1006" s="1" t="s">
        <v>161</v>
      </c>
      <c r="O1006" s="1" t="s">
        <v>3580</v>
      </c>
      <c r="P1006" s="1"/>
      <c r="Q1006" s="3">
        <v>36892.0</v>
      </c>
      <c r="R1006" s="1"/>
      <c r="S1006" s="1"/>
      <c r="T1006" s="1" t="s">
        <v>37</v>
      </c>
      <c r="U1006" s="1"/>
      <c r="V1006" s="1" t="s">
        <v>38</v>
      </c>
      <c r="W1006" s="1"/>
      <c r="X1006" s="1"/>
      <c r="Y1006" s="1" t="s">
        <v>49</v>
      </c>
      <c r="Z1006" s="1"/>
      <c r="AA1006" s="1" t="s">
        <v>40</v>
      </c>
      <c r="AB1006" s="1" t="s">
        <v>3581</v>
      </c>
      <c r="AC1006" s="1"/>
    </row>
    <row r="1007">
      <c r="A1007" s="1" t="str">
        <f>"0007MW"</f>
        <v>0007MW</v>
      </c>
      <c r="B1007" s="1" t="s">
        <v>4144</v>
      </c>
      <c r="C1007" s="1" t="s">
        <v>4145</v>
      </c>
      <c r="D1007" s="1" t="str">
        <f>"8028899611"</f>
        <v>8028899611</v>
      </c>
      <c r="E1007" s="1">
        <v>4073.0</v>
      </c>
      <c r="F1007" s="1" t="s">
        <v>44</v>
      </c>
      <c r="G1007" s="1" t="s">
        <v>4146</v>
      </c>
      <c r="H1007" s="1"/>
      <c r="I1007" s="1"/>
      <c r="J1007" s="1"/>
      <c r="K1007" s="1"/>
      <c r="L1007" s="1"/>
      <c r="M1007" s="1" t="s">
        <v>72</v>
      </c>
      <c r="N1007" s="1" t="s">
        <v>142</v>
      </c>
      <c r="O1007" s="1" t="s">
        <v>648</v>
      </c>
      <c r="P1007" s="1"/>
      <c r="Q1007" s="3">
        <v>36892.0</v>
      </c>
      <c r="R1007" s="1"/>
      <c r="S1007" s="1"/>
      <c r="T1007" s="1" t="s">
        <v>37</v>
      </c>
      <c r="U1007" s="1"/>
      <c r="V1007" s="1" t="s">
        <v>38</v>
      </c>
      <c r="W1007" s="1"/>
      <c r="X1007" s="1"/>
      <c r="Y1007" s="1" t="s">
        <v>49</v>
      </c>
      <c r="Z1007" s="1"/>
      <c r="AA1007" s="1" t="s">
        <v>40</v>
      </c>
      <c r="AB1007" s="1" t="s">
        <v>650</v>
      </c>
      <c r="AC1007" s="1"/>
    </row>
    <row r="1008">
      <c r="A1008" s="1" t="str">
        <f>"0007D9"</f>
        <v>0007D9</v>
      </c>
      <c r="B1008" s="1" t="s">
        <v>4147</v>
      </c>
      <c r="C1008" s="1" t="s">
        <v>4148</v>
      </c>
      <c r="D1008" s="1"/>
      <c r="E1008" s="1">
        <v>656.0</v>
      </c>
      <c r="F1008" s="1" t="s">
        <v>44</v>
      </c>
      <c r="G1008" s="1" t="s">
        <v>4149</v>
      </c>
      <c r="H1008" s="1"/>
      <c r="I1008" s="1"/>
      <c r="J1008" s="1"/>
      <c r="K1008" s="1"/>
      <c r="L1008" s="1"/>
      <c r="M1008" s="1" t="s">
        <v>4150</v>
      </c>
      <c r="N1008" s="1" t="s">
        <v>34</v>
      </c>
      <c r="O1008" s="1" t="s">
        <v>295</v>
      </c>
      <c r="P1008" s="1"/>
      <c r="Q1008" s="3">
        <v>36892.0</v>
      </c>
      <c r="R1008" s="1"/>
      <c r="S1008" s="1"/>
      <c r="T1008" s="1" t="s">
        <v>37</v>
      </c>
      <c r="U1008" s="1"/>
      <c r="V1008" s="1" t="s">
        <v>38</v>
      </c>
      <c r="W1008" s="1"/>
      <c r="X1008" s="1"/>
      <c r="Y1008" s="1" t="s">
        <v>49</v>
      </c>
      <c r="Z1008" s="1"/>
      <c r="AA1008" s="1" t="s">
        <v>40</v>
      </c>
      <c r="AB1008" s="1" t="s">
        <v>34</v>
      </c>
      <c r="AC1008" s="1"/>
    </row>
    <row r="1009">
      <c r="A1009" s="1" t="str">
        <f>"0007D4"</f>
        <v>0007D4</v>
      </c>
      <c r="B1009" s="1" t="s">
        <v>4151</v>
      </c>
      <c r="C1009" s="1" t="s">
        <v>4152</v>
      </c>
      <c r="D1009" s="1"/>
      <c r="E1009" s="1">
        <v>651.0</v>
      </c>
      <c r="F1009" s="1" t="s">
        <v>44</v>
      </c>
      <c r="G1009" s="1" t="s">
        <v>4153</v>
      </c>
      <c r="H1009" s="1"/>
      <c r="I1009" s="1"/>
      <c r="J1009" s="1"/>
      <c r="K1009" s="1"/>
      <c r="L1009" s="1"/>
      <c r="M1009" s="1" t="s">
        <v>4154</v>
      </c>
      <c r="N1009" s="1" t="s">
        <v>34</v>
      </c>
      <c r="O1009" s="1" t="s">
        <v>295</v>
      </c>
      <c r="P1009" s="1"/>
      <c r="Q1009" s="3">
        <v>36892.0</v>
      </c>
      <c r="R1009" s="1"/>
      <c r="S1009" s="1"/>
      <c r="T1009" s="1" t="s">
        <v>37</v>
      </c>
      <c r="U1009" s="1"/>
      <c r="V1009" s="1" t="s">
        <v>38</v>
      </c>
      <c r="W1009" s="1"/>
      <c r="X1009" s="1"/>
      <c r="Y1009" s="1" t="s">
        <v>49</v>
      </c>
      <c r="Z1009" s="1"/>
      <c r="AA1009" s="1" t="s">
        <v>40</v>
      </c>
      <c r="AB1009" s="1" t="s">
        <v>34</v>
      </c>
      <c r="AC1009" s="1"/>
    </row>
    <row r="1010">
      <c r="A1010" s="1" t="str">
        <f>"000784"</f>
        <v>000784</v>
      </c>
      <c r="B1010" s="1" t="s">
        <v>4155</v>
      </c>
      <c r="C1010" s="1" t="s">
        <v>4156</v>
      </c>
      <c r="D1010" s="1" t="str">
        <f>"8022267409"</f>
        <v>8022267409</v>
      </c>
      <c r="E1010" s="1">
        <v>415.0</v>
      </c>
      <c r="F1010" s="1" t="s">
        <v>44</v>
      </c>
      <c r="G1010" s="1" t="s">
        <v>4157</v>
      </c>
      <c r="H1010" s="1">
        <v>2.0</v>
      </c>
      <c r="I1010" s="1"/>
      <c r="J1010" s="1"/>
      <c r="K1010" s="1"/>
      <c r="L1010" s="1"/>
      <c r="M1010" s="1" t="s">
        <v>72</v>
      </c>
      <c r="N1010" s="1" t="s">
        <v>34</v>
      </c>
      <c r="O1010" s="1" t="s">
        <v>457</v>
      </c>
      <c r="P1010" s="1" t="s">
        <v>4158</v>
      </c>
      <c r="Q1010" s="3">
        <v>36892.0</v>
      </c>
      <c r="R1010" s="1"/>
      <c r="S1010" s="3">
        <v>32365.0</v>
      </c>
      <c r="T1010" s="1" t="s">
        <v>37</v>
      </c>
      <c r="U1010" s="1"/>
      <c r="V1010" s="1" t="s">
        <v>38</v>
      </c>
      <c r="W1010" s="1">
        <v>43.4051629999999</v>
      </c>
      <c r="X1010" s="1">
        <v>-72.642105</v>
      </c>
      <c r="Y1010" s="1" t="s">
        <v>4159</v>
      </c>
      <c r="Z1010" s="1"/>
      <c r="AA1010" s="1" t="s">
        <v>40</v>
      </c>
      <c r="AB1010" s="1" t="s">
        <v>458</v>
      </c>
      <c r="AC1010" s="1">
        <v>5153.0</v>
      </c>
    </row>
    <row r="1011">
      <c r="A1011" s="1" t="str">
        <f>"00086X"</f>
        <v>00086X</v>
      </c>
      <c r="B1011" s="1" t="s">
        <v>4160</v>
      </c>
      <c r="C1011" s="1" t="s">
        <v>4161</v>
      </c>
      <c r="D1011" s="1" t="str">
        <f>"8024541313"</f>
        <v>8024541313</v>
      </c>
      <c r="E1011" s="1">
        <v>3084.0</v>
      </c>
      <c r="F1011" s="1" t="s">
        <v>44</v>
      </c>
      <c r="G1011" s="1" t="s">
        <v>4162</v>
      </c>
      <c r="H1011" s="1"/>
      <c r="I1011" s="1"/>
      <c r="J1011" s="1"/>
      <c r="K1011" s="1"/>
      <c r="L1011" s="1"/>
      <c r="M1011" s="1" t="s">
        <v>4163</v>
      </c>
      <c r="N1011" s="1" t="s">
        <v>135</v>
      </c>
      <c r="O1011" s="1" t="s">
        <v>805</v>
      </c>
      <c r="P1011" s="1"/>
      <c r="Q1011" s="3">
        <v>36892.0</v>
      </c>
      <c r="R1011" s="1"/>
      <c r="S1011" s="1"/>
      <c r="T1011" s="1" t="s">
        <v>37</v>
      </c>
      <c r="U1011" s="1"/>
      <c r="V1011" s="1" t="s">
        <v>38</v>
      </c>
      <c r="W1011" s="1"/>
      <c r="X1011" s="1"/>
      <c r="Y1011" s="1" t="s">
        <v>49</v>
      </c>
      <c r="Z1011" s="1"/>
      <c r="AA1011" s="1" t="s">
        <v>40</v>
      </c>
      <c r="AB1011" s="1" t="s">
        <v>806</v>
      </c>
      <c r="AC1011" s="1"/>
    </row>
    <row r="1012">
      <c r="A1012" s="1" t="str">
        <f>"000773"</f>
        <v>000773</v>
      </c>
      <c r="B1012" s="1" t="s">
        <v>4164</v>
      </c>
      <c r="C1012" s="1" t="s">
        <v>4165</v>
      </c>
      <c r="D1012" s="1" t="str">
        <f>"8024573146"</f>
        <v>8024573146</v>
      </c>
      <c r="E1012" s="1">
        <v>359.0</v>
      </c>
      <c r="F1012" s="1" t="s">
        <v>44</v>
      </c>
      <c r="G1012" s="1" t="s">
        <v>4166</v>
      </c>
      <c r="H1012" s="1">
        <v>1.0</v>
      </c>
      <c r="I1012" s="1"/>
      <c r="J1012" s="1"/>
      <c r="K1012" s="1"/>
      <c r="L1012" s="1"/>
      <c r="M1012" s="1" t="s">
        <v>72</v>
      </c>
      <c r="N1012" s="1" t="s">
        <v>34</v>
      </c>
      <c r="O1012" s="1" t="s">
        <v>324</v>
      </c>
      <c r="P1012" s="1"/>
      <c r="Q1012" s="3">
        <v>36892.0</v>
      </c>
      <c r="R1012" s="1"/>
      <c r="S1012" s="3">
        <v>36740.0</v>
      </c>
      <c r="T1012" s="1" t="s">
        <v>37</v>
      </c>
      <c r="U1012" s="1"/>
      <c r="V1012" s="1" t="s">
        <v>38</v>
      </c>
      <c r="W1012" s="1">
        <v>43.612731</v>
      </c>
      <c r="X1012" s="1">
        <v>-72.568397</v>
      </c>
      <c r="Y1012" s="1" t="s">
        <v>4167</v>
      </c>
      <c r="Z1012" s="1"/>
      <c r="AA1012" s="1" t="s">
        <v>40</v>
      </c>
      <c r="AB1012" s="1" t="s">
        <v>326</v>
      </c>
      <c r="AC1012" s="1">
        <v>5091.0</v>
      </c>
    </row>
    <row r="1013">
      <c r="A1013" s="1" t="str">
        <f>"0007MV"</f>
        <v>0007MV</v>
      </c>
      <c r="B1013" s="1" t="s">
        <v>4168</v>
      </c>
      <c r="C1013" s="1" t="s">
        <v>4169</v>
      </c>
      <c r="D1013" s="1" t="str">
        <f>"8024571412"</f>
        <v>8024571412</v>
      </c>
      <c r="E1013" s="1">
        <v>967.0</v>
      </c>
      <c r="F1013" s="1" t="s">
        <v>44</v>
      </c>
      <c r="G1013" s="1" t="s">
        <v>4170</v>
      </c>
      <c r="H1013" s="1">
        <v>2.0</v>
      </c>
      <c r="I1013" s="1"/>
      <c r="J1013" s="1"/>
      <c r="K1013" s="1"/>
      <c r="L1013" s="1"/>
      <c r="M1013" s="1" t="s">
        <v>72</v>
      </c>
      <c r="N1013" s="1" t="s">
        <v>34</v>
      </c>
      <c r="O1013" s="1" t="s">
        <v>324</v>
      </c>
      <c r="P1013" s="1"/>
      <c r="Q1013" s="3">
        <v>36892.0</v>
      </c>
      <c r="R1013" s="1"/>
      <c r="S1013" s="3">
        <v>37165.0</v>
      </c>
      <c r="T1013" s="1" t="s">
        <v>37</v>
      </c>
      <c r="U1013" s="1"/>
      <c r="V1013" s="1" t="s">
        <v>38</v>
      </c>
      <c r="W1013" s="1"/>
      <c r="X1013" s="1"/>
      <c r="Y1013" s="1" t="s">
        <v>49</v>
      </c>
      <c r="Z1013" s="1"/>
      <c r="AA1013" s="1" t="s">
        <v>40</v>
      </c>
      <c r="AB1013" s="1" t="s">
        <v>326</v>
      </c>
      <c r="AC1013" s="1"/>
    </row>
    <row r="1014">
      <c r="A1014" s="1" t="str">
        <f>"0007MQ"</f>
        <v>0007MQ</v>
      </c>
      <c r="B1014" s="1" t="s">
        <v>4171</v>
      </c>
      <c r="C1014" s="1" t="s">
        <v>4172</v>
      </c>
      <c r="D1014" s="1"/>
      <c r="E1014" s="1">
        <v>965.0</v>
      </c>
      <c r="F1014" s="1" t="s">
        <v>44</v>
      </c>
      <c r="G1014" s="1" t="s">
        <v>4173</v>
      </c>
      <c r="H1014" s="1">
        <v>2.0</v>
      </c>
      <c r="I1014" s="1"/>
      <c r="J1014" s="1"/>
      <c r="K1014" s="1"/>
      <c r="L1014" s="1"/>
      <c r="M1014" s="1" t="s">
        <v>4174</v>
      </c>
      <c r="N1014" s="1" t="s">
        <v>34</v>
      </c>
      <c r="O1014" s="1" t="s">
        <v>1286</v>
      </c>
      <c r="P1014" s="1"/>
      <c r="Q1014" s="3">
        <v>36892.0</v>
      </c>
      <c r="R1014" s="1"/>
      <c r="S1014" s="3">
        <v>32373.0</v>
      </c>
      <c r="T1014" s="1" t="s">
        <v>37</v>
      </c>
      <c r="U1014" s="1"/>
      <c r="V1014" s="1" t="s">
        <v>38</v>
      </c>
      <c r="W1014" s="1"/>
      <c r="X1014" s="1"/>
      <c r="Y1014" s="1" t="s">
        <v>49</v>
      </c>
      <c r="Z1014" s="1"/>
      <c r="AA1014" s="1" t="s">
        <v>40</v>
      </c>
      <c r="AB1014" s="1" t="s">
        <v>1287</v>
      </c>
      <c r="AC1014" s="1"/>
    </row>
    <row r="1015">
      <c r="A1015" s="1" t="str">
        <f>"000871"</f>
        <v>000871</v>
      </c>
      <c r="B1015" s="1" t="s">
        <v>972</v>
      </c>
      <c r="C1015" s="1" t="s">
        <v>973</v>
      </c>
      <c r="D1015" s="1" t="str">
        <f>"8027632439"</f>
        <v>8027632439</v>
      </c>
      <c r="E1015" s="1">
        <v>2992.0</v>
      </c>
      <c r="F1015" s="1" t="s">
        <v>117</v>
      </c>
      <c r="G1015" s="1" t="s">
        <v>4175</v>
      </c>
      <c r="H1015" s="1">
        <v>6.0</v>
      </c>
      <c r="I1015" s="1"/>
      <c r="J1015" s="1"/>
      <c r="K1015" s="1"/>
      <c r="L1015" s="1"/>
      <c r="M1015" s="1" t="s">
        <v>4176</v>
      </c>
      <c r="N1015" s="1" t="s">
        <v>34</v>
      </c>
      <c r="O1015" s="1" t="s">
        <v>35</v>
      </c>
      <c r="P1015" s="1"/>
      <c r="Q1015" s="3">
        <v>36892.0</v>
      </c>
      <c r="R1015" s="1"/>
      <c r="S1015" s="3">
        <v>42944.0</v>
      </c>
      <c r="T1015" s="1" t="s">
        <v>37</v>
      </c>
      <c r="U1015" s="1"/>
      <c r="V1015" s="1" t="s">
        <v>38</v>
      </c>
      <c r="W1015" s="1"/>
      <c r="X1015" s="1"/>
      <c r="Y1015" s="1" t="s">
        <v>49</v>
      </c>
      <c r="Z1015" s="1"/>
      <c r="AA1015" s="1" t="s">
        <v>40</v>
      </c>
      <c r="AB1015" s="1" t="s">
        <v>345</v>
      </c>
      <c r="AC1015" s="1"/>
    </row>
    <row r="1016">
      <c r="A1016" s="1" t="str">
        <f>"00080G"</f>
        <v>00080G</v>
      </c>
      <c r="B1016" s="1" t="s">
        <v>4177</v>
      </c>
      <c r="C1016" s="1" t="s">
        <v>4178</v>
      </c>
      <c r="D1016" s="1" t="str">
        <f>"8022224658"</f>
        <v>8022224658</v>
      </c>
      <c r="E1016" s="1">
        <v>2413.0</v>
      </c>
      <c r="F1016" s="1" t="s">
        <v>44</v>
      </c>
      <c r="G1016" s="1" t="s">
        <v>4179</v>
      </c>
      <c r="H1016" s="1">
        <v>3.0</v>
      </c>
      <c r="I1016" s="1"/>
      <c r="J1016" s="1"/>
      <c r="K1016" s="1"/>
      <c r="L1016" s="1"/>
      <c r="M1016" s="1" t="s">
        <v>4180</v>
      </c>
      <c r="N1016" s="1" t="s">
        <v>142</v>
      </c>
      <c r="O1016" s="1" t="s">
        <v>227</v>
      </c>
      <c r="P1016" s="1"/>
      <c r="Q1016" s="3">
        <v>36892.0</v>
      </c>
      <c r="R1016" s="1"/>
      <c r="S1016" s="3">
        <v>37802.0</v>
      </c>
      <c r="T1016" s="1" t="s">
        <v>37</v>
      </c>
      <c r="U1016" s="1"/>
      <c r="V1016" s="1" t="s">
        <v>38</v>
      </c>
      <c r="W1016" s="1"/>
      <c r="X1016" s="1"/>
      <c r="Y1016" s="1" t="s">
        <v>49</v>
      </c>
      <c r="Z1016" s="1"/>
      <c r="AA1016" s="1" t="s">
        <v>40</v>
      </c>
      <c r="AB1016" s="1" t="s">
        <v>228</v>
      </c>
      <c r="AC1016" s="1"/>
    </row>
    <row r="1017">
      <c r="A1017" s="1" t="str">
        <f>"0007MN"</f>
        <v>0007MN</v>
      </c>
      <c r="B1017" s="1" t="s">
        <v>4181</v>
      </c>
      <c r="C1017" s="1" t="s">
        <v>4182</v>
      </c>
      <c r="D1017" s="1"/>
      <c r="E1017" s="1">
        <v>963.0</v>
      </c>
      <c r="F1017" s="1" t="s">
        <v>44</v>
      </c>
      <c r="G1017" s="1" t="s">
        <v>4183</v>
      </c>
      <c r="H1017" s="1"/>
      <c r="I1017" s="1"/>
      <c r="J1017" s="1"/>
      <c r="K1017" s="1"/>
      <c r="L1017" s="1"/>
      <c r="M1017" s="1" t="s">
        <v>4184</v>
      </c>
      <c r="N1017" s="1" t="s">
        <v>34</v>
      </c>
      <c r="O1017" s="1" t="s">
        <v>35</v>
      </c>
      <c r="P1017" s="1"/>
      <c r="Q1017" s="3">
        <v>36892.0</v>
      </c>
      <c r="R1017" s="1"/>
      <c r="S1017" s="1"/>
      <c r="T1017" s="1" t="s">
        <v>37</v>
      </c>
      <c r="U1017" s="1"/>
      <c r="V1017" s="1" t="s">
        <v>38</v>
      </c>
      <c r="W1017" s="1"/>
      <c r="X1017" s="1"/>
      <c r="Y1017" s="1" t="s">
        <v>49</v>
      </c>
      <c r="Z1017" s="1"/>
      <c r="AA1017" s="1" t="s">
        <v>40</v>
      </c>
      <c r="AB1017" s="1" t="s">
        <v>345</v>
      </c>
      <c r="AC1017" s="1"/>
    </row>
    <row r="1018">
      <c r="A1018" s="1" t="str">
        <f>"0008F6"</f>
        <v>0008F6</v>
      </c>
      <c r="B1018" s="1" t="s">
        <v>4185</v>
      </c>
      <c r="C1018" s="1" t="s">
        <v>4186</v>
      </c>
      <c r="D1018" s="1" t="str">
        <f>"8024836631"</f>
        <v>8024836631</v>
      </c>
      <c r="E1018" s="1">
        <v>3593.0</v>
      </c>
      <c r="F1018" s="1" t="s">
        <v>44</v>
      </c>
      <c r="G1018" s="1" t="s">
        <v>4187</v>
      </c>
      <c r="H1018" s="1">
        <v>2.0</v>
      </c>
      <c r="I1018" s="1"/>
      <c r="J1018" s="1"/>
      <c r="K1018" s="1"/>
      <c r="L1018" s="1"/>
      <c r="M1018" s="1" t="s">
        <v>72</v>
      </c>
      <c r="N1018" s="1" t="s">
        <v>78</v>
      </c>
      <c r="O1018" s="1" t="s">
        <v>79</v>
      </c>
      <c r="P1018" s="1"/>
      <c r="Q1018" s="3">
        <v>36892.0</v>
      </c>
      <c r="R1018" s="1"/>
      <c r="S1018" s="3">
        <v>38198.0</v>
      </c>
      <c r="T1018" s="1" t="s">
        <v>37</v>
      </c>
      <c r="U1018" s="1"/>
      <c r="V1018" s="1" t="s">
        <v>38</v>
      </c>
      <c r="W1018" s="1"/>
      <c r="X1018" s="1"/>
      <c r="Y1018" s="1" t="s">
        <v>49</v>
      </c>
      <c r="Z1018" s="1"/>
      <c r="AA1018" s="1" t="s">
        <v>40</v>
      </c>
      <c r="AB1018" s="1" t="s">
        <v>80</v>
      </c>
      <c r="AC1018" s="1"/>
    </row>
    <row r="1019">
      <c r="A1019" s="1" t="str">
        <f>"00075Q"</f>
        <v>00075Q</v>
      </c>
      <c r="B1019" s="1" t="s">
        <v>4188</v>
      </c>
      <c r="C1019" s="1" t="s">
        <v>4189</v>
      </c>
      <c r="D1019" s="1" t="str">
        <f>"8028235693"</f>
        <v>8028235693</v>
      </c>
      <c r="E1019" s="1">
        <v>299.0</v>
      </c>
      <c r="F1019" s="1" t="s">
        <v>117</v>
      </c>
      <c r="G1019" s="1" t="s">
        <v>4190</v>
      </c>
      <c r="H1019" s="1">
        <v>4.0</v>
      </c>
      <c r="I1019" s="2" t="s">
        <v>119</v>
      </c>
      <c r="J1019" s="2">
        <v>1.0</v>
      </c>
      <c r="K1019" s="2" t="s">
        <v>119</v>
      </c>
      <c r="L1019" s="1"/>
      <c r="M1019" s="1" t="s">
        <v>4191</v>
      </c>
      <c r="N1019" s="1" t="s">
        <v>414</v>
      </c>
      <c r="O1019" s="1" t="s">
        <v>794</v>
      </c>
      <c r="P1019" s="1" t="s">
        <v>4192</v>
      </c>
      <c r="Q1019" s="3">
        <v>36892.0</v>
      </c>
      <c r="R1019" s="1"/>
      <c r="S1019" s="1"/>
      <c r="T1019" s="1" t="s">
        <v>37</v>
      </c>
      <c r="U1019" s="1"/>
      <c r="V1019" s="1" t="s">
        <v>38</v>
      </c>
      <c r="W1019" s="1">
        <v>42.822767</v>
      </c>
      <c r="X1019" s="1">
        <v>-73.261906</v>
      </c>
      <c r="Y1019" s="1" t="s">
        <v>4193</v>
      </c>
      <c r="Z1019" s="1"/>
      <c r="AA1019" s="1" t="s">
        <v>40</v>
      </c>
      <c r="AB1019" s="1" t="s">
        <v>797</v>
      </c>
      <c r="AC1019" s="1">
        <v>5260.0</v>
      </c>
    </row>
    <row r="1020">
      <c r="A1020" s="1" t="str">
        <f>"0007JK"</f>
        <v>0007JK</v>
      </c>
      <c r="B1020" s="1" t="s">
        <v>1296</v>
      </c>
      <c r="C1020" s="1" t="s">
        <v>1297</v>
      </c>
      <c r="D1020" s="1" t="str">
        <f>"8027638243"</f>
        <v>8027638243</v>
      </c>
      <c r="E1020" s="1">
        <v>2233.0</v>
      </c>
      <c r="F1020" s="1" t="s">
        <v>44</v>
      </c>
      <c r="G1020" s="1" t="s">
        <v>4194</v>
      </c>
      <c r="H1020" s="1"/>
      <c r="I1020" s="1"/>
      <c r="J1020" s="1"/>
      <c r="K1020" s="1"/>
      <c r="L1020" s="1"/>
      <c r="M1020" s="1" t="s">
        <v>4195</v>
      </c>
      <c r="N1020" s="1" t="s">
        <v>34</v>
      </c>
      <c r="O1020" s="1" t="s">
        <v>35</v>
      </c>
      <c r="P1020" s="1"/>
      <c r="Q1020" s="3">
        <v>36892.0</v>
      </c>
      <c r="R1020" s="1"/>
      <c r="S1020" s="1"/>
      <c r="T1020" s="1" t="s">
        <v>37</v>
      </c>
      <c r="U1020" s="1"/>
      <c r="V1020" s="1" t="s">
        <v>38</v>
      </c>
      <c r="W1020" s="1"/>
      <c r="X1020" s="1"/>
      <c r="Y1020" s="1" t="s">
        <v>49</v>
      </c>
      <c r="Z1020" s="1"/>
      <c r="AA1020" s="1" t="s">
        <v>40</v>
      </c>
      <c r="AB1020" s="1" t="s">
        <v>345</v>
      </c>
      <c r="AC1020" s="1"/>
    </row>
    <row r="1021">
      <c r="A1021" s="1" t="str">
        <f>"0007WA"</f>
        <v>0007WA</v>
      </c>
      <c r="B1021" s="1" t="s">
        <v>157</v>
      </c>
      <c r="C1021" s="1" t="s">
        <v>158</v>
      </c>
      <c r="D1021" s="1" t="str">
        <f>"8029482057"</f>
        <v>8029482057</v>
      </c>
      <c r="E1021" s="1">
        <v>1217.0</v>
      </c>
      <c r="F1021" s="1" t="s">
        <v>31</v>
      </c>
      <c r="G1021" s="1" t="s">
        <v>4196</v>
      </c>
      <c r="H1021" s="1">
        <v>35.0</v>
      </c>
      <c r="I1021" s="1"/>
      <c r="J1021" s="1"/>
      <c r="K1021" s="1"/>
      <c r="L1021" s="1"/>
      <c r="M1021" s="1" t="s">
        <v>4197</v>
      </c>
      <c r="N1021" s="1" t="s">
        <v>161</v>
      </c>
      <c r="O1021" s="1" t="s">
        <v>1053</v>
      </c>
      <c r="P1021" s="1" t="s">
        <v>4198</v>
      </c>
      <c r="Q1021" s="3">
        <v>36892.0</v>
      </c>
      <c r="R1021" s="1"/>
      <c r="S1021" s="3">
        <v>40476.0</v>
      </c>
      <c r="T1021" s="1" t="s">
        <v>37</v>
      </c>
      <c r="U1021" s="1"/>
      <c r="V1021" s="1" t="s">
        <v>38</v>
      </c>
      <c r="W1021" s="1"/>
      <c r="X1021" s="1"/>
      <c r="Y1021" s="1" t="s">
        <v>49</v>
      </c>
      <c r="Z1021" s="1"/>
      <c r="AA1021" s="1" t="s">
        <v>40</v>
      </c>
      <c r="AB1021" s="1" t="s">
        <v>1054</v>
      </c>
      <c r="AC1021" s="1">
        <v>0.0</v>
      </c>
    </row>
    <row r="1022">
      <c r="A1022" s="1" t="str">
        <f>"0007MM"</f>
        <v>0007MM</v>
      </c>
      <c r="B1022" s="1" t="s">
        <v>4199</v>
      </c>
      <c r="C1022" s="1" t="s">
        <v>4200</v>
      </c>
      <c r="D1022" s="1"/>
      <c r="E1022" s="1">
        <v>959.0</v>
      </c>
      <c r="F1022" s="1" t="s">
        <v>44</v>
      </c>
      <c r="G1022" s="1" t="s">
        <v>4201</v>
      </c>
      <c r="H1022" s="1"/>
      <c r="I1022" s="1"/>
      <c r="J1022" s="1"/>
      <c r="K1022" s="1"/>
      <c r="L1022" s="1"/>
      <c r="M1022" s="1" t="s">
        <v>4202</v>
      </c>
      <c r="N1022" s="1" t="s">
        <v>34</v>
      </c>
      <c r="O1022" s="1" t="s">
        <v>1085</v>
      </c>
      <c r="P1022" s="1"/>
      <c r="Q1022" s="3">
        <v>36892.0</v>
      </c>
      <c r="R1022" s="1"/>
      <c r="S1022" s="1"/>
      <c r="T1022" s="1" t="s">
        <v>37</v>
      </c>
      <c r="U1022" s="1"/>
      <c r="V1022" s="1" t="s">
        <v>38</v>
      </c>
      <c r="W1022" s="1"/>
      <c r="X1022" s="1"/>
      <c r="Y1022" s="1" t="s">
        <v>49</v>
      </c>
      <c r="Z1022" s="1"/>
      <c r="AA1022" s="1" t="s">
        <v>40</v>
      </c>
      <c r="AB1022" s="1" t="s">
        <v>1086</v>
      </c>
      <c r="AC1022" s="1"/>
    </row>
    <row r="1023">
      <c r="A1023" s="1" t="str">
        <f>"0007MJ"</f>
        <v>0007MJ</v>
      </c>
      <c r="B1023" s="1" t="s">
        <v>4203</v>
      </c>
      <c r="C1023" s="1" t="s">
        <v>4204</v>
      </c>
      <c r="D1023" s="1" t="str">
        <f>"8023874539"</f>
        <v>8023874539</v>
      </c>
      <c r="E1023" s="1">
        <v>955.0</v>
      </c>
      <c r="F1023" s="1" t="s">
        <v>44</v>
      </c>
      <c r="G1023" s="1" t="s">
        <v>4205</v>
      </c>
      <c r="H1023" s="1">
        <v>1.0</v>
      </c>
      <c r="I1023" s="1"/>
      <c r="J1023" s="1"/>
      <c r="K1023" s="1"/>
      <c r="L1023" s="1"/>
      <c r="M1023" s="1" t="s">
        <v>4206</v>
      </c>
      <c r="N1023" s="1" t="s">
        <v>66</v>
      </c>
      <c r="O1023" s="1" t="s">
        <v>113</v>
      </c>
      <c r="P1023" s="1"/>
      <c r="Q1023" s="3">
        <v>36892.0</v>
      </c>
      <c r="R1023" s="1"/>
      <c r="S1023" s="3">
        <v>32744.0</v>
      </c>
      <c r="T1023" s="1" t="s">
        <v>37</v>
      </c>
      <c r="U1023" s="1"/>
      <c r="V1023" s="1" t="s">
        <v>38</v>
      </c>
      <c r="W1023" s="1"/>
      <c r="X1023" s="1"/>
      <c r="Y1023" s="1" t="s">
        <v>49</v>
      </c>
      <c r="Z1023" s="1"/>
      <c r="AA1023" s="1" t="s">
        <v>40</v>
      </c>
      <c r="AB1023" s="1" t="s">
        <v>114</v>
      </c>
      <c r="AC1023" s="1"/>
    </row>
    <row r="1024">
      <c r="A1024" s="1" t="str">
        <f>"0008J1"</f>
        <v>0008J1</v>
      </c>
      <c r="B1024" s="1" t="s">
        <v>4207</v>
      </c>
      <c r="C1024" s="1" t="s">
        <v>4208</v>
      </c>
      <c r="D1024" s="1" t="str">
        <f>"8027442406"</f>
        <v>8027442406</v>
      </c>
      <c r="E1024" s="1">
        <v>2772.0</v>
      </c>
      <c r="F1024" s="1" t="s">
        <v>117</v>
      </c>
      <c r="G1024" s="1" t="s">
        <v>4209</v>
      </c>
      <c r="H1024" s="1">
        <v>9.0</v>
      </c>
      <c r="I1024" s="2">
        <v>5.0</v>
      </c>
      <c r="J1024" s="2">
        <v>5.0</v>
      </c>
      <c r="K1024" s="2" t="s">
        <v>119</v>
      </c>
      <c r="L1024" s="1"/>
      <c r="M1024" s="1" t="s">
        <v>4210</v>
      </c>
      <c r="N1024" s="1" t="s">
        <v>94</v>
      </c>
      <c r="O1024" s="1" t="s">
        <v>95</v>
      </c>
      <c r="P1024" s="1" t="s">
        <v>4211</v>
      </c>
      <c r="Q1024" s="3">
        <v>36892.0</v>
      </c>
      <c r="R1024" s="1"/>
      <c r="S1024" s="3">
        <v>35998.0</v>
      </c>
      <c r="T1024" s="1" t="s">
        <v>37</v>
      </c>
      <c r="U1024" s="1"/>
      <c r="V1024" s="1" t="s">
        <v>38</v>
      </c>
      <c r="W1024" s="1">
        <v>44.8864727794112</v>
      </c>
      <c r="X1024" s="1">
        <v>-72.430340051651</v>
      </c>
      <c r="Y1024" s="1" t="s">
        <v>4212</v>
      </c>
      <c r="Z1024" s="1"/>
      <c r="AA1024" s="1" t="s">
        <v>40</v>
      </c>
      <c r="AB1024" s="1" t="s">
        <v>96</v>
      </c>
      <c r="AC1024" s="1">
        <v>5874.0</v>
      </c>
    </row>
    <row r="1025">
      <c r="A1025" s="1" t="str">
        <f>"000887"</f>
        <v>000887</v>
      </c>
      <c r="B1025" s="1" t="s">
        <v>4213</v>
      </c>
      <c r="C1025" s="1" t="s">
        <v>4214</v>
      </c>
      <c r="D1025" s="1" t="str">
        <f>"8027592550"</f>
        <v>8027592550</v>
      </c>
      <c r="E1025" s="1">
        <v>3423.0</v>
      </c>
      <c r="F1025" s="1" t="s">
        <v>44</v>
      </c>
      <c r="G1025" s="1" t="s">
        <v>4215</v>
      </c>
      <c r="H1025" s="1">
        <v>3.0</v>
      </c>
      <c r="I1025" s="1"/>
      <c r="J1025" s="1"/>
      <c r="K1025" s="1"/>
      <c r="L1025" s="1"/>
      <c r="M1025" s="1" t="s">
        <v>72</v>
      </c>
      <c r="N1025" s="1" t="s">
        <v>161</v>
      </c>
      <c r="O1025" s="1" t="s">
        <v>576</v>
      </c>
      <c r="P1025" s="1"/>
      <c r="Q1025" s="3">
        <v>36892.0</v>
      </c>
      <c r="R1025" s="1"/>
      <c r="S1025" s="3">
        <v>38182.0</v>
      </c>
      <c r="T1025" s="1" t="s">
        <v>37</v>
      </c>
      <c r="U1025" s="1"/>
      <c r="V1025" s="1" t="s">
        <v>38</v>
      </c>
      <c r="W1025" s="1"/>
      <c r="X1025" s="1"/>
      <c r="Y1025" s="1" t="s">
        <v>49</v>
      </c>
      <c r="Z1025" s="1"/>
      <c r="AA1025" s="1" t="s">
        <v>40</v>
      </c>
      <c r="AB1025" s="1" t="s">
        <v>161</v>
      </c>
      <c r="AC1025" s="1"/>
    </row>
    <row r="1026">
      <c r="A1026" s="1" t="str">
        <f>"0007WA"</f>
        <v>0007WA</v>
      </c>
      <c r="B1026" s="1" t="s">
        <v>157</v>
      </c>
      <c r="C1026" s="1" t="s">
        <v>158</v>
      </c>
      <c r="D1026" s="1" t="str">
        <f>"8029482057"</f>
        <v>8029482057</v>
      </c>
      <c r="E1026" s="1">
        <v>1217.0</v>
      </c>
      <c r="F1026" s="1" t="s">
        <v>31</v>
      </c>
      <c r="G1026" s="1" t="s">
        <v>4216</v>
      </c>
      <c r="H1026" s="1">
        <v>49.0</v>
      </c>
      <c r="I1026" s="1"/>
      <c r="J1026" s="1"/>
      <c r="K1026" s="1"/>
      <c r="L1026" s="1"/>
      <c r="M1026" s="1" t="s">
        <v>4217</v>
      </c>
      <c r="N1026" s="1" t="s">
        <v>78</v>
      </c>
      <c r="O1026" s="1" t="s">
        <v>4032</v>
      </c>
      <c r="P1026" s="1"/>
      <c r="Q1026" s="3">
        <v>36892.0</v>
      </c>
      <c r="R1026" s="1"/>
      <c r="S1026" s="3">
        <v>41551.0</v>
      </c>
      <c r="T1026" s="1" t="s">
        <v>164</v>
      </c>
      <c r="U1026" s="1"/>
      <c r="V1026" s="1" t="s">
        <v>38</v>
      </c>
      <c r="W1026" s="1">
        <v>43.61276</v>
      </c>
      <c r="X1026" s="1">
        <v>-73.28885</v>
      </c>
      <c r="Y1026" s="1" t="s">
        <v>3478</v>
      </c>
      <c r="Z1026" s="1"/>
      <c r="AA1026" s="1" t="s">
        <v>40</v>
      </c>
      <c r="AB1026" s="1" t="s">
        <v>4033</v>
      </c>
      <c r="AC1026" s="1">
        <v>0.0</v>
      </c>
    </row>
    <row r="1027">
      <c r="A1027" s="1" t="str">
        <f>"000750"</f>
        <v>000750</v>
      </c>
      <c r="B1027" s="1" t="s">
        <v>4218</v>
      </c>
      <c r="C1027" s="1" t="s">
        <v>4219</v>
      </c>
      <c r="D1027" s="1" t="str">
        <f>"8023759950"</f>
        <v>8023759950</v>
      </c>
      <c r="E1027" s="1">
        <v>3649.0</v>
      </c>
      <c r="F1027" s="1" t="s">
        <v>44</v>
      </c>
      <c r="G1027" s="1" t="s">
        <v>4220</v>
      </c>
      <c r="H1027" s="1"/>
      <c r="I1027" s="1"/>
      <c r="J1027" s="1"/>
      <c r="K1027" s="1"/>
      <c r="L1027" s="1"/>
      <c r="M1027" s="1" t="s">
        <v>72</v>
      </c>
      <c r="N1027" s="1" t="s">
        <v>414</v>
      </c>
      <c r="O1027" s="1" t="s">
        <v>1390</v>
      </c>
      <c r="P1027" s="1"/>
      <c r="Q1027" s="3">
        <v>36892.0</v>
      </c>
      <c r="R1027" s="1"/>
      <c r="S1027" s="1"/>
      <c r="T1027" s="1" t="s">
        <v>37</v>
      </c>
      <c r="U1027" s="1"/>
      <c r="V1027" s="1" t="s">
        <v>38</v>
      </c>
      <c r="W1027" s="1"/>
      <c r="X1027" s="1"/>
      <c r="Y1027" s="1" t="s">
        <v>49</v>
      </c>
      <c r="Z1027" s="1"/>
      <c r="AA1027" s="1" t="s">
        <v>40</v>
      </c>
      <c r="AB1027" s="1" t="s">
        <v>1391</v>
      </c>
      <c r="AC1027" s="1"/>
    </row>
    <row r="1028">
      <c r="A1028" s="1" t="str">
        <f t="shared" ref="A1028:A1029" si="68">"0007WA"</f>
        <v>0007WA</v>
      </c>
      <c r="B1028" s="1" t="s">
        <v>157</v>
      </c>
      <c r="C1028" s="1" t="s">
        <v>158</v>
      </c>
      <c r="D1028" s="1" t="str">
        <f t="shared" ref="D1028:D1029" si="69">"8029482057"</f>
        <v>8029482057</v>
      </c>
      <c r="E1028" s="1">
        <v>1217.0</v>
      </c>
      <c r="F1028" s="1" t="s">
        <v>31</v>
      </c>
      <c r="G1028" s="1" t="s">
        <v>4221</v>
      </c>
      <c r="H1028" s="1">
        <v>49.0</v>
      </c>
      <c r="I1028" s="1"/>
      <c r="J1028" s="1"/>
      <c r="K1028" s="1"/>
      <c r="L1028" s="1"/>
      <c r="M1028" s="1" t="s">
        <v>4222</v>
      </c>
      <c r="N1028" s="1" t="s">
        <v>78</v>
      </c>
      <c r="O1028" s="1" t="s">
        <v>426</v>
      </c>
      <c r="P1028" s="1"/>
      <c r="Q1028" s="3">
        <v>36892.0</v>
      </c>
      <c r="R1028" s="1"/>
      <c r="S1028" s="3">
        <v>40066.0</v>
      </c>
      <c r="T1028" s="1" t="s">
        <v>37</v>
      </c>
      <c r="U1028" s="1"/>
      <c r="V1028" s="1" t="s">
        <v>38</v>
      </c>
      <c r="W1028" s="1"/>
      <c r="X1028" s="1"/>
      <c r="Y1028" s="1" t="s">
        <v>49</v>
      </c>
      <c r="Z1028" s="1"/>
      <c r="AA1028" s="1" t="s">
        <v>40</v>
      </c>
      <c r="AB1028" s="1" t="s">
        <v>427</v>
      </c>
      <c r="AC1028" s="1">
        <v>0.0</v>
      </c>
    </row>
    <row r="1029">
      <c r="A1029" s="1" t="str">
        <f t="shared" si="68"/>
        <v>0007WA</v>
      </c>
      <c r="B1029" s="1" t="s">
        <v>157</v>
      </c>
      <c r="C1029" s="1" t="s">
        <v>158</v>
      </c>
      <c r="D1029" s="1" t="str">
        <f t="shared" si="69"/>
        <v>8029482057</v>
      </c>
      <c r="E1029" s="1">
        <v>1217.0</v>
      </c>
      <c r="F1029" s="1" t="s">
        <v>31</v>
      </c>
      <c r="G1029" s="1" t="s">
        <v>4223</v>
      </c>
      <c r="H1029" s="1">
        <v>41.0</v>
      </c>
      <c r="I1029" s="1"/>
      <c r="J1029" s="1"/>
      <c r="K1029" s="1"/>
      <c r="L1029" s="1"/>
      <c r="M1029" s="1" t="s">
        <v>4224</v>
      </c>
      <c r="N1029" s="1" t="s">
        <v>78</v>
      </c>
      <c r="O1029" s="1" t="s">
        <v>426</v>
      </c>
      <c r="P1029" s="1"/>
      <c r="Q1029" s="3">
        <v>36892.0</v>
      </c>
      <c r="R1029" s="3">
        <v>41990.499918981484</v>
      </c>
      <c r="S1029" s="3">
        <v>41773.0</v>
      </c>
      <c r="T1029" s="1" t="s">
        <v>37</v>
      </c>
      <c r="U1029" s="1"/>
      <c r="V1029" s="1" t="s">
        <v>38</v>
      </c>
      <c r="W1029" s="1"/>
      <c r="X1029" s="1"/>
      <c r="Y1029" s="1" t="s">
        <v>49</v>
      </c>
      <c r="Z1029" s="1"/>
      <c r="AA1029" s="1" t="s">
        <v>40</v>
      </c>
      <c r="AB1029" s="1" t="s">
        <v>427</v>
      </c>
      <c r="AC1029" s="1"/>
    </row>
    <row r="1030">
      <c r="A1030" s="1" t="str">
        <f>"0007N3"</f>
        <v>0007N3</v>
      </c>
      <c r="B1030" s="1" t="s">
        <v>4225</v>
      </c>
      <c r="C1030" s="1" t="s">
        <v>4226</v>
      </c>
      <c r="D1030" s="1" t="str">
        <f>"8024795067"</f>
        <v>8024795067</v>
      </c>
      <c r="E1030" s="1">
        <v>3150.0</v>
      </c>
      <c r="F1030" s="1" t="s">
        <v>44</v>
      </c>
      <c r="G1030" s="1" t="s">
        <v>4227</v>
      </c>
      <c r="H1030" s="1">
        <v>1.0</v>
      </c>
      <c r="I1030" s="1"/>
      <c r="J1030" s="1"/>
      <c r="K1030" s="1"/>
      <c r="L1030" s="1"/>
      <c r="M1030" s="1" t="s">
        <v>72</v>
      </c>
      <c r="N1030" s="1" t="s">
        <v>135</v>
      </c>
      <c r="O1030" s="1" t="s">
        <v>343</v>
      </c>
      <c r="P1030" s="1"/>
      <c r="Q1030" s="3">
        <v>36892.0</v>
      </c>
      <c r="R1030" s="1"/>
      <c r="S1030" s="3">
        <v>36321.0</v>
      </c>
      <c r="T1030" s="1" t="s">
        <v>37</v>
      </c>
      <c r="U1030" s="1"/>
      <c r="V1030" s="1" t="s">
        <v>38</v>
      </c>
      <c r="W1030" s="1"/>
      <c r="X1030" s="1"/>
      <c r="Y1030" s="1" t="s">
        <v>49</v>
      </c>
      <c r="Z1030" s="1"/>
      <c r="AA1030" s="1" t="s">
        <v>40</v>
      </c>
      <c r="AB1030" s="1" t="s">
        <v>343</v>
      </c>
      <c r="AC1030" s="1"/>
    </row>
    <row r="1031">
      <c r="A1031" s="1" t="str">
        <f>"0007WA"</f>
        <v>0007WA</v>
      </c>
      <c r="B1031" s="1" t="s">
        <v>157</v>
      </c>
      <c r="C1031" s="1" t="s">
        <v>158</v>
      </c>
      <c r="D1031" s="1" t="str">
        <f>"8029482057"</f>
        <v>8029482057</v>
      </c>
      <c r="E1031" s="1">
        <v>1217.0</v>
      </c>
      <c r="F1031" s="1" t="s">
        <v>31</v>
      </c>
      <c r="G1031" s="1" t="s">
        <v>4228</v>
      </c>
      <c r="H1031" s="1">
        <v>28.0</v>
      </c>
      <c r="I1031" s="1"/>
      <c r="J1031" s="1"/>
      <c r="K1031" s="1"/>
      <c r="L1031" s="1"/>
      <c r="M1031" s="1" t="s">
        <v>4229</v>
      </c>
      <c r="N1031" s="1" t="s">
        <v>161</v>
      </c>
      <c r="O1031" s="1" t="s">
        <v>531</v>
      </c>
      <c r="P1031" s="1"/>
      <c r="Q1031" s="3">
        <v>36892.0</v>
      </c>
      <c r="R1031" s="1"/>
      <c r="S1031" s="3">
        <v>37883.0</v>
      </c>
      <c r="T1031" s="1" t="s">
        <v>164</v>
      </c>
      <c r="U1031" s="1"/>
      <c r="V1031" s="1" t="s">
        <v>38</v>
      </c>
      <c r="W1031" s="1"/>
      <c r="X1031" s="1"/>
      <c r="Y1031" s="1" t="s">
        <v>49</v>
      </c>
      <c r="Z1031" s="1"/>
      <c r="AA1031" s="1" t="s">
        <v>40</v>
      </c>
      <c r="AB1031" s="1" t="s">
        <v>532</v>
      </c>
      <c r="AC1031" s="1">
        <v>5760.0</v>
      </c>
    </row>
    <row r="1032">
      <c r="A1032" s="1" t="str">
        <f>"0008JD"</f>
        <v>0008JD</v>
      </c>
      <c r="B1032" s="1" t="s">
        <v>4230</v>
      </c>
      <c r="C1032" s="1" t="s">
        <v>4231</v>
      </c>
      <c r="D1032" s="1" t="str">
        <f>"8024532630"</f>
        <v>8024532630</v>
      </c>
      <c r="E1032" s="1">
        <v>2786.0</v>
      </c>
      <c r="F1032" s="1" t="s">
        <v>44</v>
      </c>
      <c r="G1032" s="1" t="s">
        <v>4232</v>
      </c>
      <c r="H1032" s="1"/>
      <c r="I1032" s="1"/>
      <c r="J1032" s="1"/>
      <c r="K1032" s="1"/>
      <c r="L1032" s="1"/>
      <c r="M1032" s="1" t="s">
        <v>4233</v>
      </c>
      <c r="N1032" s="1" t="s">
        <v>161</v>
      </c>
      <c r="O1032" s="1" t="s">
        <v>180</v>
      </c>
      <c r="P1032" s="1"/>
      <c r="Q1032" s="3">
        <v>36892.0</v>
      </c>
      <c r="R1032" s="1"/>
      <c r="S1032" s="1"/>
      <c r="T1032" s="1" t="s">
        <v>37</v>
      </c>
      <c r="U1032" s="1"/>
      <c r="V1032" s="1" t="s">
        <v>38</v>
      </c>
      <c r="W1032" s="1"/>
      <c r="X1032" s="1"/>
      <c r="Y1032" s="1" t="s">
        <v>49</v>
      </c>
      <c r="Z1032" s="1"/>
      <c r="AA1032" s="1" t="s">
        <v>40</v>
      </c>
      <c r="AB1032" s="1" t="s">
        <v>181</v>
      </c>
      <c r="AC1032" s="1"/>
    </row>
    <row r="1033">
      <c r="A1033" s="1" t="str">
        <f>"0007KN"</f>
        <v>0007KN</v>
      </c>
      <c r="B1033" s="1" t="s">
        <v>4234</v>
      </c>
      <c r="C1033" s="1" t="s">
        <v>4235</v>
      </c>
      <c r="D1033" s="1" t="str">
        <f>"8024395455"</f>
        <v>8024395455</v>
      </c>
      <c r="E1033" s="1">
        <v>3007.0</v>
      </c>
      <c r="F1033" s="1" t="s">
        <v>44</v>
      </c>
      <c r="G1033" s="1" t="s">
        <v>4236</v>
      </c>
      <c r="H1033" s="1">
        <v>4.0</v>
      </c>
      <c r="I1033" s="1"/>
      <c r="J1033" s="1"/>
      <c r="K1033" s="1"/>
      <c r="L1033" s="1"/>
      <c r="M1033" s="1" t="s">
        <v>72</v>
      </c>
      <c r="N1033" s="1" t="s">
        <v>142</v>
      </c>
      <c r="O1033" s="1" t="s">
        <v>222</v>
      </c>
      <c r="P1033" s="1"/>
      <c r="Q1033" s="3">
        <v>36892.0</v>
      </c>
      <c r="R1033" s="1"/>
      <c r="S1033" s="3">
        <v>38631.0</v>
      </c>
      <c r="T1033" s="1" t="s">
        <v>37</v>
      </c>
      <c r="U1033" s="1"/>
      <c r="V1033" s="1" t="s">
        <v>38</v>
      </c>
      <c r="W1033" s="1"/>
      <c r="X1033" s="1"/>
      <c r="Y1033" s="1" t="s">
        <v>49</v>
      </c>
      <c r="Z1033" s="1"/>
      <c r="AA1033" s="1" t="s">
        <v>40</v>
      </c>
      <c r="AB1033" s="1" t="s">
        <v>223</v>
      </c>
      <c r="AC1033" s="1"/>
    </row>
    <row r="1034">
      <c r="A1034" s="1" t="str">
        <f>"0004CK"</f>
        <v>0004CK</v>
      </c>
      <c r="B1034" s="1" t="s">
        <v>4237</v>
      </c>
      <c r="C1034" s="1" t="s">
        <v>4238</v>
      </c>
      <c r="D1034" s="1" t="str">
        <f>"8029482373"</f>
        <v>8029482373</v>
      </c>
      <c r="E1034" s="1">
        <v>951.0</v>
      </c>
      <c r="F1034" s="1" t="s">
        <v>44</v>
      </c>
      <c r="G1034" s="1" t="s">
        <v>4239</v>
      </c>
      <c r="H1034" s="1">
        <v>2.0</v>
      </c>
      <c r="I1034" s="1"/>
      <c r="J1034" s="1"/>
      <c r="K1034" s="1"/>
      <c r="L1034" s="1"/>
      <c r="M1034" s="1" t="s">
        <v>4240</v>
      </c>
      <c r="N1034" s="1" t="s">
        <v>161</v>
      </c>
      <c r="O1034" s="1" t="s">
        <v>531</v>
      </c>
      <c r="P1034" s="1"/>
      <c r="Q1034" s="3">
        <v>36892.0</v>
      </c>
      <c r="R1034" s="1"/>
      <c r="S1034" s="3">
        <v>33766.0</v>
      </c>
      <c r="T1034" s="1" t="s">
        <v>37</v>
      </c>
      <c r="U1034" s="1"/>
      <c r="V1034" s="1" t="s">
        <v>38</v>
      </c>
      <c r="W1034" s="1"/>
      <c r="X1034" s="1"/>
      <c r="Y1034" s="1" t="s">
        <v>49</v>
      </c>
      <c r="Z1034" s="1"/>
      <c r="AA1034" s="1" t="s">
        <v>40</v>
      </c>
      <c r="AB1034" s="1" t="s">
        <v>532</v>
      </c>
      <c r="AC1034" s="1"/>
    </row>
    <row r="1035">
      <c r="A1035" s="1" t="str">
        <f>"00081V"</f>
        <v>00081V</v>
      </c>
      <c r="B1035" s="1" t="s">
        <v>4241</v>
      </c>
      <c r="C1035" s="1" t="s">
        <v>4242</v>
      </c>
      <c r="D1035" s="1" t="str">
        <f>"8028785869"</f>
        <v>8028785869</v>
      </c>
      <c r="E1035" s="1">
        <v>2770.0</v>
      </c>
      <c r="F1035" s="1" t="s">
        <v>44</v>
      </c>
      <c r="G1035" s="1" t="s">
        <v>4243</v>
      </c>
      <c r="H1035" s="1">
        <v>1.0</v>
      </c>
      <c r="I1035" s="1"/>
      <c r="J1035" s="1"/>
      <c r="K1035" s="1"/>
      <c r="L1035" s="1"/>
      <c r="M1035" s="1" t="s">
        <v>72</v>
      </c>
      <c r="N1035" s="1" t="s">
        <v>57</v>
      </c>
      <c r="O1035" s="1" t="s">
        <v>509</v>
      </c>
      <c r="P1035" s="1"/>
      <c r="Q1035" s="3">
        <v>36892.0</v>
      </c>
      <c r="R1035" s="1"/>
      <c r="S1035" s="3">
        <v>36402.0</v>
      </c>
      <c r="T1035" s="1" t="s">
        <v>37</v>
      </c>
      <c r="U1035" s="1"/>
      <c r="V1035" s="1" t="s">
        <v>38</v>
      </c>
      <c r="W1035" s="1"/>
      <c r="X1035" s="1"/>
      <c r="Y1035" s="1" t="s">
        <v>49</v>
      </c>
      <c r="Z1035" s="1"/>
      <c r="AA1035" s="1" t="s">
        <v>40</v>
      </c>
      <c r="AB1035" s="1" t="s">
        <v>331</v>
      </c>
      <c r="AC1035" s="1"/>
    </row>
    <row r="1036">
      <c r="A1036" s="1" t="str">
        <f>"0004CK"</f>
        <v>0004CK</v>
      </c>
      <c r="B1036" s="1" t="s">
        <v>4237</v>
      </c>
      <c r="C1036" s="1" t="s">
        <v>4238</v>
      </c>
      <c r="D1036" s="1" t="str">
        <f>"8029482373"</f>
        <v>8029482373</v>
      </c>
      <c r="E1036" s="1">
        <v>951.0</v>
      </c>
      <c r="F1036" s="1" t="s">
        <v>44</v>
      </c>
      <c r="G1036" s="1" t="s">
        <v>4244</v>
      </c>
      <c r="H1036" s="1">
        <v>3.0</v>
      </c>
      <c r="I1036" s="1"/>
      <c r="J1036" s="1"/>
      <c r="K1036" s="1"/>
      <c r="L1036" s="1"/>
      <c r="M1036" s="1" t="s">
        <v>4245</v>
      </c>
      <c r="N1036" s="1" t="s">
        <v>161</v>
      </c>
      <c r="O1036" s="1" t="s">
        <v>531</v>
      </c>
      <c r="P1036" s="1"/>
      <c r="Q1036" s="3">
        <v>36892.0</v>
      </c>
      <c r="R1036" s="1"/>
      <c r="S1036" s="3">
        <v>33766.0</v>
      </c>
      <c r="T1036" s="1" t="s">
        <v>37</v>
      </c>
      <c r="U1036" s="1"/>
      <c r="V1036" s="1" t="s">
        <v>38</v>
      </c>
      <c r="W1036" s="1"/>
      <c r="X1036" s="1"/>
      <c r="Y1036" s="1" t="s">
        <v>49</v>
      </c>
      <c r="Z1036" s="1"/>
      <c r="AA1036" s="1" t="s">
        <v>40</v>
      </c>
      <c r="AB1036" s="1" t="s">
        <v>532</v>
      </c>
      <c r="AC1036" s="1"/>
    </row>
    <row r="1037">
      <c r="A1037" s="1" t="str">
        <f>"00084M"</f>
        <v>00084M</v>
      </c>
      <c r="B1037" s="1" t="s">
        <v>2601</v>
      </c>
      <c r="C1037" s="1" t="s">
        <v>2602</v>
      </c>
      <c r="D1037" s="1" t="str">
        <f>"8024736222"</f>
        <v>8024736222</v>
      </c>
      <c r="E1037" s="1">
        <v>1642.0</v>
      </c>
      <c r="F1037" s="1" t="s">
        <v>44</v>
      </c>
      <c r="G1037" s="1" t="s">
        <v>4246</v>
      </c>
      <c r="H1037" s="1">
        <v>4.0</v>
      </c>
      <c r="I1037" s="1"/>
      <c r="J1037" s="1"/>
      <c r="K1037" s="1"/>
      <c r="L1037" s="1"/>
      <c r="M1037" s="1" t="s">
        <v>4247</v>
      </c>
      <c r="N1037" s="1" t="s">
        <v>128</v>
      </c>
      <c r="O1037" s="1" t="s">
        <v>1707</v>
      </c>
      <c r="P1037" s="1"/>
      <c r="Q1037" s="3">
        <v>36892.0</v>
      </c>
      <c r="R1037" s="1"/>
      <c r="S1037" s="3">
        <v>32622.0</v>
      </c>
      <c r="T1037" s="1" t="s">
        <v>37</v>
      </c>
      <c r="U1037" s="1"/>
      <c r="V1037" s="1" t="s">
        <v>38</v>
      </c>
      <c r="W1037" s="1"/>
      <c r="X1037" s="1"/>
      <c r="Y1037" s="1" t="s">
        <v>49</v>
      </c>
      <c r="Z1037" s="1"/>
      <c r="AA1037" s="1" t="s">
        <v>40</v>
      </c>
      <c r="AB1037" s="1" t="s">
        <v>196</v>
      </c>
      <c r="AC1037" s="1"/>
    </row>
    <row r="1038">
      <c r="A1038" s="1" t="str">
        <f>"0007PK"</f>
        <v>0007PK</v>
      </c>
      <c r="B1038" s="1" t="s">
        <v>4248</v>
      </c>
      <c r="C1038" s="1" t="s">
        <v>4249</v>
      </c>
      <c r="D1038" s="1" t="str">
        <f>"8022447534"</f>
        <v>8022447534</v>
      </c>
      <c r="E1038" s="1">
        <v>1045.0</v>
      </c>
      <c r="F1038" s="1" t="s">
        <v>117</v>
      </c>
      <c r="G1038" s="1" t="s">
        <v>4250</v>
      </c>
      <c r="H1038" s="1">
        <v>2.0</v>
      </c>
      <c r="I1038" s="2" t="s">
        <v>119</v>
      </c>
      <c r="J1038" s="2" t="s">
        <v>119</v>
      </c>
      <c r="K1038" s="2" t="s">
        <v>119</v>
      </c>
      <c r="L1038" s="1"/>
      <c r="M1038" s="1" t="s">
        <v>4251</v>
      </c>
      <c r="N1038" s="1" t="s">
        <v>135</v>
      </c>
      <c r="O1038" s="1" t="s">
        <v>775</v>
      </c>
      <c r="P1038" s="1" t="s">
        <v>4252</v>
      </c>
      <c r="Q1038" s="3">
        <v>36892.0</v>
      </c>
      <c r="R1038" s="1"/>
      <c r="S1038" s="3">
        <v>41472.0</v>
      </c>
      <c r="T1038" s="1" t="s">
        <v>37</v>
      </c>
      <c r="U1038" s="1"/>
      <c r="V1038" s="1" t="s">
        <v>38</v>
      </c>
      <c r="W1038" s="1">
        <v>44.390419</v>
      </c>
      <c r="X1038" s="1">
        <v>-72.711357</v>
      </c>
      <c r="Y1038" s="1" t="s">
        <v>4253</v>
      </c>
      <c r="Z1038" s="1"/>
      <c r="AA1038" s="1" t="s">
        <v>40</v>
      </c>
      <c r="AB1038" s="1" t="s">
        <v>3755</v>
      </c>
      <c r="AC1038" s="1">
        <v>5677.0</v>
      </c>
    </row>
    <row r="1039">
      <c r="A1039" s="1" t="str">
        <f t="shared" ref="A1039:A1040" si="70">"0007WA"</f>
        <v>0007WA</v>
      </c>
      <c r="B1039" s="1" t="s">
        <v>157</v>
      </c>
      <c r="C1039" s="1" t="s">
        <v>158</v>
      </c>
      <c r="D1039" s="1" t="str">
        <f t="shared" ref="D1039:D1040" si="71">"8029482057"</f>
        <v>8029482057</v>
      </c>
      <c r="E1039" s="1">
        <v>1217.0</v>
      </c>
      <c r="F1039" s="1" t="s">
        <v>31</v>
      </c>
      <c r="G1039" s="1" t="s">
        <v>4254</v>
      </c>
      <c r="H1039" s="1">
        <v>20.0</v>
      </c>
      <c r="I1039" s="1"/>
      <c r="J1039" s="1"/>
      <c r="K1039" s="1"/>
      <c r="L1039" s="1"/>
      <c r="M1039" s="1" t="s">
        <v>4255</v>
      </c>
      <c r="N1039" s="1" t="s">
        <v>78</v>
      </c>
      <c r="O1039" s="1" t="s">
        <v>2066</v>
      </c>
      <c r="P1039" s="1" t="s">
        <v>4256</v>
      </c>
      <c r="Q1039" s="3">
        <v>36892.0</v>
      </c>
      <c r="R1039" s="1"/>
      <c r="S1039" s="3">
        <v>41914.0</v>
      </c>
      <c r="T1039" s="1" t="s">
        <v>164</v>
      </c>
      <c r="U1039" s="1"/>
      <c r="V1039" s="1" t="s">
        <v>38</v>
      </c>
      <c r="W1039" s="1">
        <v>43.65687</v>
      </c>
      <c r="X1039" s="1">
        <v>-73.29079</v>
      </c>
      <c r="Y1039" s="1" t="s">
        <v>3478</v>
      </c>
      <c r="Z1039" s="1"/>
      <c r="AA1039" s="1" t="s">
        <v>40</v>
      </c>
      <c r="AB1039" s="1" t="s">
        <v>2069</v>
      </c>
      <c r="AC1039" s="1">
        <v>0.0</v>
      </c>
    </row>
    <row r="1040">
      <c r="A1040" s="1" t="str">
        <f t="shared" si="70"/>
        <v>0007WA</v>
      </c>
      <c r="B1040" s="1" t="s">
        <v>157</v>
      </c>
      <c r="C1040" s="1" t="s">
        <v>158</v>
      </c>
      <c r="D1040" s="1" t="str">
        <f t="shared" si="71"/>
        <v>8029482057</v>
      </c>
      <c r="E1040" s="1">
        <v>1217.0</v>
      </c>
      <c r="F1040" s="1" t="s">
        <v>31</v>
      </c>
      <c r="G1040" s="1" t="s">
        <v>4257</v>
      </c>
      <c r="H1040" s="1">
        <v>42.0</v>
      </c>
      <c r="I1040" s="1"/>
      <c r="J1040" s="1"/>
      <c r="K1040" s="1"/>
      <c r="L1040" s="1"/>
      <c r="M1040" s="1" t="s">
        <v>4258</v>
      </c>
      <c r="N1040" s="1" t="s">
        <v>161</v>
      </c>
      <c r="O1040" s="1" t="s">
        <v>531</v>
      </c>
      <c r="P1040" s="1" t="s">
        <v>4259</v>
      </c>
      <c r="Q1040" s="3">
        <v>36892.0</v>
      </c>
      <c r="R1040" s="1"/>
      <c r="S1040" s="3">
        <v>41551.0</v>
      </c>
      <c r="T1040" s="1" t="s">
        <v>164</v>
      </c>
      <c r="U1040" s="1"/>
      <c r="V1040" s="1" t="s">
        <v>38</v>
      </c>
      <c r="W1040" s="1">
        <v>43.81191</v>
      </c>
      <c r="X1040" s="1">
        <v>-73.23576</v>
      </c>
      <c r="Y1040" s="1" t="s">
        <v>1443</v>
      </c>
      <c r="Z1040" s="1"/>
      <c r="AA1040" s="1" t="s">
        <v>40</v>
      </c>
      <c r="AB1040" s="1" t="s">
        <v>532</v>
      </c>
      <c r="AC1040" s="1">
        <v>5760.0</v>
      </c>
    </row>
    <row r="1041">
      <c r="A1041" s="1" t="str">
        <f>"0007MC"</f>
        <v>0007MC</v>
      </c>
      <c r="B1041" s="1" t="s">
        <v>4260</v>
      </c>
      <c r="C1041" s="1" t="s">
        <v>4261</v>
      </c>
      <c r="D1041" s="1" t="str">
        <f>"8025452339"</f>
        <v>8025452339</v>
      </c>
      <c r="E1041" s="1">
        <v>947.0</v>
      </c>
      <c r="F1041" s="1" t="s">
        <v>44</v>
      </c>
      <c r="G1041" s="1" t="s">
        <v>4262</v>
      </c>
      <c r="H1041" s="1">
        <v>1.0</v>
      </c>
      <c r="I1041" s="1"/>
      <c r="J1041" s="1"/>
      <c r="K1041" s="1"/>
      <c r="L1041" s="1"/>
      <c r="M1041" s="1" t="s">
        <v>33</v>
      </c>
      <c r="N1041" s="1" t="s">
        <v>161</v>
      </c>
      <c r="O1041" s="1" t="s">
        <v>185</v>
      </c>
      <c r="P1041" s="1" t="s">
        <v>36</v>
      </c>
      <c r="Q1041" s="3">
        <v>36892.0</v>
      </c>
      <c r="R1041" s="1"/>
      <c r="S1041" s="1"/>
      <c r="T1041" s="1" t="s">
        <v>37</v>
      </c>
      <c r="U1041" s="1"/>
      <c r="V1041" s="1" t="s">
        <v>38</v>
      </c>
      <c r="W1041" s="1">
        <v>44.11935</v>
      </c>
      <c r="X1041" s="1">
        <v>-73.1957929999999</v>
      </c>
      <c r="Y1041" s="1" t="s">
        <v>4263</v>
      </c>
      <c r="Z1041" s="1"/>
      <c r="AA1041" s="1" t="s">
        <v>40</v>
      </c>
      <c r="AB1041" s="1" t="s">
        <v>186</v>
      </c>
      <c r="AC1041" s="1">
        <v>5472.0</v>
      </c>
    </row>
    <row r="1042">
      <c r="A1042" s="1" t="str">
        <f>"0007MB"</f>
        <v>0007MB</v>
      </c>
      <c r="B1042" s="1" t="s">
        <v>4264</v>
      </c>
      <c r="C1042" s="1" t="s">
        <v>4265</v>
      </c>
      <c r="D1042" s="1" t="str">
        <f>"8028773041"</f>
        <v>8028773041</v>
      </c>
      <c r="E1042" s="1">
        <v>946.0</v>
      </c>
      <c r="F1042" s="1" t="s">
        <v>44</v>
      </c>
      <c r="G1042" s="1" t="s">
        <v>4266</v>
      </c>
      <c r="H1042" s="1">
        <v>2.0</v>
      </c>
      <c r="I1042" s="1"/>
      <c r="J1042" s="1"/>
      <c r="K1042" s="1"/>
      <c r="L1042" s="1"/>
      <c r="M1042" s="1" t="s">
        <v>4267</v>
      </c>
      <c r="N1042" s="1" t="s">
        <v>161</v>
      </c>
      <c r="O1042" s="1" t="s">
        <v>185</v>
      </c>
      <c r="P1042" s="1"/>
      <c r="Q1042" s="3">
        <v>36892.0</v>
      </c>
      <c r="R1042" s="1"/>
      <c r="S1042" s="3">
        <v>37792.0</v>
      </c>
      <c r="T1042" s="1" t="s">
        <v>37</v>
      </c>
      <c r="U1042" s="1"/>
      <c r="V1042" s="1" t="s">
        <v>38</v>
      </c>
      <c r="W1042" s="1"/>
      <c r="X1042" s="1"/>
      <c r="Y1042" s="1" t="s">
        <v>49</v>
      </c>
      <c r="Z1042" s="1"/>
      <c r="AA1042" s="1" t="s">
        <v>40</v>
      </c>
      <c r="AB1042" s="1" t="s">
        <v>186</v>
      </c>
      <c r="AC1042" s="1"/>
    </row>
    <row r="1043">
      <c r="A1043" s="1" t="str">
        <f>"0007K0"</f>
        <v>0007K0</v>
      </c>
      <c r="B1043" s="1" t="s">
        <v>2767</v>
      </c>
      <c r="C1043" s="1" t="s">
        <v>2768</v>
      </c>
      <c r="D1043" s="1" t="str">
        <f>"8023887724"</f>
        <v>8023887724</v>
      </c>
      <c r="E1043" s="1">
        <v>851.0</v>
      </c>
      <c r="F1043" s="1" t="s">
        <v>117</v>
      </c>
      <c r="G1043" s="1" t="s">
        <v>4268</v>
      </c>
      <c r="H1043" s="1">
        <v>18.0</v>
      </c>
      <c r="I1043" s="2" t="s">
        <v>119</v>
      </c>
      <c r="J1043" s="2" t="s">
        <v>119</v>
      </c>
      <c r="K1043" s="2" t="s">
        <v>119</v>
      </c>
      <c r="L1043" s="1"/>
      <c r="M1043" s="1" t="s">
        <v>4269</v>
      </c>
      <c r="N1043" s="1" t="s">
        <v>161</v>
      </c>
      <c r="O1043" s="1" t="s">
        <v>3407</v>
      </c>
      <c r="P1043" s="1" t="s">
        <v>4270</v>
      </c>
      <c r="Q1043" s="3">
        <v>36892.0</v>
      </c>
      <c r="R1043" s="1"/>
      <c r="S1043" s="3">
        <v>39351.0</v>
      </c>
      <c r="T1043" s="1" t="s">
        <v>37</v>
      </c>
      <c r="U1043" s="1"/>
      <c r="V1043" s="1" t="s">
        <v>38</v>
      </c>
      <c r="W1043" s="1">
        <v>44.0940097876791</v>
      </c>
      <c r="X1043" s="1">
        <v>-73.2022247998975</v>
      </c>
      <c r="Y1043" s="1" t="s">
        <v>4271</v>
      </c>
      <c r="Z1043" s="1"/>
      <c r="AA1043" s="1" t="s">
        <v>40</v>
      </c>
      <c r="AB1043" s="1" t="s">
        <v>186</v>
      </c>
      <c r="AC1043" s="1">
        <v>5472.0</v>
      </c>
    </row>
    <row r="1044">
      <c r="A1044" s="1" t="str">
        <f>"000794"</f>
        <v>000794</v>
      </c>
      <c r="B1044" s="1" t="s">
        <v>4272</v>
      </c>
      <c r="C1044" s="1" t="s">
        <v>4273</v>
      </c>
      <c r="D1044" s="1"/>
      <c r="E1044" s="1">
        <v>3023.0</v>
      </c>
      <c r="F1044" s="1" t="s">
        <v>44</v>
      </c>
      <c r="G1044" s="1" t="s">
        <v>4274</v>
      </c>
      <c r="H1044" s="1">
        <v>2.0</v>
      </c>
      <c r="I1044" s="1"/>
      <c r="J1044" s="1"/>
      <c r="K1044" s="1"/>
      <c r="L1044" s="1"/>
      <c r="M1044" s="1" t="s">
        <v>72</v>
      </c>
      <c r="N1044" s="1" t="s">
        <v>142</v>
      </c>
      <c r="O1044" s="1" t="s">
        <v>227</v>
      </c>
      <c r="P1044" s="1"/>
      <c r="Q1044" s="3">
        <v>36892.0</v>
      </c>
      <c r="R1044" s="1"/>
      <c r="S1044" s="3">
        <v>35649.0</v>
      </c>
      <c r="T1044" s="1" t="s">
        <v>37</v>
      </c>
      <c r="U1044" s="1"/>
      <c r="V1044" s="1" t="s">
        <v>38</v>
      </c>
      <c r="W1044" s="1"/>
      <c r="X1044" s="1"/>
      <c r="Y1044" s="1" t="s">
        <v>49</v>
      </c>
      <c r="Z1044" s="1"/>
      <c r="AA1044" s="1" t="s">
        <v>40</v>
      </c>
      <c r="AB1044" s="1" t="s">
        <v>228</v>
      </c>
      <c r="AC1044" s="1"/>
    </row>
    <row r="1045">
      <c r="A1045" s="1" t="str">
        <f>"00080G"</f>
        <v>00080G</v>
      </c>
      <c r="B1045" s="1" t="s">
        <v>4177</v>
      </c>
      <c r="C1045" s="1" t="s">
        <v>4178</v>
      </c>
      <c r="D1045" s="1" t="str">
        <f>"8022224658"</f>
        <v>8022224658</v>
      </c>
      <c r="E1045" s="1">
        <v>2413.0</v>
      </c>
      <c r="F1045" s="1" t="s">
        <v>44</v>
      </c>
      <c r="G1045" s="1" t="s">
        <v>4275</v>
      </c>
      <c r="H1045" s="1">
        <v>1.0</v>
      </c>
      <c r="I1045" s="1"/>
      <c r="J1045" s="1"/>
      <c r="K1045" s="1"/>
      <c r="L1045" s="1"/>
      <c r="M1045" s="1" t="s">
        <v>4276</v>
      </c>
      <c r="N1045" s="1" t="s">
        <v>142</v>
      </c>
      <c r="O1045" s="1" t="s">
        <v>227</v>
      </c>
      <c r="P1045" s="1"/>
      <c r="Q1045" s="3">
        <v>36892.0</v>
      </c>
      <c r="R1045" s="1"/>
      <c r="S1045" s="3">
        <v>37802.0</v>
      </c>
      <c r="T1045" s="1" t="s">
        <v>37</v>
      </c>
      <c r="U1045" s="1"/>
      <c r="V1045" s="1" t="s">
        <v>38</v>
      </c>
      <c r="W1045" s="1"/>
      <c r="X1045" s="1"/>
      <c r="Y1045" s="1" t="s">
        <v>49</v>
      </c>
      <c r="Z1045" s="1"/>
      <c r="AA1045" s="1" t="s">
        <v>40</v>
      </c>
      <c r="AB1045" s="1" t="s">
        <v>228</v>
      </c>
      <c r="AC1045" s="1"/>
    </row>
    <row r="1046">
      <c r="A1046" s="1" t="str">
        <f>"0007WA"</f>
        <v>0007WA</v>
      </c>
      <c r="B1046" s="1" t="s">
        <v>157</v>
      </c>
      <c r="C1046" s="1" t="s">
        <v>158</v>
      </c>
      <c r="D1046" s="1" t="str">
        <f>"8029482057"</f>
        <v>8029482057</v>
      </c>
      <c r="E1046" s="1">
        <v>1217.0</v>
      </c>
      <c r="F1046" s="1" t="s">
        <v>31</v>
      </c>
      <c r="G1046" s="1" t="s">
        <v>4277</v>
      </c>
      <c r="H1046" s="1">
        <v>31.0</v>
      </c>
      <c r="I1046" s="1"/>
      <c r="J1046" s="1"/>
      <c r="K1046" s="1"/>
      <c r="L1046" s="1"/>
      <c r="M1046" s="1" t="s">
        <v>4278</v>
      </c>
      <c r="N1046" s="1" t="s">
        <v>161</v>
      </c>
      <c r="O1046" s="1" t="s">
        <v>185</v>
      </c>
      <c r="P1046" s="1" t="s">
        <v>4279</v>
      </c>
      <c r="Q1046" s="3">
        <v>36892.0</v>
      </c>
      <c r="R1046" s="1"/>
      <c r="S1046" s="3">
        <v>40477.0</v>
      </c>
      <c r="T1046" s="1" t="s">
        <v>37</v>
      </c>
      <c r="U1046" s="1"/>
      <c r="V1046" s="1" t="s">
        <v>38</v>
      </c>
      <c r="W1046" s="1">
        <v>44.1243656</v>
      </c>
      <c r="X1046" s="1">
        <v>-73.1535619</v>
      </c>
      <c r="Y1046" s="1" t="s">
        <v>4280</v>
      </c>
      <c r="Z1046" s="1"/>
      <c r="AA1046" s="1" t="s">
        <v>40</v>
      </c>
      <c r="AB1046" s="1" t="s">
        <v>186</v>
      </c>
      <c r="AC1046" s="1">
        <v>0.0</v>
      </c>
    </row>
    <row r="1047">
      <c r="A1047" s="1" t="str">
        <f>"000893"</f>
        <v>000893</v>
      </c>
      <c r="B1047" s="1" t="s">
        <v>4281</v>
      </c>
      <c r="C1047" s="1" t="s">
        <v>4282</v>
      </c>
      <c r="D1047" s="1" t="str">
        <f>"8023880661"</f>
        <v>8023880661</v>
      </c>
      <c r="E1047" s="1">
        <v>3028.0</v>
      </c>
      <c r="F1047" s="1" t="s">
        <v>44</v>
      </c>
      <c r="G1047" s="1" t="s">
        <v>4283</v>
      </c>
      <c r="H1047" s="1"/>
      <c r="I1047" s="1"/>
      <c r="J1047" s="1"/>
      <c r="K1047" s="1"/>
      <c r="L1047" s="1"/>
      <c r="M1047" s="1" t="s">
        <v>72</v>
      </c>
      <c r="N1047" s="1" t="s">
        <v>161</v>
      </c>
      <c r="O1047" s="1" t="s">
        <v>1482</v>
      </c>
      <c r="P1047" s="1"/>
      <c r="Q1047" s="3">
        <v>36892.0</v>
      </c>
      <c r="R1047" s="1"/>
      <c r="S1047" s="1"/>
      <c r="T1047" s="1" t="s">
        <v>37</v>
      </c>
      <c r="U1047" s="1"/>
      <c r="V1047" s="1" t="s">
        <v>38</v>
      </c>
      <c r="W1047" s="1"/>
      <c r="X1047" s="1"/>
      <c r="Y1047" s="1" t="s">
        <v>49</v>
      </c>
      <c r="Z1047" s="1"/>
      <c r="AA1047" s="1" t="s">
        <v>40</v>
      </c>
      <c r="AB1047" s="1" t="s">
        <v>1483</v>
      </c>
      <c r="AC1047" s="1"/>
    </row>
    <row r="1048">
      <c r="A1048" s="1" t="str">
        <f>"00070F"</f>
        <v>00070F</v>
      </c>
      <c r="B1048" s="1" t="s">
        <v>4284</v>
      </c>
      <c r="C1048" s="1" t="s">
        <v>4285</v>
      </c>
      <c r="D1048" s="1" t="str">
        <f>"8028932162"</f>
        <v>8028932162</v>
      </c>
      <c r="E1048" s="1">
        <v>3151.0</v>
      </c>
      <c r="F1048" s="1" t="s">
        <v>117</v>
      </c>
      <c r="G1048" s="1" t="s">
        <v>4286</v>
      </c>
      <c r="H1048" s="1">
        <v>1.0</v>
      </c>
      <c r="I1048" s="2">
        <v>0.0</v>
      </c>
      <c r="J1048" s="2">
        <v>0.0</v>
      </c>
      <c r="K1048" s="2" t="s">
        <v>119</v>
      </c>
      <c r="L1048" s="1"/>
      <c r="M1048" s="1" t="s">
        <v>4287</v>
      </c>
      <c r="N1048" s="1" t="s">
        <v>57</v>
      </c>
      <c r="O1048" s="1" t="s">
        <v>256</v>
      </c>
      <c r="P1048" s="1" t="s">
        <v>4288</v>
      </c>
      <c r="Q1048" s="3">
        <v>36892.0</v>
      </c>
      <c r="R1048" s="1"/>
      <c r="S1048" s="3">
        <v>37833.0</v>
      </c>
      <c r="T1048" s="1" t="s">
        <v>37</v>
      </c>
      <c r="U1048" s="1"/>
      <c r="V1048" s="1" t="s">
        <v>38</v>
      </c>
      <c r="W1048" s="1">
        <v>44.6405208</v>
      </c>
      <c r="X1048" s="1">
        <v>-73.0564377</v>
      </c>
      <c r="Y1048" s="1" t="s">
        <v>4289</v>
      </c>
      <c r="Z1048" s="1"/>
      <c r="AA1048" s="1" t="s">
        <v>40</v>
      </c>
      <c r="AB1048" s="1" t="s">
        <v>257</v>
      </c>
      <c r="AC1048" s="1">
        <v>5468.0</v>
      </c>
    </row>
    <row r="1049">
      <c r="A1049" s="1" t="str">
        <f t="shared" ref="A1049:A1050" si="72">"0007MA"</f>
        <v>0007MA</v>
      </c>
      <c r="B1049" s="1" t="s">
        <v>4071</v>
      </c>
      <c r="C1049" s="1" t="s">
        <v>4072</v>
      </c>
      <c r="D1049" s="1" t="str">
        <f t="shared" ref="D1049:D1050" si="73">"8028772690"</f>
        <v>8028772690</v>
      </c>
      <c r="E1049" s="1">
        <v>941.0</v>
      </c>
      <c r="F1049" s="1" t="s">
        <v>117</v>
      </c>
      <c r="G1049" s="1" t="s">
        <v>4290</v>
      </c>
      <c r="H1049" s="1">
        <v>0.0</v>
      </c>
      <c r="I1049" s="2" t="s">
        <v>119</v>
      </c>
      <c r="J1049" s="2" t="s">
        <v>119</v>
      </c>
      <c r="K1049" s="2" t="s">
        <v>119</v>
      </c>
      <c r="L1049" s="1"/>
      <c r="M1049" s="1" t="s">
        <v>4291</v>
      </c>
      <c r="N1049" s="1" t="s">
        <v>161</v>
      </c>
      <c r="O1049" s="1" t="s">
        <v>185</v>
      </c>
      <c r="P1049" s="1"/>
      <c r="Q1049" s="3">
        <v>36892.0</v>
      </c>
      <c r="R1049" s="3">
        <v>42155.0</v>
      </c>
      <c r="S1049" s="3">
        <v>37903.0</v>
      </c>
      <c r="T1049" s="1" t="s">
        <v>37</v>
      </c>
      <c r="U1049" s="1"/>
      <c r="V1049" s="1" t="s">
        <v>38</v>
      </c>
      <c r="W1049" s="1"/>
      <c r="X1049" s="1"/>
      <c r="Y1049" s="1" t="s">
        <v>49</v>
      </c>
      <c r="Z1049" s="1"/>
      <c r="AA1049" s="1" t="s">
        <v>40</v>
      </c>
      <c r="AB1049" s="1" t="s">
        <v>186</v>
      </c>
      <c r="AC1049" s="1">
        <v>0.0</v>
      </c>
    </row>
    <row r="1050">
      <c r="A1050" s="1" t="str">
        <f t="shared" si="72"/>
        <v>0007MA</v>
      </c>
      <c r="B1050" s="1" t="s">
        <v>4071</v>
      </c>
      <c r="C1050" s="1" t="s">
        <v>4072</v>
      </c>
      <c r="D1050" s="1" t="str">
        <f t="shared" si="73"/>
        <v>8028772690</v>
      </c>
      <c r="E1050" s="1">
        <v>941.0</v>
      </c>
      <c r="F1050" s="1" t="s">
        <v>117</v>
      </c>
      <c r="G1050" s="1" t="s">
        <v>4292</v>
      </c>
      <c r="H1050" s="1">
        <v>24.0</v>
      </c>
      <c r="I1050" s="2">
        <v>5.0</v>
      </c>
      <c r="J1050" s="2">
        <v>5.0</v>
      </c>
      <c r="K1050" s="2" t="s">
        <v>119</v>
      </c>
      <c r="L1050" s="1"/>
      <c r="M1050" s="1" t="s">
        <v>4293</v>
      </c>
      <c r="N1050" s="1" t="s">
        <v>161</v>
      </c>
      <c r="O1050" s="1" t="s">
        <v>3407</v>
      </c>
      <c r="P1050" s="1" t="s">
        <v>4294</v>
      </c>
      <c r="Q1050" s="3">
        <v>36892.0</v>
      </c>
      <c r="R1050" s="1"/>
      <c r="S1050" s="3">
        <v>35279.0</v>
      </c>
      <c r="T1050" s="1" t="s">
        <v>37</v>
      </c>
      <c r="U1050" s="1"/>
      <c r="V1050" s="1" t="s">
        <v>38</v>
      </c>
      <c r="W1050" s="1">
        <v>44.1397546883452</v>
      </c>
      <c r="X1050" s="1">
        <v>-73.2424056529998</v>
      </c>
      <c r="Y1050" s="1" t="s">
        <v>4295</v>
      </c>
      <c r="Z1050" s="1"/>
      <c r="AA1050" s="1" t="s">
        <v>40</v>
      </c>
      <c r="AB1050" s="1" t="s">
        <v>3581</v>
      </c>
      <c r="AC1050" s="1">
        <v>5491.0</v>
      </c>
    </row>
    <row r="1051">
      <c r="A1051" s="1" t="str">
        <f>"0007M9"</f>
        <v>0007M9</v>
      </c>
      <c r="B1051" s="1" t="s">
        <v>4296</v>
      </c>
      <c r="C1051" s="1" t="s">
        <v>4297</v>
      </c>
      <c r="D1051" s="1" t="str">
        <f>"8025245254"</f>
        <v>8025245254</v>
      </c>
      <c r="E1051" s="1">
        <v>3617.0</v>
      </c>
      <c r="F1051" s="1" t="s">
        <v>31</v>
      </c>
      <c r="G1051" s="1" t="s">
        <v>4298</v>
      </c>
      <c r="H1051" s="1">
        <v>7.0</v>
      </c>
      <c r="I1051" s="1"/>
      <c r="J1051" s="1"/>
      <c r="K1051" s="1"/>
      <c r="L1051" s="1"/>
      <c r="M1051" s="1" t="s">
        <v>72</v>
      </c>
      <c r="N1051" s="1" t="s">
        <v>47</v>
      </c>
      <c r="O1051" s="1" t="s">
        <v>2319</v>
      </c>
      <c r="P1051" s="1" t="s">
        <v>4299</v>
      </c>
      <c r="Q1051" s="3">
        <v>36892.0</v>
      </c>
      <c r="R1051" s="1"/>
      <c r="S1051" s="3">
        <v>39651.0</v>
      </c>
      <c r="T1051" s="1" t="s">
        <v>37</v>
      </c>
      <c r="U1051" s="1"/>
      <c r="V1051" s="1" t="s">
        <v>38</v>
      </c>
      <c r="W1051" s="1">
        <v>44.853012</v>
      </c>
      <c r="X1051" s="1">
        <v>-72.970619</v>
      </c>
      <c r="Y1051" s="1" t="s">
        <v>4300</v>
      </c>
      <c r="Z1051" s="1"/>
      <c r="AA1051" s="1" t="s">
        <v>40</v>
      </c>
      <c r="AB1051" s="1" t="s">
        <v>102</v>
      </c>
      <c r="AC1051" s="1">
        <v>5455.0</v>
      </c>
    </row>
    <row r="1052">
      <c r="A1052" s="1" t="str">
        <f>"0007M8"</f>
        <v>0007M8</v>
      </c>
      <c r="B1052" s="1" t="s">
        <v>4301</v>
      </c>
      <c r="C1052" s="1" t="s">
        <v>4302</v>
      </c>
      <c r="D1052" s="1" t="str">
        <f>"8028744426"</f>
        <v>8028744426</v>
      </c>
      <c r="E1052" s="1">
        <v>2608.0</v>
      </c>
      <c r="F1052" s="1" t="s">
        <v>44</v>
      </c>
      <c r="G1052" s="1" t="s">
        <v>4303</v>
      </c>
      <c r="H1052" s="1"/>
      <c r="I1052" s="1"/>
      <c r="J1052" s="1"/>
      <c r="K1052" s="1"/>
      <c r="L1052" s="1"/>
      <c r="M1052" s="1" t="s">
        <v>4304</v>
      </c>
      <c r="N1052" s="1" t="s">
        <v>66</v>
      </c>
      <c r="O1052" s="1" t="s">
        <v>1944</v>
      </c>
      <c r="P1052" s="1"/>
      <c r="Q1052" s="3">
        <v>36892.0</v>
      </c>
      <c r="R1052" s="1"/>
      <c r="S1052" s="1"/>
      <c r="T1052" s="1" t="s">
        <v>37</v>
      </c>
      <c r="U1052" s="1"/>
      <c r="V1052" s="1" t="s">
        <v>38</v>
      </c>
      <c r="W1052" s="1"/>
      <c r="X1052" s="1"/>
      <c r="Y1052" s="1" t="s">
        <v>49</v>
      </c>
      <c r="Z1052" s="1"/>
      <c r="AA1052" s="1" t="s">
        <v>40</v>
      </c>
      <c r="AB1052" s="1" t="s">
        <v>66</v>
      </c>
      <c r="AC1052" s="1"/>
    </row>
    <row r="1053">
      <c r="A1053" s="1" t="str">
        <f>"00073A"</f>
        <v>00073A</v>
      </c>
      <c r="B1053" s="1" t="s">
        <v>4305</v>
      </c>
      <c r="C1053" s="1" t="s">
        <v>4306</v>
      </c>
      <c r="D1053" s="1" t="str">
        <f>"8026357611"</f>
        <v>8026357611</v>
      </c>
      <c r="E1053" s="1">
        <v>4012.0</v>
      </c>
      <c r="F1053" s="1" t="s">
        <v>117</v>
      </c>
      <c r="G1053" s="1" t="s">
        <v>4307</v>
      </c>
      <c r="H1053" s="1">
        <v>0.0</v>
      </c>
      <c r="I1053" s="2">
        <v>1.0</v>
      </c>
      <c r="J1053" s="2">
        <v>1.0</v>
      </c>
      <c r="K1053" s="2" t="s">
        <v>119</v>
      </c>
      <c r="L1053" s="1"/>
      <c r="M1053" s="1" t="s">
        <v>4308</v>
      </c>
      <c r="N1053" s="1" t="s">
        <v>135</v>
      </c>
      <c r="O1053" s="1" t="s">
        <v>1073</v>
      </c>
      <c r="P1053" s="1" t="s">
        <v>4309</v>
      </c>
      <c r="Q1053" s="3">
        <v>36892.0</v>
      </c>
      <c r="R1053" s="1"/>
      <c r="S1053" s="3">
        <v>42144.0</v>
      </c>
      <c r="T1053" s="1" t="s">
        <v>37</v>
      </c>
      <c r="U1053" s="1"/>
      <c r="V1053" s="1" t="s">
        <v>38</v>
      </c>
      <c r="W1053" s="1">
        <v>44.275951</v>
      </c>
      <c r="X1053" s="1">
        <v>-72.4010849999999</v>
      </c>
      <c r="Y1053" s="1" t="s">
        <v>4310</v>
      </c>
      <c r="Z1053" s="1"/>
      <c r="AA1053" s="1" t="s">
        <v>40</v>
      </c>
      <c r="AB1053" s="1" t="s">
        <v>1075</v>
      </c>
      <c r="AC1053" s="1">
        <v>0.0</v>
      </c>
    </row>
    <row r="1054">
      <c r="A1054" s="1" t="str">
        <f>"0008J5"</f>
        <v>0008J5</v>
      </c>
      <c r="B1054" s="1" t="s">
        <v>3151</v>
      </c>
      <c r="C1054" s="1" t="s">
        <v>3152</v>
      </c>
      <c r="D1054" s="1" t="str">
        <f>"8025632184"</f>
        <v>8025632184</v>
      </c>
      <c r="E1054" s="1">
        <v>2777.0</v>
      </c>
      <c r="F1054" s="1" t="s">
        <v>44</v>
      </c>
      <c r="G1054" s="1" t="s">
        <v>4311</v>
      </c>
      <c r="H1054" s="1"/>
      <c r="I1054" s="1"/>
      <c r="J1054" s="1"/>
      <c r="K1054" s="1"/>
      <c r="L1054" s="1"/>
      <c r="M1054" s="1" t="s">
        <v>4312</v>
      </c>
      <c r="N1054" s="1" t="s">
        <v>94</v>
      </c>
      <c r="O1054" s="1" t="s">
        <v>232</v>
      </c>
      <c r="P1054" s="1"/>
      <c r="Q1054" s="3">
        <v>36892.0</v>
      </c>
      <c r="R1054" s="1"/>
      <c r="S1054" s="1"/>
      <c r="T1054" s="1" t="s">
        <v>37</v>
      </c>
      <c r="U1054" s="1"/>
      <c r="V1054" s="1" t="s">
        <v>38</v>
      </c>
      <c r="W1054" s="1"/>
      <c r="X1054" s="1"/>
      <c r="Y1054" s="1" t="s">
        <v>49</v>
      </c>
      <c r="Z1054" s="1"/>
      <c r="AA1054" s="1" t="s">
        <v>40</v>
      </c>
      <c r="AB1054" s="1" t="s">
        <v>385</v>
      </c>
      <c r="AC1054" s="1"/>
    </row>
    <row r="1055">
      <c r="A1055" s="1" t="str">
        <f>"0007M5"</f>
        <v>0007M5</v>
      </c>
      <c r="B1055" s="1" t="s">
        <v>4313</v>
      </c>
      <c r="C1055" s="1" t="s">
        <v>4314</v>
      </c>
      <c r="D1055" s="1"/>
      <c r="E1055" s="1">
        <v>930.0</v>
      </c>
      <c r="F1055" s="1" t="s">
        <v>44</v>
      </c>
      <c r="G1055" s="1" t="s">
        <v>4315</v>
      </c>
      <c r="H1055" s="1">
        <v>2.0</v>
      </c>
      <c r="I1055" s="1"/>
      <c r="J1055" s="1"/>
      <c r="K1055" s="1"/>
      <c r="L1055" s="1"/>
      <c r="M1055" s="1" t="s">
        <v>72</v>
      </c>
      <c r="N1055" s="1" t="s">
        <v>161</v>
      </c>
      <c r="O1055" s="1" t="s">
        <v>394</v>
      </c>
      <c r="P1055" s="1"/>
      <c r="Q1055" s="3">
        <v>36892.0</v>
      </c>
      <c r="R1055" s="1"/>
      <c r="S1055" s="3">
        <v>32353.0</v>
      </c>
      <c r="T1055" s="1" t="s">
        <v>37</v>
      </c>
      <c r="U1055" s="1"/>
      <c r="V1055" s="1" t="s">
        <v>38</v>
      </c>
      <c r="W1055" s="1"/>
      <c r="X1055" s="1"/>
      <c r="Y1055" s="1" t="s">
        <v>49</v>
      </c>
      <c r="Z1055" s="1"/>
      <c r="AA1055" s="1" t="s">
        <v>40</v>
      </c>
      <c r="AB1055" s="1" t="s">
        <v>395</v>
      </c>
      <c r="AC1055" s="1"/>
    </row>
    <row r="1056">
      <c r="A1056" s="1" t="str">
        <f>"0007M4"</f>
        <v>0007M4</v>
      </c>
      <c r="B1056" s="1" t="s">
        <v>4316</v>
      </c>
      <c r="C1056" s="1" t="s">
        <v>4317</v>
      </c>
      <c r="D1056" s="1" t="str">
        <f>"8024255354"</f>
        <v>8024255354</v>
      </c>
      <c r="E1056" s="1">
        <v>3615.0</v>
      </c>
      <c r="F1056" s="1" t="s">
        <v>44</v>
      </c>
      <c r="G1056" s="1" t="s">
        <v>4318</v>
      </c>
      <c r="H1056" s="1">
        <v>1.0</v>
      </c>
      <c r="I1056" s="1"/>
      <c r="J1056" s="1"/>
      <c r="K1056" s="1"/>
      <c r="L1056" s="1"/>
      <c r="M1056" s="1" t="s">
        <v>72</v>
      </c>
      <c r="N1056" s="1" t="s">
        <v>57</v>
      </c>
      <c r="O1056" s="1" t="s">
        <v>1633</v>
      </c>
      <c r="P1056" s="1"/>
      <c r="Q1056" s="3">
        <v>36892.0</v>
      </c>
      <c r="R1056" s="1"/>
      <c r="S1056" s="3">
        <v>38460.0</v>
      </c>
      <c r="T1056" s="1" t="s">
        <v>37</v>
      </c>
      <c r="U1056" s="1"/>
      <c r="V1056" s="1" t="s">
        <v>38</v>
      </c>
      <c r="W1056" s="1"/>
      <c r="X1056" s="1"/>
      <c r="Y1056" s="1" t="s">
        <v>49</v>
      </c>
      <c r="Z1056" s="1"/>
      <c r="AA1056" s="1" t="s">
        <v>40</v>
      </c>
      <c r="AB1056" s="1" t="s">
        <v>1634</v>
      </c>
      <c r="AC1056" s="1"/>
    </row>
    <row r="1057">
      <c r="A1057" s="1" t="str">
        <f>"0007M3"</f>
        <v>0007M3</v>
      </c>
      <c r="B1057" s="1" t="s">
        <v>4319</v>
      </c>
      <c r="C1057" s="1" t="s">
        <v>4320</v>
      </c>
      <c r="D1057" s="1" t="str">
        <f>"8024532248"</f>
        <v>8024532248</v>
      </c>
      <c r="E1057" s="1">
        <v>927.0</v>
      </c>
      <c r="F1057" s="1" t="s">
        <v>44</v>
      </c>
      <c r="G1057" s="1" t="s">
        <v>4321</v>
      </c>
      <c r="H1057" s="1">
        <v>16.0</v>
      </c>
      <c r="I1057" s="1"/>
      <c r="J1057" s="1"/>
      <c r="K1057" s="1"/>
      <c r="L1057" s="1"/>
      <c r="M1057" s="1" t="s">
        <v>4322</v>
      </c>
      <c r="N1057" s="1" t="s">
        <v>161</v>
      </c>
      <c r="O1057" s="1" t="s">
        <v>394</v>
      </c>
      <c r="P1057" s="1"/>
      <c r="Q1057" s="3">
        <v>36892.0</v>
      </c>
      <c r="R1057" s="1"/>
      <c r="S1057" s="3">
        <v>33064.0</v>
      </c>
      <c r="T1057" s="1" t="s">
        <v>37</v>
      </c>
      <c r="U1057" s="1"/>
      <c r="V1057" s="1" t="s">
        <v>38</v>
      </c>
      <c r="W1057" s="1"/>
      <c r="X1057" s="1"/>
      <c r="Y1057" s="1" t="s">
        <v>49</v>
      </c>
      <c r="Z1057" s="1"/>
      <c r="AA1057" s="1" t="s">
        <v>40</v>
      </c>
      <c r="AB1057" s="1" t="s">
        <v>395</v>
      </c>
      <c r="AC1057" s="1"/>
    </row>
    <row r="1058">
      <c r="A1058" s="1" t="str">
        <f>"0008H2"</f>
        <v>0008H2</v>
      </c>
      <c r="B1058" s="1" t="s">
        <v>4323</v>
      </c>
      <c r="C1058" s="1" t="s">
        <v>4324</v>
      </c>
      <c r="D1058" s="1" t="str">
        <f>"8024362324"</f>
        <v>8024362324</v>
      </c>
      <c r="E1058" s="1">
        <v>3061.0</v>
      </c>
      <c r="F1058" s="1" t="s">
        <v>44</v>
      </c>
      <c r="G1058" s="1" t="s">
        <v>4325</v>
      </c>
      <c r="H1058" s="1"/>
      <c r="I1058" s="1"/>
      <c r="J1058" s="1"/>
      <c r="K1058" s="1"/>
      <c r="L1058" s="1"/>
      <c r="M1058" s="1" t="s">
        <v>4326</v>
      </c>
      <c r="N1058" s="1" t="s">
        <v>34</v>
      </c>
      <c r="O1058" s="1" t="s">
        <v>85</v>
      </c>
      <c r="P1058" s="1"/>
      <c r="Q1058" s="3">
        <v>36892.0</v>
      </c>
      <c r="R1058" s="1"/>
      <c r="S1058" s="1"/>
      <c r="T1058" s="1" t="s">
        <v>37</v>
      </c>
      <c r="U1058" s="1"/>
      <c r="V1058" s="1" t="s">
        <v>38</v>
      </c>
      <c r="W1058" s="1"/>
      <c r="X1058" s="1"/>
      <c r="Y1058" s="1" t="s">
        <v>49</v>
      </c>
      <c r="Z1058" s="1"/>
      <c r="AA1058" s="1" t="s">
        <v>40</v>
      </c>
      <c r="AB1058" s="1" t="s">
        <v>86</v>
      </c>
      <c r="AC1058" s="1"/>
    </row>
    <row r="1059">
      <c r="A1059" s="1" t="str">
        <f>"0007M2"</f>
        <v>0007M2</v>
      </c>
      <c r="B1059" s="1" t="s">
        <v>4327</v>
      </c>
      <c r="C1059" s="1" t="s">
        <v>4328</v>
      </c>
      <c r="D1059" s="1"/>
      <c r="E1059" s="1">
        <v>920.0</v>
      </c>
      <c r="F1059" s="1" t="s">
        <v>44</v>
      </c>
      <c r="G1059" s="1" t="s">
        <v>4329</v>
      </c>
      <c r="H1059" s="1">
        <v>2.0</v>
      </c>
      <c r="I1059" s="1"/>
      <c r="J1059" s="1"/>
      <c r="K1059" s="1"/>
      <c r="L1059" s="1"/>
      <c r="M1059" s="1" t="s">
        <v>72</v>
      </c>
      <c r="N1059" s="1" t="s">
        <v>161</v>
      </c>
      <c r="O1059" s="1" t="s">
        <v>943</v>
      </c>
      <c r="P1059" s="1"/>
      <c r="Q1059" s="3">
        <v>36892.0</v>
      </c>
      <c r="R1059" s="1"/>
      <c r="S1059" s="3">
        <v>32308.0</v>
      </c>
      <c r="T1059" s="1" t="s">
        <v>37</v>
      </c>
      <c r="U1059" s="1"/>
      <c r="V1059" s="1" t="s">
        <v>38</v>
      </c>
      <c r="W1059" s="1"/>
      <c r="X1059" s="1"/>
      <c r="Y1059" s="1" t="s">
        <v>49</v>
      </c>
      <c r="Z1059" s="1"/>
      <c r="AA1059" s="1" t="s">
        <v>40</v>
      </c>
      <c r="AB1059" s="1" t="s">
        <v>945</v>
      </c>
      <c r="AC1059" s="1"/>
    </row>
    <row r="1060">
      <c r="A1060" s="1" t="str">
        <f>"0008G5"</f>
        <v>0008G5</v>
      </c>
      <c r="B1060" s="1" t="s">
        <v>4330</v>
      </c>
      <c r="C1060" s="1" t="s">
        <v>4331</v>
      </c>
      <c r="D1060" s="1" t="str">
        <f>"5186423270"</f>
        <v>5186423270</v>
      </c>
      <c r="E1060" s="1">
        <v>2587.0</v>
      </c>
      <c r="F1060" s="1" t="s">
        <v>44</v>
      </c>
      <c r="G1060" s="1" t="s">
        <v>4332</v>
      </c>
      <c r="H1060" s="1">
        <v>30.0</v>
      </c>
      <c r="I1060" s="1"/>
      <c r="J1060" s="1"/>
      <c r="K1060" s="1"/>
      <c r="L1060" s="1"/>
      <c r="M1060" s="1" t="s">
        <v>4333</v>
      </c>
      <c r="N1060" s="1" t="s">
        <v>78</v>
      </c>
      <c r="O1060" s="1" t="s">
        <v>371</v>
      </c>
      <c r="P1060" s="1"/>
      <c r="Q1060" s="3">
        <v>36892.0</v>
      </c>
      <c r="R1060" s="1"/>
      <c r="S1060" s="3">
        <v>39967.0</v>
      </c>
      <c r="T1060" s="1" t="s">
        <v>37</v>
      </c>
      <c r="U1060" s="1"/>
      <c r="V1060" s="1" t="s">
        <v>38</v>
      </c>
      <c r="W1060" s="1"/>
      <c r="X1060" s="1"/>
      <c r="Y1060" s="1" t="s">
        <v>49</v>
      </c>
      <c r="Z1060" s="1"/>
      <c r="AA1060" s="1" t="s">
        <v>40</v>
      </c>
      <c r="AB1060" s="1" t="s">
        <v>374</v>
      </c>
      <c r="AC1060" s="1"/>
    </row>
    <row r="1061">
      <c r="A1061" s="1" t="str">
        <f>"00071F"</f>
        <v>00071F</v>
      </c>
      <c r="B1061" s="1" t="s">
        <v>4334</v>
      </c>
      <c r="C1061" s="1" t="s">
        <v>4335</v>
      </c>
      <c r="D1061" s="1" t="str">
        <f>"8022879801"</f>
        <v>8022879801</v>
      </c>
      <c r="E1061" s="1">
        <v>3225.0</v>
      </c>
      <c r="F1061" s="1" t="s">
        <v>117</v>
      </c>
      <c r="G1061" s="1" t="s">
        <v>4336</v>
      </c>
      <c r="H1061" s="1">
        <v>1.0</v>
      </c>
      <c r="I1061" s="2">
        <v>1.0</v>
      </c>
      <c r="J1061" s="2" t="s">
        <v>119</v>
      </c>
      <c r="K1061" s="2" t="s">
        <v>119</v>
      </c>
      <c r="L1061" s="1"/>
      <c r="M1061" s="1">
        <v>1.0</v>
      </c>
      <c r="N1061" s="1" t="s">
        <v>78</v>
      </c>
      <c r="O1061" s="1" t="s">
        <v>615</v>
      </c>
      <c r="P1061" s="1" t="s">
        <v>4337</v>
      </c>
      <c r="Q1061" s="3">
        <v>36892.0</v>
      </c>
      <c r="R1061" s="1"/>
      <c r="S1061" s="3">
        <v>39276.0</v>
      </c>
      <c r="T1061" s="1" t="s">
        <v>37</v>
      </c>
      <c r="U1061" s="1"/>
      <c r="V1061" s="1" t="s">
        <v>38</v>
      </c>
      <c r="W1061" s="1">
        <v>43.512829</v>
      </c>
      <c r="X1061" s="1">
        <v>-73.240536</v>
      </c>
      <c r="Y1061" s="1" t="s">
        <v>4338</v>
      </c>
      <c r="Z1061" s="1"/>
      <c r="AA1061" s="1" t="s">
        <v>40</v>
      </c>
      <c r="AB1061" s="1" t="s">
        <v>616</v>
      </c>
      <c r="AC1061" s="1">
        <v>0.0</v>
      </c>
    </row>
    <row r="1062">
      <c r="A1062" s="1" t="str">
        <f>"0007M1"</f>
        <v>0007M1</v>
      </c>
      <c r="B1062" s="1" t="s">
        <v>4339</v>
      </c>
      <c r="C1062" s="1" t="s">
        <v>4340</v>
      </c>
      <c r="D1062" s="1" t="str">
        <f>"8023886576"</f>
        <v>8023886576</v>
      </c>
      <c r="E1062" s="1">
        <v>916.0</v>
      </c>
      <c r="F1062" s="1" t="s">
        <v>44</v>
      </c>
      <c r="G1062" s="1" t="s">
        <v>4341</v>
      </c>
      <c r="H1062" s="1">
        <v>2.0</v>
      </c>
      <c r="I1062" s="1"/>
      <c r="J1062" s="1"/>
      <c r="K1062" s="1"/>
      <c r="L1062" s="1"/>
      <c r="M1062" s="1" t="s">
        <v>4342</v>
      </c>
      <c r="N1062" s="1" t="s">
        <v>161</v>
      </c>
      <c r="O1062" s="1" t="s">
        <v>943</v>
      </c>
      <c r="P1062" s="1"/>
      <c r="Q1062" s="3">
        <v>36892.0</v>
      </c>
      <c r="R1062" s="1"/>
      <c r="S1062" s="3">
        <v>34514.0</v>
      </c>
      <c r="T1062" s="1" t="s">
        <v>37</v>
      </c>
      <c r="U1062" s="1"/>
      <c r="V1062" s="1" t="s">
        <v>38</v>
      </c>
      <c r="W1062" s="1"/>
      <c r="X1062" s="1"/>
      <c r="Y1062" s="1" t="s">
        <v>49</v>
      </c>
      <c r="Z1062" s="1"/>
      <c r="AA1062" s="1" t="s">
        <v>40</v>
      </c>
      <c r="AB1062" s="1" t="s">
        <v>945</v>
      </c>
      <c r="AC1062" s="1"/>
    </row>
    <row r="1063">
      <c r="A1063" s="1" t="str">
        <f>"0007M0"</f>
        <v>0007M0</v>
      </c>
      <c r="B1063" s="1" t="s">
        <v>4343</v>
      </c>
      <c r="C1063" s="1" t="s">
        <v>4344</v>
      </c>
      <c r="D1063" s="1" t="str">
        <f>"8023887697"</f>
        <v>8023887697</v>
      </c>
      <c r="E1063" s="1">
        <v>915.0</v>
      </c>
      <c r="F1063" s="1" t="s">
        <v>44</v>
      </c>
      <c r="G1063" s="1" t="s">
        <v>4345</v>
      </c>
      <c r="H1063" s="1">
        <v>2.0</v>
      </c>
      <c r="I1063" s="1"/>
      <c r="J1063" s="1"/>
      <c r="K1063" s="1"/>
      <c r="L1063" s="1"/>
      <c r="M1063" s="1" t="s">
        <v>4346</v>
      </c>
      <c r="N1063" s="1" t="s">
        <v>161</v>
      </c>
      <c r="O1063" s="1" t="s">
        <v>943</v>
      </c>
      <c r="P1063" s="1"/>
      <c r="Q1063" s="3">
        <v>36892.0</v>
      </c>
      <c r="R1063" s="1"/>
      <c r="S1063" s="3">
        <v>35613.0</v>
      </c>
      <c r="T1063" s="1" t="s">
        <v>37</v>
      </c>
      <c r="U1063" s="1"/>
      <c r="V1063" s="1" t="s">
        <v>38</v>
      </c>
      <c r="W1063" s="1"/>
      <c r="X1063" s="1"/>
      <c r="Y1063" s="1" t="s">
        <v>49</v>
      </c>
      <c r="Z1063" s="1"/>
      <c r="AA1063" s="1" t="s">
        <v>40</v>
      </c>
      <c r="AB1063" s="1" t="s">
        <v>945</v>
      </c>
      <c r="AC1063" s="1"/>
    </row>
    <row r="1064">
      <c r="A1064" s="1" t="str">
        <f>"0007KZ"</f>
        <v>0007KZ</v>
      </c>
      <c r="B1064" s="1" t="s">
        <v>4347</v>
      </c>
      <c r="C1064" s="1" t="s">
        <v>4348</v>
      </c>
      <c r="D1064" s="1" t="str">
        <f>"8023884276"</f>
        <v>8023884276</v>
      </c>
      <c r="E1064" s="1">
        <v>913.0</v>
      </c>
      <c r="F1064" s="1" t="s">
        <v>117</v>
      </c>
      <c r="G1064" s="1" t="s">
        <v>4349</v>
      </c>
      <c r="H1064" s="1">
        <v>1.0</v>
      </c>
      <c r="I1064" s="2" t="s">
        <v>119</v>
      </c>
      <c r="J1064" s="2">
        <v>2.0</v>
      </c>
      <c r="K1064" s="2" t="s">
        <v>119</v>
      </c>
      <c r="L1064" s="1"/>
      <c r="M1064" s="1" t="s">
        <v>4350</v>
      </c>
      <c r="N1064" s="1" t="s">
        <v>161</v>
      </c>
      <c r="O1064" s="1" t="s">
        <v>943</v>
      </c>
      <c r="P1064" s="1" t="s">
        <v>4351</v>
      </c>
      <c r="Q1064" s="3">
        <v>36892.0</v>
      </c>
      <c r="R1064" s="1"/>
      <c r="S1064" s="3">
        <v>32734.0</v>
      </c>
      <c r="T1064" s="1" t="s">
        <v>37</v>
      </c>
      <c r="U1064" s="1"/>
      <c r="V1064" s="1" t="s">
        <v>38</v>
      </c>
      <c r="W1064" s="1">
        <v>44.0093559</v>
      </c>
      <c r="X1064" s="1">
        <v>-73.170721</v>
      </c>
      <c r="Y1064" s="1" t="s">
        <v>4352</v>
      </c>
      <c r="Z1064" s="1"/>
      <c r="AA1064" s="1" t="s">
        <v>40</v>
      </c>
      <c r="AB1064" s="1" t="s">
        <v>945</v>
      </c>
      <c r="AC1064" s="1">
        <v>5753.0</v>
      </c>
    </row>
    <row r="1065">
      <c r="A1065" s="1" t="str">
        <f>"0007KY"</f>
        <v>0007KY</v>
      </c>
      <c r="B1065" s="1" t="s">
        <v>4353</v>
      </c>
      <c r="C1065" s="1" t="s">
        <v>4354</v>
      </c>
      <c r="D1065" s="1" t="str">
        <f>"8023886626"</f>
        <v>8023886626</v>
      </c>
      <c r="E1065" s="1">
        <v>911.0</v>
      </c>
      <c r="F1065" s="1" t="s">
        <v>44</v>
      </c>
      <c r="G1065" s="1" t="s">
        <v>4355</v>
      </c>
      <c r="H1065" s="1">
        <v>1.0</v>
      </c>
      <c r="I1065" s="1"/>
      <c r="J1065" s="1"/>
      <c r="K1065" s="1"/>
      <c r="L1065" s="1"/>
      <c r="M1065" s="1" t="s">
        <v>4356</v>
      </c>
      <c r="N1065" s="1" t="s">
        <v>161</v>
      </c>
      <c r="O1065" s="1" t="s">
        <v>185</v>
      </c>
      <c r="P1065" s="1"/>
      <c r="Q1065" s="3">
        <v>36892.0</v>
      </c>
      <c r="R1065" s="1"/>
      <c r="S1065" s="3">
        <v>34514.0</v>
      </c>
      <c r="T1065" s="1" t="s">
        <v>37</v>
      </c>
      <c r="U1065" s="1"/>
      <c r="V1065" s="1" t="s">
        <v>38</v>
      </c>
      <c r="W1065" s="1"/>
      <c r="X1065" s="1"/>
      <c r="Y1065" s="1" t="s">
        <v>49</v>
      </c>
      <c r="Z1065" s="1"/>
      <c r="AA1065" s="1" t="s">
        <v>40</v>
      </c>
      <c r="AB1065" s="1" t="s">
        <v>186</v>
      </c>
      <c r="AC1065" s="1"/>
    </row>
    <row r="1066">
      <c r="A1066" s="1" t="str">
        <f>"0007KX"</f>
        <v>0007KX</v>
      </c>
      <c r="B1066" s="1" t="s">
        <v>4357</v>
      </c>
      <c r="C1066" s="1" t="s">
        <v>4358</v>
      </c>
      <c r="D1066" s="1"/>
      <c r="E1066" s="1">
        <v>909.0</v>
      </c>
      <c r="F1066" s="1" t="s">
        <v>44</v>
      </c>
      <c r="G1066" s="1" t="s">
        <v>4359</v>
      </c>
      <c r="H1066" s="1"/>
      <c r="I1066" s="1"/>
      <c r="J1066" s="1"/>
      <c r="K1066" s="1"/>
      <c r="L1066" s="1"/>
      <c r="M1066" s="1" t="s">
        <v>72</v>
      </c>
      <c r="N1066" s="1" t="s">
        <v>161</v>
      </c>
      <c r="O1066" s="1" t="s">
        <v>943</v>
      </c>
      <c r="P1066" s="1"/>
      <c r="Q1066" s="3">
        <v>36892.0</v>
      </c>
      <c r="R1066" s="1"/>
      <c r="S1066" s="1"/>
      <c r="T1066" s="1" t="s">
        <v>37</v>
      </c>
      <c r="U1066" s="1"/>
      <c r="V1066" s="1" t="s">
        <v>38</v>
      </c>
      <c r="W1066" s="1"/>
      <c r="X1066" s="1"/>
      <c r="Y1066" s="1" t="s">
        <v>49</v>
      </c>
      <c r="Z1066" s="1"/>
      <c r="AA1066" s="1" t="s">
        <v>40</v>
      </c>
      <c r="AB1066" s="1" t="s">
        <v>945</v>
      </c>
      <c r="AC1066" s="1"/>
    </row>
    <row r="1067">
      <c r="A1067" s="1" t="str">
        <f>"0007KW"</f>
        <v>0007KW</v>
      </c>
      <c r="B1067" s="1" t="s">
        <v>1715</v>
      </c>
      <c r="C1067" s="1" t="s">
        <v>1716</v>
      </c>
      <c r="D1067" s="1" t="str">
        <f>"8029852346"</f>
        <v>8029852346</v>
      </c>
      <c r="E1067" s="1">
        <v>2684.0</v>
      </c>
      <c r="F1067" s="1" t="s">
        <v>44</v>
      </c>
      <c r="G1067" s="1" t="s">
        <v>4360</v>
      </c>
      <c r="H1067" s="1">
        <v>1.0</v>
      </c>
      <c r="I1067" s="1"/>
      <c r="J1067" s="1"/>
      <c r="K1067" s="1"/>
      <c r="L1067" s="1"/>
      <c r="M1067" s="1" t="s">
        <v>4361</v>
      </c>
      <c r="N1067" s="1" t="s">
        <v>57</v>
      </c>
      <c r="O1067" s="1" t="s">
        <v>559</v>
      </c>
      <c r="P1067" s="1"/>
      <c r="Q1067" s="3">
        <v>36892.0</v>
      </c>
      <c r="R1067" s="1"/>
      <c r="S1067" s="3">
        <v>33143.0</v>
      </c>
      <c r="T1067" s="1" t="s">
        <v>37</v>
      </c>
      <c r="U1067" s="1"/>
      <c r="V1067" s="1" t="s">
        <v>38</v>
      </c>
      <c r="W1067" s="1"/>
      <c r="X1067" s="1"/>
      <c r="Y1067" s="1" t="s">
        <v>49</v>
      </c>
      <c r="Z1067" s="1"/>
      <c r="AA1067" s="1" t="s">
        <v>40</v>
      </c>
      <c r="AB1067" s="1" t="s">
        <v>560</v>
      </c>
      <c r="AC1067" s="1"/>
    </row>
    <row r="1068">
      <c r="A1068" s="1" t="str">
        <f>"0008FV"</f>
        <v>0008FV</v>
      </c>
      <c r="B1068" s="1" t="s">
        <v>4362</v>
      </c>
      <c r="C1068" s="1" t="s">
        <v>4363</v>
      </c>
      <c r="D1068" s="1"/>
      <c r="E1068" s="1">
        <v>3832.0</v>
      </c>
      <c r="F1068" s="1" t="s">
        <v>117</v>
      </c>
      <c r="G1068" s="1" t="s">
        <v>4364</v>
      </c>
      <c r="H1068" s="1">
        <v>5.0</v>
      </c>
      <c r="I1068" s="2">
        <v>9.0</v>
      </c>
      <c r="J1068" s="2">
        <v>9.0</v>
      </c>
      <c r="K1068" s="2" t="s">
        <v>119</v>
      </c>
      <c r="L1068" s="2" t="s">
        <v>4365</v>
      </c>
      <c r="M1068" s="1" t="s">
        <v>4366</v>
      </c>
      <c r="N1068" s="1" t="s">
        <v>213</v>
      </c>
      <c r="O1068" s="1" t="s">
        <v>625</v>
      </c>
      <c r="P1068" s="1" t="s">
        <v>4367</v>
      </c>
      <c r="Q1068" s="3">
        <v>36892.0</v>
      </c>
      <c r="R1068" s="1"/>
      <c r="S1068" s="3">
        <v>39273.0</v>
      </c>
      <c r="T1068" s="1" t="s">
        <v>37</v>
      </c>
      <c r="U1068" s="1"/>
      <c r="V1068" s="1" t="s">
        <v>38</v>
      </c>
      <c r="W1068" s="1">
        <v>44.578922</v>
      </c>
      <c r="X1068" s="1">
        <v>-72.5794599999999</v>
      </c>
      <c r="Y1068" s="1" t="s">
        <v>4368</v>
      </c>
      <c r="Z1068" s="1"/>
      <c r="AA1068" s="1" t="s">
        <v>40</v>
      </c>
      <c r="AB1068" s="1" t="s">
        <v>626</v>
      </c>
      <c r="AC1068" s="1">
        <v>5655.0</v>
      </c>
    </row>
    <row r="1069">
      <c r="A1069" s="1" t="str">
        <f>"0007X7"</f>
        <v>0007X7</v>
      </c>
      <c r="B1069" s="1" t="s">
        <v>2198</v>
      </c>
      <c r="C1069" s="1" t="s">
        <v>2199</v>
      </c>
      <c r="D1069" s="1" t="str">
        <f>"8024263432"</f>
        <v>8024263432</v>
      </c>
      <c r="E1069" s="1">
        <v>3027.0</v>
      </c>
      <c r="F1069" s="1" t="s">
        <v>44</v>
      </c>
      <c r="G1069" s="1" t="s">
        <v>4369</v>
      </c>
      <c r="H1069" s="1"/>
      <c r="I1069" s="1"/>
      <c r="J1069" s="1"/>
      <c r="K1069" s="1"/>
      <c r="L1069" s="1"/>
      <c r="M1069" s="1" t="s">
        <v>3604</v>
      </c>
      <c r="N1069" s="1" t="s">
        <v>135</v>
      </c>
      <c r="O1069" s="1" t="s">
        <v>758</v>
      </c>
      <c r="P1069" s="1"/>
      <c r="Q1069" s="3">
        <v>36892.0</v>
      </c>
      <c r="R1069" s="1"/>
      <c r="S1069" s="1"/>
      <c r="T1069" s="1" t="s">
        <v>37</v>
      </c>
      <c r="U1069" s="1"/>
      <c r="V1069" s="1" t="s">
        <v>38</v>
      </c>
      <c r="W1069" s="1"/>
      <c r="X1069" s="1"/>
      <c r="Y1069" s="1" t="s">
        <v>49</v>
      </c>
      <c r="Z1069" s="1"/>
      <c r="AA1069" s="1" t="s">
        <v>40</v>
      </c>
      <c r="AB1069" s="1" t="s">
        <v>759</v>
      </c>
      <c r="AC1069" s="1"/>
    </row>
    <row r="1070">
      <c r="A1070" s="1" t="str">
        <f>"000778"</f>
        <v>000778</v>
      </c>
      <c r="B1070" s="1" t="s">
        <v>1703</v>
      </c>
      <c r="C1070" s="1" t="s">
        <v>1704</v>
      </c>
      <c r="D1070" s="1" t="str">
        <f>"6038953811"</f>
        <v>6038953811</v>
      </c>
      <c r="E1070" s="1">
        <v>2065.0</v>
      </c>
      <c r="F1070" s="1" t="s">
        <v>44</v>
      </c>
      <c r="G1070" s="1" t="s">
        <v>4370</v>
      </c>
      <c r="H1070" s="1">
        <v>24.0</v>
      </c>
      <c r="I1070" s="1"/>
      <c r="J1070" s="1"/>
      <c r="K1070" s="1"/>
      <c r="L1070" s="1"/>
      <c r="M1070" s="1" t="s">
        <v>4371</v>
      </c>
      <c r="N1070" s="1" t="s">
        <v>128</v>
      </c>
      <c r="O1070" s="1" t="s">
        <v>129</v>
      </c>
      <c r="P1070" s="1"/>
      <c r="Q1070" s="3">
        <v>36892.0</v>
      </c>
      <c r="R1070" s="1"/>
      <c r="S1070" s="3">
        <v>34178.0</v>
      </c>
      <c r="T1070" s="1" t="s">
        <v>37</v>
      </c>
      <c r="U1070" s="1"/>
      <c r="V1070" s="1" t="s">
        <v>38</v>
      </c>
      <c r="W1070" s="1"/>
      <c r="X1070" s="1"/>
      <c r="Y1070" s="1" t="s">
        <v>49</v>
      </c>
      <c r="Z1070" s="1"/>
      <c r="AA1070" s="1" t="s">
        <v>40</v>
      </c>
      <c r="AB1070" s="1" t="s">
        <v>130</v>
      </c>
      <c r="AC1070" s="1"/>
    </row>
    <row r="1071">
      <c r="A1071" s="1" t="str">
        <f>"00081J"</f>
        <v>00081J</v>
      </c>
      <c r="B1071" s="1" t="s">
        <v>4372</v>
      </c>
      <c r="C1071" s="1" t="s">
        <v>4373</v>
      </c>
      <c r="D1071" s="1" t="str">
        <f>"8024536621"</f>
        <v>8024536621</v>
      </c>
      <c r="E1071" s="1">
        <v>3994.0</v>
      </c>
      <c r="F1071" s="1" t="s">
        <v>44</v>
      </c>
      <c r="G1071" s="1" t="s">
        <v>4374</v>
      </c>
      <c r="H1071" s="1"/>
      <c r="I1071" s="1"/>
      <c r="J1071" s="1"/>
      <c r="K1071" s="1"/>
      <c r="L1071" s="1"/>
      <c r="M1071" s="1" t="s">
        <v>4375</v>
      </c>
      <c r="N1071" s="1" t="s">
        <v>161</v>
      </c>
      <c r="O1071" s="1" t="s">
        <v>394</v>
      </c>
      <c r="P1071" s="1"/>
      <c r="Q1071" s="3">
        <v>36892.0</v>
      </c>
      <c r="R1071" s="1"/>
      <c r="S1071" s="1"/>
      <c r="T1071" s="1" t="s">
        <v>37</v>
      </c>
      <c r="U1071" s="1"/>
      <c r="V1071" s="1" t="s">
        <v>38</v>
      </c>
      <c r="W1071" s="1"/>
      <c r="X1071" s="1"/>
      <c r="Y1071" s="1" t="s">
        <v>49</v>
      </c>
      <c r="Z1071" s="1"/>
      <c r="AA1071" s="1" t="s">
        <v>40</v>
      </c>
      <c r="AB1071" s="1" t="s">
        <v>395</v>
      </c>
      <c r="AC1071" s="1"/>
    </row>
    <row r="1072">
      <c r="A1072" s="1" t="str">
        <f>"0007GW"</f>
        <v>0007GW</v>
      </c>
      <c r="B1072" s="1" t="s">
        <v>1365</v>
      </c>
      <c r="C1072" s="1" t="s">
        <v>1366</v>
      </c>
      <c r="D1072" s="1" t="str">
        <f>"8022352203"</f>
        <v>8022352203</v>
      </c>
      <c r="E1072" s="1">
        <v>2937.0</v>
      </c>
      <c r="F1072" s="1" t="s">
        <v>44</v>
      </c>
      <c r="G1072" s="1" t="s">
        <v>4376</v>
      </c>
      <c r="H1072" s="1">
        <v>1.0</v>
      </c>
      <c r="I1072" s="2" t="s">
        <v>119</v>
      </c>
      <c r="J1072" s="2" t="s">
        <v>119</v>
      </c>
      <c r="K1072" s="2" t="s">
        <v>119</v>
      </c>
      <c r="L1072" s="1"/>
      <c r="M1072" s="1">
        <v>4.0</v>
      </c>
      <c r="N1072" s="1" t="s">
        <v>78</v>
      </c>
      <c r="O1072" s="1" t="s">
        <v>420</v>
      </c>
      <c r="P1072" s="1" t="s">
        <v>1368</v>
      </c>
      <c r="Q1072" s="3">
        <v>36892.0</v>
      </c>
      <c r="R1072" s="1"/>
      <c r="S1072" s="3">
        <v>38540.0</v>
      </c>
      <c r="T1072" s="1" t="s">
        <v>37</v>
      </c>
      <c r="U1072" s="1"/>
      <c r="V1072" s="1" t="s">
        <v>38</v>
      </c>
      <c r="W1072" s="1">
        <v>44.5588028</v>
      </c>
      <c r="X1072" s="1">
        <v>-72.5778414999999</v>
      </c>
      <c r="Y1072" s="1" t="s">
        <v>4377</v>
      </c>
      <c r="Z1072" s="1"/>
      <c r="AA1072" s="1" t="s">
        <v>40</v>
      </c>
      <c r="AB1072" s="1" t="s">
        <v>421</v>
      </c>
      <c r="AC1072" s="1">
        <v>5661.0</v>
      </c>
    </row>
    <row r="1073">
      <c r="A1073" s="1" t="str">
        <f>"0007KP"</f>
        <v>0007KP</v>
      </c>
      <c r="B1073" s="1" t="s">
        <v>4378</v>
      </c>
      <c r="C1073" s="1" t="s">
        <v>2159</v>
      </c>
      <c r="D1073" s="1" t="str">
        <f>"8029332291"</f>
        <v>8029332291</v>
      </c>
      <c r="E1073" s="1">
        <v>3804.0</v>
      </c>
      <c r="F1073" s="1" t="s">
        <v>44</v>
      </c>
      <c r="G1073" s="1" t="s">
        <v>4379</v>
      </c>
      <c r="H1073" s="1">
        <v>2.0</v>
      </c>
      <c r="I1073" s="1"/>
      <c r="J1073" s="1"/>
      <c r="K1073" s="1"/>
      <c r="L1073" s="1"/>
      <c r="M1073" s="1" t="s">
        <v>72</v>
      </c>
      <c r="N1073" s="1" t="s">
        <v>47</v>
      </c>
      <c r="O1073" s="1" t="s">
        <v>100</v>
      </c>
      <c r="P1073" s="1" t="s">
        <v>4380</v>
      </c>
      <c r="Q1073" s="3">
        <v>36892.0</v>
      </c>
      <c r="R1073" s="1"/>
      <c r="S1073" s="3">
        <v>39258.0</v>
      </c>
      <c r="T1073" s="1" t="s">
        <v>37</v>
      </c>
      <c r="U1073" s="1"/>
      <c r="V1073" s="1" t="s">
        <v>38</v>
      </c>
      <c r="W1073" s="1"/>
      <c r="X1073" s="1"/>
      <c r="Y1073" s="1" t="s">
        <v>49</v>
      </c>
      <c r="Z1073" s="1"/>
      <c r="AA1073" s="1" t="s">
        <v>40</v>
      </c>
      <c r="AB1073" s="1" t="s">
        <v>102</v>
      </c>
      <c r="AC1073" s="1">
        <v>0.0</v>
      </c>
    </row>
    <row r="1074">
      <c r="A1074" s="1" t="str">
        <f>"0007W0"</f>
        <v>0007W0</v>
      </c>
      <c r="B1074" s="1" t="s">
        <v>4381</v>
      </c>
      <c r="C1074" s="1" t="s">
        <v>4382</v>
      </c>
      <c r="D1074" s="1" t="str">
        <f>"8024561812"</f>
        <v>8024561812</v>
      </c>
      <c r="E1074" s="1">
        <v>2997.0</v>
      </c>
      <c r="F1074" s="1" t="s">
        <v>44</v>
      </c>
      <c r="G1074" s="1" t="s">
        <v>4383</v>
      </c>
      <c r="H1074" s="1">
        <v>4.0</v>
      </c>
      <c r="I1074" s="1"/>
      <c r="J1074" s="1"/>
      <c r="K1074" s="1"/>
      <c r="L1074" s="1"/>
      <c r="M1074" s="1" t="s">
        <v>72</v>
      </c>
      <c r="N1074" s="1" t="s">
        <v>135</v>
      </c>
      <c r="O1074" s="1" t="s">
        <v>655</v>
      </c>
      <c r="P1074" s="1"/>
      <c r="Q1074" s="3">
        <v>36892.0</v>
      </c>
      <c r="R1074" s="1"/>
      <c r="S1074" s="3">
        <v>35688.0</v>
      </c>
      <c r="T1074" s="1" t="s">
        <v>37</v>
      </c>
      <c r="U1074" s="1"/>
      <c r="V1074" s="1" t="s">
        <v>38</v>
      </c>
      <c r="W1074" s="1"/>
      <c r="X1074" s="1"/>
      <c r="Y1074" s="1" t="s">
        <v>49</v>
      </c>
      <c r="Z1074" s="1"/>
      <c r="AA1074" s="1" t="s">
        <v>40</v>
      </c>
      <c r="AB1074" s="1" t="s">
        <v>656</v>
      </c>
      <c r="AC1074" s="1"/>
    </row>
    <row r="1075">
      <c r="A1075" s="1" t="str">
        <f>"0007P5"</f>
        <v>0007P5</v>
      </c>
      <c r="B1075" s="1" t="s">
        <v>4384</v>
      </c>
      <c r="C1075" s="1" t="s">
        <v>4385</v>
      </c>
      <c r="D1075" s="1" t="str">
        <f>"8023874645"</f>
        <v>8023874645</v>
      </c>
      <c r="E1075" s="1">
        <v>2998.0</v>
      </c>
      <c r="F1075" s="1" t="s">
        <v>117</v>
      </c>
      <c r="G1075" s="1" t="s">
        <v>4386</v>
      </c>
      <c r="H1075" s="1">
        <v>0.0</v>
      </c>
      <c r="I1075" s="2">
        <v>2.0</v>
      </c>
      <c r="J1075" s="2">
        <v>2.0</v>
      </c>
      <c r="K1075" s="2" t="s">
        <v>119</v>
      </c>
      <c r="L1075" s="1"/>
      <c r="M1075" s="1" t="s">
        <v>4387</v>
      </c>
      <c r="N1075" s="1" t="s">
        <v>66</v>
      </c>
      <c r="O1075" s="1" t="s">
        <v>593</v>
      </c>
      <c r="P1075" s="1" t="s">
        <v>4388</v>
      </c>
      <c r="Q1075" s="3">
        <v>36892.0</v>
      </c>
      <c r="R1075" s="1"/>
      <c r="S1075" s="3">
        <v>37782.0</v>
      </c>
      <c r="T1075" s="1" t="s">
        <v>37</v>
      </c>
      <c r="U1075" s="1"/>
      <c r="V1075" s="1" t="s">
        <v>38</v>
      </c>
      <c r="W1075" s="1">
        <v>43.0361629999999</v>
      </c>
      <c r="X1075" s="1">
        <v>-72.545975</v>
      </c>
      <c r="Y1075" s="1" t="s">
        <v>4389</v>
      </c>
      <c r="Z1075" s="1"/>
      <c r="AA1075" s="1" t="s">
        <v>40</v>
      </c>
      <c r="AB1075" s="1" t="s">
        <v>594</v>
      </c>
      <c r="AC1075" s="1">
        <v>5346.0</v>
      </c>
    </row>
    <row r="1076">
      <c r="A1076" s="1" t="str">
        <f>"000734"</f>
        <v>000734</v>
      </c>
      <c r="B1076" s="1" t="s">
        <v>4390</v>
      </c>
      <c r="C1076" s="1" t="s">
        <v>4391</v>
      </c>
      <c r="D1076" s="1" t="str">
        <f>"8023875498"</f>
        <v>8023875498</v>
      </c>
      <c r="E1076" s="1">
        <v>2999.0</v>
      </c>
      <c r="F1076" s="1" t="s">
        <v>44</v>
      </c>
      <c r="G1076" s="1" t="s">
        <v>4392</v>
      </c>
      <c r="H1076" s="1">
        <v>1.0</v>
      </c>
      <c r="I1076" s="1"/>
      <c r="J1076" s="1"/>
      <c r="K1076" s="1"/>
      <c r="L1076" s="1"/>
      <c r="M1076" s="1" t="s">
        <v>72</v>
      </c>
      <c r="N1076" s="1" t="s">
        <v>66</v>
      </c>
      <c r="O1076" s="1" t="s">
        <v>593</v>
      </c>
      <c r="P1076" s="1"/>
      <c r="Q1076" s="3">
        <v>36892.0</v>
      </c>
      <c r="R1076" s="1"/>
      <c r="S1076" s="3">
        <v>35597.0</v>
      </c>
      <c r="T1076" s="1" t="s">
        <v>37</v>
      </c>
      <c r="U1076" s="1"/>
      <c r="V1076" s="1" t="s">
        <v>38</v>
      </c>
      <c r="W1076" s="1"/>
      <c r="X1076" s="1"/>
      <c r="Y1076" s="1" t="s">
        <v>49</v>
      </c>
      <c r="Z1076" s="1"/>
      <c r="AA1076" s="1" t="s">
        <v>40</v>
      </c>
      <c r="AB1076" s="1" t="s">
        <v>594</v>
      </c>
      <c r="AC1076" s="1"/>
    </row>
    <row r="1077">
      <c r="A1077" s="1" t="str">
        <f>"00078M"</f>
        <v>00078M</v>
      </c>
      <c r="B1077" s="1" t="s">
        <v>4393</v>
      </c>
      <c r="C1077" s="1" t="s">
        <v>4394</v>
      </c>
      <c r="D1077" s="1" t="str">
        <f>"8028882122"</f>
        <v>8028882122</v>
      </c>
      <c r="E1077" s="1">
        <v>3592.0</v>
      </c>
      <c r="F1077" s="1" t="s">
        <v>44</v>
      </c>
      <c r="G1077" s="1" t="s">
        <v>4395</v>
      </c>
      <c r="H1077" s="1">
        <v>1.0</v>
      </c>
      <c r="I1077" s="1"/>
      <c r="J1077" s="1"/>
      <c r="K1077" s="1"/>
      <c r="L1077" s="1"/>
      <c r="M1077" s="1" t="s">
        <v>72</v>
      </c>
      <c r="N1077" s="1" t="s">
        <v>213</v>
      </c>
      <c r="O1077" s="1" t="s">
        <v>2156</v>
      </c>
      <c r="P1077" s="1"/>
      <c r="Q1077" s="3">
        <v>36892.0</v>
      </c>
      <c r="R1077" s="1"/>
      <c r="S1077" s="3">
        <v>38197.0</v>
      </c>
      <c r="T1077" s="1" t="s">
        <v>37</v>
      </c>
      <c r="U1077" s="1"/>
      <c r="V1077" s="1" t="s">
        <v>38</v>
      </c>
      <c r="W1077" s="1"/>
      <c r="X1077" s="1"/>
      <c r="Y1077" s="1" t="s">
        <v>49</v>
      </c>
      <c r="Z1077" s="1"/>
      <c r="AA1077" s="1" t="s">
        <v>40</v>
      </c>
      <c r="AB1077" s="1" t="s">
        <v>2157</v>
      </c>
      <c r="AC1077" s="1"/>
    </row>
    <row r="1078">
      <c r="A1078" s="1" t="str">
        <f>"0007JZ"</f>
        <v>0007JZ</v>
      </c>
      <c r="B1078" s="1" t="s">
        <v>3492</v>
      </c>
      <c r="C1078" s="1" t="s">
        <v>3493</v>
      </c>
      <c r="D1078" s="1" t="str">
        <f>"8028773309"</f>
        <v>8028773309</v>
      </c>
      <c r="E1078" s="1">
        <v>850.0</v>
      </c>
      <c r="F1078" s="1" t="s">
        <v>44</v>
      </c>
      <c r="G1078" s="1" t="s">
        <v>4396</v>
      </c>
      <c r="H1078" s="1">
        <v>0.0</v>
      </c>
      <c r="I1078" s="1"/>
      <c r="J1078" s="1"/>
      <c r="K1078" s="1"/>
      <c r="L1078" s="1"/>
      <c r="M1078" s="1" t="s">
        <v>4397</v>
      </c>
      <c r="N1078" s="1" t="s">
        <v>161</v>
      </c>
      <c r="O1078" s="1" t="s">
        <v>769</v>
      </c>
      <c r="P1078" s="1"/>
      <c r="Q1078" s="3">
        <v>36892.0</v>
      </c>
      <c r="R1078" s="1"/>
      <c r="S1078" s="3">
        <v>36441.0</v>
      </c>
      <c r="T1078" s="1" t="s">
        <v>37</v>
      </c>
      <c r="U1078" s="1"/>
      <c r="V1078" s="1" t="s">
        <v>38</v>
      </c>
      <c r="W1078" s="1"/>
      <c r="X1078" s="1"/>
      <c r="Y1078" s="1" t="s">
        <v>49</v>
      </c>
      <c r="Z1078" s="1"/>
      <c r="AA1078" s="1" t="s">
        <v>40</v>
      </c>
      <c r="AB1078" s="1" t="s">
        <v>770</v>
      </c>
      <c r="AC1078" s="1"/>
    </row>
    <row r="1079">
      <c r="A1079" s="1" t="str">
        <f>"0007WA"</f>
        <v>0007WA</v>
      </c>
      <c r="B1079" s="1" t="s">
        <v>157</v>
      </c>
      <c r="C1079" s="1" t="s">
        <v>158</v>
      </c>
      <c r="D1079" s="1" t="str">
        <f>"8029482057"</f>
        <v>8029482057</v>
      </c>
      <c r="E1079" s="1">
        <v>1217.0</v>
      </c>
      <c r="F1079" s="1" t="s">
        <v>31</v>
      </c>
      <c r="G1079" s="1" t="s">
        <v>4398</v>
      </c>
      <c r="H1079" s="1">
        <v>0.0</v>
      </c>
      <c r="I1079" s="1"/>
      <c r="J1079" s="1"/>
      <c r="K1079" s="1"/>
      <c r="L1079" s="1"/>
      <c r="M1079" s="1" t="s">
        <v>4399</v>
      </c>
      <c r="N1079" s="1" t="s">
        <v>161</v>
      </c>
      <c r="O1079" s="1" t="s">
        <v>769</v>
      </c>
      <c r="P1079" s="1" t="s">
        <v>4400</v>
      </c>
      <c r="Q1079" s="3">
        <v>36892.0</v>
      </c>
      <c r="R1079" s="1"/>
      <c r="S1079" s="3">
        <v>41912.0</v>
      </c>
      <c r="T1079" s="1" t="s">
        <v>164</v>
      </c>
      <c r="U1079" s="1"/>
      <c r="V1079" s="1" t="s">
        <v>38</v>
      </c>
      <c r="W1079" s="1">
        <v>44.225</v>
      </c>
      <c r="X1079" s="1">
        <v>-73.2263889999999</v>
      </c>
      <c r="Y1079" s="1" t="s">
        <v>4401</v>
      </c>
      <c r="Z1079" s="1"/>
      <c r="AA1079" s="1" t="s">
        <v>40</v>
      </c>
      <c r="AB1079" s="1" t="s">
        <v>770</v>
      </c>
      <c r="AC1079" s="1">
        <v>5456.0</v>
      </c>
    </row>
    <row r="1080">
      <c r="A1080" s="1" t="str">
        <f>"0007JZ"</f>
        <v>0007JZ</v>
      </c>
      <c r="B1080" s="1" t="s">
        <v>3492</v>
      </c>
      <c r="C1080" s="1" t="s">
        <v>3493</v>
      </c>
      <c r="D1080" s="1" t="str">
        <f>"8028773309"</f>
        <v>8028773309</v>
      </c>
      <c r="E1080" s="1">
        <v>850.0</v>
      </c>
      <c r="F1080" s="1" t="s">
        <v>44</v>
      </c>
      <c r="G1080" s="1" t="s">
        <v>4402</v>
      </c>
      <c r="H1080" s="1">
        <v>0.0</v>
      </c>
      <c r="I1080" s="1"/>
      <c r="J1080" s="1"/>
      <c r="K1080" s="1"/>
      <c r="L1080" s="1"/>
      <c r="M1080" s="1" t="s">
        <v>4403</v>
      </c>
      <c r="N1080" s="1" t="s">
        <v>161</v>
      </c>
      <c r="O1080" s="1" t="s">
        <v>769</v>
      </c>
      <c r="P1080" s="1"/>
      <c r="Q1080" s="3">
        <v>36892.0</v>
      </c>
      <c r="R1080" s="1"/>
      <c r="S1080" s="3">
        <v>34856.0</v>
      </c>
      <c r="T1080" s="1" t="s">
        <v>37</v>
      </c>
      <c r="U1080" s="1"/>
      <c r="V1080" s="1" t="s">
        <v>38</v>
      </c>
      <c r="W1080" s="1"/>
      <c r="X1080" s="1"/>
      <c r="Y1080" s="1" t="s">
        <v>49</v>
      </c>
      <c r="Z1080" s="1"/>
      <c r="AA1080" s="1" t="s">
        <v>40</v>
      </c>
      <c r="AB1080" s="1" t="s">
        <v>770</v>
      </c>
      <c r="AC1080" s="1"/>
    </row>
    <row r="1081">
      <c r="A1081" s="1" t="str">
        <f>"000871"</f>
        <v>000871</v>
      </c>
      <c r="B1081" s="1" t="s">
        <v>972</v>
      </c>
      <c r="C1081" s="1" t="s">
        <v>973</v>
      </c>
      <c r="D1081" s="1" t="str">
        <f>"8027632439"</f>
        <v>8027632439</v>
      </c>
      <c r="E1081" s="1">
        <v>2992.0</v>
      </c>
      <c r="F1081" s="1" t="s">
        <v>117</v>
      </c>
      <c r="G1081" s="1" t="s">
        <v>4404</v>
      </c>
      <c r="H1081" s="1">
        <v>9.0</v>
      </c>
      <c r="I1081" s="1"/>
      <c r="J1081" s="1"/>
      <c r="K1081" s="1"/>
      <c r="L1081" s="1"/>
      <c r="M1081" s="1" t="s">
        <v>33</v>
      </c>
      <c r="N1081" s="1" t="s">
        <v>34</v>
      </c>
      <c r="O1081" s="1" t="s">
        <v>35</v>
      </c>
      <c r="P1081" s="1" t="s">
        <v>4405</v>
      </c>
      <c r="Q1081" s="3">
        <v>36892.0</v>
      </c>
      <c r="R1081" s="1"/>
      <c r="S1081" s="3">
        <v>42944.0</v>
      </c>
      <c r="T1081" s="1" t="s">
        <v>37</v>
      </c>
      <c r="U1081" s="1"/>
      <c r="V1081" s="1" t="s">
        <v>38</v>
      </c>
      <c r="W1081" s="1">
        <v>43.8705030756149</v>
      </c>
      <c r="X1081" s="1">
        <v>-72.5825446844101</v>
      </c>
      <c r="Y1081" s="1" t="s">
        <v>4406</v>
      </c>
      <c r="Z1081" s="1"/>
      <c r="AA1081" s="1" t="s">
        <v>40</v>
      </c>
      <c r="AB1081" s="1" t="s">
        <v>41</v>
      </c>
      <c r="AC1081" s="1">
        <v>5068.0</v>
      </c>
    </row>
    <row r="1082">
      <c r="A1082" s="1" t="str">
        <f>"0007KD"</f>
        <v>0007KD</v>
      </c>
      <c r="B1082" s="1" t="s">
        <v>4407</v>
      </c>
      <c r="C1082" s="1" t="s">
        <v>4408</v>
      </c>
      <c r="D1082" s="1" t="str">
        <f>"8024252880"</f>
        <v>8024252880</v>
      </c>
      <c r="E1082" s="1">
        <v>890.0</v>
      </c>
      <c r="F1082" s="1" t="s">
        <v>44</v>
      </c>
      <c r="G1082" s="1" t="s">
        <v>4409</v>
      </c>
      <c r="H1082" s="1">
        <v>2.0</v>
      </c>
      <c r="I1082" s="1"/>
      <c r="J1082" s="1"/>
      <c r="K1082" s="1"/>
      <c r="L1082" s="1"/>
      <c r="M1082" s="1" t="s">
        <v>72</v>
      </c>
      <c r="N1082" s="1" t="s">
        <v>161</v>
      </c>
      <c r="O1082" s="1" t="s">
        <v>769</v>
      </c>
      <c r="P1082" s="1"/>
      <c r="Q1082" s="3">
        <v>36892.0</v>
      </c>
      <c r="R1082" s="1"/>
      <c r="S1082" s="3">
        <v>33100.0</v>
      </c>
      <c r="T1082" s="1" t="s">
        <v>37</v>
      </c>
      <c r="U1082" s="1"/>
      <c r="V1082" s="1" t="s">
        <v>38</v>
      </c>
      <c r="W1082" s="1"/>
      <c r="X1082" s="1"/>
      <c r="Y1082" s="1" t="s">
        <v>49</v>
      </c>
      <c r="Z1082" s="1"/>
      <c r="AA1082" s="1" t="s">
        <v>40</v>
      </c>
      <c r="AB1082" s="1" t="s">
        <v>770</v>
      </c>
      <c r="AC1082" s="1"/>
    </row>
    <row r="1083">
      <c r="A1083" s="1" t="str">
        <f>"0007KB"</f>
        <v>0007KB</v>
      </c>
      <c r="B1083" s="1" t="s">
        <v>4410</v>
      </c>
      <c r="C1083" s="1" t="s">
        <v>4411</v>
      </c>
      <c r="D1083" s="1"/>
      <c r="E1083" s="1">
        <v>885.0</v>
      </c>
      <c r="F1083" s="1" t="s">
        <v>44</v>
      </c>
      <c r="G1083" s="1" t="s">
        <v>4412</v>
      </c>
      <c r="H1083" s="1">
        <v>1.0</v>
      </c>
      <c r="I1083" s="1"/>
      <c r="J1083" s="1"/>
      <c r="K1083" s="1"/>
      <c r="L1083" s="1"/>
      <c r="M1083" s="1" t="s">
        <v>4413</v>
      </c>
      <c r="N1083" s="1" t="s">
        <v>161</v>
      </c>
      <c r="O1083" s="1" t="s">
        <v>769</v>
      </c>
      <c r="P1083" s="1"/>
      <c r="Q1083" s="3">
        <v>36892.0</v>
      </c>
      <c r="R1083" s="1"/>
      <c r="S1083" s="3">
        <v>33064.0</v>
      </c>
      <c r="T1083" s="1" t="s">
        <v>37</v>
      </c>
      <c r="U1083" s="1"/>
      <c r="V1083" s="1" t="s">
        <v>38</v>
      </c>
      <c r="W1083" s="1"/>
      <c r="X1083" s="1"/>
      <c r="Y1083" s="1" t="s">
        <v>49</v>
      </c>
      <c r="Z1083" s="1"/>
      <c r="AA1083" s="1" t="s">
        <v>40</v>
      </c>
      <c r="AB1083" s="1" t="s">
        <v>770</v>
      </c>
      <c r="AC1083" s="1"/>
    </row>
    <row r="1084">
      <c r="A1084" s="1" t="str">
        <f>"0007WA"</f>
        <v>0007WA</v>
      </c>
      <c r="B1084" s="1" t="s">
        <v>157</v>
      </c>
      <c r="C1084" s="1" t="s">
        <v>158</v>
      </c>
      <c r="D1084" s="1" t="str">
        <f>"8029482057"</f>
        <v>8029482057</v>
      </c>
      <c r="E1084" s="1">
        <v>1217.0</v>
      </c>
      <c r="F1084" s="1" t="s">
        <v>31</v>
      </c>
      <c r="G1084" s="1" t="s">
        <v>4414</v>
      </c>
      <c r="H1084" s="1">
        <v>24.0</v>
      </c>
      <c r="I1084" s="1"/>
      <c r="J1084" s="1"/>
      <c r="K1084" s="1"/>
      <c r="L1084" s="1"/>
      <c r="M1084" s="1" t="s">
        <v>4415</v>
      </c>
      <c r="N1084" s="1" t="s">
        <v>161</v>
      </c>
      <c r="O1084" s="1" t="s">
        <v>769</v>
      </c>
      <c r="P1084" s="1" t="s">
        <v>4416</v>
      </c>
      <c r="Q1084" s="3">
        <v>36892.0</v>
      </c>
      <c r="R1084" s="1"/>
      <c r="S1084" s="3">
        <v>41912.0</v>
      </c>
      <c r="T1084" s="1" t="s">
        <v>164</v>
      </c>
      <c r="U1084" s="1"/>
      <c r="V1084" s="1" t="s">
        <v>38</v>
      </c>
      <c r="W1084" s="1">
        <v>44.221441</v>
      </c>
      <c r="X1084" s="1">
        <v>-73.2081269</v>
      </c>
      <c r="Y1084" s="1" t="s">
        <v>4417</v>
      </c>
      <c r="Z1084" s="1"/>
      <c r="AA1084" s="1" t="s">
        <v>40</v>
      </c>
      <c r="AB1084" s="1" t="s">
        <v>770</v>
      </c>
      <c r="AC1084" s="1">
        <v>5456.0</v>
      </c>
    </row>
    <row r="1085">
      <c r="A1085" s="1" t="str">
        <f>"0008J4"</f>
        <v>0008J4</v>
      </c>
      <c r="B1085" s="1" t="s">
        <v>4418</v>
      </c>
      <c r="C1085" s="1" t="s">
        <v>4419</v>
      </c>
      <c r="D1085" s="1" t="str">
        <f>"8028492208"</f>
        <v>8028492208</v>
      </c>
      <c r="E1085" s="1">
        <v>2776.0</v>
      </c>
      <c r="F1085" s="1" t="s">
        <v>117</v>
      </c>
      <c r="G1085" s="1" t="s">
        <v>4420</v>
      </c>
      <c r="H1085" s="1">
        <v>2.0</v>
      </c>
      <c r="I1085" s="1"/>
      <c r="J1085" s="1"/>
      <c r="K1085" s="1"/>
      <c r="L1085" s="1"/>
      <c r="M1085" s="1" t="s">
        <v>4421</v>
      </c>
      <c r="N1085" s="1" t="s">
        <v>47</v>
      </c>
      <c r="O1085" s="1" t="s">
        <v>378</v>
      </c>
      <c r="P1085" s="1" t="s">
        <v>4422</v>
      </c>
      <c r="Q1085" s="3">
        <v>36892.0</v>
      </c>
      <c r="R1085" s="1"/>
      <c r="S1085" s="3">
        <v>36382.0</v>
      </c>
      <c r="T1085" s="1" t="s">
        <v>37</v>
      </c>
      <c r="U1085" s="1"/>
      <c r="V1085" s="1" t="s">
        <v>38</v>
      </c>
      <c r="W1085" s="1">
        <v>44.686409</v>
      </c>
      <c r="X1085" s="1">
        <v>-73.025668</v>
      </c>
      <c r="Y1085" s="1" t="s">
        <v>4423</v>
      </c>
      <c r="Z1085" s="1"/>
      <c r="AA1085" s="1" t="s">
        <v>40</v>
      </c>
      <c r="AB1085" s="1" t="s">
        <v>381</v>
      </c>
      <c r="AC1085" s="1">
        <v>5454.0</v>
      </c>
    </row>
    <row r="1086">
      <c r="A1086" s="1" t="str">
        <f>"00085G"</f>
        <v>00085G</v>
      </c>
      <c r="B1086" s="1" t="s">
        <v>4424</v>
      </c>
      <c r="C1086" s="1" t="s">
        <v>4425</v>
      </c>
      <c r="D1086" s="1" t="str">
        <f>"8025225339"</f>
        <v>8025225339</v>
      </c>
      <c r="E1086" s="1">
        <v>3584.0</v>
      </c>
      <c r="F1086" s="1" t="s">
        <v>117</v>
      </c>
      <c r="G1086" s="1" t="s">
        <v>4426</v>
      </c>
      <c r="H1086" s="1">
        <v>2.0</v>
      </c>
      <c r="I1086" s="2">
        <v>1.0</v>
      </c>
      <c r="J1086" s="2">
        <v>1.0</v>
      </c>
      <c r="K1086" s="2" t="s">
        <v>119</v>
      </c>
      <c r="L1086" s="1"/>
      <c r="M1086" s="1" t="s">
        <v>4427</v>
      </c>
      <c r="N1086" s="1" t="s">
        <v>135</v>
      </c>
      <c r="O1086" s="1" t="s">
        <v>343</v>
      </c>
      <c r="P1086" s="1" t="s">
        <v>4428</v>
      </c>
      <c r="Q1086" s="3">
        <v>36892.0</v>
      </c>
      <c r="R1086" s="1"/>
      <c r="S1086" s="3">
        <v>38575.0</v>
      </c>
      <c r="T1086" s="1" t="s">
        <v>37</v>
      </c>
      <c r="U1086" s="1"/>
      <c r="V1086" s="1" t="s">
        <v>38</v>
      </c>
      <c r="W1086" s="1">
        <v>44.192108</v>
      </c>
      <c r="X1086" s="1">
        <v>-72.481796</v>
      </c>
      <c r="Y1086" s="1" t="s">
        <v>4429</v>
      </c>
      <c r="Z1086" s="1"/>
      <c r="AA1086" s="1" t="s">
        <v>40</v>
      </c>
      <c r="AB1086" s="1" t="s">
        <v>4019</v>
      </c>
      <c r="AC1086" s="1">
        <v>5641.0</v>
      </c>
    </row>
    <row r="1087">
      <c r="A1087" s="1" t="str">
        <f>"000954"</f>
        <v>000954</v>
      </c>
      <c r="B1087" s="1" t="s">
        <v>4430</v>
      </c>
      <c r="C1087" s="1" t="s">
        <v>4431</v>
      </c>
      <c r="D1087" s="1" t="str">
        <f>"8022446693"</f>
        <v>8022446693</v>
      </c>
      <c r="E1087" s="1">
        <v>3978.0</v>
      </c>
      <c r="F1087" s="1" t="s">
        <v>117</v>
      </c>
      <c r="G1087" s="1" t="s">
        <v>4432</v>
      </c>
      <c r="H1087" s="1">
        <v>0.0</v>
      </c>
      <c r="I1087" s="2">
        <v>5.0</v>
      </c>
      <c r="J1087" s="2">
        <v>5.0</v>
      </c>
      <c r="K1087" s="2" t="s">
        <v>119</v>
      </c>
      <c r="L1087" s="2" t="s">
        <v>4433</v>
      </c>
      <c r="M1087" s="1" t="s">
        <v>4434</v>
      </c>
      <c r="N1087" s="1" t="s">
        <v>135</v>
      </c>
      <c r="O1087" s="1" t="s">
        <v>775</v>
      </c>
      <c r="P1087" s="1" t="s">
        <v>4435</v>
      </c>
      <c r="Q1087" s="3">
        <v>36892.0</v>
      </c>
      <c r="R1087" s="1"/>
      <c r="S1087" s="3">
        <v>42146.0</v>
      </c>
      <c r="T1087" s="1" t="s">
        <v>37</v>
      </c>
      <c r="U1087" s="1"/>
      <c r="V1087" s="1" t="s">
        <v>38</v>
      </c>
      <c r="W1087" s="1">
        <v>44.3440439</v>
      </c>
      <c r="X1087" s="1">
        <v>-72.7470089999999</v>
      </c>
      <c r="Y1087" s="1" t="s">
        <v>4436</v>
      </c>
      <c r="Z1087" s="1"/>
      <c r="AA1087" s="1" t="s">
        <v>40</v>
      </c>
      <c r="AB1087" s="1" t="s">
        <v>776</v>
      </c>
      <c r="AC1087" s="1" t="s">
        <v>4437</v>
      </c>
    </row>
    <row r="1088">
      <c r="A1088" s="1" t="str">
        <f>"0007K9"</f>
        <v>0007K9</v>
      </c>
      <c r="B1088" s="1" t="s">
        <v>4438</v>
      </c>
      <c r="C1088" s="1" t="s">
        <v>4439</v>
      </c>
      <c r="D1088" s="1" t="str">
        <f>"8024622112"</f>
        <v>8024622112</v>
      </c>
      <c r="E1088" s="1">
        <v>876.0</v>
      </c>
      <c r="F1088" s="1" t="s">
        <v>44</v>
      </c>
      <c r="G1088" s="1" t="s">
        <v>4440</v>
      </c>
      <c r="H1088" s="1">
        <v>1.0</v>
      </c>
      <c r="I1088" s="1"/>
      <c r="J1088" s="1"/>
      <c r="K1088" s="1"/>
      <c r="L1088" s="1"/>
      <c r="M1088" s="1" t="s">
        <v>4441</v>
      </c>
      <c r="N1088" s="1" t="s">
        <v>161</v>
      </c>
      <c r="O1088" s="1" t="s">
        <v>162</v>
      </c>
      <c r="P1088" s="1"/>
      <c r="Q1088" s="3">
        <v>36892.0</v>
      </c>
      <c r="R1088" s="1"/>
      <c r="S1088" s="3">
        <v>32351.0</v>
      </c>
      <c r="T1088" s="1" t="s">
        <v>37</v>
      </c>
      <c r="U1088" s="1"/>
      <c r="V1088" s="1" t="s">
        <v>38</v>
      </c>
      <c r="W1088" s="1"/>
      <c r="X1088" s="1"/>
      <c r="Y1088" s="1" t="s">
        <v>49</v>
      </c>
      <c r="Z1088" s="1"/>
      <c r="AA1088" s="1" t="s">
        <v>40</v>
      </c>
      <c r="AB1088" s="1" t="s">
        <v>166</v>
      </c>
      <c r="AC1088" s="1"/>
    </row>
    <row r="1089">
      <c r="A1089" s="1" t="str">
        <f>"000759"</f>
        <v>000759</v>
      </c>
      <c r="B1089" s="1" t="s">
        <v>4442</v>
      </c>
      <c r="C1089" s="1" t="s">
        <v>4443</v>
      </c>
      <c r="D1089" s="1" t="str">
        <f>"8024847493"</f>
        <v>8024847493</v>
      </c>
      <c r="E1089" s="1">
        <v>3713.0</v>
      </c>
      <c r="F1089" s="1" t="s">
        <v>44</v>
      </c>
      <c r="G1089" s="1" t="s">
        <v>4444</v>
      </c>
      <c r="H1089" s="1">
        <v>1.0</v>
      </c>
      <c r="I1089" s="1"/>
      <c r="J1089" s="1"/>
      <c r="K1089" s="1"/>
      <c r="L1089" s="1"/>
      <c r="M1089" s="1" t="s">
        <v>72</v>
      </c>
      <c r="N1089" s="1" t="s">
        <v>34</v>
      </c>
      <c r="O1089" s="1" t="s">
        <v>4105</v>
      </c>
      <c r="P1089" s="1"/>
      <c r="Q1089" s="3">
        <v>36892.0</v>
      </c>
      <c r="R1089" s="1"/>
      <c r="S1089" s="3">
        <v>39377.0</v>
      </c>
      <c r="T1089" s="1" t="s">
        <v>37</v>
      </c>
      <c r="U1089" s="1"/>
      <c r="V1089" s="1" t="s">
        <v>38</v>
      </c>
      <c r="W1089" s="1">
        <v>43.4761597</v>
      </c>
      <c r="X1089" s="1">
        <v>-72.6029105</v>
      </c>
      <c r="Y1089" s="1" t="s">
        <v>4445</v>
      </c>
      <c r="Z1089" s="1"/>
      <c r="AA1089" s="1" t="s">
        <v>40</v>
      </c>
      <c r="AB1089" s="1" t="s">
        <v>4106</v>
      </c>
      <c r="AC1089" s="1">
        <v>5153.0</v>
      </c>
    </row>
    <row r="1090">
      <c r="A1090" s="1" t="str">
        <f>"000907"</f>
        <v>000907</v>
      </c>
      <c r="B1090" s="1" t="s">
        <v>4446</v>
      </c>
      <c r="C1090" s="1" t="s">
        <v>4447</v>
      </c>
      <c r="D1090" s="1" t="str">
        <f>"8022349666"</f>
        <v>8022349666</v>
      </c>
      <c r="E1090" s="1">
        <v>3562.0</v>
      </c>
      <c r="F1090" s="1" t="s">
        <v>44</v>
      </c>
      <c r="G1090" s="1" t="s">
        <v>4448</v>
      </c>
      <c r="H1090" s="1">
        <v>1.0</v>
      </c>
      <c r="I1090" s="1"/>
      <c r="J1090" s="1"/>
      <c r="K1090" s="1"/>
      <c r="L1090" s="1"/>
      <c r="M1090" s="1" t="s">
        <v>4449</v>
      </c>
      <c r="N1090" s="1" t="s">
        <v>161</v>
      </c>
      <c r="O1090" s="1" t="s">
        <v>307</v>
      </c>
      <c r="P1090" s="1"/>
      <c r="Q1090" s="3">
        <v>36892.0</v>
      </c>
      <c r="R1090" s="1"/>
      <c r="S1090" s="3">
        <v>38593.0</v>
      </c>
      <c r="T1090" s="1" t="s">
        <v>37</v>
      </c>
      <c r="U1090" s="1"/>
      <c r="V1090" s="1" t="s">
        <v>38</v>
      </c>
      <c r="W1090" s="1"/>
      <c r="X1090" s="1"/>
      <c r="Y1090" s="1" t="s">
        <v>49</v>
      </c>
      <c r="Z1090" s="1"/>
      <c r="AA1090" s="1" t="s">
        <v>40</v>
      </c>
      <c r="AB1090" s="1" t="s">
        <v>308</v>
      </c>
      <c r="AC1090" s="1"/>
    </row>
    <row r="1091">
      <c r="A1091" s="1" t="str">
        <f t="shared" ref="A1091:A1092" si="74">"0007WA"</f>
        <v>0007WA</v>
      </c>
      <c r="B1091" s="1" t="s">
        <v>157</v>
      </c>
      <c r="C1091" s="1" t="s">
        <v>158</v>
      </c>
      <c r="D1091" s="1" t="str">
        <f t="shared" ref="D1091:D1092" si="75">"8029482057"</f>
        <v>8029482057</v>
      </c>
      <c r="E1091" s="1">
        <v>1217.0</v>
      </c>
      <c r="F1091" s="1" t="s">
        <v>31</v>
      </c>
      <c r="G1091" s="1" t="s">
        <v>4450</v>
      </c>
      <c r="H1091" s="1">
        <v>0.0</v>
      </c>
      <c r="I1091" s="1"/>
      <c r="J1091" s="1"/>
      <c r="K1091" s="1"/>
      <c r="L1091" s="1"/>
      <c r="M1091" s="1" t="s">
        <v>4451</v>
      </c>
      <c r="N1091" s="1" t="s">
        <v>161</v>
      </c>
      <c r="O1091" s="1" t="s">
        <v>769</v>
      </c>
      <c r="P1091" s="1" t="s">
        <v>4452</v>
      </c>
      <c r="Q1091" s="3">
        <v>36892.0</v>
      </c>
      <c r="R1091" s="1"/>
      <c r="S1091" s="1"/>
      <c r="T1091" s="1" t="s">
        <v>37</v>
      </c>
      <c r="U1091" s="1"/>
      <c r="V1091" s="1" t="s">
        <v>38</v>
      </c>
      <c r="W1091" s="1"/>
      <c r="X1091" s="1"/>
      <c r="Y1091" s="1" t="s">
        <v>49</v>
      </c>
      <c r="Z1091" s="1"/>
      <c r="AA1091" s="1" t="s">
        <v>40</v>
      </c>
      <c r="AB1091" s="1" t="s">
        <v>770</v>
      </c>
      <c r="AC1091" s="1">
        <v>0.0</v>
      </c>
    </row>
    <row r="1092">
      <c r="A1092" s="1" t="str">
        <f t="shared" si="74"/>
        <v>0007WA</v>
      </c>
      <c r="B1092" s="1" t="s">
        <v>157</v>
      </c>
      <c r="C1092" s="1" t="s">
        <v>158</v>
      </c>
      <c r="D1092" s="1" t="str">
        <f t="shared" si="75"/>
        <v>8029482057</v>
      </c>
      <c r="E1092" s="1">
        <v>1217.0</v>
      </c>
      <c r="F1092" s="1" t="s">
        <v>31</v>
      </c>
      <c r="G1092" s="1" t="s">
        <v>4453</v>
      </c>
      <c r="H1092" s="1">
        <v>32.0</v>
      </c>
      <c r="I1092" s="1"/>
      <c r="J1092" s="1"/>
      <c r="K1092" s="1"/>
      <c r="L1092" s="1"/>
      <c r="M1092" s="1" t="s">
        <v>4454</v>
      </c>
      <c r="N1092" s="1" t="s">
        <v>161</v>
      </c>
      <c r="O1092" s="1" t="s">
        <v>162</v>
      </c>
      <c r="P1092" s="1" t="s">
        <v>4455</v>
      </c>
      <c r="Q1092" s="3">
        <v>36892.0</v>
      </c>
      <c r="R1092" s="1"/>
      <c r="S1092" s="3">
        <v>39720.0</v>
      </c>
      <c r="T1092" s="1" t="s">
        <v>164</v>
      </c>
      <c r="U1092" s="1"/>
      <c r="V1092" s="1" t="s">
        <v>38</v>
      </c>
      <c r="W1092" s="1">
        <v>43.970003</v>
      </c>
      <c r="X1092" s="1">
        <v>-73.2191358999999</v>
      </c>
      <c r="Y1092" s="1" t="s">
        <v>4456</v>
      </c>
      <c r="Z1092" s="1"/>
      <c r="AA1092" s="1" t="s">
        <v>40</v>
      </c>
      <c r="AB1092" s="1" t="s">
        <v>166</v>
      </c>
      <c r="AC1092" s="1">
        <v>0.0</v>
      </c>
    </row>
    <row r="1093">
      <c r="A1093" s="1" t="str">
        <f>"0007K6"</f>
        <v>0007K6</v>
      </c>
      <c r="B1093" s="1" t="s">
        <v>4457</v>
      </c>
      <c r="C1093" s="1" t="s">
        <v>4458</v>
      </c>
      <c r="D1093" s="1" t="str">
        <f>"8024534285"</f>
        <v>8024534285</v>
      </c>
      <c r="E1093" s="1">
        <v>870.0</v>
      </c>
      <c r="F1093" s="1" t="s">
        <v>44</v>
      </c>
      <c r="G1093" s="1" t="s">
        <v>4459</v>
      </c>
      <c r="H1093" s="1">
        <v>3.0</v>
      </c>
      <c r="I1093" s="1"/>
      <c r="J1093" s="1"/>
      <c r="K1093" s="1"/>
      <c r="L1093" s="1"/>
      <c r="M1093" s="1" t="s">
        <v>4460</v>
      </c>
      <c r="N1093" s="1" t="s">
        <v>161</v>
      </c>
      <c r="O1093" s="1" t="s">
        <v>307</v>
      </c>
      <c r="P1093" s="1"/>
      <c r="Q1093" s="3">
        <v>36892.0</v>
      </c>
      <c r="R1093" s="1"/>
      <c r="S1093" s="3">
        <v>32353.0</v>
      </c>
      <c r="T1093" s="1" t="s">
        <v>37</v>
      </c>
      <c r="U1093" s="1"/>
      <c r="V1093" s="1" t="s">
        <v>38</v>
      </c>
      <c r="W1093" s="1"/>
      <c r="X1093" s="1"/>
      <c r="Y1093" s="1" t="s">
        <v>49</v>
      </c>
      <c r="Z1093" s="1"/>
      <c r="AA1093" s="1" t="s">
        <v>40</v>
      </c>
      <c r="AB1093" s="1" t="s">
        <v>308</v>
      </c>
      <c r="AC1093" s="1"/>
    </row>
    <row r="1094">
      <c r="A1094" s="1" t="str">
        <f>"0007K5"</f>
        <v>0007K5</v>
      </c>
      <c r="B1094" s="1" t="s">
        <v>4461</v>
      </c>
      <c r="C1094" s="1" t="s">
        <v>4462</v>
      </c>
      <c r="D1094" s="1" t="str">
        <f>"8024532278"</f>
        <v>8024532278</v>
      </c>
      <c r="E1094" s="1">
        <v>864.0</v>
      </c>
      <c r="F1094" s="1" t="s">
        <v>44</v>
      </c>
      <c r="G1094" s="1" t="s">
        <v>4463</v>
      </c>
      <c r="H1094" s="1">
        <v>4.0</v>
      </c>
      <c r="I1094" s="1"/>
      <c r="J1094" s="1"/>
      <c r="K1094" s="1"/>
      <c r="L1094" s="1"/>
      <c r="M1094" s="1" t="s">
        <v>72</v>
      </c>
      <c r="N1094" s="1" t="s">
        <v>161</v>
      </c>
      <c r="O1094" s="1" t="s">
        <v>307</v>
      </c>
      <c r="P1094" s="1"/>
      <c r="Q1094" s="3">
        <v>36892.0</v>
      </c>
      <c r="R1094" s="1"/>
      <c r="S1094" s="3">
        <v>38161.0</v>
      </c>
      <c r="T1094" s="1" t="s">
        <v>37</v>
      </c>
      <c r="U1094" s="1"/>
      <c r="V1094" s="1" t="s">
        <v>38</v>
      </c>
      <c r="W1094" s="1"/>
      <c r="X1094" s="1"/>
      <c r="Y1094" s="1" t="s">
        <v>49</v>
      </c>
      <c r="Z1094" s="1"/>
      <c r="AA1094" s="1" t="s">
        <v>40</v>
      </c>
      <c r="AB1094" s="1" t="s">
        <v>308</v>
      </c>
      <c r="AC1094" s="1"/>
    </row>
    <row r="1095">
      <c r="A1095" s="1" t="str">
        <f>"0007K4"</f>
        <v>0007K4</v>
      </c>
      <c r="B1095" s="1" t="s">
        <v>4464</v>
      </c>
      <c r="C1095" s="1" t="s">
        <v>4465</v>
      </c>
      <c r="D1095" s="1" t="str">
        <f>"8024533116"</f>
        <v>8024533116</v>
      </c>
      <c r="E1095" s="1">
        <v>863.0</v>
      </c>
      <c r="F1095" s="1" t="s">
        <v>44</v>
      </c>
      <c r="G1095" s="1" t="s">
        <v>4466</v>
      </c>
      <c r="H1095" s="1">
        <v>1.0</v>
      </c>
      <c r="I1095" s="1"/>
      <c r="J1095" s="1"/>
      <c r="K1095" s="1"/>
      <c r="L1095" s="1"/>
      <c r="M1095" s="1" t="s">
        <v>72</v>
      </c>
      <c r="N1095" s="1" t="s">
        <v>161</v>
      </c>
      <c r="O1095" s="1" t="s">
        <v>307</v>
      </c>
      <c r="P1095" s="1"/>
      <c r="Q1095" s="3">
        <v>36892.0</v>
      </c>
      <c r="R1095" s="1"/>
      <c r="S1095" s="3">
        <v>38161.0</v>
      </c>
      <c r="T1095" s="1" t="s">
        <v>37</v>
      </c>
      <c r="U1095" s="1"/>
      <c r="V1095" s="1" t="s">
        <v>38</v>
      </c>
      <c r="W1095" s="1"/>
      <c r="X1095" s="1"/>
      <c r="Y1095" s="1" t="s">
        <v>49</v>
      </c>
      <c r="Z1095" s="1"/>
      <c r="AA1095" s="1" t="s">
        <v>40</v>
      </c>
      <c r="AB1095" s="1" t="s">
        <v>308</v>
      </c>
      <c r="AC1095" s="1"/>
    </row>
    <row r="1096">
      <c r="A1096" s="1" t="str">
        <f>"0007K3"</f>
        <v>0007K3</v>
      </c>
      <c r="B1096" s="1" t="s">
        <v>4467</v>
      </c>
      <c r="C1096" s="1" t="s">
        <v>4468</v>
      </c>
      <c r="D1096" s="1" t="str">
        <f>"8024533625"</f>
        <v>8024533625</v>
      </c>
      <c r="E1096" s="1">
        <v>862.0</v>
      </c>
      <c r="F1096" s="1" t="s">
        <v>44</v>
      </c>
      <c r="G1096" s="1" t="s">
        <v>4469</v>
      </c>
      <c r="H1096" s="1"/>
      <c r="I1096" s="1"/>
      <c r="J1096" s="1"/>
      <c r="K1096" s="1"/>
      <c r="L1096" s="1"/>
      <c r="M1096" s="1" t="s">
        <v>72</v>
      </c>
      <c r="N1096" s="1" t="s">
        <v>161</v>
      </c>
      <c r="O1096" s="1" t="s">
        <v>307</v>
      </c>
      <c r="P1096" s="1"/>
      <c r="Q1096" s="3">
        <v>36892.0</v>
      </c>
      <c r="R1096" s="1"/>
      <c r="S1096" s="1"/>
      <c r="T1096" s="1" t="s">
        <v>37</v>
      </c>
      <c r="U1096" s="1"/>
      <c r="V1096" s="1" t="s">
        <v>38</v>
      </c>
      <c r="W1096" s="1"/>
      <c r="X1096" s="1"/>
      <c r="Y1096" s="1" t="s">
        <v>49</v>
      </c>
      <c r="Z1096" s="1"/>
      <c r="AA1096" s="1" t="s">
        <v>40</v>
      </c>
      <c r="AB1096" s="1" t="s">
        <v>308</v>
      </c>
      <c r="AC1096" s="1"/>
    </row>
    <row r="1097">
      <c r="A1097" s="1" t="str">
        <f>"0008X0"</f>
        <v>0008X0</v>
      </c>
      <c r="B1097" s="1" t="s">
        <v>4470</v>
      </c>
      <c r="C1097" s="1" t="s">
        <v>4471</v>
      </c>
      <c r="D1097" s="1" t="str">
        <f>"8022446657"</f>
        <v>8022446657</v>
      </c>
      <c r="E1097" s="1">
        <v>3416.0</v>
      </c>
      <c r="F1097" s="1" t="s">
        <v>117</v>
      </c>
      <c r="G1097" s="1" t="s">
        <v>4472</v>
      </c>
      <c r="H1097" s="1">
        <v>2.0</v>
      </c>
      <c r="I1097" s="2">
        <v>1.0</v>
      </c>
      <c r="J1097" s="2">
        <v>1.0</v>
      </c>
      <c r="K1097" s="2" t="s">
        <v>119</v>
      </c>
      <c r="L1097" s="1"/>
      <c r="M1097" s="1" t="s">
        <v>4473</v>
      </c>
      <c r="N1097" s="1" t="s">
        <v>142</v>
      </c>
      <c r="O1097" s="1" t="s">
        <v>474</v>
      </c>
      <c r="P1097" s="1" t="s">
        <v>4474</v>
      </c>
      <c r="Q1097" s="3">
        <v>36892.0</v>
      </c>
      <c r="R1097" s="1"/>
      <c r="S1097" s="1"/>
      <c r="T1097" s="1" t="s">
        <v>37</v>
      </c>
      <c r="U1097" s="1"/>
      <c r="V1097" s="1" t="s">
        <v>38</v>
      </c>
      <c r="W1097" s="1">
        <v>43.9424062999999</v>
      </c>
      <c r="X1097" s="1">
        <v>-72.5547376</v>
      </c>
      <c r="Y1097" s="1" t="s">
        <v>4475</v>
      </c>
      <c r="Z1097" s="1"/>
      <c r="AA1097" s="1" t="s">
        <v>40</v>
      </c>
      <c r="AB1097" s="1" t="s">
        <v>475</v>
      </c>
      <c r="AC1097" s="1">
        <v>5060.0</v>
      </c>
    </row>
    <row r="1098">
      <c r="A1098" s="1" t="str">
        <f>"0007JY"</f>
        <v>0007JY</v>
      </c>
      <c r="B1098" s="1" t="s">
        <v>871</v>
      </c>
      <c r="C1098" s="1" t="s">
        <v>872</v>
      </c>
      <c r="D1098" s="1" t="str">
        <f>"8022732186"</f>
        <v>8022732186</v>
      </c>
      <c r="E1098" s="1">
        <v>848.0</v>
      </c>
      <c r="F1098" s="1" t="s">
        <v>44</v>
      </c>
      <c r="G1098" s="1" t="s">
        <v>4476</v>
      </c>
      <c r="H1098" s="1">
        <v>3.0</v>
      </c>
      <c r="I1098" s="1"/>
      <c r="J1098" s="1"/>
      <c r="K1098" s="1"/>
      <c r="L1098" s="1"/>
      <c r="M1098" s="1" t="s">
        <v>4477</v>
      </c>
      <c r="N1098" s="1" t="s">
        <v>161</v>
      </c>
      <c r="O1098" s="1" t="s">
        <v>586</v>
      </c>
      <c r="P1098" s="1"/>
      <c r="Q1098" s="3">
        <v>36892.0</v>
      </c>
      <c r="R1098" s="1"/>
      <c r="S1098" s="3">
        <v>41932.0</v>
      </c>
      <c r="T1098" s="1" t="s">
        <v>37</v>
      </c>
      <c r="U1098" s="1"/>
      <c r="V1098" s="1" t="s">
        <v>38</v>
      </c>
      <c r="W1098" s="1">
        <v>43.99862</v>
      </c>
      <c r="X1098" s="1">
        <v>-73.28148</v>
      </c>
      <c r="Y1098" s="1" t="s">
        <v>4478</v>
      </c>
      <c r="Z1098" s="1"/>
      <c r="AA1098" s="1" t="s">
        <v>40</v>
      </c>
      <c r="AB1098" s="1" t="s">
        <v>589</v>
      </c>
      <c r="AC1098" s="1">
        <v>0.0</v>
      </c>
    </row>
    <row r="1099">
      <c r="A1099" s="1" t="str">
        <f t="shared" ref="A1099:A1104" si="76">"0007K0"</f>
        <v>0007K0</v>
      </c>
      <c r="B1099" s="1" t="s">
        <v>2767</v>
      </c>
      <c r="C1099" s="1" t="s">
        <v>2768</v>
      </c>
      <c r="D1099" s="1" t="str">
        <f t="shared" ref="D1099:D1104" si="77">"8023887724"</f>
        <v>8023887724</v>
      </c>
      <c r="E1099" s="1">
        <v>851.0</v>
      </c>
      <c r="F1099" s="1" t="s">
        <v>117</v>
      </c>
      <c r="G1099" s="1" t="s">
        <v>4479</v>
      </c>
      <c r="H1099" s="1">
        <v>5.0</v>
      </c>
      <c r="I1099" s="2" t="s">
        <v>119</v>
      </c>
      <c r="J1099" s="2" t="s">
        <v>119</v>
      </c>
      <c r="K1099" s="2" t="s">
        <v>119</v>
      </c>
      <c r="L1099" s="1"/>
      <c r="M1099" s="1" t="s">
        <v>4480</v>
      </c>
      <c r="N1099" s="1" t="s">
        <v>161</v>
      </c>
      <c r="O1099" s="1" t="s">
        <v>586</v>
      </c>
      <c r="P1099" s="1" t="s">
        <v>4481</v>
      </c>
      <c r="Q1099" s="3">
        <v>36892.0</v>
      </c>
      <c r="R1099" s="1"/>
      <c r="S1099" s="3">
        <v>41932.0</v>
      </c>
      <c r="T1099" s="1" t="s">
        <v>37</v>
      </c>
      <c r="U1099" s="1"/>
      <c r="V1099" s="1" t="s">
        <v>38</v>
      </c>
      <c r="W1099" s="1">
        <v>43.989722</v>
      </c>
      <c r="X1099" s="1">
        <v>-73.358056</v>
      </c>
      <c r="Y1099" s="1" t="s">
        <v>4478</v>
      </c>
      <c r="Z1099" s="1"/>
      <c r="AA1099" s="1" t="s">
        <v>40</v>
      </c>
      <c r="AB1099" s="1" t="s">
        <v>945</v>
      </c>
      <c r="AC1099" s="1">
        <v>0.0</v>
      </c>
    </row>
    <row r="1100">
      <c r="A1100" s="1" t="str">
        <f t="shared" si="76"/>
        <v>0007K0</v>
      </c>
      <c r="B1100" s="1" t="s">
        <v>2767</v>
      </c>
      <c r="C1100" s="1" t="s">
        <v>2768</v>
      </c>
      <c r="D1100" s="1" t="str">
        <f t="shared" si="77"/>
        <v>8023887724</v>
      </c>
      <c r="E1100" s="1">
        <v>851.0</v>
      </c>
      <c r="F1100" s="1" t="s">
        <v>117</v>
      </c>
      <c r="G1100" s="1" t="s">
        <v>4482</v>
      </c>
      <c r="H1100" s="1">
        <v>21.0</v>
      </c>
      <c r="I1100" s="2" t="s">
        <v>119</v>
      </c>
      <c r="J1100" s="2" t="s">
        <v>119</v>
      </c>
      <c r="K1100" s="2" t="s">
        <v>119</v>
      </c>
      <c r="L1100" s="1"/>
      <c r="M1100" s="1" t="s">
        <v>4483</v>
      </c>
      <c r="N1100" s="1" t="s">
        <v>161</v>
      </c>
      <c r="O1100" s="1" t="s">
        <v>586</v>
      </c>
      <c r="P1100" s="1" t="s">
        <v>4484</v>
      </c>
      <c r="Q1100" s="3">
        <v>36892.0</v>
      </c>
      <c r="R1100" s="1"/>
      <c r="S1100" s="3">
        <v>40855.0</v>
      </c>
      <c r="T1100" s="1" t="s">
        <v>37</v>
      </c>
      <c r="U1100" s="1"/>
      <c r="V1100" s="1" t="s">
        <v>38</v>
      </c>
      <c r="W1100" s="1">
        <v>43.964167</v>
      </c>
      <c r="X1100" s="1">
        <v>-73.294444</v>
      </c>
      <c r="Y1100" s="1" t="s">
        <v>4485</v>
      </c>
      <c r="Z1100" s="1"/>
      <c r="AA1100" s="1" t="s">
        <v>40</v>
      </c>
      <c r="AB1100" s="1" t="s">
        <v>589</v>
      </c>
      <c r="AC1100" s="1">
        <v>0.0</v>
      </c>
    </row>
    <row r="1101">
      <c r="A1101" s="1" t="str">
        <f t="shared" si="76"/>
        <v>0007K0</v>
      </c>
      <c r="B1101" s="1" t="s">
        <v>2767</v>
      </c>
      <c r="C1101" s="1" t="s">
        <v>2768</v>
      </c>
      <c r="D1101" s="1" t="str">
        <f t="shared" si="77"/>
        <v>8023887724</v>
      </c>
      <c r="E1101" s="1">
        <v>851.0</v>
      </c>
      <c r="F1101" s="1" t="s">
        <v>117</v>
      </c>
      <c r="G1101" s="1" t="s">
        <v>4486</v>
      </c>
      <c r="H1101" s="1">
        <v>0.0</v>
      </c>
      <c r="I1101" s="2" t="s">
        <v>119</v>
      </c>
      <c r="J1101" s="2" t="s">
        <v>119</v>
      </c>
      <c r="K1101" s="2" t="s">
        <v>119</v>
      </c>
      <c r="L1101" s="1"/>
      <c r="M1101" s="1" t="s">
        <v>4487</v>
      </c>
      <c r="N1101" s="1" t="s">
        <v>161</v>
      </c>
      <c r="O1101" s="1" t="s">
        <v>586</v>
      </c>
      <c r="P1101" s="1"/>
      <c r="Q1101" s="3">
        <v>36892.0</v>
      </c>
      <c r="R1101" s="1"/>
      <c r="S1101" s="3">
        <v>39625.0</v>
      </c>
      <c r="T1101" s="1" t="s">
        <v>37</v>
      </c>
      <c r="U1101" s="1"/>
      <c r="V1101" s="1" t="s">
        <v>38</v>
      </c>
      <c r="W1101" s="1">
        <v>43.991389</v>
      </c>
      <c r="X1101" s="1">
        <v>-73.379167</v>
      </c>
      <c r="Y1101" s="1" t="s">
        <v>4488</v>
      </c>
      <c r="Z1101" s="1"/>
      <c r="AA1101" s="1" t="s">
        <v>40</v>
      </c>
      <c r="AB1101" s="1" t="s">
        <v>589</v>
      </c>
      <c r="AC1101" s="1">
        <v>0.0</v>
      </c>
    </row>
    <row r="1102">
      <c r="A1102" s="1" t="str">
        <f t="shared" si="76"/>
        <v>0007K0</v>
      </c>
      <c r="B1102" s="1" t="s">
        <v>2767</v>
      </c>
      <c r="C1102" s="1" t="s">
        <v>2768</v>
      </c>
      <c r="D1102" s="1" t="str">
        <f t="shared" si="77"/>
        <v>8023887724</v>
      </c>
      <c r="E1102" s="1">
        <v>851.0</v>
      </c>
      <c r="F1102" s="1" t="s">
        <v>117</v>
      </c>
      <c r="G1102" s="1" t="s">
        <v>4489</v>
      </c>
      <c r="H1102" s="1">
        <v>0.0</v>
      </c>
      <c r="I1102" s="2" t="s">
        <v>119</v>
      </c>
      <c r="J1102" s="2" t="s">
        <v>119</v>
      </c>
      <c r="K1102" s="2" t="s">
        <v>119</v>
      </c>
      <c r="L1102" s="1"/>
      <c r="M1102" s="1" t="s">
        <v>4490</v>
      </c>
      <c r="N1102" s="1" t="s">
        <v>161</v>
      </c>
      <c r="O1102" s="1" t="s">
        <v>576</v>
      </c>
      <c r="P1102" s="1"/>
      <c r="Q1102" s="3">
        <v>36892.0</v>
      </c>
      <c r="R1102" s="1"/>
      <c r="S1102" s="3">
        <v>41929.0</v>
      </c>
      <c r="T1102" s="1" t="s">
        <v>37</v>
      </c>
      <c r="U1102" s="1"/>
      <c r="V1102" s="1" t="s">
        <v>38</v>
      </c>
      <c r="W1102" s="1">
        <v>44.02624</v>
      </c>
      <c r="X1102" s="1">
        <v>-73.36232</v>
      </c>
      <c r="Y1102" s="1" t="s">
        <v>4491</v>
      </c>
      <c r="Z1102" s="1"/>
      <c r="AA1102" s="1" t="s">
        <v>40</v>
      </c>
      <c r="AB1102" s="1" t="s">
        <v>161</v>
      </c>
      <c r="AC1102" s="1">
        <v>0.0</v>
      </c>
    </row>
    <row r="1103">
      <c r="A1103" s="1" t="str">
        <f t="shared" si="76"/>
        <v>0007K0</v>
      </c>
      <c r="B1103" s="1" t="s">
        <v>2767</v>
      </c>
      <c r="C1103" s="1" t="s">
        <v>2768</v>
      </c>
      <c r="D1103" s="1" t="str">
        <f t="shared" si="77"/>
        <v>8023887724</v>
      </c>
      <c r="E1103" s="1">
        <v>851.0</v>
      </c>
      <c r="F1103" s="1" t="s">
        <v>117</v>
      </c>
      <c r="G1103" s="1" t="s">
        <v>4492</v>
      </c>
      <c r="H1103" s="1">
        <v>15.0</v>
      </c>
      <c r="I1103" s="2" t="s">
        <v>119</v>
      </c>
      <c r="J1103" s="2" t="s">
        <v>119</v>
      </c>
      <c r="K1103" s="2" t="s">
        <v>119</v>
      </c>
      <c r="L1103" s="1"/>
      <c r="M1103" s="1" t="s">
        <v>4493</v>
      </c>
      <c r="N1103" s="1" t="s">
        <v>161</v>
      </c>
      <c r="O1103" s="1" t="s">
        <v>586</v>
      </c>
      <c r="P1103" s="1" t="s">
        <v>4494</v>
      </c>
      <c r="Q1103" s="3">
        <v>36892.0</v>
      </c>
      <c r="R1103" s="1"/>
      <c r="S1103" s="3">
        <v>41932.0</v>
      </c>
      <c r="T1103" s="1" t="s">
        <v>37</v>
      </c>
      <c r="U1103" s="1"/>
      <c r="V1103" s="1" t="s">
        <v>38</v>
      </c>
      <c r="W1103" s="1">
        <v>43.980556</v>
      </c>
      <c r="X1103" s="1">
        <v>-73.3294439999999</v>
      </c>
      <c r="Y1103" s="1" t="s">
        <v>588</v>
      </c>
      <c r="Z1103" s="1"/>
      <c r="AA1103" s="1" t="s">
        <v>40</v>
      </c>
      <c r="AB1103" s="1" t="s">
        <v>589</v>
      </c>
      <c r="AC1103" s="1">
        <v>5734.0</v>
      </c>
    </row>
    <row r="1104">
      <c r="A1104" s="1" t="str">
        <f t="shared" si="76"/>
        <v>0007K0</v>
      </c>
      <c r="B1104" s="1" t="s">
        <v>2767</v>
      </c>
      <c r="C1104" s="1" t="s">
        <v>2768</v>
      </c>
      <c r="D1104" s="1" t="str">
        <f t="shared" si="77"/>
        <v>8023887724</v>
      </c>
      <c r="E1104" s="1">
        <v>851.0</v>
      </c>
      <c r="F1104" s="1" t="s">
        <v>117</v>
      </c>
      <c r="G1104" s="1" t="s">
        <v>4495</v>
      </c>
      <c r="H1104" s="1">
        <v>29.0</v>
      </c>
      <c r="I1104" s="2" t="s">
        <v>119</v>
      </c>
      <c r="J1104" s="2" t="s">
        <v>119</v>
      </c>
      <c r="K1104" s="2" t="s">
        <v>119</v>
      </c>
      <c r="L1104" s="1"/>
      <c r="M1104" s="1" t="s">
        <v>4496</v>
      </c>
      <c r="N1104" s="1" t="s">
        <v>161</v>
      </c>
      <c r="O1104" s="1" t="s">
        <v>586</v>
      </c>
      <c r="P1104" s="1" t="s">
        <v>4497</v>
      </c>
      <c r="Q1104" s="3">
        <v>36892.0</v>
      </c>
      <c r="R1104" s="1"/>
      <c r="S1104" s="3">
        <v>41932.0</v>
      </c>
      <c r="T1104" s="1" t="s">
        <v>37</v>
      </c>
      <c r="U1104" s="1"/>
      <c r="V1104" s="1" t="s">
        <v>38</v>
      </c>
      <c r="W1104" s="1">
        <v>43.9563</v>
      </c>
      <c r="X1104" s="1">
        <v>-73.36534</v>
      </c>
      <c r="Y1104" s="1" t="s">
        <v>4498</v>
      </c>
      <c r="Z1104" s="1"/>
      <c r="AA1104" s="1" t="s">
        <v>40</v>
      </c>
      <c r="AB1104" s="1" t="s">
        <v>589</v>
      </c>
      <c r="AC1104" s="1">
        <v>0.0</v>
      </c>
    </row>
    <row r="1105">
      <c r="A1105" s="1" t="str">
        <f>"000791"</f>
        <v>000791</v>
      </c>
      <c r="B1105" s="1" t="s">
        <v>4499</v>
      </c>
      <c r="C1105" s="1" t="s">
        <v>4500</v>
      </c>
      <c r="D1105" s="1" t="str">
        <f>"8024766912"</f>
        <v>8024766912</v>
      </c>
      <c r="E1105" s="1">
        <v>2574.0</v>
      </c>
      <c r="F1105" s="1" t="s">
        <v>44</v>
      </c>
      <c r="G1105" s="1" t="s">
        <v>4501</v>
      </c>
      <c r="H1105" s="1">
        <v>3.0</v>
      </c>
      <c r="I1105" s="1"/>
      <c r="J1105" s="1"/>
      <c r="K1105" s="1"/>
      <c r="L1105" s="1"/>
      <c r="M1105" s="1" t="s">
        <v>4502</v>
      </c>
      <c r="N1105" s="1" t="s">
        <v>135</v>
      </c>
      <c r="O1105" s="1" t="s">
        <v>343</v>
      </c>
      <c r="P1105" s="1"/>
      <c r="Q1105" s="3">
        <v>36892.0</v>
      </c>
      <c r="R1105" s="1"/>
      <c r="S1105" s="3">
        <v>32750.0</v>
      </c>
      <c r="T1105" s="1" t="s">
        <v>37</v>
      </c>
      <c r="U1105" s="1"/>
      <c r="V1105" s="1" t="s">
        <v>38</v>
      </c>
      <c r="W1105" s="1"/>
      <c r="X1105" s="1"/>
      <c r="Y1105" s="1" t="s">
        <v>49</v>
      </c>
      <c r="Z1105" s="1"/>
      <c r="AA1105" s="1" t="s">
        <v>40</v>
      </c>
      <c r="AB1105" s="1" t="s">
        <v>343</v>
      </c>
      <c r="AC1105" s="1"/>
    </row>
    <row r="1106">
      <c r="A1106" s="1" t="str">
        <f>"00070D"</f>
        <v>00070D</v>
      </c>
      <c r="B1106" s="1" t="s">
        <v>527</v>
      </c>
      <c r="C1106" s="1" t="s">
        <v>528</v>
      </c>
      <c r="D1106" s="1" t="str">
        <f>"8024923458"</f>
        <v>8024923458</v>
      </c>
      <c r="E1106" s="1">
        <v>41.0</v>
      </c>
      <c r="F1106" s="1" t="s">
        <v>31</v>
      </c>
      <c r="G1106" s="1" t="s">
        <v>4503</v>
      </c>
      <c r="H1106" s="1">
        <v>24.0</v>
      </c>
      <c r="I1106" s="1"/>
      <c r="J1106" s="1"/>
      <c r="K1106" s="1"/>
      <c r="L1106" s="1"/>
      <c r="M1106" s="1" t="s">
        <v>4504</v>
      </c>
      <c r="N1106" s="1" t="s">
        <v>161</v>
      </c>
      <c r="O1106" s="1" t="s">
        <v>531</v>
      </c>
      <c r="P1106" s="1"/>
      <c r="Q1106" s="3">
        <v>36892.0</v>
      </c>
      <c r="R1106" s="1"/>
      <c r="S1106" s="3">
        <v>38268.0</v>
      </c>
      <c r="T1106" s="1" t="s">
        <v>37</v>
      </c>
      <c r="U1106" s="1"/>
      <c r="V1106" s="1" t="s">
        <v>38</v>
      </c>
      <c r="W1106" s="1"/>
      <c r="X1106" s="1"/>
      <c r="Y1106" s="1" t="s">
        <v>49</v>
      </c>
      <c r="Z1106" s="1"/>
      <c r="AA1106" s="1" t="s">
        <v>40</v>
      </c>
      <c r="AB1106" s="1" t="s">
        <v>532</v>
      </c>
      <c r="AC1106" s="1"/>
    </row>
    <row r="1107">
      <c r="A1107" s="1" t="str">
        <f>"00088X"</f>
        <v>00088X</v>
      </c>
      <c r="B1107" s="1" t="s">
        <v>4505</v>
      </c>
      <c r="C1107" s="1" t="s">
        <v>4506</v>
      </c>
      <c r="D1107" s="1" t="str">
        <f>"8028992648"</f>
        <v>8028992648</v>
      </c>
      <c r="E1107" s="1">
        <v>3051.0</v>
      </c>
      <c r="F1107" s="1" t="s">
        <v>44</v>
      </c>
      <c r="G1107" s="1" t="s">
        <v>4507</v>
      </c>
      <c r="H1107" s="1"/>
      <c r="I1107" s="1"/>
      <c r="J1107" s="1"/>
      <c r="K1107" s="1"/>
      <c r="L1107" s="1"/>
      <c r="M1107" s="1" t="s">
        <v>72</v>
      </c>
      <c r="N1107" s="1" t="s">
        <v>57</v>
      </c>
      <c r="O1107" s="1" t="s">
        <v>58</v>
      </c>
      <c r="P1107" s="1"/>
      <c r="Q1107" s="3">
        <v>36892.0</v>
      </c>
      <c r="R1107" s="1"/>
      <c r="S1107" s="1"/>
      <c r="T1107" s="1" t="s">
        <v>37</v>
      </c>
      <c r="U1107" s="1"/>
      <c r="V1107" s="1" t="s">
        <v>38</v>
      </c>
      <c r="W1107" s="1"/>
      <c r="X1107" s="1"/>
      <c r="Y1107" s="1" t="s">
        <v>49</v>
      </c>
      <c r="Z1107" s="1"/>
      <c r="AA1107" s="1" t="s">
        <v>40</v>
      </c>
      <c r="AB1107" s="1" t="s">
        <v>61</v>
      </c>
      <c r="AC1107" s="1"/>
    </row>
    <row r="1108">
      <c r="A1108" s="1" t="str">
        <f>"0007K2"</f>
        <v>0007K2</v>
      </c>
      <c r="B1108" s="1" t="s">
        <v>4508</v>
      </c>
      <c r="C1108" s="1" t="s">
        <v>4509</v>
      </c>
      <c r="D1108" s="1" t="str">
        <f>"8027582412"</f>
        <v>8027582412</v>
      </c>
      <c r="E1108" s="1">
        <v>856.0</v>
      </c>
      <c r="F1108" s="1" t="s">
        <v>44</v>
      </c>
      <c r="G1108" s="1" t="s">
        <v>4510</v>
      </c>
      <c r="H1108" s="1">
        <v>5.0</v>
      </c>
      <c r="I1108" s="1"/>
      <c r="J1108" s="1"/>
      <c r="K1108" s="1"/>
      <c r="L1108" s="1"/>
      <c r="M1108" s="1" t="s">
        <v>4511</v>
      </c>
      <c r="N1108" s="1" t="s">
        <v>161</v>
      </c>
      <c r="O1108" s="1" t="s">
        <v>586</v>
      </c>
      <c r="P1108" s="1"/>
      <c r="Q1108" s="3">
        <v>36892.0</v>
      </c>
      <c r="R1108" s="1"/>
      <c r="S1108" s="3">
        <v>32647.0</v>
      </c>
      <c r="T1108" s="1" t="s">
        <v>37</v>
      </c>
      <c r="U1108" s="1"/>
      <c r="V1108" s="1" t="s">
        <v>38</v>
      </c>
      <c r="W1108" s="1"/>
      <c r="X1108" s="1"/>
      <c r="Y1108" s="1" t="s">
        <v>49</v>
      </c>
      <c r="Z1108" s="1"/>
      <c r="AA1108" s="1" t="s">
        <v>40</v>
      </c>
      <c r="AB1108" s="1" t="s">
        <v>589</v>
      </c>
      <c r="AC1108" s="1"/>
    </row>
    <row r="1109">
      <c r="A1109" s="1" t="str">
        <f>"0007WA"</f>
        <v>0007WA</v>
      </c>
      <c r="B1109" s="1" t="s">
        <v>157</v>
      </c>
      <c r="C1109" s="1" t="s">
        <v>158</v>
      </c>
      <c r="D1109" s="1" t="str">
        <f>"8029482057"</f>
        <v>8029482057</v>
      </c>
      <c r="E1109" s="1">
        <v>1217.0</v>
      </c>
      <c r="F1109" s="1" t="s">
        <v>31</v>
      </c>
      <c r="G1109" s="1" t="s">
        <v>4512</v>
      </c>
      <c r="H1109" s="1">
        <v>0.0</v>
      </c>
      <c r="I1109" s="1"/>
      <c r="J1109" s="1"/>
      <c r="K1109" s="1"/>
      <c r="L1109" s="1"/>
      <c r="M1109" s="1" t="s">
        <v>4513</v>
      </c>
      <c r="N1109" s="1" t="s">
        <v>161</v>
      </c>
      <c r="O1109" s="1" t="s">
        <v>394</v>
      </c>
      <c r="P1109" s="1" t="s">
        <v>395</v>
      </c>
      <c r="Q1109" s="3">
        <v>36892.0</v>
      </c>
      <c r="R1109" s="1"/>
      <c r="S1109" s="1"/>
      <c r="T1109" s="1" t="s">
        <v>37</v>
      </c>
      <c r="U1109" s="1"/>
      <c r="V1109" s="1" t="s">
        <v>38</v>
      </c>
      <c r="W1109" s="1"/>
      <c r="X1109" s="1"/>
      <c r="Y1109" s="1" t="s">
        <v>49</v>
      </c>
      <c r="Z1109" s="1"/>
      <c r="AA1109" s="1" t="s">
        <v>40</v>
      </c>
      <c r="AB1109" s="1" t="s">
        <v>395</v>
      </c>
      <c r="AC1109" s="1">
        <v>0.0</v>
      </c>
    </row>
    <row r="1110">
      <c r="A1110" s="1" t="str">
        <f t="shared" ref="A1110:A1111" si="78">"0007K0"</f>
        <v>0007K0</v>
      </c>
      <c r="B1110" s="1" t="s">
        <v>2767</v>
      </c>
      <c r="C1110" s="1" t="s">
        <v>2768</v>
      </c>
      <c r="D1110" s="1" t="str">
        <f t="shared" ref="D1110:D1111" si="79">"8023887724"</f>
        <v>8023887724</v>
      </c>
      <c r="E1110" s="1">
        <v>851.0</v>
      </c>
      <c r="F1110" s="1" t="s">
        <v>117</v>
      </c>
      <c r="G1110" s="1" t="s">
        <v>4514</v>
      </c>
      <c r="H1110" s="1">
        <v>24.0</v>
      </c>
      <c r="I1110" s="2" t="s">
        <v>119</v>
      </c>
      <c r="J1110" s="2" t="s">
        <v>119</v>
      </c>
      <c r="K1110" s="2" t="s">
        <v>119</v>
      </c>
      <c r="L1110" s="1"/>
      <c r="M1110" s="1" t="s">
        <v>4515</v>
      </c>
      <c r="N1110" s="1" t="s">
        <v>161</v>
      </c>
      <c r="O1110" s="1" t="s">
        <v>576</v>
      </c>
      <c r="P1110" s="1" t="s">
        <v>4516</v>
      </c>
      <c r="Q1110" s="3">
        <v>36892.0</v>
      </c>
      <c r="R1110" s="1"/>
      <c r="S1110" s="3">
        <v>41929.0</v>
      </c>
      <c r="T1110" s="1" t="s">
        <v>37</v>
      </c>
      <c r="U1110" s="1"/>
      <c r="V1110" s="1" t="s">
        <v>38</v>
      </c>
      <c r="W1110" s="1">
        <v>44.04745</v>
      </c>
      <c r="X1110" s="1">
        <v>-73.2981199999999</v>
      </c>
      <c r="Y1110" s="1" t="s">
        <v>4517</v>
      </c>
      <c r="Z1110" s="1"/>
      <c r="AA1110" s="1" t="s">
        <v>40</v>
      </c>
      <c r="AB1110" s="1" t="s">
        <v>161</v>
      </c>
      <c r="AC1110" s="1">
        <v>0.0</v>
      </c>
    </row>
    <row r="1111">
      <c r="A1111" s="1" t="str">
        <f t="shared" si="78"/>
        <v>0007K0</v>
      </c>
      <c r="B1111" s="1" t="s">
        <v>2767</v>
      </c>
      <c r="C1111" s="1" t="s">
        <v>2768</v>
      </c>
      <c r="D1111" s="1" t="str">
        <f t="shared" si="79"/>
        <v>8023887724</v>
      </c>
      <c r="E1111" s="1">
        <v>851.0</v>
      </c>
      <c r="F1111" s="1" t="s">
        <v>117</v>
      </c>
      <c r="G1111" s="1" t="s">
        <v>4518</v>
      </c>
      <c r="H1111" s="1">
        <v>17.0</v>
      </c>
      <c r="I1111" s="2" t="s">
        <v>119</v>
      </c>
      <c r="J1111" s="2" t="s">
        <v>119</v>
      </c>
      <c r="K1111" s="2" t="s">
        <v>119</v>
      </c>
      <c r="L1111" s="1"/>
      <c r="M1111" s="1" t="s">
        <v>4519</v>
      </c>
      <c r="N1111" s="1" t="s">
        <v>161</v>
      </c>
      <c r="O1111" s="1" t="s">
        <v>576</v>
      </c>
      <c r="P1111" s="1" t="s">
        <v>4520</v>
      </c>
      <c r="Q1111" s="3">
        <v>36892.0</v>
      </c>
      <c r="R1111" s="1"/>
      <c r="S1111" s="3">
        <v>38287.0</v>
      </c>
      <c r="T1111" s="1" t="s">
        <v>37</v>
      </c>
      <c r="U1111" s="1"/>
      <c r="V1111" s="1" t="s">
        <v>38</v>
      </c>
      <c r="W1111" s="1">
        <v>44.085556</v>
      </c>
      <c r="X1111" s="1">
        <v>-73.3497219999999</v>
      </c>
      <c r="Y1111" s="1" t="s">
        <v>4521</v>
      </c>
      <c r="Z1111" s="1"/>
      <c r="AA1111" s="1" t="s">
        <v>40</v>
      </c>
      <c r="AB1111" s="1" t="s">
        <v>161</v>
      </c>
      <c r="AC1111" s="1">
        <v>5491.0</v>
      </c>
    </row>
    <row r="1112">
      <c r="A1112" s="1" t="str">
        <f>"0007JZ"</f>
        <v>0007JZ</v>
      </c>
      <c r="B1112" s="1" t="s">
        <v>3492</v>
      </c>
      <c r="C1112" s="1" t="s">
        <v>3493</v>
      </c>
      <c r="D1112" s="1" t="str">
        <f>"8028773309"</f>
        <v>8028773309</v>
      </c>
      <c r="E1112" s="1">
        <v>850.0</v>
      </c>
      <c r="F1112" s="1" t="s">
        <v>44</v>
      </c>
      <c r="G1112" s="1" t="s">
        <v>4522</v>
      </c>
      <c r="H1112" s="1">
        <v>0.0</v>
      </c>
      <c r="I1112" s="1"/>
      <c r="J1112" s="1"/>
      <c r="K1112" s="1"/>
      <c r="L1112" s="1"/>
      <c r="M1112" s="1" t="s">
        <v>4523</v>
      </c>
      <c r="N1112" s="1" t="s">
        <v>161</v>
      </c>
      <c r="O1112" s="1" t="s">
        <v>576</v>
      </c>
      <c r="P1112" s="1"/>
      <c r="Q1112" s="3">
        <v>36892.0</v>
      </c>
      <c r="R1112" s="1"/>
      <c r="S1112" s="3">
        <v>38259.0</v>
      </c>
      <c r="T1112" s="1" t="s">
        <v>37</v>
      </c>
      <c r="U1112" s="1"/>
      <c r="V1112" s="1" t="s">
        <v>38</v>
      </c>
      <c r="W1112" s="1"/>
      <c r="X1112" s="1"/>
      <c r="Y1112" s="1" t="s">
        <v>49</v>
      </c>
      <c r="Z1112" s="1"/>
      <c r="AA1112" s="1" t="s">
        <v>40</v>
      </c>
      <c r="AB1112" s="1" t="s">
        <v>161</v>
      </c>
      <c r="AC1112" s="1"/>
    </row>
    <row r="1113">
      <c r="A1113" s="1" t="str">
        <f>"00079H"</f>
        <v>00079H</v>
      </c>
      <c r="B1113" s="1" t="s">
        <v>4524</v>
      </c>
      <c r="C1113" s="1" t="s">
        <v>4525</v>
      </c>
      <c r="D1113" s="1" t="str">
        <f>"8024395941"</f>
        <v>8024395941</v>
      </c>
      <c r="E1113" s="1">
        <v>3586.0</v>
      </c>
      <c r="F1113" s="1" t="s">
        <v>44</v>
      </c>
      <c r="G1113" s="1" t="s">
        <v>4526</v>
      </c>
      <c r="H1113" s="1">
        <v>2.0</v>
      </c>
      <c r="I1113" s="2" t="s">
        <v>119</v>
      </c>
      <c r="J1113" s="2" t="s">
        <v>119</v>
      </c>
      <c r="K1113" s="2" t="s">
        <v>119</v>
      </c>
      <c r="L1113" s="1"/>
      <c r="M1113" s="1" t="s">
        <v>72</v>
      </c>
      <c r="N1113" s="1" t="s">
        <v>142</v>
      </c>
      <c r="O1113" s="1" t="s">
        <v>400</v>
      </c>
      <c r="P1113" s="1" t="s">
        <v>4527</v>
      </c>
      <c r="Q1113" s="3">
        <v>36892.0</v>
      </c>
      <c r="R1113" s="1"/>
      <c r="S1113" s="3">
        <v>38874.0</v>
      </c>
      <c r="T1113" s="1" t="s">
        <v>37</v>
      </c>
      <c r="U1113" s="1"/>
      <c r="V1113" s="1" t="s">
        <v>38</v>
      </c>
      <c r="W1113" s="1">
        <v>44.1194625</v>
      </c>
      <c r="X1113" s="1">
        <v>-72.2984483999999</v>
      </c>
      <c r="Y1113" s="1" t="s">
        <v>4528</v>
      </c>
      <c r="Z1113" s="1"/>
      <c r="AA1113" s="1" t="s">
        <v>40</v>
      </c>
      <c r="AB1113" s="1" t="s">
        <v>4529</v>
      </c>
      <c r="AC1113" s="1">
        <v>5086.0</v>
      </c>
    </row>
    <row r="1114">
      <c r="A1114" s="1" t="str">
        <f>"0007YB"</f>
        <v>0007YB</v>
      </c>
      <c r="B1114" s="1" t="s">
        <v>4530</v>
      </c>
      <c r="C1114" s="1" t="s">
        <v>4531</v>
      </c>
      <c r="D1114" s="1" t="str">
        <f>"8026498780"</f>
        <v>8026498780</v>
      </c>
      <c r="E1114" s="1">
        <v>3660.0</v>
      </c>
      <c r="F1114" s="1" t="s">
        <v>44</v>
      </c>
      <c r="G1114" s="1" t="s">
        <v>4532</v>
      </c>
      <c r="H1114" s="1">
        <v>0.0</v>
      </c>
      <c r="I1114" s="1"/>
      <c r="J1114" s="1"/>
      <c r="K1114" s="1"/>
      <c r="L1114" s="1"/>
      <c r="M1114" s="1" t="s">
        <v>72</v>
      </c>
      <c r="N1114" s="1" t="s">
        <v>34</v>
      </c>
      <c r="O1114" s="1" t="s">
        <v>463</v>
      </c>
      <c r="P1114" s="1"/>
      <c r="Q1114" s="3">
        <v>36892.0</v>
      </c>
      <c r="R1114" s="1"/>
      <c r="S1114" s="1"/>
      <c r="T1114" s="1" t="s">
        <v>37</v>
      </c>
      <c r="U1114" s="1"/>
      <c r="V1114" s="1" t="s">
        <v>38</v>
      </c>
      <c r="W1114" s="1">
        <v>43.7734782</v>
      </c>
      <c r="X1114" s="1">
        <v>-72.2966347</v>
      </c>
      <c r="Y1114" s="1" t="s">
        <v>4533</v>
      </c>
      <c r="Z1114" s="1"/>
      <c r="AA1114" s="1" t="s">
        <v>40</v>
      </c>
      <c r="AB1114" s="1" t="s">
        <v>466</v>
      </c>
      <c r="AC1114" s="1">
        <v>5055.0</v>
      </c>
    </row>
    <row r="1115">
      <c r="A1115" s="1" t="str">
        <f t="shared" ref="A1115:A1116" si="80">"0007JZ"</f>
        <v>0007JZ</v>
      </c>
      <c r="B1115" s="1" t="s">
        <v>3492</v>
      </c>
      <c r="C1115" s="1" t="s">
        <v>3493</v>
      </c>
      <c r="D1115" s="1" t="str">
        <f t="shared" ref="D1115:D1116" si="81">"8028773309"</f>
        <v>8028773309</v>
      </c>
      <c r="E1115" s="1">
        <v>850.0</v>
      </c>
      <c r="F1115" s="1" t="s">
        <v>44</v>
      </c>
      <c r="G1115" s="1" t="s">
        <v>4534</v>
      </c>
      <c r="H1115" s="1">
        <v>0.0</v>
      </c>
      <c r="I1115" s="1"/>
      <c r="J1115" s="1"/>
      <c r="K1115" s="1"/>
      <c r="L1115" s="1"/>
      <c r="M1115" s="1" t="s">
        <v>4535</v>
      </c>
      <c r="N1115" s="1" t="s">
        <v>161</v>
      </c>
      <c r="O1115" s="1" t="s">
        <v>576</v>
      </c>
      <c r="P1115" s="1"/>
      <c r="Q1115" s="3">
        <v>36892.0</v>
      </c>
      <c r="R1115" s="1"/>
      <c r="S1115" s="3">
        <v>34507.0</v>
      </c>
      <c r="T1115" s="1" t="s">
        <v>37</v>
      </c>
      <c r="U1115" s="1"/>
      <c r="V1115" s="1" t="s">
        <v>38</v>
      </c>
      <c r="W1115" s="1"/>
      <c r="X1115" s="1"/>
      <c r="Y1115" s="1" t="s">
        <v>49</v>
      </c>
      <c r="Z1115" s="1"/>
      <c r="AA1115" s="1" t="s">
        <v>40</v>
      </c>
      <c r="AB1115" s="1" t="s">
        <v>161</v>
      </c>
      <c r="AC1115" s="1"/>
    </row>
    <row r="1116">
      <c r="A1116" s="1" t="str">
        <f t="shared" si="80"/>
        <v>0007JZ</v>
      </c>
      <c r="B1116" s="1" t="s">
        <v>3492</v>
      </c>
      <c r="C1116" s="1" t="s">
        <v>3493</v>
      </c>
      <c r="D1116" s="1" t="str">
        <f t="shared" si="81"/>
        <v>8028773309</v>
      </c>
      <c r="E1116" s="1">
        <v>850.0</v>
      </c>
      <c r="F1116" s="1" t="s">
        <v>44</v>
      </c>
      <c r="G1116" s="1" t="s">
        <v>4536</v>
      </c>
      <c r="H1116" s="1">
        <v>0.0</v>
      </c>
      <c r="I1116" s="1"/>
      <c r="J1116" s="1"/>
      <c r="K1116" s="1"/>
      <c r="L1116" s="1"/>
      <c r="M1116" s="1" t="s">
        <v>4537</v>
      </c>
      <c r="N1116" s="1" t="s">
        <v>161</v>
      </c>
      <c r="O1116" s="1" t="s">
        <v>576</v>
      </c>
      <c r="P1116" s="1"/>
      <c r="Q1116" s="3">
        <v>36892.0</v>
      </c>
      <c r="R1116" s="1"/>
      <c r="S1116" s="3">
        <v>38566.0</v>
      </c>
      <c r="T1116" s="1" t="s">
        <v>37</v>
      </c>
      <c r="U1116" s="1"/>
      <c r="V1116" s="1" t="s">
        <v>38</v>
      </c>
      <c r="W1116" s="1"/>
      <c r="X1116" s="1"/>
      <c r="Y1116" s="1" t="s">
        <v>49</v>
      </c>
      <c r="Z1116" s="1"/>
      <c r="AA1116" s="1" t="s">
        <v>40</v>
      </c>
      <c r="AB1116" s="1" t="s">
        <v>161</v>
      </c>
      <c r="AC1116" s="1"/>
    </row>
    <row r="1117">
      <c r="A1117" s="1" t="str">
        <f>"0007WA"</f>
        <v>0007WA</v>
      </c>
      <c r="B1117" s="1" t="s">
        <v>157</v>
      </c>
      <c r="C1117" s="1" t="s">
        <v>158</v>
      </c>
      <c r="D1117" s="1" t="str">
        <f>"8029482057"</f>
        <v>8029482057</v>
      </c>
      <c r="E1117" s="1">
        <v>1217.0</v>
      </c>
      <c r="F1117" s="1" t="s">
        <v>31</v>
      </c>
      <c r="G1117" s="1" t="s">
        <v>4538</v>
      </c>
      <c r="H1117" s="1">
        <v>38.0</v>
      </c>
      <c r="I1117" s="1"/>
      <c r="J1117" s="1"/>
      <c r="K1117" s="1"/>
      <c r="L1117" s="1"/>
      <c r="M1117" s="1" t="s">
        <v>4539</v>
      </c>
      <c r="N1117" s="1" t="s">
        <v>161</v>
      </c>
      <c r="O1117" s="1" t="s">
        <v>769</v>
      </c>
      <c r="P1117" s="1" t="s">
        <v>4540</v>
      </c>
      <c r="Q1117" s="3">
        <v>36892.0</v>
      </c>
      <c r="R1117" s="1"/>
      <c r="S1117" s="3">
        <v>38917.0</v>
      </c>
      <c r="T1117" s="1" t="s">
        <v>164</v>
      </c>
      <c r="U1117" s="1"/>
      <c r="V1117" s="1" t="s">
        <v>38</v>
      </c>
      <c r="W1117" s="1"/>
      <c r="X1117" s="1"/>
      <c r="Y1117" s="1" t="s">
        <v>49</v>
      </c>
      <c r="Z1117" s="1"/>
      <c r="AA1117" s="1" t="s">
        <v>40</v>
      </c>
      <c r="AB1117" s="1" t="s">
        <v>770</v>
      </c>
      <c r="AC1117" s="1">
        <v>0.0</v>
      </c>
    </row>
    <row r="1118">
      <c r="A1118" s="1" t="str">
        <f>"00070D"</f>
        <v>00070D</v>
      </c>
      <c r="B1118" s="1" t="s">
        <v>527</v>
      </c>
      <c r="C1118" s="1" t="s">
        <v>528</v>
      </c>
      <c r="D1118" s="1" t="str">
        <f>"8024923458"</f>
        <v>8024923458</v>
      </c>
      <c r="E1118" s="1">
        <v>41.0</v>
      </c>
      <c r="F1118" s="1" t="s">
        <v>31</v>
      </c>
      <c r="G1118" s="1" t="s">
        <v>4541</v>
      </c>
      <c r="H1118" s="1">
        <v>20.0</v>
      </c>
      <c r="I1118" s="1"/>
      <c r="J1118" s="1"/>
      <c r="K1118" s="1"/>
      <c r="L1118" s="1"/>
      <c r="M1118" s="1" t="s">
        <v>4542</v>
      </c>
      <c r="N1118" s="1" t="s">
        <v>161</v>
      </c>
      <c r="O1118" s="1" t="s">
        <v>1053</v>
      </c>
      <c r="P1118" s="1"/>
      <c r="Q1118" s="3">
        <v>36892.0</v>
      </c>
      <c r="R1118" s="1"/>
      <c r="S1118" s="3">
        <v>40471.0</v>
      </c>
      <c r="T1118" s="1" t="s">
        <v>37</v>
      </c>
      <c r="U1118" s="1"/>
      <c r="V1118" s="1" t="s">
        <v>38</v>
      </c>
      <c r="W1118" s="1"/>
      <c r="X1118" s="1"/>
      <c r="Y1118" s="1" t="s">
        <v>49</v>
      </c>
      <c r="Z1118" s="1"/>
      <c r="AA1118" s="1" t="s">
        <v>40</v>
      </c>
      <c r="AB1118" s="1" t="s">
        <v>1054</v>
      </c>
      <c r="AC1118" s="1"/>
    </row>
    <row r="1119">
      <c r="A1119" s="1" t="str">
        <f>"0007B3"</f>
        <v>0007B3</v>
      </c>
      <c r="B1119" s="1" t="s">
        <v>4543</v>
      </c>
      <c r="C1119" s="1" t="s">
        <v>4544</v>
      </c>
      <c r="D1119" s="1" t="str">
        <f>"8028786323"</f>
        <v>8028786323</v>
      </c>
      <c r="E1119" s="1">
        <v>3015.0</v>
      </c>
      <c r="F1119" s="1" t="s">
        <v>31</v>
      </c>
      <c r="G1119" s="1" t="s">
        <v>4545</v>
      </c>
      <c r="H1119" s="1">
        <v>2.0</v>
      </c>
      <c r="I1119" s="1"/>
      <c r="J1119" s="1"/>
      <c r="K1119" s="1"/>
      <c r="L1119" s="1"/>
      <c r="M1119" s="1" t="s">
        <v>4546</v>
      </c>
      <c r="N1119" s="1" t="s">
        <v>57</v>
      </c>
      <c r="O1119" s="1" t="s">
        <v>509</v>
      </c>
      <c r="P1119" s="1" t="s">
        <v>4547</v>
      </c>
      <c r="Q1119" s="3">
        <v>36892.0</v>
      </c>
      <c r="R1119" s="1"/>
      <c r="S1119" s="3">
        <v>35635.0</v>
      </c>
      <c r="T1119" s="1" t="s">
        <v>37</v>
      </c>
      <c r="U1119" s="1"/>
      <c r="V1119" s="1" t="s">
        <v>38</v>
      </c>
      <c r="W1119" s="1">
        <v>44.4878189999999</v>
      </c>
      <c r="X1119" s="1">
        <v>-73.0777339999999</v>
      </c>
      <c r="Y1119" s="1" t="s">
        <v>4548</v>
      </c>
      <c r="Z1119" s="1"/>
      <c r="AA1119" s="1" t="s">
        <v>40</v>
      </c>
      <c r="AB1119" s="1" t="s">
        <v>3296</v>
      </c>
      <c r="AC1119" s="1">
        <v>5452.0</v>
      </c>
    </row>
    <row r="1120">
      <c r="A1120" s="1" t="str">
        <f t="shared" ref="A1120:A1123" si="82">"00070D"</f>
        <v>00070D</v>
      </c>
      <c r="B1120" s="1" t="s">
        <v>527</v>
      </c>
      <c r="C1120" s="1" t="s">
        <v>528</v>
      </c>
      <c r="D1120" s="1" t="str">
        <f t="shared" ref="D1120:D1123" si="83">"8024923458"</f>
        <v>8024923458</v>
      </c>
      <c r="E1120" s="1">
        <v>41.0</v>
      </c>
      <c r="F1120" s="1" t="s">
        <v>31</v>
      </c>
      <c r="G1120" s="1" t="s">
        <v>4549</v>
      </c>
      <c r="H1120" s="1">
        <v>20.0</v>
      </c>
      <c r="I1120" s="1"/>
      <c r="J1120" s="1"/>
      <c r="K1120" s="1"/>
      <c r="L1120" s="1"/>
      <c r="M1120" s="1" t="s">
        <v>4550</v>
      </c>
      <c r="N1120" s="1" t="s">
        <v>161</v>
      </c>
      <c r="O1120" s="1" t="s">
        <v>531</v>
      </c>
      <c r="P1120" s="1" t="s">
        <v>4551</v>
      </c>
      <c r="Q1120" s="3">
        <v>36892.0</v>
      </c>
      <c r="R1120" s="1"/>
      <c r="S1120" s="3">
        <v>41948.0</v>
      </c>
      <c r="T1120" s="1" t="s">
        <v>37</v>
      </c>
      <c r="U1120" s="1"/>
      <c r="V1120" s="1" t="s">
        <v>38</v>
      </c>
      <c r="W1120" s="1">
        <v>43.84471</v>
      </c>
      <c r="X1120" s="1">
        <v>-73.32621</v>
      </c>
      <c r="Y1120" s="1" t="s">
        <v>4552</v>
      </c>
      <c r="Z1120" s="1"/>
      <c r="AA1120" s="1" t="s">
        <v>40</v>
      </c>
      <c r="AB1120" s="1" t="s">
        <v>532</v>
      </c>
      <c r="AC1120" s="1">
        <v>5760.0</v>
      </c>
    </row>
    <row r="1121">
      <c r="A1121" s="1" t="str">
        <f t="shared" si="82"/>
        <v>00070D</v>
      </c>
      <c r="B1121" s="1" t="s">
        <v>527</v>
      </c>
      <c r="C1121" s="1" t="s">
        <v>528</v>
      </c>
      <c r="D1121" s="1" t="str">
        <f t="shared" si="83"/>
        <v>8024923458</v>
      </c>
      <c r="E1121" s="1">
        <v>41.0</v>
      </c>
      <c r="F1121" s="1" t="s">
        <v>31</v>
      </c>
      <c r="G1121" s="1" t="s">
        <v>4553</v>
      </c>
      <c r="H1121" s="1">
        <v>18.0</v>
      </c>
      <c r="I1121" s="1"/>
      <c r="J1121" s="1"/>
      <c r="K1121" s="1"/>
      <c r="L1121" s="1"/>
      <c r="M1121" s="1" t="s">
        <v>4554</v>
      </c>
      <c r="N1121" s="1" t="s">
        <v>161</v>
      </c>
      <c r="O1121" s="1" t="s">
        <v>586</v>
      </c>
      <c r="P1121" s="1"/>
      <c r="Q1121" s="3">
        <v>36892.0</v>
      </c>
      <c r="R1121" s="1"/>
      <c r="S1121" s="3">
        <v>42208.0</v>
      </c>
      <c r="T1121" s="1" t="s">
        <v>37</v>
      </c>
      <c r="U1121" s="1"/>
      <c r="V1121" s="1" t="s">
        <v>38</v>
      </c>
      <c r="W1121" s="1">
        <v>43.95199</v>
      </c>
      <c r="X1121" s="1">
        <v>-73.38776</v>
      </c>
      <c r="Y1121" s="1" t="s">
        <v>4555</v>
      </c>
      <c r="Z1121" s="1"/>
      <c r="AA1121" s="1" t="s">
        <v>40</v>
      </c>
      <c r="AB1121" s="1" t="s">
        <v>589</v>
      </c>
      <c r="AC1121" s="1">
        <v>0.0</v>
      </c>
    </row>
    <row r="1122">
      <c r="A1122" s="1" t="str">
        <f t="shared" si="82"/>
        <v>00070D</v>
      </c>
      <c r="B1122" s="1" t="s">
        <v>527</v>
      </c>
      <c r="C1122" s="1" t="s">
        <v>528</v>
      </c>
      <c r="D1122" s="1" t="str">
        <f t="shared" si="83"/>
        <v>8024923458</v>
      </c>
      <c r="E1122" s="1">
        <v>41.0</v>
      </c>
      <c r="F1122" s="1" t="s">
        <v>31</v>
      </c>
      <c r="G1122" s="1" t="s">
        <v>4556</v>
      </c>
      <c r="H1122" s="1">
        <v>20.0</v>
      </c>
      <c r="I1122" s="1"/>
      <c r="J1122" s="1"/>
      <c r="K1122" s="1"/>
      <c r="L1122" s="1"/>
      <c r="M1122" s="1" t="s">
        <v>4557</v>
      </c>
      <c r="N1122" s="1" t="s">
        <v>161</v>
      </c>
      <c r="O1122" s="1" t="s">
        <v>586</v>
      </c>
      <c r="P1122" s="1"/>
      <c r="Q1122" s="3">
        <v>36892.0</v>
      </c>
      <c r="R1122" s="1"/>
      <c r="S1122" s="3">
        <v>41932.0</v>
      </c>
      <c r="T1122" s="1" t="s">
        <v>37</v>
      </c>
      <c r="U1122" s="1"/>
      <c r="V1122" s="1" t="s">
        <v>38</v>
      </c>
      <c r="W1122" s="1">
        <v>43.95715</v>
      </c>
      <c r="X1122" s="1">
        <v>-73.3217599999999</v>
      </c>
      <c r="Y1122" s="1" t="s">
        <v>4558</v>
      </c>
      <c r="Z1122" s="1"/>
      <c r="AA1122" s="1" t="s">
        <v>40</v>
      </c>
      <c r="AB1122" s="1" t="s">
        <v>589</v>
      </c>
      <c r="AC1122" s="1">
        <v>0.0</v>
      </c>
    </row>
    <row r="1123">
      <c r="A1123" s="1" t="str">
        <f t="shared" si="82"/>
        <v>00070D</v>
      </c>
      <c r="B1123" s="1" t="s">
        <v>527</v>
      </c>
      <c r="C1123" s="1" t="s">
        <v>528</v>
      </c>
      <c r="D1123" s="1" t="str">
        <f t="shared" si="83"/>
        <v>8024923458</v>
      </c>
      <c r="E1123" s="1">
        <v>41.0</v>
      </c>
      <c r="F1123" s="1" t="s">
        <v>31</v>
      </c>
      <c r="G1123" s="1" t="s">
        <v>4559</v>
      </c>
      <c r="H1123" s="1">
        <v>18.0</v>
      </c>
      <c r="I1123" s="1"/>
      <c r="J1123" s="1"/>
      <c r="K1123" s="1"/>
      <c r="L1123" s="1"/>
      <c r="M1123" s="1" t="s">
        <v>4560</v>
      </c>
      <c r="N1123" s="1" t="s">
        <v>161</v>
      </c>
      <c r="O1123" s="1" t="s">
        <v>162</v>
      </c>
      <c r="P1123" s="1"/>
      <c r="Q1123" s="3">
        <v>36892.0</v>
      </c>
      <c r="R1123" s="1"/>
      <c r="S1123" s="3">
        <v>41205.0</v>
      </c>
      <c r="T1123" s="1" t="s">
        <v>37</v>
      </c>
      <c r="U1123" s="1"/>
      <c r="V1123" s="1" t="s">
        <v>38</v>
      </c>
      <c r="W1123" s="1">
        <v>43.999722</v>
      </c>
      <c r="X1123" s="1">
        <v>-73.250833</v>
      </c>
      <c r="Y1123" s="1" t="s">
        <v>4561</v>
      </c>
      <c r="Z1123" s="1"/>
      <c r="AA1123" s="1" t="s">
        <v>40</v>
      </c>
      <c r="AB1123" s="1" t="s">
        <v>166</v>
      </c>
      <c r="AC1123" s="1">
        <v>0.0</v>
      </c>
    </row>
    <row r="1124">
      <c r="A1124" s="1" t="str">
        <f>"00090K"</f>
        <v>00090K</v>
      </c>
      <c r="B1124" s="1" t="s">
        <v>4562</v>
      </c>
      <c r="C1124" s="1" t="s">
        <v>4563</v>
      </c>
      <c r="D1124" s="1"/>
      <c r="E1124" s="1">
        <v>3575.0</v>
      </c>
      <c r="F1124" s="1" t="s">
        <v>44</v>
      </c>
      <c r="G1124" s="1" t="s">
        <v>4564</v>
      </c>
      <c r="H1124" s="1"/>
      <c r="I1124" s="1"/>
      <c r="J1124" s="1"/>
      <c r="K1124" s="1"/>
      <c r="L1124" s="1"/>
      <c r="M1124" s="1" t="s">
        <v>72</v>
      </c>
      <c r="N1124" s="1" t="s">
        <v>78</v>
      </c>
      <c r="O1124" s="1" t="s">
        <v>2574</v>
      </c>
      <c r="P1124" s="1"/>
      <c r="Q1124" s="3">
        <v>36892.0</v>
      </c>
      <c r="R1124" s="1"/>
      <c r="S1124" s="1"/>
      <c r="T1124" s="1" t="s">
        <v>37</v>
      </c>
      <c r="U1124" s="1"/>
      <c r="V1124" s="1" t="s">
        <v>38</v>
      </c>
      <c r="W1124" s="1"/>
      <c r="X1124" s="1"/>
      <c r="Y1124" s="1" t="s">
        <v>49</v>
      </c>
      <c r="Z1124" s="1"/>
      <c r="AA1124" s="1" t="s">
        <v>40</v>
      </c>
      <c r="AB1124" s="1" t="s">
        <v>2575</v>
      </c>
      <c r="AC1124" s="1"/>
    </row>
    <row r="1125">
      <c r="A1125" s="1" t="str">
        <f t="shared" ref="A1125:A1126" si="84">"00070D"</f>
        <v>00070D</v>
      </c>
      <c r="B1125" s="1" t="s">
        <v>527</v>
      </c>
      <c r="C1125" s="1" t="s">
        <v>528</v>
      </c>
      <c r="D1125" s="1" t="str">
        <f t="shared" ref="D1125:D1126" si="85">"8024923458"</f>
        <v>8024923458</v>
      </c>
      <c r="E1125" s="1">
        <v>41.0</v>
      </c>
      <c r="F1125" s="1" t="s">
        <v>31</v>
      </c>
      <c r="G1125" s="1" t="s">
        <v>4565</v>
      </c>
      <c r="H1125" s="1">
        <v>0.0</v>
      </c>
      <c r="I1125" s="1"/>
      <c r="J1125" s="1"/>
      <c r="K1125" s="1"/>
      <c r="L1125" s="1"/>
      <c r="M1125" s="1" t="s">
        <v>4566</v>
      </c>
      <c r="N1125" s="1" t="s">
        <v>161</v>
      </c>
      <c r="O1125" s="1" t="s">
        <v>576</v>
      </c>
      <c r="P1125" s="1"/>
      <c r="Q1125" s="3">
        <v>36892.0</v>
      </c>
      <c r="R1125" s="1"/>
      <c r="S1125" s="3">
        <v>40085.0</v>
      </c>
      <c r="T1125" s="1" t="s">
        <v>37</v>
      </c>
      <c r="U1125" s="1"/>
      <c r="V1125" s="1" t="s">
        <v>38</v>
      </c>
      <c r="W1125" s="1"/>
      <c r="X1125" s="1"/>
      <c r="Y1125" s="1" t="s">
        <v>4521</v>
      </c>
      <c r="Z1125" s="1"/>
      <c r="AA1125" s="1" t="s">
        <v>40</v>
      </c>
      <c r="AB1125" s="1" t="s">
        <v>161</v>
      </c>
      <c r="AC1125" s="1">
        <v>0.0</v>
      </c>
    </row>
    <row r="1126">
      <c r="A1126" s="1" t="str">
        <f t="shared" si="84"/>
        <v>00070D</v>
      </c>
      <c r="B1126" s="1" t="s">
        <v>527</v>
      </c>
      <c r="C1126" s="1" t="s">
        <v>528</v>
      </c>
      <c r="D1126" s="1" t="str">
        <f t="shared" si="85"/>
        <v>8024923458</v>
      </c>
      <c r="E1126" s="1">
        <v>41.0</v>
      </c>
      <c r="F1126" s="1" t="s">
        <v>31</v>
      </c>
      <c r="G1126" s="1" t="s">
        <v>4567</v>
      </c>
      <c r="H1126" s="1">
        <v>0.0</v>
      </c>
      <c r="I1126" s="1"/>
      <c r="J1126" s="1"/>
      <c r="K1126" s="1"/>
      <c r="L1126" s="1"/>
      <c r="M1126" s="1" t="s">
        <v>4568</v>
      </c>
      <c r="N1126" s="1" t="s">
        <v>161</v>
      </c>
      <c r="O1126" s="1" t="s">
        <v>576</v>
      </c>
      <c r="P1126" s="1"/>
      <c r="Q1126" s="3">
        <v>36892.0</v>
      </c>
      <c r="R1126" s="1"/>
      <c r="S1126" s="3">
        <v>39728.0</v>
      </c>
      <c r="T1126" s="1" t="s">
        <v>37</v>
      </c>
      <c r="U1126" s="1"/>
      <c r="V1126" s="1" t="s">
        <v>38</v>
      </c>
      <c r="W1126" s="1"/>
      <c r="X1126" s="1"/>
      <c r="Y1126" s="1" t="s">
        <v>49</v>
      </c>
      <c r="Z1126" s="1"/>
      <c r="AA1126" s="1" t="s">
        <v>40</v>
      </c>
      <c r="AB1126" s="1" t="s">
        <v>161</v>
      </c>
      <c r="AC1126" s="1">
        <v>0.0</v>
      </c>
    </row>
    <row r="1127">
      <c r="A1127" s="1" t="str">
        <f>"0007JP"</f>
        <v>0007JP</v>
      </c>
      <c r="B1127" s="1" t="s">
        <v>4569</v>
      </c>
      <c r="C1127" s="1" t="s">
        <v>4570</v>
      </c>
      <c r="D1127" s="1"/>
      <c r="E1127" s="1">
        <v>840.0</v>
      </c>
      <c r="F1127" s="1" t="s">
        <v>44</v>
      </c>
      <c r="G1127" s="1" t="s">
        <v>4571</v>
      </c>
      <c r="H1127" s="1">
        <v>2.0</v>
      </c>
      <c r="I1127" s="1"/>
      <c r="J1127" s="1"/>
      <c r="K1127" s="1"/>
      <c r="L1127" s="1"/>
      <c r="M1127" s="1" t="s">
        <v>4572</v>
      </c>
      <c r="N1127" s="1" t="s">
        <v>66</v>
      </c>
      <c r="O1127" s="1" t="s">
        <v>1944</v>
      </c>
      <c r="P1127" s="1"/>
      <c r="Q1127" s="3">
        <v>36892.0</v>
      </c>
      <c r="R1127" s="1"/>
      <c r="S1127" s="3">
        <v>32686.0</v>
      </c>
      <c r="T1127" s="1" t="s">
        <v>37</v>
      </c>
      <c r="U1127" s="1"/>
      <c r="V1127" s="1" t="s">
        <v>38</v>
      </c>
      <c r="W1127" s="1"/>
      <c r="X1127" s="1"/>
      <c r="Y1127" s="1" t="s">
        <v>49</v>
      </c>
      <c r="Z1127" s="1"/>
      <c r="AA1127" s="1" t="s">
        <v>40</v>
      </c>
      <c r="AB1127" s="1" t="s">
        <v>66</v>
      </c>
      <c r="AC1127" s="1"/>
    </row>
    <row r="1128">
      <c r="A1128" s="1" t="str">
        <f>"0007JN"</f>
        <v>0007JN</v>
      </c>
      <c r="B1128" s="1" t="s">
        <v>4573</v>
      </c>
      <c r="C1128" s="1" t="s">
        <v>4574</v>
      </c>
      <c r="D1128" s="1"/>
      <c r="E1128" s="1">
        <v>839.0</v>
      </c>
      <c r="F1128" s="1" t="s">
        <v>44</v>
      </c>
      <c r="G1128" s="1" t="s">
        <v>4575</v>
      </c>
      <c r="H1128" s="1">
        <v>2.0</v>
      </c>
      <c r="I1128" s="1"/>
      <c r="J1128" s="1"/>
      <c r="K1128" s="1"/>
      <c r="L1128" s="1"/>
      <c r="M1128" s="1" t="s">
        <v>4576</v>
      </c>
      <c r="N1128" s="1" t="s">
        <v>66</v>
      </c>
      <c r="O1128" s="1" t="s">
        <v>1411</v>
      </c>
      <c r="P1128" s="1"/>
      <c r="Q1128" s="3">
        <v>36892.0</v>
      </c>
      <c r="R1128" s="1"/>
      <c r="S1128" s="3">
        <v>32700.0</v>
      </c>
      <c r="T1128" s="1" t="s">
        <v>37</v>
      </c>
      <c r="U1128" s="1"/>
      <c r="V1128" s="1" t="s">
        <v>38</v>
      </c>
      <c r="W1128" s="1"/>
      <c r="X1128" s="1"/>
      <c r="Y1128" s="1" t="s">
        <v>49</v>
      </c>
      <c r="Z1128" s="1"/>
      <c r="AA1128" s="1" t="s">
        <v>40</v>
      </c>
      <c r="AB1128" s="1" t="s">
        <v>1412</v>
      </c>
      <c r="AC1128" s="1"/>
    </row>
    <row r="1129">
      <c r="A1129" s="1" t="str">
        <f>"0007JM"</f>
        <v>0007JM</v>
      </c>
      <c r="B1129" s="1" t="s">
        <v>4577</v>
      </c>
      <c r="C1129" s="1" t="s">
        <v>4578</v>
      </c>
      <c r="D1129" s="1"/>
      <c r="E1129" s="1">
        <v>837.0</v>
      </c>
      <c r="F1129" s="1" t="s">
        <v>44</v>
      </c>
      <c r="G1129" s="1" t="s">
        <v>4579</v>
      </c>
      <c r="H1129" s="1">
        <v>2.0</v>
      </c>
      <c r="I1129" s="1"/>
      <c r="J1129" s="1"/>
      <c r="K1129" s="1"/>
      <c r="L1129" s="1"/>
      <c r="M1129" s="1" t="s">
        <v>4580</v>
      </c>
      <c r="N1129" s="1" t="s">
        <v>66</v>
      </c>
      <c r="O1129" s="1" t="s">
        <v>1411</v>
      </c>
      <c r="P1129" s="1"/>
      <c r="Q1129" s="3">
        <v>36892.0</v>
      </c>
      <c r="R1129" s="1"/>
      <c r="S1129" s="3">
        <v>32700.0</v>
      </c>
      <c r="T1129" s="1" t="s">
        <v>37</v>
      </c>
      <c r="U1129" s="1"/>
      <c r="V1129" s="1" t="s">
        <v>38</v>
      </c>
      <c r="W1129" s="1"/>
      <c r="X1129" s="1"/>
      <c r="Y1129" s="1" t="s">
        <v>49</v>
      </c>
      <c r="Z1129" s="1"/>
      <c r="AA1129" s="1" t="s">
        <v>40</v>
      </c>
      <c r="AB1129" s="1" t="s">
        <v>1412</v>
      </c>
      <c r="AC1129" s="1"/>
    </row>
    <row r="1130">
      <c r="A1130" s="1" t="str">
        <f>"0007JJ"</f>
        <v>0007JJ</v>
      </c>
      <c r="B1130" s="1" t="s">
        <v>4581</v>
      </c>
      <c r="C1130" s="1" t="s">
        <v>4582</v>
      </c>
      <c r="D1130" s="1" t="str">
        <f>"8024648145"</f>
        <v>8024648145</v>
      </c>
      <c r="E1130" s="1">
        <v>830.0</v>
      </c>
      <c r="F1130" s="1" t="s">
        <v>44</v>
      </c>
      <c r="G1130" s="1" t="s">
        <v>4583</v>
      </c>
      <c r="H1130" s="1">
        <v>2.0</v>
      </c>
      <c r="I1130" s="1"/>
      <c r="J1130" s="1"/>
      <c r="K1130" s="1"/>
      <c r="L1130" s="1"/>
      <c r="M1130" s="1" t="s">
        <v>4584</v>
      </c>
      <c r="N1130" s="1" t="s">
        <v>66</v>
      </c>
      <c r="O1130" s="1" t="s">
        <v>1411</v>
      </c>
      <c r="P1130" s="1"/>
      <c r="Q1130" s="3">
        <v>36892.0</v>
      </c>
      <c r="R1130" s="1"/>
      <c r="S1130" s="3">
        <v>32700.0</v>
      </c>
      <c r="T1130" s="1" t="s">
        <v>37</v>
      </c>
      <c r="U1130" s="1"/>
      <c r="V1130" s="1" t="s">
        <v>38</v>
      </c>
      <c r="W1130" s="1"/>
      <c r="X1130" s="1"/>
      <c r="Y1130" s="1" t="s">
        <v>49</v>
      </c>
      <c r="Z1130" s="1"/>
      <c r="AA1130" s="1" t="s">
        <v>40</v>
      </c>
      <c r="AB1130" s="1" t="s">
        <v>1412</v>
      </c>
      <c r="AC1130" s="1"/>
    </row>
    <row r="1131">
      <c r="A1131" s="1" t="str">
        <f>"0007JH"</f>
        <v>0007JH</v>
      </c>
      <c r="B1131" s="1" t="s">
        <v>4585</v>
      </c>
      <c r="C1131" s="1" t="s">
        <v>4586</v>
      </c>
      <c r="D1131" s="1" t="str">
        <f>"8027638769"</f>
        <v>8027638769</v>
      </c>
      <c r="E1131" s="1">
        <v>2609.0</v>
      </c>
      <c r="F1131" s="1" t="s">
        <v>44</v>
      </c>
      <c r="G1131" s="1" t="s">
        <v>4587</v>
      </c>
      <c r="H1131" s="1">
        <v>2.0</v>
      </c>
      <c r="I1131" s="1"/>
      <c r="J1131" s="1"/>
      <c r="K1131" s="1"/>
      <c r="L1131" s="1"/>
      <c r="M1131" s="1" t="s">
        <v>72</v>
      </c>
      <c r="N1131" s="1" t="s">
        <v>34</v>
      </c>
      <c r="O1131" s="1" t="s">
        <v>35</v>
      </c>
      <c r="P1131" s="1"/>
      <c r="Q1131" s="3">
        <v>36892.0</v>
      </c>
      <c r="R1131" s="1"/>
      <c r="S1131" s="3">
        <v>37095.0</v>
      </c>
      <c r="T1131" s="1" t="s">
        <v>37</v>
      </c>
      <c r="U1131" s="1"/>
      <c r="V1131" s="1" t="s">
        <v>38</v>
      </c>
      <c r="W1131" s="1"/>
      <c r="X1131" s="1"/>
      <c r="Y1131" s="1" t="s">
        <v>49</v>
      </c>
      <c r="Z1131" s="1"/>
      <c r="AA1131" s="1" t="s">
        <v>40</v>
      </c>
      <c r="AB1131" s="1" t="s">
        <v>345</v>
      </c>
      <c r="AC1131" s="1"/>
    </row>
    <row r="1132">
      <c r="A1132" s="1" t="str">
        <f>"0007JG"</f>
        <v>0007JG</v>
      </c>
      <c r="B1132" s="1" t="s">
        <v>4588</v>
      </c>
      <c r="C1132" s="1" t="s">
        <v>4589</v>
      </c>
      <c r="D1132" s="1"/>
      <c r="E1132" s="1">
        <v>826.0</v>
      </c>
      <c r="F1132" s="1" t="s">
        <v>44</v>
      </c>
      <c r="G1132" s="1" t="s">
        <v>4590</v>
      </c>
      <c r="H1132" s="1"/>
      <c r="I1132" s="1"/>
      <c r="J1132" s="1"/>
      <c r="K1132" s="1"/>
      <c r="L1132" s="1"/>
      <c r="M1132" s="1" t="s">
        <v>4591</v>
      </c>
      <c r="N1132" s="1" t="s">
        <v>66</v>
      </c>
      <c r="O1132" s="1" t="s">
        <v>113</v>
      </c>
      <c r="P1132" s="1"/>
      <c r="Q1132" s="3">
        <v>36892.0</v>
      </c>
      <c r="R1132" s="1"/>
      <c r="S1132" s="1"/>
      <c r="T1132" s="1" t="s">
        <v>37</v>
      </c>
      <c r="U1132" s="1"/>
      <c r="V1132" s="1" t="s">
        <v>38</v>
      </c>
      <c r="W1132" s="1"/>
      <c r="X1132" s="1"/>
      <c r="Y1132" s="1" t="s">
        <v>49</v>
      </c>
      <c r="Z1132" s="1"/>
      <c r="AA1132" s="1" t="s">
        <v>40</v>
      </c>
      <c r="AB1132" s="1" t="s">
        <v>114</v>
      </c>
      <c r="AC1132" s="1"/>
    </row>
    <row r="1133">
      <c r="A1133" s="1" t="str">
        <f>"0008N3"</f>
        <v>0008N3</v>
      </c>
      <c r="B1133" s="1" t="s">
        <v>1553</v>
      </c>
      <c r="C1133" s="1" t="s">
        <v>1554</v>
      </c>
      <c r="D1133" s="1" t="str">
        <f>"8023284085"</f>
        <v>8023284085</v>
      </c>
      <c r="E1133" s="1">
        <v>3177.0</v>
      </c>
      <c r="F1133" s="1" t="s">
        <v>44</v>
      </c>
      <c r="G1133" s="1" t="s">
        <v>4592</v>
      </c>
      <c r="H1133" s="1">
        <v>10.0</v>
      </c>
      <c r="I1133" s="1"/>
      <c r="J1133" s="1"/>
      <c r="K1133" s="1"/>
      <c r="L1133" s="1"/>
      <c r="M1133" s="1" t="s">
        <v>4593</v>
      </c>
      <c r="N1133" s="1" t="s">
        <v>331</v>
      </c>
      <c r="O1133" s="1" t="s">
        <v>1557</v>
      </c>
      <c r="P1133" s="1"/>
      <c r="Q1133" s="3">
        <v>36892.0</v>
      </c>
      <c r="R1133" s="1"/>
      <c r="S1133" s="3">
        <v>36360.0</v>
      </c>
      <c r="T1133" s="1" t="s">
        <v>37</v>
      </c>
      <c r="U1133" s="1"/>
      <c r="V1133" s="1" t="s">
        <v>38</v>
      </c>
      <c r="W1133" s="1"/>
      <c r="X1133" s="1"/>
      <c r="Y1133" s="1" t="s">
        <v>49</v>
      </c>
      <c r="Z1133" s="1"/>
      <c r="AA1133" s="1" t="s">
        <v>40</v>
      </c>
      <c r="AB1133" s="1" t="s">
        <v>1558</v>
      </c>
      <c r="AC1133" s="1"/>
    </row>
    <row r="1134">
      <c r="A1134" s="1" t="str">
        <f>"00085M"</f>
        <v>00085M</v>
      </c>
      <c r="B1134" s="1" t="s">
        <v>4594</v>
      </c>
      <c r="C1134" s="1" t="s">
        <v>4595</v>
      </c>
      <c r="D1134" s="1" t="str">
        <f>"8028744113"</f>
        <v>8028744113</v>
      </c>
      <c r="E1134" s="1">
        <v>3127.0</v>
      </c>
      <c r="F1134" s="1" t="s">
        <v>44</v>
      </c>
      <c r="G1134" s="1" t="s">
        <v>4596</v>
      </c>
      <c r="H1134" s="1">
        <v>1.0</v>
      </c>
      <c r="I1134" s="2" t="s">
        <v>119</v>
      </c>
      <c r="J1134" s="2">
        <v>1.0</v>
      </c>
      <c r="K1134" s="2" t="s">
        <v>119</v>
      </c>
      <c r="L1134" s="1"/>
      <c r="M1134" s="1" t="s">
        <v>4597</v>
      </c>
      <c r="N1134" s="1" t="s">
        <v>66</v>
      </c>
      <c r="O1134" s="1" t="s">
        <v>751</v>
      </c>
      <c r="P1134" s="1" t="s">
        <v>36</v>
      </c>
      <c r="Q1134" s="3">
        <v>36892.0</v>
      </c>
      <c r="R1134" s="1"/>
      <c r="S1134" s="3">
        <v>37165.0</v>
      </c>
      <c r="T1134" s="1" t="s">
        <v>37</v>
      </c>
      <c r="U1134" s="1"/>
      <c r="V1134" s="1" t="s">
        <v>38</v>
      </c>
      <c r="W1134" s="1">
        <v>43.1450235599652</v>
      </c>
      <c r="X1134" s="1">
        <v>-72.8671431541442</v>
      </c>
      <c r="Y1134" s="1" t="s">
        <v>4598</v>
      </c>
      <c r="Z1134" s="1"/>
      <c r="AA1134" s="1" t="s">
        <v>40</v>
      </c>
      <c r="AB1134" s="1" t="s">
        <v>754</v>
      </c>
      <c r="AC1134" s="1">
        <v>5343.0</v>
      </c>
    </row>
    <row r="1135">
      <c r="A1135" s="1" t="str">
        <f>"0007JB"</f>
        <v>0007JB</v>
      </c>
      <c r="B1135" s="1" t="s">
        <v>4599</v>
      </c>
      <c r="C1135" s="1" t="s">
        <v>4600</v>
      </c>
      <c r="D1135" s="1" t="str">
        <f>"8027483364"</f>
        <v>8027483364</v>
      </c>
      <c r="E1135" s="1">
        <v>3161.0</v>
      </c>
      <c r="F1135" s="1" t="s">
        <v>31</v>
      </c>
      <c r="G1135" s="1" t="s">
        <v>4601</v>
      </c>
      <c r="H1135" s="1">
        <v>1.0</v>
      </c>
      <c r="I1135" s="1"/>
      <c r="J1135" s="1"/>
      <c r="K1135" s="1"/>
      <c r="L1135" s="1"/>
      <c r="M1135" s="1" t="s">
        <v>72</v>
      </c>
      <c r="N1135" s="1" t="s">
        <v>128</v>
      </c>
      <c r="O1135" s="1" t="s">
        <v>1707</v>
      </c>
      <c r="P1135" s="1" t="s">
        <v>4602</v>
      </c>
      <c r="Q1135" s="3">
        <v>36892.0</v>
      </c>
      <c r="R1135" s="1"/>
      <c r="S1135" s="1"/>
      <c r="T1135" s="1" t="s">
        <v>37</v>
      </c>
      <c r="U1135" s="1"/>
      <c r="V1135" s="1" t="s">
        <v>38</v>
      </c>
      <c r="W1135" s="1">
        <v>44.456638</v>
      </c>
      <c r="X1135" s="1">
        <v>-72.0439069999999</v>
      </c>
      <c r="Y1135" s="1" t="s">
        <v>4603</v>
      </c>
      <c r="Z1135" s="1"/>
      <c r="AA1135" s="1" t="s">
        <v>40</v>
      </c>
      <c r="AB1135" s="1" t="s">
        <v>196</v>
      </c>
      <c r="AC1135" s="1">
        <v>5819.0</v>
      </c>
    </row>
    <row r="1136">
      <c r="A1136" s="1" t="str">
        <f>"0007J8"</f>
        <v>0007J8</v>
      </c>
      <c r="B1136" s="1" t="s">
        <v>2043</v>
      </c>
      <c r="C1136" s="1" t="s">
        <v>2044</v>
      </c>
      <c r="D1136" s="1" t="str">
        <f>"8027224144"</f>
        <v>8027224144</v>
      </c>
      <c r="E1136" s="1">
        <v>818.0</v>
      </c>
      <c r="F1136" s="1" t="s">
        <v>44</v>
      </c>
      <c r="G1136" s="1" t="s">
        <v>4604</v>
      </c>
      <c r="H1136" s="1">
        <v>4.0</v>
      </c>
      <c r="I1136" s="1"/>
      <c r="J1136" s="1"/>
      <c r="K1136" s="1"/>
      <c r="L1136" s="1"/>
      <c r="M1136" s="1" t="s">
        <v>4605</v>
      </c>
      <c r="N1136" s="1" t="s">
        <v>66</v>
      </c>
      <c r="O1136" s="1" t="s">
        <v>113</v>
      </c>
      <c r="P1136" s="1"/>
      <c r="Q1136" s="3">
        <v>36892.0</v>
      </c>
      <c r="R1136" s="1"/>
      <c r="S1136" s="3">
        <v>32673.0</v>
      </c>
      <c r="T1136" s="1" t="s">
        <v>37</v>
      </c>
      <c r="U1136" s="1"/>
      <c r="V1136" s="1" t="s">
        <v>38</v>
      </c>
      <c r="W1136" s="1"/>
      <c r="X1136" s="1"/>
      <c r="Y1136" s="1" t="s">
        <v>49</v>
      </c>
      <c r="Z1136" s="1"/>
      <c r="AA1136" s="1" t="s">
        <v>40</v>
      </c>
      <c r="AB1136" s="1" t="s">
        <v>114</v>
      </c>
      <c r="AC1136" s="1"/>
    </row>
    <row r="1137">
      <c r="A1137" s="1" t="str">
        <f>"0007VW"</f>
        <v>0007VW</v>
      </c>
      <c r="B1137" s="1" t="s">
        <v>3725</v>
      </c>
      <c r="C1137" s="1" t="s">
        <v>3726</v>
      </c>
      <c r="D1137" s="1" t="str">
        <f>"8022445889"</f>
        <v>8022445889</v>
      </c>
      <c r="E1137" s="1">
        <v>1177.0</v>
      </c>
      <c r="F1137" s="1" t="s">
        <v>44</v>
      </c>
      <c r="G1137" s="1" t="s">
        <v>4606</v>
      </c>
      <c r="H1137" s="1"/>
      <c r="I1137" s="1"/>
      <c r="J1137" s="1"/>
      <c r="K1137" s="1"/>
      <c r="L1137" s="1"/>
      <c r="M1137" s="1" t="s">
        <v>4607</v>
      </c>
      <c r="N1137" s="1" t="s">
        <v>135</v>
      </c>
      <c r="O1137" s="1" t="s">
        <v>2331</v>
      </c>
      <c r="P1137" s="1"/>
      <c r="Q1137" s="3">
        <v>36892.0</v>
      </c>
      <c r="R1137" s="1"/>
      <c r="S1137" s="1"/>
      <c r="T1137" s="1" t="s">
        <v>37</v>
      </c>
      <c r="U1137" s="1"/>
      <c r="V1137" s="1" t="s">
        <v>38</v>
      </c>
      <c r="W1137" s="1"/>
      <c r="X1137" s="1"/>
      <c r="Y1137" s="1" t="s">
        <v>49</v>
      </c>
      <c r="Z1137" s="1"/>
      <c r="AA1137" s="1" t="s">
        <v>40</v>
      </c>
      <c r="AB1137" s="1" t="s">
        <v>2332</v>
      </c>
      <c r="AC1137" s="1"/>
    </row>
    <row r="1138">
      <c r="A1138" s="1" t="str">
        <f>"00094M"</f>
        <v>00094M</v>
      </c>
      <c r="B1138" s="1" t="s">
        <v>4608</v>
      </c>
      <c r="C1138" s="1" t="s">
        <v>4609</v>
      </c>
      <c r="D1138" s="1" t="str">
        <f>"8024966680"</f>
        <v>8024966680</v>
      </c>
      <c r="E1138" s="1">
        <v>3880.0</v>
      </c>
      <c r="F1138" s="1" t="s">
        <v>117</v>
      </c>
      <c r="G1138" s="1" t="s">
        <v>4610</v>
      </c>
      <c r="H1138" s="1">
        <v>2.0</v>
      </c>
      <c r="I1138" s="2">
        <v>0.0</v>
      </c>
      <c r="J1138" s="2">
        <v>0.0</v>
      </c>
      <c r="K1138" s="2" t="s">
        <v>119</v>
      </c>
      <c r="L1138" s="2" t="s">
        <v>2923</v>
      </c>
      <c r="M1138" s="1" t="s">
        <v>4611</v>
      </c>
      <c r="N1138" s="1" t="s">
        <v>135</v>
      </c>
      <c r="O1138" s="1" t="s">
        <v>440</v>
      </c>
      <c r="P1138" s="1" t="s">
        <v>4612</v>
      </c>
      <c r="Q1138" s="3">
        <v>36892.0</v>
      </c>
      <c r="R1138" s="1"/>
      <c r="S1138" s="3">
        <v>41485.0</v>
      </c>
      <c r="T1138" s="1" t="s">
        <v>37</v>
      </c>
      <c r="U1138" s="1"/>
      <c r="V1138" s="1" t="s">
        <v>38</v>
      </c>
      <c r="W1138" s="1">
        <v>44.17454</v>
      </c>
      <c r="X1138" s="1">
        <v>-72.80048</v>
      </c>
      <c r="Y1138" s="1" t="s">
        <v>4613</v>
      </c>
      <c r="Z1138" s="1"/>
      <c r="AA1138" s="1" t="s">
        <v>40</v>
      </c>
      <c r="AB1138" s="1" t="s">
        <v>441</v>
      </c>
      <c r="AC1138" s="1">
        <v>5673.0</v>
      </c>
    </row>
    <row r="1139">
      <c r="A1139" s="1" t="str">
        <f>"0007Z3"</f>
        <v>0007Z3</v>
      </c>
      <c r="B1139" s="1" t="s">
        <v>4614</v>
      </c>
      <c r="C1139" s="1" t="s">
        <v>4615</v>
      </c>
      <c r="D1139" s="1"/>
      <c r="E1139" s="1">
        <v>2882.0</v>
      </c>
      <c r="F1139" s="1" t="s">
        <v>44</v>
      </c>
      <c r="G1139" s="1" t="s">
        <v>4616</v>
      </c>
      <c r="H1139" s="1"/>
      <c r="I1139" s="1"/>
      <c r="J1139" s="1"/>
      <c r="K1139" s="1"/>
      <c r="L1139" s="1"/>
      <c r="M1139" s="1" t="s">
        <v>4617</v>
      </c>
      <c r="N1139" s="1" t="s">
        <v>213</v>
      </c>
      <c r="O1139" s="1" t="s">
        <v>2156</v>
      </c>
      <c r="P1139" s="1"/>
      <c r="Q1139" s="3">
        <v>36892.0</v>
      </c>
      <c r="R1139" s="1"/>
      <c r="S1139" s="1"/>
      <c r="T1139" s="1" t="s">
        <v>37</v>
      </c>
      <c r="U1139" s="1"/>
      <c r="V1139" s="1" t="s">
        <v>38</v>
      </c>
      <c r="W1139" s="1"/>
      <c r="X1139" s="1"/>
      <c r="Y1139" s="1" t="s">
        <v>49</v>
      </c>
      <c r="Z1139" s="1"/>
      <c r="AA1139" s="1" t="s">
        <v>40</v>
      </c>
      <c r="AB1139" s="1" t="s">
        <v>2157</v>
      </c>
      <c r="AC1139" s="1"/>
    </row>
    <row r="1140">
      <c r="A1140" s="1" t="str">
        <f>"0007J3"</f>
        <v>0007J3</v>
      </c>
      <c r="B1140" s="1" t="s">
        <v>4618</v>
      </c>
      <c r="C1140" s="1" t="s">
        <v>4619</v>
      </c>
      <c r="D1140" s="1" t="str">
        <f>"8023874555"</f>
        <v>8023874555</v>
      </c>
      <c r="E1140" s="1">
        <v>810.0</v>
      </c>
      <c r="F1140" s="1" t="s">
        <v>44</v>
      </c>
      <c r="G1140" s="1" t="s">
        <v>4620</v>
      </c>
      <c r="H1140" s="1">
        <v>0.0</v>
      </c>
      <c r="I1140" s="1"/>
      <c r="J1140" s="1"/>
      <c r="K1140" s="1"/>
      <c r="L1140" s="1"/>
      <c r="M1140" s="1" t="s">
        <v>4621</v>
      </c>
      <c r="N1140" s="1" t="s">
        <v>66</v>
      </c>
      <c r="O1140" s="1" t="s">
        <v>113</v>
      </c>
      <c r="P1140" s="1"/>
      <c r="Q1140" s="3">
        <v>36892.0</v>
      </c>
      <c r="R1140" s="1"/>
      <c r="S1140" s="3">
        <v>32308.0</v>
      </c>
      <c r="T1140" s="1" t="s">
        <v>37</v>
      </c>
      <c r="U1140" s="1"/>
      <c r="V1140" s="1" t="s">
        <v>38</v>
      </c>
      <c r="W1140" s="1"/>
      <c r="X1140" s="1"/>
      <c r="Y1140" s="1" t="s">
        <v>49</v>
      </c>
      <c r="Z1140" s="1"/>
      <c r="AA1140" s="1" t="s">
        <v>40</v>
      </c>
      <c r="AB1140" s="1" t="s">
        <v>114</v>
      </c>
      <c r="AC1140" s="1"/>
    </row>
    <row r="1141">
      <c r="A1141" s="1" t="str">
        <f>"0007J2"</f>
        <v>0007J2</v>
      </c>
      <c r="B1141" s="1" t="s">
        <v>4622</v>
      </c>
      <c r="C1141" s="1" t="s">
        <v>4623</v>
      </c>
      <c r="D1141" s="1" t="str">
        <f>"8028858408"</f>
        <v>8028858408</v>
      </c>
      <c r="E1141" s="1">
        <v>3886.0</v>
      </c>
      <c r="F1141" s="1" t="s">
        <v>117</v>
      </c>
      <c r="G1141" s="1" t="s">
        <v>4624</v>
      </c>
      <c r="H1141" s="1">
        <v>7.0</v>
      </c>
      <c r="I1141" s="2" t="s">
        <v>119</v>
      </c>
      <c r="J1141" s="2" t="s">
        <v>119</v>
      </c>
      <c r="K1141" s="2" t="s">
        <v>119</v>
      </c>
      <c r="L1141" s="1"/>
      <c r="M1141" s="1" t="s">
        <v>4625</v>
      </c>
      <c r="N1141" s="1" t="s">
        <v>34</v>
      </c>
      <c r="O1141" s="1" t="s">
        <v>642</v>
      </c>
      <c r="P1141" s="1" t="s">
        <v>4626</v>
      </c>
      <c r="Q1141" s="3">
        <v>36892.0</v>
      </c>
      <c r="R1141" s="1"/>
      <c r="S1141" s="3">
        <v>39686.0</v>
      </c>
      <c r="T1141" s="1" t="s">
        <v>37</v>
      </c>
      <c r="U1141" s="1"/>
      <c r="V1141" s="1" t="s">
        <v>38</v>
      </c>
      <c r="W1141" s="1">
        <v>43.2984078</v>
      </c>
      <c r="X1141" s="1">
        <v>-72.4823116999999</v>
      </c>
      <c r="Y1141" s="1" t="s">
        <v>4627</v>
      </c>
      <c r="Z1141" s="1"/>
      <c r="AA1141" s="1" t="s">
        <v>40</v>
      </c>
      <c r="AB1141" s="1" t="s">
        <v>643</v>
      </c>
      <c r="AC1141" s="1">
        <v>5156.0</v>
      </c>
    </row>
    <row r="1142">
      <c r="A1142" s="1" t="str">
        <f>"00075C"</f>
        <v>00075C</v>
      </c>
      <c r="B1142" s="1" t="s">
        <v>4628</v>
      </c>
      <c r="C1142" s="1" t="s">
        <v>4629</v>
      </c>
      <c r="D1142" s="1" t="str">
        <f>"8022235966"</f>
        <v>8022235966</v>
      </c>
      <c r="E1142" s="1">
        <v>3719.0</v>
      </c>
      <c r="F1142" s="1" t="s">
        <v>44</v>
      </c>
      <c r="G1142" s="1" t="s">
        <v>4630</v>
      </c>
      <c r="H1142" s="1">
        <v>0.0</v>
      </c>
      <c r="I1142" s="2" t="s">
        <v>119</v>
      </c>
      <c r="J1142" s="2" t="s">
        <v>119</v>
      </c>
      <c r="K1142" s="2" t="s">
        <v>119</v>
      </c>
      <c r="L1142" s="1"/>
      <c r="M1142" s="1" t="s">
        <v>4631</v>
      </c>
      <c r="N1142" s="1" t="s">
        <v>135</v>
      </c>
      <c r="O1142" s="1" t="s">
        <v>3116</v>
      </c>
      <c r="P1142" s="1" t="s">
        <v>4632</v>
      </c>
      <c r="Q1142" s="3">
        <v>36892.0</v>
      </c>
      <c r="R1142" s="1"/>
      <c r="S1142" s="3">
        <v>42836.0</v>
      </c>
      <c r="T1142" s="1" t="s">
        <v>37</v>
      </c>
      <c r="U1142" s="1"/>
      <c r="V1142" s="1" t="s">
        <v>38</v>
      </c>
      <c r="W1142" s="1">
        <v>44.2916312059847</v>
      </c>
      <c r="X1142" s="1">
        <v>-72.5780452787876</v>
      </c>
      <c r="Y1142" s="1" t="s">
        <v>4633</v>
      </c>
      <c r="Z1142" s="1"/>
      <c r="AA1142" s="1" t="s">
        <v>40</v>
      </c>
      <c r="AB1142" s="1" t="s">
        <v>1145</v>
      </c>
      <c r="AC1142" s="1">
        <v>5602.0</v>
      </c>
    </row>
    <row r="1143">
      <c r="A1143" s="1" t="str">
        <f>"0007J0"</f>
        <v>0007J0</v>
      </c>
      <c r="B1143" s="1" t="s">
        <v>4634</v>
      </c>
      <c r="C1143" s="1" t="s">
        <v>4635</v>
      </c>
      <c r="D1143" s="1" t="str">
        <f>"8024855683"</f>
        <v>8024855683</v>
      </c>
      <c r="E1143" s="1">
        <v>3631.0</v>
      </c>
      <c r="F1143" s="1" t="s">
        <v>44</v>
      </c>
      <c r="G1143" s="1" t="s">
        <v>4636</v>
      </c>
      <c r="H1143" s="1"/>
      <c r="I1143" s="1"/>
      <c r="J1143" s="1"/>
      <c r="K1143" s="1"/>
      <c r="L1143" s="1"/>
      <c r="M1143" s="1" t="s">
        <v>4637</v>
      </c>
      <c r="N1143" s="1" t="s">
        <v>135</v>
      </c>
      <c r="O1143" s="1" t="s">
        <v>136</v>
      </c>
      <c r="P1143" s="1"/>
      <c r="Q1143" s="3">
        <v>36892.0</v>
      </c>
      <c r="R1143" s="1"/>
      <c r="S1143" s="1"/>
      <c r="T1143" s="1" t="s">
        <v>37</v>
      </c>
      <c r="U1143" s="1"/>
      <c r="V1143" s="1" t="s">
        <v>38</v>
      </c>
      <c r="W1143" s="1"/>
      <c r="X1143" s="1"/>
      <c r="Y1143" s="1" t="s">
        <v>49</v>
      </c>
      <c r="Z1143" s="1"/>
      <c r="AA1143" s="1" t="s">
        <v>40</v>
      </c>
      <c r="AB1143" s="1" t="s">
        <v>137</v>
      </c>
      <c r="AC1143" s="1"/>
    </row>
    <row r="1144">
      <c r="A1144" s="1" t="str">
        <f>"0007VP"</f>
        <v>0007VP</v>
      </c>
      <c r="B1144" s="1" t="s">
        <v>4638</v>
      </c>
      <c r="C1144" s="1" t="s">
        <v>4639</v>
      </c>
      <c r="D1144" s="1" t="str">
        <f>"8022476155"</f>
        <v>8022476155</v>
      </c>
      <c r="E1144" s="1">
        <v>3134.0</v>
      </c>
      <c r="F1144" s="1" t="s">
        <v>117</v>
      </c>
      <c r="G1144" s="1" t="s">
        <v>4640</v>
      </c>
      <c r="H1144" s="1">
        <v>3.0</v>
      </c>
      <c r="I1144" s="2">
        <v>3.0</v>
      </c>
      <c r="J1144" s="2">
        <v>3.0</v>
      </c>
      <c r="K1144" s="2" t="s">
        <v>829</v>
      </c>
      <c r="L1144" s="1"/>
      <c r="M1144" s="1" t="s">
        <v>4641</v>
      </c>
      <c r="N1144" s="1" t="s">
        <v>161</v>
      </c>
      <c r="O1144" s="1" t="s">
        <v>1501</v>
      </c>
      <c r="P1144" s="1" t="s">
        <v>4642</v>
      </c>
      <c r="Q1144" s="3">
        <v>36892.0</v>
      </c>
      <c r="R1144" s="1"/>
      <c r="S1144" s="1"/>
      <c r="T1144" s="1" t="s">
        <v>37</v>
      </c>
      <c r="U1144" s="1"/>
      <c r="V1144" s="1" t="s">
        <v>38</v>
      </c>
      <c r="W1144" s="1">
        <v>43.864967</v>
      </c>
      <c r="X1144" s="1">
        <v>-73.085754</v>
      </c>
      <c r="Y1144" s="1" t="s">
        <v>4643</v>
      </c>
      <c r="Z1144" s="1"/>
      <c r="AA1144" s="1" t="s">
        <v>40</v>
      </c>
      <c r="AB1144" s="1" t="s">
        <v>1504</v>
      </c>
      <c r="AC1144" s="1">
        <v>5733.0</v>
      </c>
    </row>
    <row r="1145">
      <c r="A1145" s="1" t="str">
        <f>"0007BN"</f>
        <v>0007BN</v>
      </c>
      <c r="B1145" s="1" t="s">
        <v>4644</v>
      </c>
      <c r="C1145" s="1" t="s">
        <v>4645</v>
      </c>
      <c r="D1145" s="1" t="str">
        <f>"8022543836"</f>
        <v>8022543836</v>
      </c>
      <c r="E1145" s="1">
        <v>2577.0</v>
      </c>
      <c r="F1145" s="1" t="s">
        <v>44</v>
      </c>
      <c r="G1145" s="1" t="s">
        <v>4646</v>
      </c>
      <c r="H1145" s="1"/>
      <c r="I1145" s="1"/>
      <c r="J1145" s="1"/>
      <c r="K1145" s="1"/>
      <c r="L1145" s="1"/>
      <c r="M1145" s="1" t="s">
        <v>4647</v>
      </c>
      <c r="N1145" s="1" t="s">
        <v>66</v>
      </c>
      <c r="O1145" s="1" t="s">
        <v>1136</v>
      </c>
      <c r="P1145" s="1"/>
      <c r="Q1145" s="3">
        <v>36892.0</v>
      </c>
      <c r="R1145" s="1"/>
      <c r="S1145" s="1"/>
      <c r="T1145" s="1" t="s">
        <v>37</v>
      </c>
      <c r="U1145" s="1"/>
      <c r="V1145" s="1" t="s">
        <v>38</v>
      </c>
      <c r="W1145" s="1"/>
      <c r="X1145" s="1"/>
      <c r="Y1145" s="1" t="s">
        <v>49</v>
      </c>
      <c r="Z1145" s="1"/>
      <c r="AA1145" s="1" t="s">
        <v>40</v>
      </c>
      <c r="AB1145" s="1" t="s">
        <v>1137</v>
      </c>
      <c r="AC1145" s="1"/>
    </row>
    <row r="1146">
      <c r="A1146" s="1" t="str">
        <f>"00086H"</f>
        <v>00086H</v>
      </c>
      <c r="B1146" s="1" t="s">
        <v>4648</v>
      </c>
      <c r="C1146" s="1" t="s">
        <v>4649</v>
      </c>
      <c r="D1146" s="1" t="str">
        <f>"8023659139"</f>
        <v>8023659139</v>
      </c>
      <c r="E1146" s="1">
        <v>3556.0</v>
      </c>
      <c r="F1146" s="1" t="s">
        <v>117</v>
      </c>
      <c r="G1146" s="1" t="s">
        <v>4650</v>
      </c>
      <c r="H1146" s="1">
        <v>2.0</v>
      </c>
      <c r="I1146" s="2" t="s">
        <v>119</v>
      </c>
      <c r="J1146" s="2" t="s">
        <v>119</v>
      </c>
      <c r="K1146" s="2" t="s">
        <v>119</v>
      </c>
      <c r="L1146" s="1"/>
      <c r="M1146" s="1" t="s">
        <v>4651</v>
      </c>
      <c r="N1146" s="1" t="s">
        <v>66</v>
      </c>
      <c r="O1146" s="1" t="s">
        <v>389</v>
      </c>
      <c r="P1146" s="1" t="s">
        <v>4652</v>
      </c>
      <c r="Q1146" s="3">
        <v>36892.0</v>
      </c>
      <c r="R1146" s="1"/>
      <c r="S1146" s="3">
        <v>38243.0</v>
      </c>
      <c r="T1146" s="1" t="s">
        <v>37</v>
      </c>
      <c r="U1146" s="1"/>
      <c r="V1146" s="1" t="s">
        <v>38</v>
      </c>
      <c r="W1146" s="1">
        <v>42.9721489999999</v>
      </c>
      <c r="X1146" s="1">
        <v>-72.6796719999999</v>
      </c>
      <c r="Y1146" s="1" t="s">
        <v>4653</v>
      </c>
      <c r="Z1146" s="1"/>
      <c r="AA1146" s="1" t="s">
        <v>40</v>
      </c>
      <c r="AB1146" s="1" t="s">
        <v>390</v>
      </c>
      <c r="AC1146" s="1">
        <v>5345.0</v>
      </c>
    </row>
    <row r="1147">
      <c r="A1147" s="1" t="str">
        <f>"0007HW"</f>
        <v>0007HW</v>
      </c>
      <c r="B1147" s="1" t="s">
        <v>4654</v>
      </c>
      <c r="C1147" s="1" t="s">
        <v>4655</v>
      </c>
      <c r="D1147" s="1" t="str">
        <f>"8022973658"</f>
        <v>8022973658</v>
      </c>
      <c r="E1147" s="1">
        <v>2605.0</v>
      </c>
      <c r="F1147" s="1" t="s">
        <v>44</v>
      </c>
      <c r="G1147" s="1" t="s">
        <v>4656</v>
      </c>
      <c r="H1147" s="1">
        <v>3.0</v>
      </c>
      <c r="I1147" s="1"/>
      <c r="J1147" s="1"/>
      <c r="K1147" s="1"/>
      <c r="L1147" s="1"/>
      <c r="M1147" s="1" t="s">
        <v>72</v>
      </c>
      <c r="N1147" s="1" t="s">
        <v>414</v>
      </c>
      <c r="O1147" s="1" t="s">
        <v>4657</v>
      </c>
      <c r="P1147" s="1"/>
      <c r="Q1147" s="3">
        <v>36892.0</v>
      </c>
      <c r="R1147" s="1"/>
      <c r="S1147" s="3">
        <v>35186.0</v>
      </c>
      <c r="T1147" s="1" t="s">
        <v>37</v>
      </c>
      <c r="U1147" s="1"/>
      <c r="V1147" s="1" t="s">
        <v>38</v>
      </c>
      <c r="W1147" s="1"/>
      <c r="X1147" s="1"/>
      <c r="Y1147" s="1" t="s">
        <v>49</v>
      </c>
      <c r="Z1147" s="1"/>
      <c r="AA1147" s="1" t="s">
        <v>40</v>
      </c>
      <c r="AB1147" s="1" t="s">
        <v>4658</v>
      </c>
      <c r="AC1147" s="1"/>
    </row>
    <row r="1148">
      <c r="A1148" s="1" t="str">
        <f>"0007HQ"</f>
        <v>0007HQ</v>
      </c>
      <c r="B1148" s="1" t="s">
        <v>4659</v>
      </c>
      <c r="C1148" s="1" t="s">
        <v>4660</v>
      </c>
      <c r="D1148" s="1" t="str">
        <f>"8022971377"</f>
        <v>8022971377</v>
      </c>
      <c r="E1148" s="1">
        <v>2604.0</v>
      </c>
      <c r="F1148" s="1" t="s">
        <v>44</v>
      </c>
      <c r="G1148" s="1" t="s">
        <v>4661</v>
      </c>
      <c r="H1148" s="1">
        <v>2.0</v>
      </c>
      <c r="I1148" s="1"/>
      <c r="J1148" s="1"/>
      <c r="K1148" s="1"/>
      <c r="L1148" s="1"/>
      <c r="M1148" s="1" t="s">
        <v>4662</v>
      </c>
      <c r="N1148" s="1" t="s">
        <v>66</v>
      </c>
      <c r="O1148" s="1" t="s">
        <v>900</v>
      </c>
      <c r="P1148" s="1"/>
      <c r="Q1148" s="3">
        <v>36892.0</v>
      </c>
      <c r="R1148" s="1"/>
      <c r="S1148" s="3">
        <v>32701.0</v>
      </c>
      <c r="T1148" s="1" t="s">
        <v>37</v>
      </c>
      <c r="U1148" s="1"/>
      <c r="V1148" s="1" t="s">
        <v>38</v>
      </c>
      <c r="W1148" s="1"/>
      <c r="X1148" s="1"/>
      <c r="Y1148" s="1" t="s">
        <v>49</v>
      </c>
      <c r="Z1148" s="1"/>
      <c r="AA1148" s="1" t="s">
        <v>40</v>
      </c>
      <c r="AB1148" s="1" t="s">
        <v>901</v>
      </c>
      <c r="AC1148" s="1"/>
    </row>
    <row r="1149">
      <c r="A1149" s="1" t="str">
        <f>"0007HP"</f>
        <v>0007HP</v>
      </c>
      <c r="B1149" s="1" t="s">
        <v>4663</v>
      </c>
      <c r="C1149" s="1" t="s">
        <v>4664</v>
      </c>
      <c r="D1149" s="1" t="str">
        <f>"8028243518"</f>
        <v>8028243518</v>
      </c>
      <c r="E1149" s="1">
        <v>2606.0</v>
      </c>
      <c r="F1149" s="1" t="s">
        <v>117</v>
      </c>
      <c r="G1149" s="1" t="s">
        <v>4665</v>
      </c>
      <c r="H1149" s="1">
        <v>3.0</v>
      </c>
      <c r="I1149" s="2" t="s">
        <v>119</v>
      </c>
      <c r="J1149" s="2" t="s">
        <v>119</v>
      </c>
      <c r="K1149" s="2" t="s">
        <v>119</v>
      </c>
      <c r="L1149" s="1"/>
      <c r="M1149" s="1" t="s">
        <v>4666</v>
      </c>
      <c r="N1149" s="1" t="s">
        <v>414</v>
      </c>
      <c r="O1149" s="1" t="s">
        <v>4657</v>
      </c>
      <c r="P1149" s="1" t="s">
        <v>4667</v>
      </c>
      <c r="Q1149" s="3">
        <v>36892.0</v>
      </c>
      <c r="R1149" s="1"/>
      <c r="S1149" s="3">
        <v>32701.0</v>
      </c>
      <c r="T1149" s="1" t="s">
        <v>37</v>
      </c>
      <c r="U1149" s="1"/>
      <c r="V1149" s="1" t="s">
        <v>38</v>
      </c>
      <c r="W1149" s="1">
        <v>43.18694</v>
      </c>
      <c r="X1149" s="1">
        <v>-72.87121</v>
      </c>
      <c r="Y1149" s="1" t="s">
        <v>4668</v>
      </c>
      <c r="Z1149" s="1"/>
      <c r="AA1149" s="1" t="s">
        <v>40</v>
      </c>
      <c r="AB1149" s="1" t="s">
        <v>4669</v>
      </c>
      <c r="AC1149" s="1">
        <v>5340.0</v>
      </c>
    </row>
    <row r="1150">
      <c r="A1150" s="1" t="str">
        <f>"0007HN"</f>
        <v>0007HN</v>
      </c>
      <c r="B1150" s="1" t="s">
        <v>4670</v>
      </c>
      <c r="C1150" s="1" t="s">
        <v>4671</v>
      </c>
      <c r="D1150" s="1" t="str">
        <f>"8022545671"</f>
        <v>8022545671</v>
      </c>
      <c r="E1150" s="1">
        <v>790.0</v>
      </c>
      <c r="F1150" s="1" t="s">
        <v>44</v>
      </c>
      <c r="G1150" s="1" t="s">
        <v>4672</v>
      </c>
      <c r="H1150" s="1">
        <v>5.0</v>
      </c>
      <c r="I1150" s="1"/>
      <c r="J1150" s="1"/>
      <c r="K1150" s="1"/>
      <c r="L1150" s="1"/>
      <c r="M1150" s="1" t="s">
        <v>72</v>
      </c>
      <c r="N1150" s="1" t="s">
        <v>66</v>
      </c>
      <c r="O1150" s="1" t="s">
        <v>1877</v>
      </c>
      <c r="P1150" s="1"/>
      <c r="Q1150" s="3">
        <v>36892.0</v>
      </c>
      <c r="R1150" s="1"/>
      <c r="S1150" s="3">
        <v>32689.0</v>
      </c>
      <c r="T1150" s="1" t="s">
        <v>37</v>
      </c>
      <c r="U1150" s="1"/>
      <c r="V1150" s="1" t="s">
        <v>38</v>
      </c>
      <c r="W1150" s="1"/>
      <c r="X1150" s="1"/>
      <c r="Y1150" s="1" t="s">
        <v>49</v>
      </c>
      <c r="Z1150" s="1"/>
      <c r="AA1150" s="1" t="s">
        <v>40</v>
      </c>
      <c r="AB1150" s="1" t="s">
        <v>1878</v>
      </c>
      <c r="AC1150" s="1"/>
    </row>
    <row r="1151">
      <c r="A1151" s="1" t="str">
        <f>"0007HM"</f>
        <v>0007HM</v>
      </c>
      <c r="B1151" s="1" t="s">
        <v>4673</v>
      </c>
      <c r="C1151" s="1" t="s">
        <v>4674</v>
      </c>
      <c r="D1151" s="1" t="str">
        <f>"8028992894"</f>
        <v>8028992894</v>
      </c>
      <c r="E1151" s="1">
        <v>4101.0</v>
      </c>
      <c r="F1151" s="1" t="s">
        <v>117</v>
      </c>
      <c r="G1151" s="1" t="s">
        <v>4675</v>
      </c>
      <c r="H1151" s="1">
        <v>1.0</v>
      </c>
      <c r="I1151" s="2">
        <v>0.0</v>
      </c>
      <c r="J1151" s="2">
        <v>0.0</v>
      </c>
      <c r="K1151" s="2" t="s">
        <v>119</v>
      </c>
      <c r="L1151" s="1"/>
      <c r="M1151" s="1" t="s">
        <v>4676</v>
      </c>
      <c r="N1151" s="1" t="s">
        <v>57</v>
      </c>
      <c r="O1151" s="1" t="s">
        <v>745</v>
      </c>
      <c r="P1151" s="1" t="s">
        <v>4677</v>
      </c>
      <c r="Q1151" s="3">
        <v>36892.0</v>
      </c>
      <c r="R1151" s="1"/>
      <c r="S1151" s="1"/>
      <c r="T1151" s="1" t="s">
        <v>37</v>
      </c>
      <c r="U1151" s="1"/>
      <c r="V1151" s="1" t="s">
        <v>38</v>
      </c>
      <c r="W1151" s="1">
        <v>44.4520399</v>
      </c>
      <c r="X1151" s="1">
        <v>-72.9504069999999</v>
      </c>
      <c r="Y1151" s="1" t="s">
        <v>4678</v>
      </c>
      <c r="Z1151" s="1"/>
      <c r="AA1151" s="1" t="s">
        <v>40</v>
      </c>
      <c r="AB1151" s="1" t="s">
        <v>746</v>
      </c>
      <c r="AC1151" s="1">
        <v>5465.0</v>
      </c>
    </row>
    <row r="1152">
      <c r="A1152" s="1" t="str">
        <f>"0007HK"</f>
        <v>0007HK</v>
      </c>
      <c r="B1152" s="1" t="s">
        <v>4679</v>
      </c>
      <c r="C1152" s="1" t="s">
        <v>1874</v>
      </c>
      <c r="D1152" s="1"/>
      <c r="E1152" s="1">
        <v>785.0</v>
      </c>
      <c r="F1152" s="1" t="s">
        <v>44</v>
      </c>
      <c r="G1152" s="1" t="s">
        <v>4680</v>
      </c>
      <c r="H1152" s="1">
        <v>2.0</v>
      </c>
      <c r="I1152" s="1"/>
      <c r="J1152" s="1"/>
      <c r="K1152" s="1"/>
      <c r="L1152" s="1"/>
      <c r="M1152" s="1" t="s">
        <v>4681</v>
      </c>
      <c r="N1152" s="1" t="s">
        <v>66</v>
      </c>
      <c r="O1152" s="1" t="s">
        <v>1877</v>
      </c>
      <c r="P1152" s="1"/>
      <c r="Q1152" s="3">
        <v>36892.0</v>
      </c>
      <c r="R1152" s="1"/>
      <c r="S1152" s="3">
        <v>32689.0</v>
      </c>
      <c r="T1152" s="1" t="s">
        <v>37</v>
      </c>
      <c r="U1152" s="1"/>
      <c r="V1152" s="1" t="s">
        <v>38</v>
      </c>
      <c r="W1152" s="1"/>
      <c r="X1152" s="1"/>
      <c r="Y1152" s="1" t="s">
        <v>49</v>
      </c>
      <c r="Z1152" s="1"/>
      <c r="AA1152" s="1" t="s">
        <v>40</v>
      </c>
      <c r="AB1152" s="1" t="s">
        <v>1878</v>
      </c>
      <c r="AC1152" s="1"/>
    </row>
    <row r="1153">
      <c r="A1153" s="1" t="str">
        <f>"0007HG"</f>
        <v>0007HG</v>
      </c>
      <c r="B1153" s="1" t="s">
        <v>4682</v>
      </c>
      <c r="C1153" s="1" t="s">
        <v>4683</v>
      </c>
      <c r="D1153" s="1" t="str">
        <f>"8028966293"</f>
        <v>8028966293</v>
      </c>
      <c r="E1153" s="1">
        <v>781.0</v>
      </c>
      <c r="F1153" s="1" t="s">
        <v>44</v>
      </c>
      <c r="G1153" s="1" t="s">
        <v>4684</v>
      </c>
      <c r="H1153" s="1">
        <v>6.0</v>
      </c>
      <c r="I1153" s="1"/>
      <c r="J1153" s="1"/>
      <c r="K1153" s="1"/>
      <c r="L1153" s="1"/>
      <c r="M1153" s="1" t="s">
        <v>4685</v>
      </c>
      <c r="N1153" s="1" t="s">
        <v>66</v>
      </c>
      <c r="O1153" s="1" t="s">
        <v>751</v>
      </c>
      <c r="P1153" s="1"/>
      <c r="Q1153" s="3">
        <v>36892.0</v>
      </c>
      <c r="R1153" s="1"/>
      <c r="S1153" s="3">
        <v>37166.0</v>
      </c>
      <c r="T1153" s="1" t="s">
        <v>37</v>
      </c>
      <c r="U1153" s="1"/>
      <c r="V1153" s="1" t="s">
        <v>38</v>
      </c>
      <c r="W1153" s="1"/>
      <c r="X1153" s="1"/>
      <c r="Y1153" s="1" t="s">
        <v>49</v>
      </c>
      <c r="Z1153" s="1"/>
      <c r="AA1153" s="1" t="s">
        <v>40</v>
      </c>
      <c r="AB1153" s="1" t="s">
        <v>754</v>
      </c>
      <c r="AC1153" s="1"/>
    </row>
    <row r="1154">
      <c r="A1154" s="1" t="str">
        <f>"0007HF"</f>
        <v>0007HF</v>
      </c>
      <c r="B1154" s="1" t="s">
        <v>4686</v>
      </c>
      <c r="C1154" s="1" t="s">
        <v>4687</v>
      </c>
      <c r="D1154" s="1" t="str">
        <f>"8024858195"</f>
        <v>8024858195</v>
      </c>
      <c r="E1154" s="1">
        <v>3504.0</v>
      </c>
      <c r="F1154" s="1" t="s">
        <v>44</v>
      </c>
      <c r="G1154" s="1" t="s">
        <v>4688</v>
      </c>
      <c r="H1154" s="1">
        <v>1.0</v>
      </c>
      <c r="I1154" s="1"/>
      <c r="J1154" s="1"/>
      <c r="K1154" s="1"/>
      <c r="L1154" s="1"/>
      <c r="M1154" s="1" t="s">
        <v>72</v>
      </c>
      <c r="N1154" s="1" t="s">
        <v>135</v>
      </c>
      <c r="O1154" s="1" t="s">
        <v>136</v>
      </c>
      <c r="P1154" s="1" t="s">
        <v>4689</v>
      </c>
      <c r="Q1154" s="3">
        <v>36892.0</v>
      </c>
      <c r="R1154" s="1"/>
      <c r="S1154" s="3">
        <v>39463.0</v>
      </c>
      <c r="T1154" s="1" t="s">
        <v>37</v>
      </c>
      <c r="U1154" s="1"/>
      <c r="V1154" s="1" t="s">
        <v>38</v>
      </c>
      <c r="W1154" s="1"/>
      <c r="X1154" s="1"/>
      <c r="Y1154" s="1" t="s">
        <v>4690</v>
      </c>
      <c r="Z1154" s="1"/>
      <c r="AA1154" s="1" t="s">
        <v>40</v>
      </c>
      <c r="AB1154" s="1" t="s">
        <v>137</v>
      </c>
      <c r="AC1154" s="1">
        <v>5663.0</v>
      </c>
    </row>
    <row r="1155">
      <c r="A1155" s="1" t="str">
        <f>"0007HD"</f>
        <v>0007HD</v>
      </c>
      <c r="B1155" s="1" t="s">
        <v>4691</v>
      </c>
      <c r="C1155" s="1" t="s">
        <v>4692</v>
      </c>
      <c r="D1155" s="1"/>
      <c r="E1155" s="1">
        <v>779.0</v>
      </c>
      <c r="F1155" s="1" t="s">
        <v>44</v>
      </c>
      <c r="G1155" s="1" t="s">
        <v>4693</v>
      </c>
      <c r="H1155" s="1">
        <v>2.0</v>
      </c>
      <c r="I1155" s="1"/>
      <c r="J1155" s="1"/>
      <c r="K1155" s="1"/>
      <c r="L1155" s="1"/>
      <c r="M1155" s="1" t="s">
        <v>4694</v>
      </c>
      <c r="N1155" s="1" t="s">
        <v>66</v>
      </c>
      <c r="O1155" s="1" t="s">
        <v>67</v>
      </c>
      <c r="P1155" s="1"/>
      <c r="Q1155" s="3">
        <v>36892.0</v>
      </c>
      <c r="R1155" s="1"/>
      <c r="S1155" s="3">
        <v>34905.0</v>
      </c>
      <c r="T1155" s="1" t="s">
        <v>37</v>
      </c>
      <c r="U1155" s="1"/>
      <c r="V1155" s="1" t="s">
        <v>38</v>
      </c>
      <c r="W1155" s="1"/>
      <c r="X1155" s="1"/>
      <c r="Y1155" s="1" t="s">
        <v>49</v>
      </c>
      <c r="Z1155" s="1"/>
      <c r="AA1155" s="1" t="s">
        <v>40</v>
      </c>
      <c r="AB1155" s="1" t="s">
        <v>68</v>
      </c>
      <c r="AC1155" s="1"/>
    </row>
    <row r="1156">
      <c r="A1156" s="1" t="str">
        <f>"0007H6"</f>
        <v>0007H6</v>
      </c>
      <c r="B1156" s="1" t="s">
        <v>4695</v>
      </c>
      <c r="C1156" s="1" t="s">
        <v>4696</v>
      </c>
      <c r="D1156" s="1"/>
      <c r="E1156" s="1">
        <v>2429.0</v>
      </c>
      <c r="F1156" s="1" t="s">
        <v>117</v>
      </c>
      <c r="G1156" s="1" t="s">
        <v>4697</v>
      </c>
      <c r="H1156" s="1">
        <v>4.0</v>
      </c>
      <c r="I1156" s="2" t="s">
        <v>119</v>
      </c>
      <c r="J1156" s="2" t="s">
        <v>119</v>
      </c>
      <c r="K1156" s="2" t="s">
        <v>119</v>
      </c>
      <c r="L1156" s="1"/>
      <c r="M1156" s="1" t="s">
        <v>4698</v>
      </c>
      <c r="N1156" s="1" t="s">
        <v>66</v>
      </c>
      <c r="O1156" s="1" t="s">
        <v>1944</v>
      </c>
      <c r="P1156" s="1" t="s">
        <v>4699</v>
      </c>
      <c r="Q1156" s="3">
        <v>36892.0</v>
      </c>
      <c r="R1156" s="1"/>
      <c r="S1156" s="3">
        <v>32687.0</v>
      </c>
      <c r="T1156" s="1" t="s">
        <v>37</v>
      </c>
      <c r="U1156" s="1"/>
      <c r="V1156" s="1" t="s">
        <v>38</v>
      </c>
      <c r="W1156" s="1">
        <v>43.165459</v>
      </c>
      <c r="X1156" s="1">
        <v>-72.7166139999999</v>
      </c>
      <c r="Y1156" s="1" t="s">
        <v>4700</v>
      </c>
      <c r="Z1156" s="1"/>
      <c r="AA1156" s="1" t="s">
        <v>40</v>
      </c>
      <c r="AB1156" s="1" t="s">
        <v>66</v>
      </c>
      <c r="AC1156" s="1">
        <v>5359.0</v>
      </c>
    </row>
    <row r="1157">
      <c r="A1157" s="1" t="str">
        <f>"00075G"</f>
        <v>00075G</v>
      </c>
      <c r="B1157" s="1" t="s">
        <v>4701</v>
      </c>
      <c r="C1157" s="1" t="s">
        <v>4702</v>
      </c>
      <c r="D1157" s="1" t="str">
        <f>"8024473781"</f>
        <v>8024473781</v>
      </c>
      <c r="E1157" s="1">
        <v>291.0</v>
      </c>
      <c r="F1157" s="1" t="s">
        <v>44</v>
      </c>
      <c r="G1157" s="1" t="s">
        <v>4703</v>
      </c>
      <c r="H1157" s="1">
        <v>7.0</v>
      </c>
      <c r="I1157" s="1"/>
      <c r="J1157" s="1"/>
      <c r="K1157" s="1"/>
      <c r="L1157" s="1"/>
      <c r="M1157" s="1" t="s">
        <v>4704</v>
      </c>
      <c r="N1157" s="1" t="s">
        <v>414</v>
      </c>
      <c r="O1157" s="1" t="s">
        <v>720</v>
      </c>
      <c r="P1157" s="1"/>
      <c r="Q1157" s="3">
        <v>36892.0</v>
      </c>
      <c r="R1157" s="1"/>
      <c r="S1157" s="3">
        <v>38971.0</v>
      </c>
      <c r="T1157" s="1" t="s">
        <v>37</v>
      </c>
      <c r="U1157" s="1"/>
      <c r="V1157" s="1" t="s">
        <v>38</v>
      </c>
      <c r="W1157" s="1"/>
      <c r="X1157" s="1"/>
      <c r="Y1157" s="1" t="s">
        <v>49</v>
      </c>
      <c r="Z1157" s="1"/>
      <c r="AA1157" s="1" t="s">
        <v>40</v>
      </c>
      <c r="AB1157" s="1" t="s">
        <v>414</v>
      </c>
      <c r="AC1157" s="1"/>
    </row>
    <row r="1158">
      <c r="A1158" s="1" t="str">
        <f>"0008NH"</f>
        <v>0008NH</v>
      </c>
      <c r="B1158" s="1" t="s">
        <v>4705</v>
      </c>
      <c r="C1158" s="1" t="s">
        <v>4706</v>
      </c>
      <c r="D1158" s="1" t="str">
        <f>"8028993464"</f>
        <v>8028993464</v>
      </c>
      <c r="E1158" s="1">
        <v>3193.0</v>
      </c>
      <c r="F1158" s="1" t="s">
        <v>44</v>
      </c>
      <c r="G1158" s="1" t="s">
        <v>4707</v>
      </c>
      <c r="H1158" s="1"/>
      <c r="I1158" s="1"/>
      <c r="J1158" s="1"/>
      <c r="K1158" s="1"/>
      <c r="L1158" s="1"/>
      <c r="M1158" s="1" t="s">
        <v>72</v>
      </c>
      <c r="N1158" s="1" t="s">
        <v>57</v>
      </c>
      <c r="O1158" s="1" t="s">
        <v>745</v>
      </c>
      <c r="P1158" s="1"/>
      <c r="Q1158" s="3">
        <v>36892.0</v>
      </c>
      <c r="R1158" s="1"/>
      <c r="S1158" s="1"/>
      <c r="T1158" s="1" t="s">
        <v>37</v>
      </c>
      <c r="U1158" s="1"/>
      <c r="V1158" s="1" t="s">
        <v>38</v>
      </c>
      <c r="W1158" s="1"/>
      <c r="X1158" s="1"/>
      <c r="Y1158" s="1" t="s">
        <v>49</v>
      </c>
      <c r="Z1158" s="1"/>
      <c r="AA1158" s="1" t="s">
        <v>40</v>
      </c>
      <c r="AB1158" s="1" t="s">
        <v>746</v>
      </c>
      <c r="AC1158" s="1"/>
    </row>
    <row r="1159">
      <c r="A1159" s="1" t="str">
        <f>"0007H9"</f>
        <v>0007H9</v>
      </c>
      <c r="B1159" s="1" t="s">
        <v>4708</v>
      </c>
      <c r="C1159" s="1" t="s">
        <v>4709</v>
      </c>
      <c r="D1159" s="1" t="str">
        <f>"8024963257"</f>
        <v>8024963257</v>
      </c>
      <c r="E1159" s="1">
        <v>2704.0</v>
      </c>
      <c r="F1159" s="1" t="s">
        <v>44</v>
      </c>
      <c r="G1159" s="1" t="s">
        <v>4710</v>
      </c>
      <c r="H1159" s="1"/>
      <c r="I1159" s="1"/>
      <c r="J1159" s="1"/>
      <c r="K1159" s="1"/>
      <c r="L1159" s="1"/>
      <c r="M1159" s="1" t="s">
        <v>4711</v>
      </c>
      <c r="N1159" s="1" t="s">
        <v>135</v>
      </c>
      <c r="O1159" s="1" t="s">
        <v>2331</v>
      </c>
      <c r="P1159" s="1"/>
      <c r="Q1159" s="3">
        <v>36892.0</v>
      </c>
      <c r="R1159" s="1"/>
      <c r="S1159" s="1"/>
      <c r="T1159" s="1" t="s">
        <v>37</v>
      </c>
      <c r="U1159" s="1"/>
      <c r="V1159" s="1" t="s">
        <v>38</v>
      </c>
      <c r="W1159" s="1"/>
      <c r="X1159" s="1"/>
      <c r="Y1159" s="1" t="s">
        <v>49</v>
      </c>
      <c r="Z1159" s="1"/>
      <c r="AA1159" s="1" t="s">
        <v>40</v>
      </c>
      <c r="AB1159" s="1" t="s">
        <v>2332</v>
      </c>
      <c r="AC1159" s="1"/>
    </row>
    <row r="1160">
      <c r="A1160" s="1" t="str">
        <f>"00074P"</f>
        <v>00074P</v>
      </c>
      <c r="B1160" s="1" t="s">
        <v>4712</v>
      </c>
      <c r="C1160" s="1" t="s">
        <v>4713</v>
      </c>
      <c r="D1160" s="1" t="str">
        <f>"8022258957"</f>
        <v>8022258957</v>
      </c>
      <c r="E1160" s="1">
        <v>3999.0</v>
      </c>
      <c r="F1160" s="1" t="s">
        <v>44</v>
      </c>
      <c r="G1160" s="1" t="s">
        <v>4714</v>
      </c>
      <c r="H1160" s="1">
        <v>1.0</v>
      </c>
      <c r="I1160" s="1"/>
      <c r="J1160" s="1"/>
      <c r="K1160" s="1"/>
      <c r="L1160" s="1"/>
      <c r="M1160" s="1" t="s">
        <v>72</v>
      </c>
      <c r="N1160" s="1" t="s">
        <v>135</v>
      </c>
      <c r="O1160" s="1" t="s">
        <v>1798</v>
      </c>
      <c r="P1160" s="1"/>
      <c r="Q1160" s="3">
        <v>36892.0</v>
      </c>
      <c r="R1160" s="1"/>
      <c r="S1160" s="3">
        <v>39757.0</v>
      </c>
      <c r="T1160" s="1" t="s">
        <v>37</v>
      </c>
      <c r="U1160" s="1"/>
      <c r="V1160" s="1" t="s">
        <v>38</v>
      </c>
      <c r="W1160" s="1"/>
      <c r="X1160" s="1"/>
      <c r="Y1160" s="1" t="s">
        <v>49</v>
      </c>
      <c r="Z1160" s="1"/>
      <c r="AA1160" s="1" t="s">
        <v>40</v>
      </c>
      <c r="AB1160" s="1" t="s">
        <v>1799</v>
      </c>
      <c r="AC1160" s="1"/>
    </row>
    <row r="1161">
      <c r="A1161" s="1" t="str">
        <f>"00088G"</f>
        <v>00088G</v>
      </c>
      <c r="B1161" s="1" t="s">
        <v>4715</v>
      </c>
      <c r="C1161" s="1" t="s">
        <v>4716</v>
      </c>
      <c r="D1161" s="1" t="str">
        <f>"8025271670"</f>
        <v>8025271670</v>
      </c>
      <c r="E1161" s="1">
        <v>3847.0</v>
      </c>
      <c r="F1161" s="1" t="s">
        <v>44</v>
      </c>
      <c r="G1161" s="1" t="s">
        <v>4717</v>
      </c>
      <c r="H1161" s="1">
        <v>2.0</v>
      </c>
      <c r="I1161" s="1"/>
      <c r="J1161" s="1"/>
      <c r="K1161" s="1"/>
      <c r="L1161" s="1"/>
      <c r="M1161" s="1" t="s">
        <v>72</v>
      </c>
      <c r="N1161" s="1" t="s">
        <v>47</v>
      </c>
      <c r="O1161" s="1" t="s">
        <v>100</v>
      </c>
      <c r="P1161" s="1"/>
      <c r="Q1161" s="3">
        <v>36892.0</v>
      </c>
      <c r="R1161" s="1"/>
      <c r="S1161" s="3">
        <v>39979.0</v>
      </c>
      <c r="T1161" s="1" t="s">
        <v>37</v>
      </c>
      <c r="U1161" s="1"/>
      <c r="V1161" s="1" t="s">
        <v>38</v>
      </c>
      <c r="W1161" s="1"/>
      <c r="X1161" s="1"/>
      <c r="Y1161" s="1" t="s">
        <v>49</v>
      </c>
      <c r="Z1161" s="1"/>
      <c r="AA1161" s="1" t="s">
        <v>40</v>
      </c>
      <c r="AB1161" s="1" t="s">
        <v>102</v>
      </c>
      <c r="AC1161" s="1"/>
    </row>
    <row r="1162">
      <c r="A1162" s="1" t="str">
        <f>"0007H5"</f>
        <v>0007H5</v>
      </c>
      <c r="B1162" s="1" t="s">
        <v>4718</v>
      </c>
      <c r="C1162" s="1" t="s">
        <v>4719</v>
      </c>
      <c r="D1162" s="1"/>
      <c r="E1162" s="1">
        <v>767.0</v>
      </c>
      <c r="F1162" s="1" t="s">
        <v>44</v>
      </c>
      <c r="G1162" s="1" t="s">
        <v>4720</v>
      </c>
      <c r="H1162" s="1"/>
      <c r="I1162" s="1"/>
      <c r="J1162" s="1"/>
      <c r="K1162" s="1"/>
      <c r="L1162" s="1"/>
      <c r="M1162" s="1" t="s">
        <v>4721</v>
      </c>
      <c r="N1162" s="1" t="s">
        <v>66</v>
      </c>
      <c r="O1162" s="1" t="s">
        <v>389</v>
      </c>
      <c r="P1162" s="1"/>
      <c r="Q1162" s="3">
        <v>36892.0</v>
      </c>
      <c r="R1162" s="1"/>
      <c r="S1162" s="1"/>
      <c r="T1162" s="1" t="s">
        <v>37</v>
      </c>
      <c r="U1162" s="1"/>
      <c r="V1162" s="1" t="s">
        <v>38</v>
      </c>
      <c r="W1162" s="1"/>
      <c r="X1162" s="1"/>
      <c r="Y1162" s="1" t="s">
        <v>49</v>
      </c>
      <c r="Z1162" s="1"/>
      <c r="AA1162" s="1" t="s">
        <v>40</v>
      </c>
      <c r="AB1162" s="1" t="s">
        <v>390</v>
      </c>
      <c r="AC1162" s="1"/>
    </row>
    <row r="1163">
      <c r="A1163" s="1" t="str">
        <f>"0007A3"</f>
        <v>0007A3</v>
      </c>
      <c r="B1163" s="1" t="s">
        <v>4722</v>
      </c>
      <c r="C1163" s="1" t="s">
        <v>4723</v>
      </c>
      <c r="D1163" s="1" t="str">
        <f>"8026724505"</f>
        <v>8026724505</v>
      </c>
      <c r="E1163" s="1">
        <v>510.0</v>
      </c>
      <c r="F1163" s="1" t="s">
        <v>44</v>
      </c>
      <c r="G1163" s="1" t="s">
        <v>4724</v>
      </c>
      <c r="H1163" s="1"/>
      <c r="I1163" s="1"/>
      <c r="J1163" s="1"/>
      <c r="K1163" s="1"/>
      <c r="L1163" s="1"/>
      <c r="M1163" s="1" t="s">
        <v>72</v>
      </c>
      <c r="N1163" s="1" t="s">
        <v>34</v>
      </c>
      <c r="O1163" s="1" t="s">
        <v>985</v>
      </c>
      <c r="P1163" s="1"/>
      <c r="Q1163" s="3">
        <v>36892.0</v>
      </c>
      <c r="R1163" s="1"/>
      <c r="S1163" s="1"/>
      <c r="T1163" s="1" t="s">
        <v>37</v>
      </c>
      <c r="U1163" s="1"/>
      <c r="V1163" s="1" t="s">
        <v>38</v>
      </c>
      <c r="W1163" s="1"/>
      <c r="X1163" s="1"/>
      <c r="Y1163" s="1" t="s">
        <v>49</v>
      </c>
      <c r="Z1163" s="1"/>
      <c r="AA1163" s="1" t="s">
        <v>40</v>
      </c>
      <c r="AB1163" s="1" t="s">
        <v>987</v>
      </c>
      <c r="AC1163" s="1"/>
    </row>
    <row r="1164">
      <c r="A1164" s="1" t="str">
        <f>"0007H3"</f>
        <v>0007H3</v>
      </c>
      <c r="B1164" s="1" t="s">
        <v>4725</v>
      </c>
      <c r="C1164" s="1" t="s">
        <v>4726</v>
      </c>
      <c r="D1164" s="1" t="str">
        <f>"8022542544"</f>
        <v>8022542544</v>
      </c>
      <c r="E1164" s="1">
        <v>763.0</v>
      </c>
      <c r="F1164" s="1" t="s">
        <v>44</v>
      </c>
      <c r="G1164" s="1" t="s">
        <v>4727</v>
      </c>
      <c r="H1164" s="1"/>
      <c r="I1164" s="1"/>
      <c r="J1164" s="1"/>
      <c r="K1164" s="1"/>
      <c r="L1164" s="1"/>
      <c r="M1164" s="1" t="s">
        <v>4728</v>
      </c>
      <c r="N1164" s="1" t="s">
        <v>66</v>
      </c>
      <c r="O1164" s="1" t="s">
        <v>73</v>
      </c>
      <c r="P1164" s="1"/>
      <c r="Q1164" s="3">
        <v>36892.0</v>
      </c>
      <c r="R1164" s="1"/>
      <c r="S1164" s="1"/>
      <c r="T1164" s="1" t="s">
        <v>37</v>
      </c>
      <c r="U1164" s="1"/>
      <c r="V1164" s="1" t="s">
        <v>38</v>
      </c>
      <c r="W1164" s="1"/>
      <c r="X1164" s="1"/>
      <c r="Y1164" s="1" t="s">
        <v>49</v>
      </c>
      <c r="Z1164" s="1"/>
      <c r="AA1164" s="1" t="s">
        <v>40</v>
      </c>
      <c r="AB1164" s="1" t="s">
        <v>74</v>
      </c>
      <c r="AC1164" s="1"/>
    </row>
    <row r="1165">
      <c r="A1165" s="1" t="str">
        <f>"0007H2"</f>
        <v>0007H2</v>
      </c>
      <c r="B1165" s="1" t="s">
        <v>4729</v>
      </c>
      <c r="C1165" s="1" t="s">
        <v>4730</v>
      </c>
      <c r="D1165" s="1" t="str">
        <f>"8028243353"</f>
        <v>8028243353</v>
      </c>
      <c r="E1165" s="1">
        <v>760.0</v>
      </c>
      <c r="F1165" s="1" t="s">
        <v>44</v>
      </c>
      <c r="G1165" s="1" t="s">
        <v>4731</v>
      </c>
      <c r="H1165" s="1"/>
      <c r="I1165" s="1"/>
      <c r="J1165" s="1"/>
      <c r="K1165" s="1"/>
      <c r="L1165" s="1"/>
      <c r="M1165" s="1" t="s">
        <v>4732</v>
      </c>
      <c r="N1165" s="1" t="s">
        <v>66</v>
      </c>
      <c r="O1165" s="1" t="s">
        <v>900</v>
      </c>
      <c r="P1165" s="1"/>
      <c r="Q1165" s="3">
        <v>36892.0</v>
      </c>
      <c r="R1165" s="1"/>
      <c r="S1165" s="1"/>
      <c r="T1165" s="1" t="s">
        <v>37</v>
      </c>
      <c r="U1165" s="1"/>
      <c r="V1165" s="1" t="s">
        <v>38</v>
      </c>
      <c r="W1165" s="1"/>
      <c r="X1165" s="1"/>
      <c r="Y1165" s="1" t="s">
        <v>49</v>
      </c>
      <c r="Z1165" s="1"/>
      <c r="AA1165" s="1" t="s">
        <v>40</v>
      </c>
      <c r="AB1165" s="1" t="s">
        <v>901</v>
      </c>
      <c r="AC1165" s="1"/>
    </row>
    <row r="1166">
      <c r="A1166" s="1" t="str">
        <f>"0007H0"</f>
        <v>0007H0</v>
      </c>
      <c r="B1166" s="1" t="s">
        <v>4733</v>
      </c>
      <c r="C1166" s="1" t="s">
        <v>4734</v>
      </c>
      <c r="D1166" s="1"/>
      <c r="E1166" s="1">
        <v>758.0</v>
      </c>
      <c r="F1166" s="1" t="s">
        <v>44</v>
      </c>
      <c r="G1166" s="1" t="s">
        <v>4735</v>
      </c>
      <c r="H1166" s="1">
        <v>2.0</v>
      </c>
      <c r="I1166" s="1"/>
      <c r="J1166" s="1"/>
      <c r="K1166" s="1"/>
      <c r="L1166" s="1"/>
      <c r="M1166" s="1" t="s">
        <v>4736</v>
      </c>
      <c r="N1166" s="1" t="s">
        <v>66</v>
      </c>
      <c r="O1166" s="1" t="s">
        <v>751</v>
      </c>
      <c r="P1166" s="1"/>
      <c r="Q1166" s="3">
        <v>36892.0</v>
      </c>
      <c r="R1166" s="1"/>
      <c r="S1166" s="3">
        <v>35207.0</v>
      </c>
      <c r="T1166" s="1" t="s">
        <v>37</v>
      </c>
      <c r="U1166" s="1"/>
      <c r="V1166" s="1" t="s">
        <v>38</v>
      </c>
      <c r="W1166" s="1"/>
      <c r="X1166" s="1"/>
      <c r="Y1166" s="1" t="s">
        <v>49</v>
      </c>
      <c r="Z1166" s="1"/>
      <c r="AA1166" s="1" t="s">
        <v>40</v>
      </c>
      <c r="AB1166" s="1" t="s">
        <v>754</v>
      </c>
      <c r="AC1166" s="1"/>
    </row>
    <row r="1167">
      <c r="A1167" s="1" t="str">
        <f>"0007GZ"</f>
        <v>0007GZ</v>
      </c>
      <c r="B1167" s="1" t="s">
        <v>4737</v>
      </c>
      <c r="C1167" s="1" t="s">
        <v>4738</v>
      </c>
      <c r="D1167" s="1" t="str">
        <f>"8023759389"</f>
        <v>8023759389</v>
      </c>
      <c r="E1167" s="1">
        <v>2941.0</v>
      </c>
      <c r="F1167" s="1" t="s">
        <v>44</v>
      </c>
      <c r="G1167" s="1" t="s">
        <v>4739</v>
      </c>
      <c r="H1167" s="1">
        <v>1.0</v>
      </c>
      <c r="I1167" s="1"/>
      <c r="J1167" s="1"/>
      <c r="K1167" s="1"/>
      <c r="L1167" s="1"/>
      <c r="M1167" s="1" t="s">
        <v>72</v>
      </c>
      <c r="N1167" s="1" t="s">
        <v>414</v>
      </c>
      <c r="O1167" s="1" t="s">
        <v>3034</v>
      </c>
      <c r="P1167" s="1"/>
      <c r="Q1167" s="3">
        <v>36892.0</v>
      </c>
      <c r="R1167" s="1"/>
      <c r="S1167" s="3">
        <v>35648.0</v>
      </c>
      <c r="T1167" s="1" t="s">
        <v>37</v>
      </c>
      <c r="U1167" s="1"/>
      <c r="V1167" s="1" t="s">
        <v>38</v>
      </c>
      <c r="W1167" s="1"/>
      <c r="X1167" s="1"/>
      <c r="Y1167" s="1" t="s">
        <v>49</v>
      </c>
      <c r="Z1167" s="1"/>
      <c r="AA1167" s="1" t="s">
        <v>40</v>
      </c>
      <c r="AB1167" s="1" t="s">
        <v>3036</v>
      </c>
      <c r="AC1167" s="1"/>
    </row>
    <row r="1168">
      <c r="A1168" s="1" t="str">
        <f>"000860"</f>
        <v>000860</v>
      </c>
      <c r="B1168" s="1" t="s">
        <v>4740</v>
      </c>
      <c r="C1168" s="1" t="s">
        <v>4741</v>
      </c>
      <c r="D1168" s="1" t="str">
        <f>"8028243367"</f>
        <v>8028243367</v>
      </c>
      <c r="E1168" s="1">
        <v>3409.0</v>
      </c>
      <c r="F1168" s="1" t="s">
        <v>44</v>
      </c>
      <c r="G1168" s="1" t="s">
        <v>4742</v>
      </c>
      <c r="H1168" s="1">
        <v>0.0</v>
      </c>
      <c r="I1168" s="1"/>
      <c r="J1168" s="1"/>
      <c r="K1168" s="1"/>
      <c r="L1168" s="1"/>
      <c r="M1168" s="1" t="s">
        <v>72</v>
      </c>
      <c r="N1168" s="1" t="s">
        <v>66</v>
      </c>
      <c r="O1168" s="1" t="s">
        <v>900</v>
      </c>
      <c r="P1168" s="1"/>
      <c r="Q1168" s="3">
        <v>36892.0</v>
      </c>
      <c r="R1168" s="1"/>
      <c r="S1168" s="3">
        <v>39321.0</v>
      </c>
      <c r="T1168" s="1" t="s">
        <v>37</v>
      </c>
      <c r="U1168" s="1"/>
      <c r="V1168" s="1" t="s">
        <v>38</v>
      </c>
      <c r="W1168" s="1"/>
      <c r="X1168" s="1"/>
      <c r="Y1168" s="1" t="s">
        <v>49</v>
      </c>
      <c r="Z1168" s="1"/>
      <c r="AA1168" s="1" t="s">
        <v>40</v>
      </c>
      <c r="AB1168" s="1" t="s">
        <v>901</v>
      </c>
      <c r="AC1168" s="1"/>
    </row>
    <row r="1169">
      <c r="A1169" s="1" t="str">
        <f>"0007GX"</f>
        <v>0007GX</v>
      </c>
      <c r="B1169" s="1" t="s">
        <v>4743</v>
      </c>
      <c r="C1169" s="1" t="s">
        <v>4744</v>
      </c>
      <c r="D1169" s="1" t="str">
        <f>"8028243036"</f>
        <v>8028243036</v>
      </c>
      <c r="E1169" s="1">
        <v>2607.0</v>
      </c>
      <c r="F1169" s="1" t="s">
        <v>44</v>
      </c>
      <c r="G1169" s="1" t="s">
        <v>4745</v>
      </c>
      <c r="H1169" s="1"/>
      <c r="I1169" s="1"/>
      <c r="J1169" s="1"/>
      <c r="K1169" s="1"/>
      <c r="L1169" s="1"/>
      <c r="M1169" s="1" t="s">
        <v>4746</v>
      </c>
      <c r="N1169" s="1" t="s">
        <v>414</v>
      </c>
      <c r="O1169" s="1" t="s">
        <v>660</v>
      </c>
      <c r="P1169" s="1"/>
      <c r="Q1169" s="3">
        <v>36892.0</v>
      </c>
      <c r="R1169" s="1"/>
      <c r="S1169" s="1"/>
      <c r="T1169" s="1" t="s">
        <v>37</v>
      </c>
      <c r="U1169" s="1"/>
      <c r="V1169" s="1" t="s">
        <v>38</v>
      </c>
      <c r="W1169" s="1"/>
      <c r="X1169" s="1"/>
      <c r="Y1169" s="1" t="s">
        <v>49</v>
      </c>
      <c r="Z1169" s="1"/>
      <c r="AA1169" s="1" t="s">
        <v>40</v>
      </c>
      <c r="AB1169" s="1" t="s">
        <v>661</v>
      </c>
      <c r="AC1169" s="1"/>
    </row>
    <row r="1170">
      <c r="A1170" s="1" t="str">
        <f>"0007GW"</f>
        <v>0007GW</v>
      </c>
      <c r="B1170" s="1" t="s">
        <v>1365</v>
      </c>
      <c r="C1170" s="1" t="s">
        <v>1366</v>
      </c>
      <c r="D1170" s="1" t="str">
        <f>"8022352203"</f>
        <v>8022352203</v>
      </c>
      <c r="E1170" s="1">
        <v>2937.0</v>
      </c>
      <c r="F1170" s="1" t="s">
        <v>44</v>
      </c>
      <c r="G1170" s="1" t="s">
        <v>4747</v>
      </c>
      <c r="H1170" s="1">
        <v>0.0</v>
      </c>
      <c r="I1170" s="2" t="s">
        <v>119</v>
      </c>
      <c r="J1170" s="2" t="s">
        <v>119</v>
      </c>
      <c r="K1170" s="2" t="s">
        <v>119</v>
      </c>
      <c r="L1170" s="1"/>
      <c r="M1170" s="1" t="s">
        <v>4748</v>
      </c>
      <c r="N1170" s="1"/>
      <c r="O1170" s="1"/>
      <c r="P1170" s="1"/>
      <c r="Q1170" s="3">
        <v>36892.0</v>
      </c>
      <c r="R1170" s="3">
        <v>42309.0</v>
      </c>
      <c r="S1170" s="3">
        <v>38961.0</v>
      </c>
      <c r="T1170" s="1" t="s">
        <v>37</v>
      </c>
      <c r="U1170" s="1"/>
      <c r="V1170" s="1" t="s">
        <v>38</v>
      </c>
      <c r="W1170" s="1">
        <v>43.0722172</v>
      </c>
      <c r="X1170" s="1">
        <v>-89.7856785999999</v>
      </c>
      <c r="Y1170" s="1" t="s">
        <v>49</v>
      </c>
      <c r="Z1170" s="1"/>
      <c r="AA1170" s="1" t="s">
        <v>4749</v>
      </c>
      <c r="AB1170" s="1" t="s">
        <v>421</v>
      </c>
      <c r="AC1170" s="1">
        <v>53515.0</v>
      </c>
    </row>
    <row r="1171">
      <c r="A1171" s="1" t="str">
        <f>"0007FG"</f>
        <v>0007FG</v>
      </c>
      <c r="B1171" s="1" t="s">
        <v>4750</v>
      </c>
      <c r="C1171" s="1" t="s">
        <v>4751</v>
      </c>
      <c r="D1171" s="1" t="str">
        <f>"8022352710"</f>
        <v>8022352710</v>
      </c>
      <c r="E1171" s="1">
        <v>3361.0</v>
      </c>
      <c r="F1171" s="1" t="s">
        <v>44</v>
      </c>
      <c r="G1171" s="1" t="s">
        <v>4752</v>
      </c>
      <c r="H1171" s="1"/>
      <c r="I1171" s="1"/>
      <c r="J1171" s="1"/>
      <c r="K1171" s="1"/>
      <c r="L1171" s="1"/>
      <c r="M1171" s="1" t="s">
        <v>72</v>
      </c>
      <c r="N1171" s="1" t="s">
        <v>78</v>
      </c>
      <c r="O1171" s="1" t="s">
        <v>420</v>
      </c>
      <c r="P1171" s="1"/>
      <c r="Q1171" s="3">
        <v>36892.0</v>
      </c>
      <c r="R1171" s="1"/>
      <c r="S1171" s="1"/>
      <c r="T1171" s="1" t="s">
        <v>37</v>
      </c>
      <c r="U1171" s="1"/>
      <c r="V1171" s="1" t="s">
        <v>38</v>
      </c>
      <c r="W1171" s="1"/>
      <c r="X1171" s="1"/>
      <c r="Y1171" s="1" t="s">
        <v>49</v>
      </c>
      <c r="Z1171" s="1"/>
      <c r="AA1171" s="1" t="s">
        <v>40</v>
      </c>
      <c r="AB1171" s="1" t="s">
        <v>421</v>
      </c>
      <c r="AC1171" s="1"/>
    </row>
    <row r="1172">
      <c r="A1172" s="1" t="str">
        <f>"0007GQ"</f>
        <v>0007GQ</v>
      </c>
      <c r="B1172" s="1" t="s">
        <v>1314</v>
      </c>
      <c r="C1172" s="1" t="s">
        <v>1315</v>
      </c>
      <c r="D1172" s="1" t="str">
        <f>"8022577226"</f>
        <v>8022577226</v>
      </c>
      <c r="E1172" s="1">
        <v>2226.0</v>
      </c>
      <c r="F1172" s="1" t="s">
        <v>44</v>
      </c>
      <c r="G1172" s="1" t="s">
        <v>4753</v>
      </c>
      <c r="H1172" s="1">
        <v>4.0</v>
      </c>
      <c r="I1172" s="1"/>
      <c r="J1172" s="1"/>
      <c r="K1172" s="1"/>
      <c r="L1172" s="1"/>
      <c r="M1172" s="1" t="s">
        <v>4754</v>
      </c>
      <c r="N1172" s="1" t="s">
        <v>66</v>
      </c>
      <c r="O1172" s="1" t="s">
        <v>1136</v>
      </c>
      <c r="P1172" s="1"/>
      <c r="Q1172" s="3">
        <v>36892.0</v>
      </c>
      <c r="R1172" s="1"/>
      <c r="S1172" s="3">
        <v>32339.0</v>
      </c>
      <c r="T1172" s="1" t="s">
        <v>37</v>
      </c>
      <c r="U1172" s="1"/>
      <c r="V1172" s="1" t="s">
        <v>38</v>
      </c>
      <c r="W1172" s="1"/>
      <c r="X1172" s="1"/>
      <c r="Y1172" s="1" t="s">
        <v>49</v>
      </c>
      <c r="Z1172" s="1"/>
      <c r="AA1172" s="1" t="s">
        <v>40</v>
      </c>
      <c r="AB1172" s="1" t="s">
        <v>1137</v>
      </c>
      <c r="AC1172" s="1"/>
    </row>
    <row r="1173">
      <c r="A1173" s="1" t="str">
        <f>"000976"</f>
        <v>000976</v>
      </c>
      <c r="B1173" s="1" t="s">
        <v>4755</v>
      </c>
      <c r="C1173" s="1" t="s">
        <v>4756</v>
      </c>
      <c r="D1173" s="1" t="str">
        <f>"8025452385"</f>
        <v>8025452385</v>
      </c>
      <c r="E1173" s="1">
        <v>4020.0</v>
      </c>
      <c r="F1173" s="1" t="s">
        <v>44</v>
      </c>
      <c r="G1173" s="1" t="s">
        <v>4757</v>
      </c>
      <c r="H1173" s="1"/>
      <c r="I1173" s="1"/>
      <c r="J1173" s="1"/>
      <c r="K1173" s="1"/>
      <c r="L1173" s="1"/>
      <c r="M1173" s="1" t="s">
        <v>72</v>
      </c>
      <c r="N1173" s="1" t="s">
        <v>161</v>
      </c>
      <c r="O1173" s="1" t="s">
        <v>185</v>
      </c>
      <c r="P1173" s="1"/>
      <c r="Q1173" s="3">
        <v>36892.0</v>
      </c>
      <c r="R1173" s="1"/>
      <c r="S1173" s="1"/>
      <c r="T1173" s="1" t="s">
        <v>37</v>
      </c>
      <c r="U1173" s="1"/>
      <c r="V1173" s="1" t="s">
        <v>38</v>
      </c>
      <c r="W1173" s="1"/>
      <c r="X1173" s="1"/>
      <c r="Y1173" s="1" t="s">
        <v>49</v>
      </c>
      <c r="Z1173" s="1"/>
      <c r="AA1173" s="1" t="s">
        <v>40</v>
      </c>
      <c r="AB1173" s="1" t="s">
        <v>186</v>
      </c>
      <c r="AC1173" s="1"/>
    </row>
    <row r="1174">
      <c r="A1174" s="1" t="str">
        <f>"0007FP"</f>
        <v>0007FP</v>
      </c>
      <c r="B1174" s="1" t="s">
        <v>4758</v>
      </c>
      <c r="C1174" s="1" t="s">
        <v>4759</v>
      </c>
      <c r="D1174" s="1" t="str">
        <f>"8023256210"</f>
        <v>8023256210</v>
      </c>
      <c r="E1174" s="1">
        <v>3360.0</v>
      </c>
      <c r="F1174" s="1" t="s">
        <v>44</v>
      </c>
      <c r="G1174" s="1" t="s">
        <v>4760</v>
      </c>
      <c r="H1174" s="1">
        <v>1.0</v>
      </c>
      <c r="I1174" s="1"/>
      <c r="J1174" s="1"/>
      <c r="K1174" s="1"/>
      <c r="L1174" s="1"/>
      <c r="M1174" s="1" t="s">
        <v>72</v>
      </c>
      <c r="N1174" s="1" t="s">
        <v>78</v>
      </c>
      <c r="O1174" s="1" t="s">
        <v>371</v>
      </c>
      <c r="P1174" s="1"/>
      <c r="Q1174" s="3">
        <v>36892.0</v>
      </c>
      <c r="R1174" s="1"/>
      <c r="S1174" s="3">
        <v>39274.0</v>
      </c>
      <c r="T1174" s="1" t="s">
        <v>37</v>
      </c>
      <c r="U1174" s="1"/>
      <c r="V1174" s="1" t="s">
        <v>38</v>
      </c>
      <c r="W1174" s="1"/>
      <c r="X1174" s="1"/>
      <c r="Y1174" s="1" t="s">
        <v>49</v>
      </c>
      <c r="Z1174" s="1"/>
      <c r="AA1174" s="1" t="s">
        <v>40</v>
      </c>
      <c r="AB1174" s="1" t="s">
        <v>374</v>
      </c>
      <c r="AC1174" s="1"/>
    </row>
    <row r="1175">
      <c r="A1175" s="1" t="str">
        <f>"0007QW"</f>
        <v>0007QW</v>
      </c>
      <c r="B1175" s="1" t="s">
        <v>4761</v>
      </c>
      <c r="C1175" s="1" t="s">
        <v>4762</v>
      </c>
      <c r="D1175" s="1" t="str">
        <f>"8022538071"</f>
        <v>8022538071</v>
      </c>
      <c r="E1175" s="1">
        <v>3363.0</v>
      </c>
      <c r="F1175" s="1" t="s">
        <v>44</v>
      </c>
      <c r="G1175" s="1" t="s">
        <v>4763</v>
      </c>
      <c r="H1175" s="1"/>
      <c r="I1175" s="1"/>
      <c r="J1175" s="1"/>
      <c r="K1175" s="1"/>
      <c r="L1175" s="1"/>
      <c r="M1175" s="1" t="s">
        <v>72</v>
      </c>
      <c r="N1175" s="1" t="s">
        <v>213</v>
      </c>
      <c r="O1175" s="1" t="s">
        <v>365</v>
      </c>
      <c r="P1175" s="1"/>
      <c r="Q1175" s="3">
        <v>36892.0</v>
      </c>
      <c r="R1175" s="1"/>
      <c r="S1175" s="1"/>
      <c r="T1175" s="1" t="s">
        <v>37</v>
      </c>
      <c r="U1175" s="1"/>
      <c r="V1175" s="1" t="s">
        <v>38</v>
      </c>
      <c r="W1175" s="1"/>
      <c r="X1175" s="1"/>
      <c r="Y1175" s="1" t="s">
        <v>49</v>
      </c>
      <c r="Z1175" s="1"/>
      <c r="AA1175" s="1" t="s">
        <v>40</v>
      </c>
      <c r="AB1175" s="1" t="s">
        <v>366</v>
      </c>
      <c r="AC1175" s="1"/>
    </row>
    <row r="1176">
      <c r="A1176" s="1" t="str">
        <f>"0007GJ"</f>
        <v>0007GJ</v>
      </c>
      <c r="B1176" s="1" t="s">
        <v>4764</v>
      </c>
      <c r="C1176" s="1" t="s">
        <v>4765</v>
      </c>
      <c r="D1176" s="1" t="str">
        <f>"8022544813"</f>
        <v>8022544813</v>
      </c>
      <c r="E1176" s="1">
        <v>743.0</v>
      </c>
      <c r="F1176" s="1" t="s">
        <v>44</v>
      </c>
      <c r="G1176" s="1" t="s">
        <v>4766</v>
      </c>
      <c r="H1176" s="1">
        <v>3.0</v>
      </c>
      <c r="I1176" s="1"/>
      <c r="J1176" s="1"/>
      <c r="K1176" s="1"/>
      <c r="L1176" s="1"/>
      <c r="M1176" s="1" t="s">
        <v>4767</v>
      </c>
      <c r="N1176" s="1" t="s">
        <v>66</v>
      </c>
      <c r="O1176" s="1" t="s">
        <v>1136</v>
      </c>
      <c r="P1176" s="1"/>
      <c r="Q1176" s="3">
        <v>36892.0</v>
      </c>
      <c r="R1176" s="1"/>
      <c r="S1176" s="3">
        <v>32743.0</v>
      </c>
      <c r="T1176" s="1" t="s">
        <v>37</v>
      </c>
      <c r="U1176" s="1"/>
      <c r="V1176" s="1" t="s">
        <v>38</v>
      </c>
      <c r="W1176" s="1"/>
      <c r="X1176" s="1"/>
      <c r="Y1176" s="1" t="s">
        <v>49</v>
      </c>
      <c r="Z1176" s="1"/>
      <c r="AA1176" s="1" t="s">
        <v>40</v>
      </c>
      <c r="AB1176" s="1" t="s">
        <v>1137</v>
      </c>
      <c r="AC1176" s="1"/>
    </row>
    <row r="1177">
      <c r="A1177" s="1" t="str">
        <f>"0007GG"</f>
        <v>0007GG</v>
      </c>
      <c r="B1177" s="1" t="s">
        <v>4768</v>
      </c>
      <c r="C1177" s="1" t="s">
        <v>4769</v>
      </c>
      <c r="D1177" s="1" t="str">
        <f>"8022548082"</f>
        <v>8022548082</v>
      </c>
      <c r="E1177" s="1">
        <v>740.0</v>
      </c>
      <c r="F1177" s="1" t="s">
        <v>44</v>
      </c>
      <c r="G1177" s="1" t="s">
        <v>4770</v>
      </c>
      <c r="H1177" s="1">
        <v>1.0</v>
      </c>
      <c r="I1177" s="1"/>
      <c r="J1177" s="1"/>
      <c r="K1177" s="1"/>
      <c r="L1177" s="1"/>
      <c r="M1177" s="1" t="s">
        <v>72</v>
      </c>
      <c r="N1177" s="1" t="s">
        <v>66</v>
      </c>
      <c r="O1177" s="1" t="s">
        <v>1136</v>
      </c>
      <c r="P1177" s="1"/>
      <c r="Q1177" s="3">
        <v>36892.0</v>
      </c>
      <c r="R1177" s="1"/>
      <c r="S1177" s="3">
        <v>32344.0</v>
      </c>
      <c r="T1177" s="1" t="s">
        <v>37</v>
      </c>
      <c r="U1177" s="1"/>
      <c r="V1177" s="1" t="s">
        <v>38</v>
      </c>
      <c r="W1177" s="1"/>
      <c r="X1177" s="1"/>
      <c r="Y1177" s="1" t="s">
        <v>49</v>
      </c>
      <c r="Z1177" s="1"/>
      <c r="AA1177" s="1" t="s">
        <v>40</v>
      </c>
      <c r="AB1177" s="1" t="s">
        <v>1137</v>
      </c>
      <c r="AC1177" s="1"/>
    </row>
    <row r="1178">
      <c r="A1178" s="1" t="str">
        <f>"0007DV"</f>
        <v>0007DV</v>
      </c>
      <c r="B1178" s="1" t="s">
        <v>4771</v>
      </c>
      <c r="C1178" s="1" t="s">
        <v>4772</v>
      </c>
      <c r="D1178" s="1" t="str">
        <f>"8022874113"</f>
        <v>8022874113</v>
      </c>
      <c r="E1178" s="1">
        <v>4125.0</v>
      </c>
      <c r="F1178" s="1" t="s">
        <v>44</v>
      </c>
      <c r="G1178" s="1" t="s">
        <v>4773</v>
      </c>
      <c r="H1178" s="1">
        <v>0.0</v>
      </c>
      <c r="I1178" s="1"/>
      <c r="J1178" s="1"/>
      <c r="K1178" s="1"/>
      <c r="L1178" s="1"/>
      <c r="M1178" s="1" t="s">
        <v>4774</v>
      </c>
      <c r="N1178" s="1" t="s">
        <v>34</v>
      </c>
      <c r="O1178" s="1" t="s">
        <v>985</v>
      </c>
      <c r="P1178" s="1"/>
      <c r="Q1178" s="3">
        <v>36892.0</v>
      </c>
      <c r="R1178" s="1"/>
      <c r="S1178" s="1"/>
      <c r="T1178" s="1" t="s">
        <v>37</v>
      </c>
      <c r="U1178" s="1"/>
      <c r="V1178" s="1" t="s">
        <v>38</v>
      </c>
      <c r="W1178" s="1">
        <v>43.662157</v>
      </c>
      <c r="X1178" s="1">
        <v>-72.6951599999999</v>
      </c>
      <c r="Y1178" s="1" t="s">
        <v>4775</v>
      </c>
      <c r="Z1178" s="1"/>
      <c r="AA1178" s="1" t="s">
        <v>40</v>
      </c>
      <c r="AB1178" s="1" t="s">
        <v>987</v>
      </c>
      <c r="AC1178" s="1">
        <v>5764.0</v>
      </c>
    </row>
    <row r="1179">
      <c r="A1179" s="1" t="str">
        <f>"0007GD"</f>
        <v>0007GD</v>
      </c>
      <c r="B1179" s="1" t="s">
        <v>4776</v>
      </c>
      <c r="C1179" s="1" t="s">
        <v>4777</v>
      </c>
      <c r="D1179" s="1"/>
      <c r="E1179" s="1">
        <v>738.0</v>
      </c>
      <c r="F1179" s="1" t="s">
        <v>44</v>
      </c>
      <c r="G1179" s="1" t="s">
        <v>4778</v>
      </c>
      <c r="H1179" s="1"/>
      <c r="I1179" s="1"/>
      <c r="J1179" s="1"/>
      <c r="K1179" s="1"/>
      <c r="L1179" s="1"/>
      <c r="M1179" s="1" t="s">
        <v>4779</v>
      </c>
      <c r="N1179" s="1" t="s">
        <v>66</v>
      </c>
      <c r="O1179" s="1" t="s">
        <v>4780</v>
      </c>
      <c r="P1179" s="1"/>
      <c r="Q1179" s="3">
        <v>36892.0</v>
      </c>
      <c r="R1179" s="1"/>
      <c r="S1179" s="1"/>
      <c r="T1179" s="1" t="s">
        <v>37</v>
      </c>
      <c r="U1179" s="1"/>
      <c r="V1179" s="1" t="s">
        <v>38</v>
      </c>
      <c r="W1179" s="1"/>
      <c r="X1179" s="1"/>
      <c r="Y1179" s="1" t="s">
        <v>49</v>
      </c>
      <c r="Z1179" s="1"/>
      <c r="AA1179" s="1" t="s">
        <v>40</v>
      </c>
      <c r="AB1179" s="1" t="s">
        <v>4781</v>
      </c>
      <c r="AC1179" s="1"/>
    </row>
    <row r="1180">
      <c r="A1180" s="1" t="str">
        <f>"0007GA"</f>
        <v>0007GA</v>
      </c>
      <c r="B1180" s="1" t="s">
        <v>4782</v>
      </c>
      <c r="C1180" s="1" t="s">
        <v>4783</v>
      </c>
      <c r="D1180" s="1"/>
      <c r="E1180" s="1">
        <v>734.0</v>
      </c>
      <c r="F1180" s="1" t="s">
        <v>44</v>
      </c>
      <c r="G1180" s="1" t="s">
        <v>4784</v>
      </c>
      <c r="H1180" s="1"/>
      <c r="I1180" s="1"/>
      <c r="J1180" s="1"/>
      <c r="K1180" s="1"/>
      <c r="L1180" s="1"/>
      <c r="M1180" s="1" t="s">
        <v>72</v>
      </c>
      <c r="N1180" s="1" t="s">
        <v>66</v>
      </c>
      <c r="O1180" s="1" t="s">
        <v>4780</v>
      </c>
      <c r="P1180" s="1"/>
      <c r="Q1180" s="3">
        <v>36892.0</v>
      </c>
      <c r="R1180" s="1"/>
      <c r="S1180" s="1"/>
      <c r="T1180" s="1" t="s">
        <v>37</v>
      </c>
      <c r="U1180" s="1"/>
      <c r="V1180" s="1" t="s">
        <v>38</v>
      </c>
      <c r="W1180" s="1"/>
      <c r="X1180" s="1"/>
      <c r="Y1180" s="1" t="s">
        <v>49</v>
      </c>
      <c r="Z1180" s="1"/>
      <c r="AA1180" s="1" t="s">
        <v>40</v>
      </c>
      <c r="AB1180" s="1" t="s">
        <v>4781</v>
      </c>
      <c r="AC1180" s="1"/>
    </row>
    <row r="1181">
      <c r="A1181" s="1" t="str">
        <f>"00070D"</f>
        <v>00070D</v>
      </c>
      <c r="B1181" s="1" t="s">
        <v>527</v>
      </c>
      <c r="C1181" s="1" t="s">
        <v>528</v>
      </c>
      <c r="D1181" s="1" t="str">
        <f>"8024923458"</f>
        <v>8024923458</v>
      </c>
      <c r="E1181" s="1">
        <v>41.0</v>
      </c>
      <c r="F1181" s="1" t="s">
        <v>31</v>
      </c>
      <c r="G1181" s="1" t="s">
        <v>4785</v>
      </c>
      <c r="H1181" s="1">
        <v>21.0</v>
      </c>
      <c r="I1181" s="1"/>
      <c r="J1181" s="1"/>
      <c r="K1181" s="1"/>
      <c r="L1181" s="1"/>
      <c r="M1181" s="1" t="s">
        <v>4786</v>
      </c>
      <c r="N1181" s="1" t="s">
        <v>161</v>
      </c>
      <c r="O1181" s="1" t="s">
        <v>531</v>
      </c>
      <c r="P1181" s="1"/>
      <c r="Q1181" s="3">
        <v>36892.0</v>
      </c>
      <c r="R1181" s="1"/>
      <c r="S1181" s="3">
        <v>41948.0</v>
      </c>
      <c r="T1181" s="1" t="s">
        <v>37</v>
      </c>
      <c r="U1181" s="1"/>
      <c r="V1181" s="1" t="s">
        <v>38</v>
      </c>
      <c r="W1181" s="1">
        <v>43.79917</v>
      </c>
      <c r="X1181" s="1">
        <v>-73.36139</v>
      </c>
      <c r="Y1181" s="1" t="s">
        <v>4787</v>
      </c>
      <c r="Z1181" s="1"/>
      <c r="AA1181" s="1" t="s">
        <v>40</v>
      </c>
      <c r="AB1181" s="1" t="s">
        <v>532</v>
      </c>
      <c r="AC1181" s="1">
        <v>5760.0</v>
      </c>
    </row>
    <row r="1182">
      <c r="A1182" s="1" t="str">
        <f>"0007G8"</f>
        <v>0007G8</v>
      </c>
      <c r="B1182" s="1" t="s">
        <v>4788</v>
      </c>
      <c r="C1182" s="1" t="s">
        <v>4789</v>
      </c>
      <c r="D1182" s="1" t="str">
        <f>"8023765945"</f>
        <v>8023765945</v>
      </c>
      <c r="E1182" s="1">
        <v>3928.0</v>
      </c>
      <c r="F1182" s="1" t="s">
        <v>44</v>
      </c>
      <c r="G1182" s="1" t="s">
        <v>4790</v>
      </c>
      <c r="H1182" s="1">
        <v>0.0</v>
      </c>
      <c r="I1182" s="1"/>
      <c r="J1182" s="1"/>
      <c r="K1182" s="1"/>
      <c r="L1182" s="1"/>
      <c r="M1182" s="1" t="s">
        <v>33</v>
      </c>
      <c r="N1182" s="1" t="s">
        <v>34</v>
      </c>
      <c r="O1182" s="1" t="s">
        <v>463</v>
      </c>
      <c r="P1182" s="1" t="s">
        <v>36</v>
      </c>
      <c r="Q1182" s="3">
        <v>36892.0</v>
      </c>
      <c r="R1182" s="1"/>
      <c r="S1182" s="3">
        <v>42894.0</v>
      </c>
      <c r="T1182" s="1" t="s">
        <v>37</v>
      </c>
      <c r="U1182" s="1"/>
      <c r="V1182" s="1" t="s">
        <v>38</v>
      </c>
      <c r="W1182" s="1">
        <v>43.784565</v>
      </c>
      <c r="X1182" s="1">
        <v>-72.2631989999999</v>
      </c>
      <c r="Y1182" s="1" t="s">
        <v>4791</v>
      </c>
      <c r="Z1182" s="1"/>
      <c r="AA1182" s="1" t="s">
        <v>40</v>
      </c>
      <c r="AB1182" s="1" t="s">
        <v>466</v>
      </c>
      <c r="AC1182" s="1">
        <v>5055.0</v>
      </c>
    </row>
    <row r="1183">
      <c r="A1183" s="1" t="str">
        <f>"0007G7"</f>
        <v>0007G7</v>
      </c>
      <c r="B1183" s="1" t="s">
        <v>4792</v>
      </c>
      <c r="C1183" s="1" t="s">
        <v>4793</v>
      </c>
      <c r="D1183" s="1"/>
      <c r="E1183" s="1">
        <v>730.0</v>
      </c>
      <c r="F1183" s="1" t="s">
        <v>44</v>
      </c>
      <c r="G1183" s="1" t="s">
        <v>4794</v>
      </c>
      <c r="H1183" s="1"/>
      <c r="I1183" s="1"/>
      <c r="J1183" s="1"/>
      <c r="K1183" s="1"/>
      <c r="L1183" s="1"/>
      <c r="M1183" s="1" t="s">
        <v>4795</v>
      </c>
      <c r="N1183" s="1" t="s">
        <v>66</v>
      </c>
      <c r="O1183" s="1" t="s">
        <v>4780</v>
      </c>
      <c r="P1183" s="1"/>
      <c r="Q1183" s="3">
        <v>36892.0</v>
      </c>
      <c r="R1183" s="1"/>
      <c r="S1183" s="1"/>
      <c r="T1183" s="1" t="s">
        <v>37</v>
      </c>
      <c r="U1183" s="1"/>
      <c r="V1183" s="1" t="s">
        <v>38</v>
      </c>
      <c r="W1183" s="1"/>
      <c r="X1183" s="1"/>
      <c r="Y1183" s="1" t="s">
        <v>49</v>
      </c>
      <c r="Z1183" s="1"/>
      <c r="AA1183" s="1" t="s">
        <v>40</v>
      </c>
      <c r="AB1183" s="1" t="s">
        <v>4781</v>
      </c>
      <c r="AC1183" s="1"/>
    </row>
    <row r="1184">
      <c r="A1184" s="1" t="str">
        <f>"0007HC"</f>
        <v>0007HC</v>
      </c>
      <c r="B1184" s="1" t="s">
        <v>4796</v>
      </c>
      <c r="C1184" s="1" t="s">
        <v>4797</v>
      </c>
      <c r="D1184" s="1" t="str">
        <f>"8028744182"</f>
        <v>8028744182</v>
      </c>
      <c r="E1184" s="1">
        <v>2428.0</v>
      </c>
      <c r="F1184" s="1" t="s">
        <v>117</v>
      </c>
      <c r="G1184" s="1" t="s">
        <v>4798</v>
      </c>
      <c r="H1184" s="1">
        <v>1.0</v>
      </c>
      <c r="I1184" s="2">
        <v>0.0</v>
      </c>
      <c r="J1184" s="2">
        <v>0.0</v>
      </c>
      <c r="K1184" s="2" t="s">
        <v>119</v>
      </c>
      <c r="L1184" s="2" t="s">
        <v>4799</v>
      </c>
      <c r="M1184" s="1" t="s">
        <v>4800</v>
      </c>
      <c r="N1184" s="1" t="s">
        <v>66</v>
      </c>
      <c r="O1184" s="1" t="s">
        <v>1944</v>
      </c>
      <c r="P1184" s="1" t="s">
        <v>4801</v>
      </c>
      <c r="Q1184" s="3">
        <v>36892.0</v>
      </c>
      <c r="R1184" s="1"/>
      <c r="S1184" s="3">
        <v>42933.0</v>
      </c>
      <c r="T1184" s="1" t="s">
        <v>37</v>
      </c>
      <c r="U1184" s="1"/>
      <c r="V1184" s="1" t="s">
        <v>38</v>
      </c>
      <c r="W1184" s="1">
        <v>43.141068</v>
      </c>
      <c r="X1184" s="1">
        <v>-72.726799</v>
      </c>
      <c r="Y1184" s="1" t="s">
        <v>4802</v>
      </c>
      <c r="Z1184" s="1"/>
      <c r="AA1184" s="1" t="s">
        <v>40</v>
      </c>
      <c r="AB1184" s="1" t="s">
        <v>66</v>
      </c>
      <c r="AC1184" s="1">
        <v>5359.0</v>
      </c>
    </row>
    <row r="1185">
      <c r="A1185" s="1" t="str">
        <f>"0008XD"</f>
        <v>0008XD</v>
      </c>
      <c r="B1185" s="1" t="s">
        <v>4803</v>
      </c>
      <c r="C1185" s="1" t="s">
        <v>4804</v>
      </c>
      <c r="D1185" s="1" t="str">
        <f>"8024622338"</f>
        <v>8024622338</v>
      </c>
      <c r="E1185" s="1">
        <v>3773.0</v>
      </c>
      <c r="F1185" s="1" t="s">
        <v>44</v>
      </c>
      <c r="G1185" s="1" t="s">
        <v>4805</v>
      </c>
      <c r="H1185" s="1"/>
      <c r="I1185" s="1"/>
      <c r="J1185" s="1"/>
      <c r="K1185" s="1"/>
      <c r="L1185" s="1"/>
      <c r="M1185" s="1" t="s">
        <v>4806</v>
      </c>
      <c r="N1185" s="1" t="s">
        <v>161</v>
      </c>
      <c r="O1185" s="1" t="s">
        <v>185</v>
      </c>
      <c r="P1185" s="1"/>
      <c r="Q1185" s="3">
        <v>36892.0</v>
      </c>
      <c r="R1185" s="1"/>
      <c r="S1185" s="1"/>
      <c r="T1185" s="1" t="s">
        <v>37</v>
      </c>
      <c r="U1185" s="1"/>
      <c r="V1185" s="1" t="s">
        <v>38</v>
      </c>
      <c r="W1185" s="1"/>
      <c r="X1185" s="1"/>
      <c r="Y1185" s="1" t="s">
        <v>49</v>
      </c>
      <c r="Z1185" s="1"/>
      <c r="AA1185" s="1" t="s">
        <v>40</v>
      </c>
      <c r="AB1185" s="1" t="s">
        <v>186</v>
      </c>
      <c r="AC1185" s="1"/>
    </row>
    <row r="1186">
      <c r="A1186" s="1" t="str">
        <f>"0007G5"</f>
        <v>0007G5</v>
      </c>
      <c r="B1186" s="1" t="s">
        <v>2047</v>
      </c>
      <c r="C1186" s="1" t="s">
        <v>2048</v>
      </c>
      <c r="D1186" s="1" t="str">
        <f>"8023874151"</f>
        <v>8023874151</v>
      </c>
      <c r="E1186" s="1">
        <v>728.0</v>
      </c>
      <c r="F1186" s="1" t="s">
        <v>44</v>
      </c>
      <c r="G1186" s="1" t="s">
        <v>4807</v>
      </c>
      <c r="H1186" s="1">
        <v>2.0</v>
      </c>
      <c r="I1186" s="1"/>
      <c r="J1186" s="1"/>
      <c r="K1186" s="1"/>
      <c r="L1186" s="1"/>
      <c r="M1186" s="1" t="s">
        <v>4808</v>
      </c>
      <c r="N1186" s="1" t="s">
        <v>66</v>
      </c>
      <c r="O1186" s="1" t="s">
        <v>593</v>
      </c>
      <c r="P1186" s="1"/>
      <c r="Q1186" s="3">
        <v>36892.0</v>
      </c>
      <c r="R1186" s="1"/>
      <c r="S1186" s="3">
        <v>32308.0</v>
      </c>
      <c r="T1186" s="1" t="s">
        <v>37</v>
      </c>
      <c r="U1186" s="1"/>
      <c r="V1186" s="1" t="s">
        <v>38</v>
      </c>
      <c r="W1186" s="1"/>
      <c r="X1186" s="1"/>
      <c r="Y1186" s="1" t="s">
        <v>49</v>
      </c>
      <c r="Z1186" s="1"/>
      <c r="AA1186" s="1" t="s">
        <v>40</v>
      </c>
      <c r="AB1186" s="1" t="s">
        <v>594</v>
      </c>
      <c r="AC1186" s="1"/>
    </row>
    <row r="1187">
      <c r="A1187" s="1" t="str">
        <f>"0007G4"</f>
        <v>0007G4</v>
      </c>
      <c r="B1187" s="1" t="s">
        <v>4809</v>
      </c>
      <c r="C1187" s="1" t="s">
        <v>4810</v>
      </c>
      <c r="D1187" s="1" t="str">
        <f>"8022448666"</f>
        <v>8022448666</v>
      </c>
      <c r="E1187" s="1">
        <v>3011.0</v>
      </c>
      <c r="F1187" s="1" t="s">
        <v>44</v>
      </c>
      <c r="G1187" s="1" t="s">
        <v>4811</v>
      </c>
      <c r="H1187" s="1">
        <v>2.0</v>
      </c>
      <c r="I1187" s="1"/>
      <c r="J1187" s="1"/>
      <c r="K1187" s="1"/>
      <c r="L1187" s="1"/>
      <c r="M1187" s="1" t="s">
        <v>72</v>
      </c>
      <c r="N1187" s="1" t="s">
        <v>135</v>
      </c>
      <c r="O1187" s="1" t="s">
        <v>775</v>
      </c>
      <c r="P1187" s="1"/>
      <c r="Q1187" s="3">
        <v>36892.0</v>
      </c>
      <c r="R1187" s="1"/>
      <c r="S1187" s="3">
        <v>35611.0</v>
      </c>
      <c r="T1187" s="1" t="s">
        <v>37</v>
      </c>
      <c r="U1187" s="1"/>
      <c r="V1187" s="1" t="s">
        <v>38</v>
      </c>
      <c r="W1187" s="1"/>
      <c r="X1187" s="1"/>
      <c r="Y1187" s="1" t="s">
        <v>49</v>
      </c>
      <c r="Z1187" s="1"/>
      <c r="AA1187" s="1" t="s">
        <v>40</v>
      </c>
      <c r="AB1187" s="1" t="s">
        <v>776</v>
      </c>
      <c r="AC1187" s="1"/>
    </row>
    <row r="1188">
      <c r="A1188" s="1" t="str">
        <f>"0008CW"</f>
        <v>0008CW</v>
      </c>
      <c r="B1188" s="1" t="s">
        <v>4812</v>
      </c>
      <c r="C1188" s="1" t="s">
        <v>4813</v>
      </c>
      <c r="D1188" s="1" t="str">
        <f>"8027223614"</f>
        <v>8027223614</v>
      </c>
      <c r="E1188" s="1">
        <v>2508.0</v>
      </c>
      <c r="F1188" s="1" t="s">
        <v>44</v>
      </c>
      <c r="G1188" s="1" t="s">
        <v>4814</v>
      </c>
      <c r="H1188" s="1">
        <v>4.0</v>
      </c>
      <c r="I1188" s="1"/>
      <c r="J1188" s="1"/>
      <c r="K1188" s="1"/>
      <c r="L1188" s="1"/>
      <c r="M1188" s="1" t="s">
        <v>33</v>
      </c>
      <c r="N1188" s="1" t="s">
        <v>66</v>
      </c>
      <c r="O1188" s="1" t="s">
        <v>113</v>
      </c>
      <c r="P1188" s="1"/>
      <c r="Q1188" s="3">
        <v>36892.0</v>
      </c>
      <c r="R1188" s="1"/>
      <c r="S1188" s="3">
        <v>41538.0</v>
      </c>
      <c r="T1188" s="1" t="s">
        <v>37</v>
      </c>
      <c r="U1188" s="1"/>
      <c r="V1188" s="1" t="s">
        <v>38</v>
      </c>
      <c r="W1188" s="1"/>
      <c r="X1188" s="1"/>
      <c r="Y1188" s="1" t="s">
        <v>4815</v>
      </c>
      <c r="Z1188" s="1"/>
      <c r="AA1188" s="1" t="s">
        <v>40</v>
      </c>
      <c r="AB1188" s="1" t="s">
        <v>4816</v>
      </c>
      <c r="AC1188" s="1">
        <v>5158.0</v>
      </c>
    </row>
    <row r="1189">
      <c r="A1189" s="1" t="str">
        <f>"0007G2"</f>
        <v>0007G2</v>
      </c>
      <c r="B1189" s="1" t="s">
        <v>4817</v>
      </c>
      <c r="C1189" s="1" t="s">
        <v>4818</v>
      </c>
      <c r="D1189" s="1"/>
      <c r="E1189" s="1">
        <v>724.0</v>
      </c>
      <c r="F1189" s="1" t="s">
        <v>44</v>
      </c>
      <c r="G1189" s="1" t="s">
        <v>4819</v>
      </c>
      <c r="H1189" s="1"/>
      <c r="I1189" s="1"/>
      <c r="J1189" s="1"/>
      <c r="K1189" s="1"/>
      <c r="L1189" s="1"/>
      <c r="M1189" s="1" t="s">
        <v>4820</v>
      </c>
      <c r="N1189" s="1" t="s">
        <v>66</v>
      </c>
      <c r="O1189" s="1" t="s">
        <v>593</v>
      </c>
      <c r="P1189" s="1"/>
      <c r="Q1189" s="3">
        <v>36892.0</v>
      </c>
      <c r="R1189" s="1"/>
      <c r="S1189" s="1"/>
      <c r="T1189" s="1" t="s">
        <v>37</v>
      </c>
      <c r="U1189" s="1"/>
      <c r="V1189" s="1" t="s">
        <v>38</v>
      </c>
      <c r="W1189" s="1"/>
      <c r="X1189" s="1"/>
      <c r="Y1189" s="1" t="s">
        <v>49</v>
      </c>
      <c r="Z1189" s="1"/>
      <c r="AA1189" s="1" t="s">
        <v>40</v>
      </c>
      <c r="AB1189" s="1" t="s">
        <v>594</v>
      </c>
      <c r="AC1189" s="1"/>
    </row>
    <row r="1190">
      <c r="A1190" s="1" t="str">
        <f>"0007FZ"</f>
        <v>0007FZ</v>
      </c>
      <c r="B1190" s="1" t="s">
        <v>4821</v>
      </c>
      <c r="C1190" s="1" t="s">
        <v>4822</v>
      </c>
      <c r="D1190" s="1" t="str">
        <f>"8024963689"</f>
        <v>8024963689</v>
      </c>
      <c r="E1190" s="1">
        <v>3012.0</v>
      </c>
      <c r="F1190" s="1" t="s">
        <v>44</v>
      </c>
      <c r="G1190" s="1" t="s">
        <v>4823</v>
      </c>
      <c r="H1190" s="1">
        <v>1.0</v>
      </c>
      <c r="I1190" s="1"/>
      <c r="J1190" s="1"/>
      <c r="K1190" s="1"/>
      <c r="L1190" s="1"/>
      <c r="M1190" s="1" t="s">
        <v>72</v>
      </c>
      <c r="N1190" s="1" t="s">
        <v>135</v>
      </c>
      <c r="O1190" s="1" t="s">
        <v>2331</v>
      </c>
      <c r="P1190" s="1"/>
      <c r="Q1190" s="3">
        <v>36892.0</v>
      </c>
      <c r="R1190" s="1"/>
      <c r="S1190" s="3">
        <v>35611.0</v>
      </c>
      <c r="T1190" s="1" t="s">
        <v>37</v>
      </c>
      <c r="U1190" s="1"/>
      <c r="V1190" s="1" t="s">
        <v>38</v>
      </c>
      <c r="W1190" s="1"/>
      <c r="X1190" s="1"/>
      <c r="Y1190" s="1" t="s">
        <v>49</v>
      </c>
      <c r="Z1190" s="1"/>
      <c r="AA1190" s="1" t="s">
        <v>40</v>
      </c>
      <c r="AB1190" s="1" t="s">
        <v>2332</v>
      </c>
      <c r="AC1190" s="1"/>
    </row>
    <row r="1191">
      <c r="A1191" s="1" t="str">
        <f>"0007FY"</f>
        <v>0007FY</v>
      </c>
      <c r="B1191" s="1" t="s">
        <v>4824</v>
      </c>
      <c r="C1191" s="1" t="s">
        <v>4825</v>
      </c>
      <c r="D1191" s="1" t="str">
        <f>"8024966080"</f>
        <v>8024966080</v>
      </c>
      <c r="E1191" s="1">
        <v>3013.0</v>
      </c>
      <c r="F1191" s="1" t="s">
        <v>44</v>
      </c>
      <c r="G1191" s="1" t="s">
        <v>4826</v>
      </c>
      <c r="H1191" s="1">
        <v>6.0</v>
      </c>
      <c r="I1191" s="1"/>
      <c r="J1191" s="1"/>
      <c r="K1191" s="1"/>
      <c r="L1191" s="1"/>
      <c r="M1191" s="1" t="s">
        <v>72</v>
      </c>
      <c r="N1191" s="1" t="s">
        <v>135</v>
      </c>
      <c r="O1191" s="1" t="s">
        <v>2331</v>
      </c>
      <c r="P1191" s="1"/>
      <c r="Q1191" s="3">
        <v>36892.0</v>
      </c>
      <c r="R1191" s="1"/>
      <c r="S1191" s="3">
        <v>35611.0</v>
      </c>
      <c r="T1191" s="1" t="s">
        <v>37</v>
      </c>
      <c r="U1191" s="1"/>
      <c r="V1191" s="1" t="s">
        <v>38</v>
      </c>
      <c r="W1191" s="1"/>
      <c r="X1191" s="1"/>
      <c r="Y1191" s="1" t="s">
        <v>49</v>
      </c>
      <c r="Z1191" s="1"/>
      <c r="AA1191" s="1" t="s">
        <v>40</v>
      </c>
      <c r="AB1191" s="1" t="s">
        <v>2332</v>
      </c>
      <c r="AC1191" s="1"/>
    </row>
    <row r="1192">
      <c r="A1192" s="1" t="str">
        <f>"0007FX"</f>
        <v>0007FX</v>
      </c>
      <c r="B1192" s="1" t="s">
        <v>4827</v>
      </c>
      <c r="C1192" s="1" t="s">
        <v>4828</v>
      </c>
      <c r="D1192" s="1" t="str">
        <f>"8023874882"</f>
        <v>8023874882</v>
      </c>
      <c r="E1192" s="1">
        <v>718.0</v>
      </c>
      <c r="F1192" s="1" t="s">
        <v>44</v>
      </c>
      <c r="G1192" s="1" t="s">
        <v>4829</v>
      </c>
      <c r="H1192" s="1">
        <v>3.0</v>
      </c>
      <c r="I1192" s="1"/>
      <c r="J1192" s="1"/>
      <c r="K1192" s="1"/>
      <c r="L1192" s="1"/>
      <c r="M1192" s="1" t="s">
        <v>72</v>
      </c>
      <c r="N1192" s="1" t="s">
        <v>66</v>
      </c>
      <c r="O1192" s="1" t="s">
        <v>593</v>
      </c>
      <c r="P1192" s="1"/>
      <c r="Q1192" s="3">
        <v>36892.0</v>
      </c>
      <c r="R1192" s="1"/>
      <c r="S1192" s="3">
        <v>36741.0</v>
      </c>
      <c r="T1192" s="1" t="s">
        <v>37</v>
      </c>
      <c r="U1192" s="1"/>
      <c r="V1192" s="1" t="s">
        <v>38</v>
      </c>
      <c r="W1192" s="1"/>
      <c r="X1192" s="1"/>
      <c r="Y1192" s="1" t="s">
        <v>49</v>
      </c>
      <c r="Z1192" s="1"/>
      <c r="AA1192" s="1" t="s">
        <v>40</v>
      </c>
      <c r="AB1192" s="1" t="s">
        <v>594</v>
      </c>
      <c r="AC1192" s="1"/>
    </row>
    <row r="1193">
      <c r="A1193" s="1" t="str">
        <f>"0007FW"</f>
        <v>0007FW</v>
      </c>
      <c r="B1193" s="1" t="s">
        <v>4830</v>
      </c>
      <c r="C1193" s="1" t="s">
        <v>4831</v>
      </c>
      <c r="D1193" s="1"/>
      <c r="E1193" s="1">
        <v>717.0</v>
      </c>
      <c r="F1193" s="1" t="s">
        <v>44</v>
      </c>
      <c r="G1193" s="1" t="s">
        <v>4832</v>
      </c>
      <c r="H1193" s="1"/>
      <c r="I1193" s="1"/>
      <c r="J1193" s="1"/>
      <c r="K1193" s="1"/>
      <c r="L1193" s="1"/>
      <c r="M1193" s="1" t="s">
        <v>4174</v>
      </c>
      <c r="N1193" s="1" t="s">
        <v>66</v>
      </c>
      <c r="O1193" s="1" t="s">
        <v>593</v>
      </c>
      <c r="P1193" s="1"/>
      <c r="Q1193" s="3">
        <v>36892.0</v>
      </c>
      <c r="R1193" s="1"/>
      <c r="S1193" s="1"/>
      <c r="T1193" s="1" t="s">
        <v>37</v>
      </c>
      <c r="U1193" s="1"/>
      <c r="V1193" s="1" t="s">
        <v>38</v>
      </c>
      <c r="W1193" s="1"/>
      <c r="X1193" s="1"/>
      <c r="Y1193" s="1" t="s">
        <v>49</v>
      </c>
      <c r="Z1193" s="1"/>
      <c r="AA1193" s="1" t="s">
        <v>40</v>
      </c>
      <c r="AB1193" s="1" t="s">
        <v>594</v>
      </c>
      <c r="AC1193" s="1"/>
    </row>
    <row r="1194">
      <c r="A1194" s="1" t="str">
        <f>"0007FV"</f>
        <v>0007FV</v>
      </c>
      <c r="B1194" s="1" t="s">
        <v>4833</v>
      </c>
      <c r="C1194" s="1" t="s">
        <v>4834</v>
      </c>
      <c r="D1194" s="1" t="str">
        <f>"8022267353"</f>
        <v>8022267353</v>
      </c>
      <c r="E1194" s="1">
        <v>4104.0</v>
      </c>
      <c r="F1194" s="1" t="s">
        <v>117</v>
      </c>
      <c r="G1194" s="1" t="s">
        <v>4835</v>
      </c>
      <c r="H1194" s="1">
        <v>8.0</v>
      </c>
      <c r="I1194" s="2">
        <v>4.0</v>
      </c>
      <c r="J1194" s="2">
        <v>4.0</v>
      </c>
      <c r="K1194" s="2" t="s">
        <v>119</v>
      </c>
      <c r="L1194" s="1"/>
      <c r="M1194" s="1" t="s">
        <v>4836</v>
      </c>
      <c r="N1194" s="1" t="s">
        <v>34</v>
      </c>
      <c r="O1194" s="1" t="s">
        <v>457</v>
      </c>
      <c r="P1194" s="1" t="s">
        <v>4837</v>
      </c>
      <c r="Q1194" s="3">
        <v>36892.0</v>
      </c>
      <c r="R1194" s="1"/>
      <c r="S1194" s="1"/>
      <c r="T1194" s="1" t="s">
        <v>37</v>
      </c>
      <c r="U1194" s="1"/>
      <c r="V1194" s="1" t="s">
        <v>38</v>
      </c>
      <c r="W1194" s="1">
        <v>43.394695</v>
      </c>
      <c r="X1194" s="1">
        <v>-72.5690379999999</v>
      </c>
      <c r="Y1194" s="1" t="s">
        <v>4838</v>
      </c>
      <c r="Z1194" s="1"/>
      <c r="AA1194" s="1" t="s">
        <v>40</v>
      </c>
      <c r="AB1194" s="1" t="s">
        <v>458</v>
      </c>
      <c r="AC1194" s="1">
        <v>5142.0</v>
      </c>
    </row>
    <row r="1195">
      <c r="A1195" s="1" t="str">
        <f>"0008QV"</f>
        <v>0008QV</v>
      </c>
      <c r="B1195" s="1" t="s">
        <v>4839</v>
      </c>
      <c r="C1195" s="1" t="s">
        <v>4840</v>
      </c>
      <c r="D1195" s="1" t="str">
        <f>"8024725171"</f>
        <v>8024725171</v>
      </c>
      <c r="E1195" s="1">
        <v>3291.0</v>
      </c>
      <c r="F1195" s="1" t="s">
        <v>44</v>
      </c>
      <c r="G1195" s="1" t="s">
        <v>4841</v>
      </c>
      <c r="H1195" s="1">
        <v>5.0</v>
      </c>
      <c r="I1195" s="1"/>
      <c r="J1195" s="1"/>
      <c r="K1195" s="1"/>
      <c r="L1195" s="1"/>
      <c r="M1195" s="1" t="s">
        <v>72</v>
      </c>
      <c r="N1195" s="1" t="s">
        <v>128</v>
      </c>
      <c r="O1195" s="1" t="s">
        <v>1079</v>
      </c>
      <c r="P1195" s="1"/>
      <c r="Q1195" s="3">
        <v>36892.0</v>
      </c>
      <c r="R1195" s="1"/>
      <c r="S1195" s="3">
        <v>38931.0</v>
      </c>
      <c r="T1195" s="1" t="s">
        <v>37</v>
      </c>
      <c r="U1195" s="1"/>
      <c r="V1195" s="1" t="s">
        <v>38</v>
      </c>
      <c r="W1195" s="1">
        <v>44.5464972</v>
      </c>
      <c r="X1195" s="1">
        <v>-72.2773760999999</v>
      </c>
      <c r="Y1195" s="1" t="s">
        <v>4842</v>
      </c>
      <c r="Z1195" s="1"/>
      <c r="AA1195" s="1" t="s">
        <v>40</v>
      </c>
      <c r="AB1195" s="1" t="s">
        <v>1080</v>
      </c>
      <c r="AC1195" s="1">
        <v>5836.0</v>
      </c>
    </row>
    <row r="1196">
      <c r="A1196" s="1" t="str">
        <f>"0007FM"</f>
        <v>0007FM</v>
      </c>
      <c r="B1196" s="1" t="s">
        <v>4843</v>
      </c>
      <c r="C1196" s="1" t="s">
        <v>1883</v>
      </c>
      <c r="D1196" s="1"/>
      <c r="E1196" s="1">
        <v>711.0</v>
      </c>
      <c r="F1196" s="1" t="s">
        <v>44</v>
      </c>
      <c r="G1196" s="1" t="s">
        <v>4844</v>
      </c>
      <c r="H1196" s="1">
        <v>2.0</v>
      </c>
      <c r="I1196" s="1"/>
      <c r="J1196" s="1"/>
      <c r="K1196" s="1"/>
      <c r="L1196" s="1"/>
      <c r="M1196" s="1" t="s">
        <v>4845</v>
      </c>
      <c r="N1196" s="1" t="s">
        <v>66</v>
      </c>
      <c r="O1196" s="1" t="s">
        <v>1256</v>
      </c>
      <c r="P1196" s="1"/>
      <c r="Q1196" s="3">
        <v>36892.0</v>
      </c>
      <c r="R1196" s="1"/>
      <c r="S1196" s="3">
        <v>34128.0</v>
      </c>
      <c r="T1196" s="1" t="s">
        <v>37</v>
      </c>
      <c r="U1196" s="1"/>
      <c r="V1196" s="1" t="s">
        <v>38</v>
      </c>
      <c r="W1196" s="1"/>
      <c r="X1196" s="1"/>
      <c r="Y1196" s="1" t="s">
        <v>49</v>
      </c>
      <c r="Z1196" s="1"/>
      <c r="AA1196" s="1" t="s">
        <v>40</v>
      </c>
      <c r="AB1196" s="1" t="s">
        <v>1257</v>
      </c>
      <c r="AC1196" s="1"/>
    </row>
    <row r="1197">
      <c r="A1197" s="1" t="str">
        <f>"0008BJ"</f>
        <v>0008BJ</v>
      </c>
      <c r="B1197" s="1" t="s">
        <v>4846</v>
      </c>
      <c r="C1197" s="1" t="s">
        <v>4847</v>
      </c>
      <c r="D1197" s="1" t="str">
        <f>"8024824414"</f>
        <v>8024824414</v>
      </c>
      <c r="E1197" s="1">
        <v>3063.0</v>
      </c>
      <c r="F1197" s="1" t="s">
        <v>44</v>
      </c>
      <c r="G1197" s="1" t="s">
        <v>4848</v>
      </c>
      <c r="H1197" s="1">
        <v>1.0</v>
      </c>
      <c r="I1197" s="1"/>
      <c r="J1197" s="1"/>
      <c r="K1197" s="1"/>
      <c r="L1197" s="1"/>
      <c r="M1197" s="1" t="s">
        <v>72</v>
      </c>
      <c r="N1197" s="1" t="s">
        <v>57</v>
      </c>
      <c r="O1197" s="1" t="s">
        <v>204</v>
      </c>
      <c r="P1197" s="1"/>
      <c r="Q1197" s="3">
        <v>36892.0</v>
      </c>
      <c r="R1197" s="1"/>
      <c r="S1197" s="3">
        <v>36789.0</v>
      </c>
      <c r="T1197" s="1" t="s">
        <v>37</v>
      </c>
      <c r="U1197" s="1"/>
      <c r="V1197" s="1" t="s">
        <v>38</v>
      </c>
      <c r="W1197" s="1"/>
      <c r="X1197" s="1"/>
      <c r="Y1197" s="1" t="s">
        <v>49</v>
      </c>
      <c r="Z1197" s="1"/>
      <c r="AA1197" s="1" t="s">
        <v>40</v>
      </c>
      <c r="AB1197" s="1" t="s">
        <v>205</v>
      </c>
      <c r="AC1197" s="1"/>
    </row>
    <row r="1198">
      <c r="A1198" s="1" t="str">
        <f>"0007FJ"</f>
        <v>0007FJ</v>
      </c>
      <c r="B1198" s="1" t="s">
        <v>4849</v>
      </c>
      <c r="C1198" s="1" t="s">
        <v>4850</v>
      </c>
      <c r="D1198" s="1"/>
      <c r="E1198" s="1">
        <v>709.0</v>
      </c>
      <c r="F1198" s="1" t="s">
        <v>44</v>
      </c>
      <c r="G1198" s="1" t="s">
        <v>4851</v>
      </c>
      <c r="H1198" s="1">
        <v>5.0</v>
      </c>
      <c r="I1198" s="1"/>
      <c r="J1198" s="1"/>
      <c r="K1198" s="1"/>
      <c r="L1198" s="1"/>
      <c r="M1198" s="1" t="s">
        <v>4852</v>
      </c>
      <c r="N1198" s="1" t="s">
        <v>66</v>
      </c>
      <c r="O1198" s="1" t="s">
        <v>1256</v>
      </c>
      <c r="P1198" s="1"/>
      <c r="Q1198" s="3">
        <v>36892.0</v>
      </c>
      <c r="R1198" s="1"/>
      <c r="S1198" s="3">
        <v>32713.0</v>
      </c>
      <c r="T1198" s="1" t="s">
        <v>37</v>
      </c>
      <c r="U1198" s="1"/>
      <c r="V1198" s="1" t="s">
        <v>38</v>
      </c>
      <c r="W1198" s="1"/>
      <c r="X1198" s="1"/>
      <c r="Y1198" s="1" t="s">
        <v>49</v>
      </c>
      <c r="Z1198" s="1"/>
      <c r="AA1198" s="1" t="s">
        <v>40</v>
      </c>
      <c r="AB1198" s="1" t="s">
        <v>1257</v>
      </c>
      <c r="AC1198" s="1"/>
    </row>
    <row r="1199">
      <c r="A1199" s="1" t="str">
        <f>"0007FH"</f>
        <v>0007FH</v>
      </c>
      <c r="B1199" s="1" t="s">
        <v>4853</v>
      </c>
      <c r="C1199" s="1" t="s">
        <v>4854</v>
      </c>
      <c r="D1199" s="1" t="str">
        <f>"8024361326"</f>
        <v>8024361326</v>
      </c>
      <c r="E1199" s="1">
        <v>708.0</v>
      </c>
      <c r="F1199" s="1" t="s">
        <v>117</v>
      </c>
      <c r="G1199" s="1" t="s">
        <v>4855</v>
      </c>
      <c r="H1199" s="1">
        <v>8.0</v>
      </c>
      <c r="I1199" s="2" t="s">
        <v>119</v>
      </c>
      <c r="J1199" s="2">
        <v>6.0</v>
      </c>
      <c r="K1199" s="2" t="s">
        <v>119</v>
      </c>
      <c r="L1199" s="2" t="s">
        <v>4856</v>
      </c>
      <c r="M1199" s="1" t="s">
        <v>4857</v>
      </c>
      <c r="N1199" s="1" t="s">
        <v>34</v>
      </c>
      <c r="O1199" s="1" t="s">
        <v>85</v>
      </c>
      <c r="P1199" s="1" t="s">
        <v>4858</v>
      </c>
      <c r="Q1199" s="3">
        <v>36892.0</v>
      </c>
      <c r="R1199" s="1"/>
      <c r="S1199" s="3">
        <v>41071.0</v>
      </c>
      <c r="T1199" s="1" t="s">
        <v>37</v>
      </c>
      <c r="U1199" s="1"/>
      <c r="V1199" s="1" t="s">
        <v>38</v>
      </c>
      <c r="W1199" s="1">
        <v>43.534930512948</v>
      </c>
      <c r="X1199" s="1">
        <v>-72.4349534511566</v>
      </c>
      <c r="Y1199" s="1" t="s">
        <v>4859</v>
      </c>
      <c r="Z1199" s="1"/>
      <c r="AA1199" s="1" t="s">
        <v>40</v>
      </c>
      <c r="AB1199" s="1" t="s">
        <v>86</v>
      </c>
      <c r="AC1199" s="1">
        <v>5048.0</v>
      </c>
    </row>
    <row r="1200">
      <c r="A1200" s="1" t="str">
        <f>"0007WA"</f>
        <v>0007WA</v>
      </c>
      <c r="B1200" s="1" t="s">
        <v>157</v>
      </c>
      <c r="C1200" s="1" t="s">
        <v>158</v>
      </c>
      <c r="D1200" s="1" t="str">
        <f>"8029482057"</f>
        <v>8029482057</v>
      </c>
      <c r="E1200" s="1">
        <v>1217.0</v>
      </c>
      <c r="F1200" s="1" t="s">
        <v>31</v>
      </c>
      <c r="G1200" s="1" t="s">
        <v>4860</v>
      </c>
      <c r="H1200" s="1">
        <v>26.0</v>
      </c>
      <c r="I1200" s="1"/>
      <c r="J1200" s="1"/>
      <c r="K1200" s="1"/>
      <c r="L1200" s="1"/>
      <c r="M1200" s="1" t="s">
        <v>4861</v>
      </c>
      <c r="N1200" s="1" t="s">
        <v>161</v>
      </c>
      <c r="O1200" s="1" t="s">
        <v>531</v>
      </c>
      <c r="P1200" s="1"/>
      <c r="Q1200" s="3">
        <v>36892.0</v>
      </c>
      <c r="R1200" s="1"/>
      <c r="S1200" s="3">
        <v>39373.0</v>
      </c>
      <c r="T1200" s="1" t="s">
        <v>164</v>
      </c>
      <c r="U1200" s="1"/>
      <c r="V1200" s="1" t="s">
        <v>38</v>
      </c>
      <c r="W1200" s="1"/>
      <c r="X1200" s="1"/>
      <c r="Y1200" s="1" t="s">
        <v>49</v>
      </c>
      <c r="Z1200" s="1"/>
      <c r="AA1200" s="1" t="s">
        <v>40</v>
      </c>
      <c r="AB1200" s="1" t="s">
        <v>532</v>
      </c>
      <c r="AC1200" s="1"/>
    </row>
    <row r="1201">
      <c r="A1201" s="1" t="str">
        <f>"0007N0"</f>
        <v>0007N0</v>
      </c>
      <c r="B1201" s="1" t="s">
        <v>4862</v>
      </c>
      <c r="C1201" s="1" t="s">
        <v>4863</v>
      </c>
      <c r="D1201" s="1" t="str">
        <f>"8026722216"</f>
        <v>8026722216</v>
      </c>
      <c r="E1201" s="1">
        <v>3367.0</v>
      </c>
      <c r="F1201" s="1" t="s">
        <v>44</v>
      </c>
      <c r="G1201" s="1" t="s">
        <v>4864</v>
      </c>
      <c r="H1201" s="1">
        <v>7.0</v>
      </c>
      <c r="I1201" s="1"/>
      <c r="J1201" s="1"/>
      <c r="K1201" s="1"/>
      <c r="L1201" s="1"/>
      <c r="M1201" s="1" t="s">
        <v>72</v>
      </c>
      <c r="N1201" s="1" t="s">
        <v>34</v>
      </c>
      <c r="O1201" s="1" t="s">
        <v>985</v>
      </c>
      <c r="P1201" s="1"/>
      <c r="Q1201" s="3">
        <v>36892.0</v>
      </c>
      <c r="R1201" s="1"/>
      <c r="S1201" s="3">
        <v>39205.0</v>
      </c>
      <c r="T1201" s="1" t="s">
        <v>37</v>
      </c>
      <c r="U1201" s="1"/>
      <c r="V1201" s="1" t="s">
        <v>38</v>
      </c>
      <c r="W1201" s="1"/>
      <c r="X1201" s="1"/>
      <c r="Y1201" s="1" t="s">
        <v>49</v>
      </c>
      <c r="Z1201" s="1"/>
      <c r="AA1201" s="1" t="s">
        <v>40</v>
      </c>
      <c r="AB1201" s="1" t="s">
        <v>987</v>
      </c>
      <c r="AC1201" s="1"/>
    </row>
    <row r="1202">
      <c r="A1202" s="1" t="str">
        <f>"0007FD"</f>
        <v>0007FD</v>
      </c>
      <c r="B1202" s="1" t="s">
        <v>4865</v>
      </c>
      <c r="C1202" s="1" t="s">
        <v>4866</v>
      </c>
      <c r="D1202" s="1"/>
      <c r="E1202" s="1">
        <v>702.0</v>
      </c>
      <c r="F1202" s="1" t="s">
        <v>44</v>
      </c>
      <c r="G1202" s="1" t="s">
        <v>4867</v>
      </c>
      <c r="H1202" s="1">
        <v>1.0</v>
      </c>
      <c r="I1202" s="1"/>
      <c r="J1202" s="1"/>
      <c r="K1202" s="1"/>
      <c r="L1202" s="1"/>
      <c r="M1202" s="1" t="s">
        <v>4868</v>
      </c>
      <c r="N1202" s="1" t="s">
        <v>66</v>
      </c>
      <c r="O1202" s="1" t="s">
        <v>1921</v>
      </c>
      <c r="P1202" s="1"/>
      <c r="Q1202" s="3">
        <v>36892.0</v>
      </c>
      <c r="R1202" s="1"/>
      <c r="S1202" s="3">
        <v>32692.0</v>
      </c>
      <c r="T1202" s="1" t="s">
        <v>37</v>
      </c>
      <c r="U1202" s="1"/>
      <c r="V1202" s="1" t="s">
        <v>38</v>
      </c>
      <c r="W1202" s="1"/>
      <c r="X1202" s="1"/>
      <c r="Y1202" s="1" t="s">
        <v>49</v>
      </c>
      <c r="Z1202" s="1"/>
      <c r="AA1202" s="1" t="s">
        <v>40</v>
      </c>
      <c r="AB1202" s="1" t="s">
        <v>1922</v>
      </c>
      <c r="AC1202" s="1"/>
    </row>
    <row r="1203">
      <c r="A1203" s="1" t="str">
        <f>"0007FC"</f>
        <v>0007FC</v>
      </c>
      <c r="B1203" s="1" t="s">
        <v>4869</v>
      </c>
      <c r="C1203" s="1" t="s">
        <v>4870</v>
      </c>
      <c r="D1203" s="1"/>
      <c r="E1203" s="1">
        <v>700.0</v>
      </c>
      <c r="F1203" s="1" t="s">
        <v>44</v>
      </c>
      <c r="G1203" s="1" t="s">
        <v>4871</v>
      </c>
      <c r="H1203" s="1">
        <v>2.0</v>
      </c>
      <c r="I1203" s="1"/>
      <c r="J1203" s="1"/>
      <c r="K1203" s="1"/>
      <c r="L1203" s="1"/>
      <c r="M1203" s="1" t="s">
        <v>4872</v>
      </c>
      <c r="N1203" s="1" t="s">
        <v>66</v>
      </c>
      <c r="O1203" s="1" t="s">
        <v>1921</v>
      </c>
      <c r="P1203" s="1"/>
      <c r="Q1203" s="3">
        <v>36892.0</v>
      </c>
      <c r="R1203" s="1"/>
      <c r="S1203" s="3">
        <v>32702.0</v>
      </c>
      <c r="T1203" s="1" t="s">
        <v>37</v>
      </c>
      <c r="U1203" s="1"/>
      <c r="V1203" s="1" t="s">
        <v>38</v>
      </c>
      <c r="W1203" s="1"/>
      <c r="X1203" s="1"/>
      <c r="Y1203" s="1" t="s">
        <v>49</v>
      </c>
      <c r="Z1203" s="1"/>
      <c r="AA1203" s="1" t="s">
        <v>40</v>
      </c>
      <c r="AB1203" s="1" t="s">
        <v>1922</v>
      </c>
      <c r="AC1203" s="1"/>
    </row>
    <row r="1204">
      <c r="A1204" s="1" t="str">
        <f>"0007MK"</f>
        <v>0007MK</v>
      </c>
      <c r="B1204" s="1" t="s">
        <v>4873</v>
      </c>
      <c r="C1204" s="1" t="s">
        <v>4874</v>
      </c>
      <c r="D1204" s="1" t="str">
        <f>"8029851124"</f>
        <v>8029851124</v>
      </c>
      <c r="E1204" s="1">
        <v>4081.0</v>
      </c>
      <c r="F1204" s="1" t="s">
        <v>31</v>
      </c>
      <c r="G1204" s="1" t="s">
        <v>4875</v>
      </c>
      <c r="H1204" s="1">
        <v>3.0</v>
      </c>
      <c r="I1204" s="1"/>
      <c r="J1204" s="1"/>
      <c r="K1204" s="1"/>
      <c r="L1204" s="1"/>
      <c r="M1204" s="1" t="s">
        <v>33</v>
      </c>
      <c r="N1204" s="1" t="s">
        <v>57</v>
      </c>
      <c r="O1204" s="1" t="s">
        <v>238</v>
      </c>
      <c r="P1204" s="1" t="s">
        <v>36</v>
      </c>
      <c r="Q1204" s="3">
        <v>36892.0</v>
      </c>
      <c r="R1204" s="1"/>
      <c r="S1204" s="3">
        <v>42626.0</v>
      </c>
      <c r="T1204" s="1" t="s">
        <v>37</v>
      </c>
      <c r="U1204" s="1"/>
      <c r="V1204" s="1" t="s">
        <v>38</v>
      </c>
      <c r="W1204" s="1">
        <v>44.37693</v>
      </c>
      <c r="X1204" s="1">
        <v>-73.210258</v>
      </c>
      <c r="Y1204" s="1" t="s">
        <v>4876</v>
      </c>
      <c r="Z1204" s="1"/>
      <c r="AA1204" s="1" t="s">
        <v>40</v>
      </c>
      <c r="AB1204" s="1" t="s">
        <v>239</v>
      </c>
      <c r="AC1204" s="1">
        <v>5482.0</v>
      </c>
    </row>
    <row r="1205">
      <c r="A1205" s="1" t="str">
        <f>"0007FA"</f>
        <v>0007FA</v>
      </c>
      <c r="B1205" s="1" t="s">
        <v>4877</v>
      </c>
      <c r="C1205" s="1" t="s">
        <v>4878</v>
      </c>
      <c r="D1205" s="1" t="str">
        <f>"8028798980"</f>
        <v>8028798980</v>
      </c>
      <c r="E1205" s="1">
        <v>2932.0</v>
      </c>
      <c r="F1205" s="1" t="s">
        <v>44</v>
      </c>
      <c r="G1205" s="1" t="s">
        <v>4879</v>
      </c>
      <c r="H1205" s="1">
        <v>2.0</v>
      </c>
      <c r="I1205" s="1"/>
      <c r="J1205" s="1"/>
      <c r="K1205" s="1"/>
      <c r="L1205" s="1"/>
      <c r="M1205" s="1" t="s">
        <v>72</v>
      </c>
      <c r="N1205" s="1" t="s">
        <v>57</v>
      </c>
      <c r="O1205" s="1" t="s">
        <v>2092</v>
      </c>
      <c r="P1205" s="1"/>
      <c r="Q1205" s="3">
        <v>36892.0</v>
      </c>
      <c r="R1205" s="1"/>
      <c r="S1205" s="3">
        <v>35194.0</v>
      </c>
      <c r="T1205" s="1" t="s">
        <v>37</v>
      </c>
      <c r="U1205" s="1"/>
      <c r="V1205" s="1" t="s">
        <v>38</v>
      </c>
      <c r="W1205" s="1"/>
      <c r="X1205" s="1"/>
      <c r="Y1205" s="1" t="s">
        <v>49</v>
      </c>
      <c r="Z1205" s="1"/>
      <c r="AA1205" s="1" t="s">
        <v>40</v>
      </c>
      <c r="AB1205" s="1" t="s">
        <v>2093</v>
      </c>
      <c r="AC1205" s="1"/>
    </row>
    <row r="1206">
      <c r="A1206" s="1" t="str">
        <f>"0007AV"</f>
        <v>0007AV</v>
      </c>
      <c r="B1206" s="1" t="s">
        <v>4880</v>
      </c>
      <c r="C1206" s="1" t="s">
        <v>4881</v>
      </c>
      <c r="D1206" s="1" t="str">
        <f>"8024622834"</f>
        <v>8024622834</v>
      </c>
      <c r="E1206" s="1">
        <v>2351.0</v>
      </c>
      <c r="F1206" s="1" t="s">
        <v>44</v>
      </c>
      <c r="G1206" s="1" t="s">
        <v>4882</v>
      </c>
      <c r="H1206" s="1">
        <v>3.0</v>
      </c>
      <c r="I1206" s="1"/>
      <c r="J1206" s="1"/>
      <c r="K1206" s="1"/>
      <c r="L1206" s="1"/>
      <c r="M1206" s="1" t="s">
        <v>72</v>
      </c>
      <c r="N1206" s="1" t="s">
        <v>161</v>
      </c>
      <c r="O1206" s="1" t="s">
        <v>162</v>
      </c>
      <c r="P1206" s="1"/>
      <c r="Q1206" s="3">
        <v>36892.0</v>
      </c>
      <c r="R1206" s="1"/>
      <c r="S1206" s="3">
        <v>33717.0</v>
      </c>
      <c r="T1206" s="1" t="s">
        <v>37</v>
      </c>
      <c r="U1206" s="1"/>
      <c r="V1206" s="1" t="s">
        <v>38</v>
      </c>
      <c r="W1206" s="1"/>
      <c r="X1206" s="1"/>
      <c r="Y1206" s="1" t="s">
        <v>49</v>
      </c>
      <c r="Z1206" s="1"/>
      <c r="AA1206" s="1" t="s">
        <v>40</v>
      </c>
      <c r="AB1206" s="1" t="s">
        <v>166</v>
      </c>
      <c r="AC1206" s="1"/>
    </row>
    <row r="1207">
      <c r="A1207" s="1" t="str">
        <f>"0007DW"</f>
        <v>0007DW</v>
      </c>
      <c r="B1207" s="1" t="s">
        <v>4883</v>
      </c>
      <c r="C1207" s="1" t="s">
        <v>4884</v>
      </c>
      <c r="D1207" s="1" t="str">
        <f>"8022545756"</f>
        <v>8022545756</v>
      </c>
      <c r="E1207" s="1">
        <v>3369.0</v>
      </c>
      <c r="F1207" s="1" t="s">
        <v>44</v>
      </c>
      <c r="G1207" s="1" t="s">
        <v>4885</v>
      </c>
      <c r="H1207" s="1">
        <v>4.0</v>
      </c>
      <c r="I1207" s="1"/>
      <c r="J1207" s="1"/>
      <c r="K1207" s="1"/>
      <c r="L1207" s="1"/>
      <c r="M1207" s="1" t="s">
        <v>72</v>
      </c>
      <c r="N1207" s="1" t="s">
        <v>66</v>
      </c>
      <c r="O1207" s="1" t="s">
        <v>73</v>
      </c>
      <c r="P1207" s="1"/>
      <c r="Q1207" s="3">
        <v>36892.0</v>
      </c>
      <c r="R1207" s="1"/>
      <c r="S1207" s="3">
        <v>37166.0</v>
      </c>
      <c r="T1207" s="1" t="s">
        <v>37</v>
      </c>
      <c r="U1207" s="1"/>
      <c r="V1207" s="1" t="s">
        <v>38</v>
      </c>
      <c r="W1207" s="1"/>
      <c r="X1207" s="1"/>
      <c r="Y1207" s="1" t="s">
        <v>49</v>
      </c>
      <c r="Z1207" s="1"/>
      <c r="AA1207" s="1" t="s">
        <v>40</v>
      </c>
      <c r="AB1207" s="1" t="s">
        <v>74</v>
      </c>
      <c r="AC1207" s="1"/>
    </row>
    <row r="1208">
      <c r="A1208" s="1" t="str">
        <f>"0007F8"</f>
        <v>0007F8</v>
      </c>
      <c r="B1208" s="1" t="s">
        <v>4886</v>
      </c>
      <c r="C1208" s="1" t="s">
        <v>4887</v>
      </c>
      <c r="D1208" s="1" t="str">
        <f>"8022732347"</f>
        <v>8022732347</v>
      </c>
      <c r="E1208" s="1">
        <v>3965.0</v>
      </c>
      <c r="F1208" s="1" t="s">
        <v>44</v>
      </c>
      <c r="G1208" s="1" t="s">
        <v>4888</v>
      </c>
      <c r="H1208" s="1">
        <v>1.0</v>
      </c>
      <c r="I1208" s="1"/>
      <c r="J1208" s="1"/>
      <c r="K1208" s="1"/>
      <c r="L1208" s="1"/>
      <c r="M1208" s="1" t="s">
        <v>72</v>
      </c>
      <c r="N1208" s="1" t="s">
        <v>78</v>
      </c>
      <c r="O1208" s="1" t="s">
        <v>4889</v>
      </c>
      <c r="P1208" s="1"/>
      <c r="Q1208" s="3">
        <v>36892.0</v>
      </c>
      <c r="R1208" s="1"/>
      <c r="S1208" s="3">
        <v>40759.0</v>
      </c>
      <c r="T1208" s="1" t="s">
        <v>37</v>
      </c>
      <c r="U1208" s="1"/>
      <c r="V1208" s="1" t="s">
        <v>38</v>
      </c>
      <c r="W1208" s="1"/>
      <c r="X1208" s="1"/>
      <c r="Y1208" s="1" t="s">
        <v>49</v>
      </c>
      <c r="Z1208" s="1"/>
      <c r="AA1208" s="1" t="s">
        <v>40</v>
      </c>
      <c r="AB1208" s="1" t="s">
        <v>4890</v>
      </c>
      <c r="AC1208" s="1"/>
    </row>
    <row r="1209">
      <c r="A1209" s="1" t="str">
        <f>"0007AP"</f>
        <v>0007AP</v>
      </c>
      <c r="B1209" s="1" t="s">
        <v>4891</v>
      </c>
      <c r="C1209" s="1" t="s">
        <v>4892</v>
      </c>
      <c r="D1209" s="1"/>
      <c r="E1209" s="1">
        <v>2350.0</v>
      </c>
      <c r="F1209" s="1" t="s">
        <v>44</v>
      </c>
      <c r="G1209" s="1" t="s">
        <v>4893</v>
      </c>
      <c r="H1209" s="1"/>
      <c r="I1209" s="1"/>
      <c r="J1209" s="1"/>
      <c r="K1209" s="1"/>
      <c r="L1209" s="1"/>
      <c r="M1209" s="1" t="s">
        <v>4894</v>
      </c>
      <c r="N1209" s="1" t="s">
        <v>57</v>
      </c>
      <c r="O1209" s="1" t="s">
        <v>58</v>
      </c>
      <c r="P1209" s="1"/>
      <c r="Q1209" s="3">
        <v>36892.0</v>
      </c>
      <c r="R1209" s="1"/>
      <c r="S1209" s="1"/>
      <c r="T1209" s="1" t="s">
        <v>37</v>
      </c>
      <c r="U1209" s="1"/>
      <c r="V1209" s="1" t="s">
        <v>38</v>
      </c>
      <c r="W1209" s="1"/>
      <c r="X1209" s="1"/>
      <c r="Y1209" s="1" t="s">
        <v>49</v>
      </c>
      <c r="Z1209" s="1"/>
      <c r="AA1209" s="1" t="s">
        <v>40</v>
      </c>
      <c r="AB1209" s="1" t="s">
        <v>61</v>
      </c>
      <c r="AC1209" s="1"/>
    </row>
    <row r="1210">
      <c r="A1210" s="1" t="str">
        <f>"0007F7"</f>
        <v>0007F7</v>
      </c>
      <c r="B1210" s="1" t="s">
        <v>4895</v>
      </c>
      <c r="C1210" s="1" t="s">
        <v>4896</v>
      </c>
      <c r="D1210" s="1"/>
      <c r="E1210" s="1">
        <v>2600.0</v>
      </c>
      <c r="F1210" s="1" t="s">
        <v>44</v>
      </c>
      <c r="G1210" s="1" t="s">
        <v>4897</v>
      </c>
      <c r="H1210" s="1"/>
      <c r="I1210" s="1"/>
      <c r="J1210" s="1"/>
      <c r="K1210" s="1"/>
      <c r="L1210" s="1"/>
      <c r="M1210" s="1" t="s">
        <v>4898</v>
      </c>
      <c r="N1210" s="1" t="s">
        <v>34</v>
      </c>
      <c r="O1210" s="1" t="s">
        <v>985</v>
      </c>
      <c r="P1210" s="1"/>
      <c r="Q1210" s="3">
        <v>36892.0</v>
      </c>
      <c r="R1210" s="1"/>
      <c r="S1210" s="1"/>
      <c r="T1210" s="1" t="s">
        <v>37</v>
      </c>
      <c r="U1210" s="1"/>
      <c r="V1210" s="1" t="s">
        <v>38</v>
      </c>
      <c r="W1210" s="1"/>
      <c r="X1210" s="1"/>
      <c r="Y1210" s="1" t="s">
        <v>49</v>
      </c>
      <c r="Z1210" s="1"/>
      <c r="AA1210" s="1" t="s">
        <v>40</v>
      </c>
      <c r="AB1210" s="1" t="s">
        <v>987</v>
      </c>
      <c r="AC1210" s="1"/>
    </row>
    <row r="1211">
      <c r="A1211" s="1" t="str">
        <f>"0007DC"</f>
        <v>0007DC</v>
      </c>
      <c r="B1211" s="1" t="s">
        <v>4899</v>
      </c>
      <c r="C1211" s="1" t="s">
        <v>4900</v>
      </c>
      <c r="D1211" s="1" t="str">
        <f>"8023884145"</f>
        <v>8023884145</v>
      </c>
      <c r="E1211" s="1">
        <v>3343.0</v>
      </c>
      <c r="F1211" s="1" t="s">
        <v>44</v>
      </c>
      <c r="G1211" s="1" t="s">
        <v>4901</v>
      </c>
      <c r="H1211" s="1">
        <v>8.0</v>
      </c>
      <c r="I1211" s="1"/>
      <c r="J1211" s="1"/>
      <c r="K1211" s="1"/>
      <c r="L1211" s="1"/>
      <c r="M1211" s="1" t="s">
        <v>72</v>
      </c>
      <c r="N1211" s="1" t="s">
        <v>161</v>
      </c>
      <c r="O1211" s="1" t="s">
        <v>943</v>
      </c>
      <c r="P1211" s="1"/>
      <c r="Q1211" s="3">
        <v>36892.0</v>
      </c>
      <c r="R1211" s="1"/>
      <c r="S1211" s="3">
        <v>37174.0</v>
      </c>
      <c r="T1211" s="1" t="s">
        <v>37</v>
      </c>
      <c r="U1211" s="1"/>
      <c r="V1211" s="1" t="s">
        <v>38</v>
      </c>
      <c r="W1211" s="1"/>
      <c r="X1211" s="1"/>
      <c r="Y1211" s="1" t="s">
        <v>49</v>
      </c>
      <c r="Z1211" s="1"/>
      <c r="AA1211" s="1" t="s">
        <v>40</v>
      </c>
      <c r="AB1211" s="1" t="s">
        <v>945</v>
      </c>
      <c r="AC1211" s="1"/>
    </row>
    <row r="1212">
      <c r="A1212" s="1" t="str">
        <f>"0007F4"</f>
        <v>0007F4</v>
      </c>
      <c r="B1212" s="1" t="s">
        <v>4902</v>
      </c>
      <c r="C1212" s="1" t="s">
        <v>4903</v>
      </c>
      <c r="D1212" s="1" t="str">
        <f>"8022570486"</f>
        <v>8022570486</v>
      </c>
      <c r="E1212" s="1">
        <v>687.0</v>
      </c>
      <c r="F1212" s="1" t="s">
        <v>44</v>
      </c>
      <c r="G1212" s="1" t="s">
        <v>4904</v>
      </c>
      <c r="H1212" s="1">
        <v>2.0</v>
      </c>
      <c r="I1212" s="1"/>
      <c r="J1212" s="1"/>
      <c r="K1212" s="1"/>
      <c r="L1212" s="1"/>
      <c r="M1212" s="1" t="s">
        <v>4905</v>
      </c>
      <c r="N1212" s="1" t="s">
        <v>66</v>
      </c>
      <c r="O1212" s="1" t="s">
        <v>2346</v>
      </c>
      <c r="P1212" s="1"/>
      <c r="Q1212" s="3">
        <v>36892.0</v>
      </c>
      <c r="R1212" s="1"/>
      <c r="S1212" s="3">
        <v>32335.0</v>
      </c>
      <c r="T1212" s="1" t="s">
        <v>37</v>
      </c>
      <c r="U1212" s="1"/>
      <c r="V1212" s="1" t="s">
        <v>38</v>
      </c>
      <c r="W1212" s="1"/>
      <c r="X1212" s="1"/>
      <c r="Y1212" s="1" t="s">
        <v>49</v>
      </c>
      <c r="Z1212" s="1"/>
      <c r="AA1212" s="1" t="s">
        <v>40</v>
      </c>
      <c r="AB1212" s="1" t="s">
        <v>2349</v>
      </c>
      <c r="AC1212" s="1"/>
    </row>
    <row r="1213">
      <c r="A1213" s="1" t="str">
        <f>"0007F3"</f>
        <v>0007F3</v>
      </c>
      <c r="B1213" s="1" t="s">
        <v>4906</v>
      </c>
      <c r="C1213" s="1" t="s">
        <v>4907</v>
      </c>
      <c r="D1213" s="1" t="str">
        <f>"8026941526"</f>
        <v>8026941526</v>
      </c>
      <c r="E1213" s="1">
        <v>3966.0</v>
      </c>
      <c r="F1213" s="1" t="s">
        <v>44</v>
      </c>
      <c r="G1213" s="1" t="s">
        <v>4908</v>
      </c>
      <c r="H1213" s="1"/>
      <c r="I1213" s="1"/>
      <c r="J1213" s="1"/>
      <c r="K1213" s="1"/>
      <c r="L1213" s="1"/>
      <c r="M1213" s="1" t="s">
        <v>72</v>
      </c>
      <c r="N1213" s="1" t="s">
        <v>414</v>
      </c>
      <c r="O1213" s="1" t="s">
        <v>4050</v>
      </c>
      <c r="P1213" s="1"/>
      <c r="Q1213" s="3">
        <v>36892.0</v>
      </c>
      <c r="R1213" s="1"/>
      <c r="S1213" s="1"/>
      <c r="T1213" s="1" t="s">
        <v>37</v>
      </c>
      <c r="U1213" s="1"/>
      <c r="V1213" s="1" t="s">
        <v>38</v>
      </c>
      <c r="W1213" s="1"/>
      <c r="X1213" s="1"/>
      <c r="Y1213" s="1" t="s">
        <v>49</v>
      </c>
      <c r="Z1213" s="1"/>
      <c r="AA1213" s="1" t="s">
        <v>40</v>
      </c>
      <c r="AB1213" s="1" t="s">
        <v>4051</v>
      </c>
      <c r="AC1213" s="1"/>
    </row>
    <row r="1214">
      <c r="A1214" s="1" t="str">
        <f>"0007F2"</f>
        <v>0007F2</v>
      </c>
      <c r="B1214" s="1" t="s">
        <v>4909</v>
      </c>
      <c r="C1214" s="1" t="s">
        <v>4910</v>
      </c>
      <c r="D1214" s="1" t="str">
        <f>"8022570982"</f>
        <v>8022570982</v>
      </c>
      <c r="E1214" s="1">
        <v>685.0</v>
      </c>
      <c r="F1214" s="1" t="s">
        <v>117</v>
      </c>
      <c r="G1214" s="1" t="s">
        <v>4911</v>
      </c>
      <c r="H1214" s="1">
        <v>1.0</v>
      </c>
      <c r="I1214" s="2" t="s">
        <v>119</v>
      </c>
      <c r="J1214" s="2">
        <v>2.0</v>
      </c>
      <c r="K1214" s="2" t="s">
        <v>119</v>
      </c>
      <c r="L1214" s="1"/>
      <c r="M1214" s="1" t="s">
        <v>4912</v>
      </c>
      <c r="N1214" s="1" t="s">
        <v>66</v>
      </c>
      <c r="O1214" s="1" t="s">
        <v>2346</v>
      </c>
      <c r="P1214" s="1" t="s">
        <v>4913</v>
      </c>
      <c r="Q1214" s="3">
        <v>36892.0</v>
      </c>
      <c r="R1214" s="1"/>
      <c r="S1214" s="1"/>
      <c r="T1214" s="1" t="s">
        <v>37</v>
      </c>
      <c r="U1214" s="1"/>
      <c r="V1214" s="1" t="s">
        <v>38</v>
      </c>
      <c r="W1214" s="1">
        <v>42.9196929</v>
      </c>
      <c r="X1214" s="1">
        <v>-72.642956</v>
      </c>
      <c r="Y1214" s="1" t="s">
        <v>4914</v>
      </c>
      <c r="Z1214" s="1"/>
      <c r="AA1214" s="1" t="s">
        <v>40</v>
      </c>
      <c r="AB1214" s="1" t="s">
        <v>4915</v>
      </c>
      <c r="AC1214" s="1">
        <v>5301.0</v>
      </c>
    </row>
    <row r="1215">
      <c r="A1215" s="1" t="str">
        <f>"0007F1"</f>
        <v>0007F1</v>
      </c>
      <c r="B1215" s="1" t="s">
        <v>4916</v>
      </c>
      <c r="C1215" s="1" t="s">
        <v>4917</v>
      </c>
      <c r="D1215" s="1" t="str">
        <f>"8022545154"</f>
        <v>8022545154</v>
      </c>
      <c r="E1215" s="1">
        <v>684.0</v>
      </c>
      <c r="F1215" s="1" t="s">
        <v>44</v>
      </c>
      <c r="G1215" s="1" t="s">
        <v>4918</v>
      </c>
      <c r="H1215" s="1">
        <v>0.0</v>
      </c>
      <c r="I1215" s="1"/>
      <c r="J1215" s="1"/>
      <c r="K1215" s="1"/>
      <c r="L1215" s="1"/>
      <c r="M1215" s="1" t="s">
        <v>4919</v>
      </c>
      <c r="N1215" s="1" t="s">
        <v>66</v>
      </c>
      <c r="O1215" s="1" t="s">
        <v>2346</v>
      </c>
      <c r="P1215" s="1"/>
      <c r="Q1215" s="3">
        <v>36892.0</v>
      </c>
      <c r="R1215" s="1"/>
      <c r="S1215" s="3">
        <v>32318.0</v>
      </c>
      <c r="T1215" s="1" t="s">
        <v>37</v>
      </c>
      <c r="U1215" s="1"/>
      <c r="V1215" s="1" t="s">
        <v>38</v>
      </c>
      <c r="W1215" s="1">
        <v>42.8509152</v>
      </c>
      <c r="X1215" s="1">
        <v>-72.5578678</v>
      </c>
      <c r="Y1215" s="1" t="s">
        <v>49</v>
      </c>
      <c r="Z1215" s="1"/>
      <c r="AA1215" s="1" t="s">
        <v>40</v>
      </c>
      <c r="AB1215" s="1" t="s">
        <v>2349</v>
      </c>
      <c r="AC1215" s="1">
        <v>5301.0</v>
      </c>
    </row>
    <row r="1216">
      <c r="A1216" s="1" t="str">
        <f>"0007F0"</f>
        <v>0007F0</v>
      </c>
      <c r="B1216" s="1" t="s">
        <v>4920</v>
      </c>
      <c r="C1216" s="1" t="s">
        <v>4921</v>
      </c>
      <c r="D1216" s="1" t="str">
        <f>"8022542861"</f>
        <v>8022542861</v>
      </c>
      <c r="E1216" s="1">
        <v>682.0</v>
      </c>
      <c r="F1216" s="1" t="s">
        <v>44</v>
      </c>
      <c r="G1216" s="1" t="s">
        <v>4922</v>
      </c>
      <c r="H1216" s="1">
        <v>2.0</v>
      </c>
      <c r="I1216" s="1"/>
      <c r="J1216" s="1"/>
      <c r="K1216" s="1"/>
      <c r="L1216" s="1"/>
      <c r="M1216" s="1" t="s">
        <v>4923</v>
      </c>
      <c r="N1216" s="1" t="s">
        <v>66</v>
      </c>
      <c r="O1216" s="1" t="s">
        <v>2346</v>
      </c>
      <c r="P1216" s="1"/>
      <c r="Q1216" s="3">
        <v>36892.0</v>
      </c>
      <c r="R1216" s="1"/>
      <c r="S1216" s="3">
        <v>37089.0</v>
      </c>
      <c r="T1216" s="1" t="s">
        <v>37</v>
      </c>
      <c r="U1216" s="1"/>
      <c r="V1216" s="1" t="s">
        <v>38</v>
      </c>
      <c r="W1216" s="1"/>
      <c r="X1216" s="1"/>
      <c r="Y1216" s="1" t="s">
        <v>49</v>
      </c>
      <c r="Z1216" s="1"/>
      <c r="AA1216" s="1" t="s">
        <v>40</v>
      </c>
      <c r="AB1216" s="1" t="s">
        <v>2349</v>
      </c>
      <c r="AC1216" s="1"/>
    </row>
    <row r="1217">
      <c r="A1217" s="1" t="str">
        <f>"00085D"</f>
        <v>00085D</v>
      </c>
      <c r="B1217" s="1" t="s">
        <v>2528</v>
      </c>
      <c r="C1217" s="1" t="s">
        <v>2529</v>
      </c>
      <c r="D1217" s="1" t="str">
        <f>"8022294163"</f>
        <v>8022294163</v>
      </c>
      <c r="E1217" s="1">
        <v>2653.0</v>
      </c>
      <c r="F1217" s="1" t="s">
        <v>44</v>
      </c>
      <c r="G1217" s="1" t="s">
        <v>4924</v>
      </c>
      <c r="H1217" s="1">
        <v>3.0</v>
      </c>
      <c r="I1217" s="1"/>
      <c r="J1217" s="1"/>
      <c r="K1217" s="1"/>
      <c r="L1217" s="1"/>
      <c r="M1217" s="1" t="s">
        <v>806</v>
      </c>
      <c r="N1217" s="1" t="s">
        <v>135</v>
      </c>
      <c r="O1217" s="1" t="s">
        <v>805</v>
      </c>
      <c r="P1217" s="1"/>
      <c r="Q1217" s="3">
        <v>36892.0</v>
      </c>
      <c r="R1217" s="1"/>
      <c r="S1217" s="3">
        <v>36417.0</v>
      </c>
      <c r="T1217" s="1" t="s">
        <v>37</v>
      </c>
      <c r="U1217" s="1"/>
      <c r="V1217" s="1" t="s">
        <v>38</v>
      </c>
      <c r="W1217" s="1"/>
      <c r="X1217" s="1"/>
      <c r="Y1217" s="1" t="s">
        <v>49</v>
      </c>
      <c r="Z1217" s="1"/>
      <c r="AA1217" s="1" t="s">
        <v>40</v>
      </c>
      <c r="AB1217" s="1" t="s">
        <v>806</v>
      </c>
      <c r="AC1217" s="1"/>
    </row>
    <row r="1218">
      <c r="A1218" s="1" t="str">
        <f>"0007DZ"</f>
        <v>0007DZ</v>
      </c>
      <c r="B1218" s="1" t="s">
        <v>4925</v>
      </c>
      <c r="C1218" s="1" t="s">
        <v>4926</v>
      </c>
      <c r="D1218" s="1"/>
      <c r="E1218" s="1">
        <v>2672.0</v>
      </c>
      <c r="F1218" s="1" t="s">
        <v>44</v>
      </c>
      <c r="G1218" s="1" t="s">
        <v>4927</v>
      </c>
      <c r="H1218" s="1">
        <v>1.0</v>
      </c>
      <c r="I1218" s="1"/>
      <c r="J1218" s="1"/>
      <c r="K1218" s="1"/>
      <c r="L1218" s="1"/>
      <c r="M1218" s="1" t="s">
        <v>4928</v>
      </c>
      <c r="N1218" s="1" t="s">
        <v>34</v>
      </c>
      <c r="O1218" s="1" t="s">
        <v>88</v>
      </c>
      <c r="P1218" s="1"/>
      <c r="Q1218" s="3">
        <v>36892.0</v>
      </c>
      <c r="R1218" s="1"/>
      <c r="S1218" s="3">
        <v>32742.0</v>
      </c>
      <c r="T1218" s="1" t="s">
        <v>37</v>
      </c>
      <c r="U1218" s="1"/>
      <c r="V1218" s="1" t="s">
        <v>38</v>
      </c>
      <c r="W1218" s="1"/>
      <c r="X1218" s="1"/>
      <c r="Y1218" s="1" t="s">
        <v>49</v>
      </c>
      <c r="Z1218" s="1"/>
      <c r="AA1218" s="1" t="s">
        <v>40</v>
      </c>
      <c r="AB1218" s="1" t="s">
        <v>89</v>
      </c>
      <c r="AC1218" s="1"/>
    </row>
    <row r="1219">
      <c r="A1219" s="1" t="str">
        <f>"0007HZ"</f>
        <v>0007HZ</v>
      </c>
      <c r="B1219" s="1" t="s">
        <v>4929</v>
      </c>
      <c r="C1219" s="1" t="s">
        <v>4930</v>
      </c>
      <c r="D1219" s="1" t="str">
        <f>"8029335269"</f>
        <v>8029335269</v>
      </c>
      <c r="E1219" s="1">
        <v>3133.0</v>
      </c>
      <c r="F1219" s="1" t="s">
        <v>44</v>
      </c>
      <c r="G1219" s="1" t="s">
        <v>4931</v>
      </c>
      <c r="H1219" s="1"/>
      <c r="I1219" s="1"/>
      <c r="J1219" s="1"/>
      <c r="K1219" s="1"/>
      <c r="L1219" s="1"/>
      <c r="M1219" s="1" t="s">
        <v>72</v>
      </c>
      <c r="N1219" s="1" t="s">
        <v>47</v>
      </c>
      <c r="O1219" s="1" t="s">
        <v>48</v>
      </c>
      <c r="P1219" s="1"/>
      <c r="Q1219" s="3">
        <v>36892.0</v>
      </c>
      <c r="R1219" s="1"/>
      <c r="S1219" s="1"/>
      <c r="T1219" s="1" t="s">
        <v>37</v>
      </c>
      <c r="U1219" s="1"/>
      <c r="V1219" s="1" t="s">
        <v>38</v>
      </c>
      <c r="W1219" s="1"/>
      <c r="X1219" s="1"/>
      <c r="Y1219" s="1" t="s">
        <v>49</v>
      </c>
      <c r="Z1219" s="1"/>
      <c r="AA1219" s="1" t="s">
        <v>40</v>
      </c>
      <c r="AB1219" s="1" t="s">
        <v>50</v>
      </c>
      <c r="AC1219" s="1"/>
    </row>
    <row r="1220">
      <c r="A1220" s="1" t="str">
        <f>"0007DX"</f>
        <v>0007DX</v>
      </c>
      <c r="B1220" s="1" t="s">
        <v>4932</v>
      </c>
      <c r="C1220" s="1" t="s">
        <v>4933</v>
      </c>
      <c r="D1220" s="1" t="str">
        <f>"8025795060"</f>
        <v>8025795060</v>
      </c>
      <c r="E1220" s="1">
        <v>677.0</v>
      </c>
      <c r="F1220" s="1" t="s">
        <v>44</v>
      </c>
      <c r="G1220" s="1" t="s">
        <v>4934</v>
      </c>
      <c r="H1220" s="1">
        <v>3.0</v>
      </c>
      <c r="I1220" s="1"/>
      <c r="J1220" s="1"/>
      <c r="K1220" s="1"/>
      <c r="L1220" s="1"/>
      <c r="M1220" s="1" t="s">
        <v>72</v>
      </c>
      <c r="N1220" s="1" t="s">
        <v>66</v>
      </c>
      <c r="O1220" s="1" t="s">
        <v>2346</v>
      </c>
      <c r="P1220" s="1"/>
      <c r="Q1220" s="3">
        <v>36892.0</v>
      </c>
      <c r="R1220" s="1"/>
      <c r="S1220" s="3">
        <v>32323.0</v>
      </c>
      <c r="T1220" s="1" t="s">
        <v>37</v>
      </c>
      <c r="U1220" s="1"/>
      <c r="V1220" s="1" t="s">
        <v>38</v>
      </c>
      <c r="W1220" s="1"/>
      <c r="X1220" s="1"/>
      <c r="Y1220" s="1" t="s">
        <v>49</v>
      </c>
      <c r="Z1220" s="1"/>
      <c r="AA1220" s="1" t="s">
        <v>40</v>
      </c>
      <c r="AB1220" s="1" t="s">
        <v>2349</v>
      </c>
      <c r="AC1220" s="1"/>
    </row>
    <row r="1221">
      <c r="A1221" s="1" t="str">
        <f>"000769"</f>
        <v>000769</v>
      </c>
      <c r="B1221" s="1" t="s">
        <v>4935</v>
      </c>
      <c r="C1221" s="1" t="s">
        <v>4936</v>
      </c>
      <c r="D1221" s="1" t="str">
        <f>"8026723092"</f>
        <v>8026723092</v>
      </c>
      <c r="E1221" s="1">
        <v>3372.0</v>
      </c>
      <c r="F1221" s="1" t="s">
        <v>44</v>
      </c>
      <c r="G1221" s="1" t="s">
        <v>4937</v>
      </c>
      <c r="H1221" s="1">
        <v>5.0</v>
      </c>
      <c r="I1221" s="1"/>
      <c r="J1221" s="1"/>
      <c r="K1221" s="1"/>
      <c r="L1221" s="1"/>
      <c r="M1221" s="1" t="s">
        <v>72</v>
      </c>
      <c r="N1221" s="1" t="s">
        <v>34</v>
      </c>
      <c r="O1221" s="1" t="s">
        <v>985</v>
      </c>
      <c r="P1221" s="1"/>
      <c r="Q1221" s="3">
        <v>36892.0</v>
      </c>
      <c r="R1221" s="1"/>
      <c r="S1221" s="3">
        <v>37165.0</v>
      </c>
      <c r="T1221" s="1" t="s">
        <v>37</v>
      </c>
      <c r="U1221" s="1"/>
      <c r="V1221" s="1" t="s">
        <v>38</v>
      </c>
      <c r="W1221" s="1"/>
      <c r="X1221" s="1"/>
      <c r="Y1221" s="1" t="s">
        <v>49</v>
      </c>
      <c r="Z1221" s="1"/>
      <c r="AA1221" s="1" t="s">
        <v>40</v>
      </c>
      <c r="AB1221" s="1" t="s">
        <v>987</v>
      </c>
      <c r="AC1221" s="1"/>
    </row>
    <row r="1222">
      <c r="A1222" s="1" t="str">
        <f>"0007DQ"</f>
        <v>0007DQ</v>
      </c>
      <c r="B1222" s="1" t="s">
        <v>4938</v>
      </c>
      <c r="C1222" s="1" t="s">
        <v>4939</v>
      </c>
      <c r="D1222" s="1"/>
      <c r="E1222" s="1">
        <v>672.0</v>
      </c>
      <c r="F1222" s="1" t="s">
        <v>44</v>
      </c>
      <c r="G1222" s="1" t="s">
        <v>4940</v>
      </c>
      <c r="H1222" s="1">
        <v>4.0</v>
      </c>
      <c r="I1222" s="1"/>
      <c r="J1222" s="1"/>
      <c r="K1222" s="1"/>
      <c r="L1222" s="1"/>
      <c r="M1222" s="1" t="s">
        <v>4941</v>
      </c>
      <c r="N1222" s="1" t="s">
        <v>66</v>
      </c>
      <c r="O1222" s="1" t="s">
        <v>1199</v>
      </c>
      <c r="P1222" s="1"/>
      <c r="Q1222" s="3">
        <v>36892.0</v>
      </c>
      <c r="R1222" s="1"/>
      <c r="S1222" s="3">
        <v>34137.0</v>
      </c>
      <c r="T1222" s="1" t="s">
        <v>37</v>
      </c>
      <c r="U1222" s="1"/>
      <c r="V1222" s="1" t="s">
        <v>38</v>
      </c>
      <c r="W1222" s="1"/>
      <c r="X1222" s="1"/>
      <c r="Y1222" s="1" t="s">
        <v>49</v>
      </c>
      <c r="Z1222" s="1"/>
      <c r="AA1222" s="1" t="s">
        <v>40</v>
      </c>
      <c r="AB1222" s="1" t="s">
        <v>1200</v>
      </c>
      <c r="AC1222" s="1"/>
    </row>
    <row r="1223">
      <c r="A1223" s="1" t="str">
        <f>"0007DP"</f>
        <v>0007DP</v>
      </c>
      <c r="B1223" s="1" t="s">
        <v>4942</v>
      </c>
      <c r="C1223" s="1" t="s">
        <v>4943</v>
      </c>
      <c r="D1223" s="1"/>
      <c r="E1223" s="1">
        <v>671.0</v>
      </c>
      <c r="F1223" s="1" t="s">
        <v>44</v>
      </c>
      <c r="G1223" s="1" t="s">
        <v>4944</v>
      </c>
      <c r="H1223" s="1">
        <v>5.0</v>
      </c>
      <c r="I1223" s="1"/>
      <c r="J1223" s="1"/>
      <c r="K1223" s="1"/>
      <c r="L1223" s="1"/>
      <c r="M1223" s="1" t="s">
        <v>4945</v>
      </c>
      <c r="N1223" s="1" t="s">
        <v>66</v>
      </c>
      <c r="O1223" s="1" t="s">
        <v>1199</v>
      </c>
      <c r="P1223" s="1"/>
      <c r="Q1223" s="3">
        <v>36892.0</v>
      </c>
      <c r="R1223" s="1"/>
      <c r="S1223" s="3">
        <v>36348.0</v>
      </c>
      <c r="T1223" s="1" t="s">
        <v>37</v>
      </c>
      <c r="U1223" s="1"/>
      <c r="V1223" s="1" t="s">
        <v>38</v>
      </c>
      <c r="W1223" s="1"/>
      <c r="X1223" s="1"/>
      <c r="Y1223" s="1" t="s">
        <v>49</v>
      </c>
      <c r="Z1223" s="1"/>
      <c r="AA1223" s="1" t="s">
        <v>40</v>
      </c>
      <c r="AB1223" s="1" t="s">
        <v>1200</v>
      </c>
      <c r="AC1223" s="1"/>
    </row>
    <row r="1224">
      <c r="A1224" s="1" t="str">
        <f>"0007DN"</f>
        <v>0007DN</v>
      </c>
      <c r="B1224" s="1" t="s">
        <v>4946</v>
      </c>
      <c r="C1224" s="1" t="s">
        <v>4947</v>
      </c>
      <c r="D1224" s="1" t="str">
        <f>"8026357847"</f>
        <v>8026357847</v>
      </c>
      <c r="E1224" s="1">
        <v>2452.0</v>
      </c>
      <c r="F1224" s="1" t="s">
        <v>44</v>
      </c>
      <c r="G1224" s="1" t="s">
        <v>4948</v>
      </c>
      <c r="H1224" s="1"/>
      <c r="I1224" s="1"/>
      <c r="J1224" s="1"/>
      <c r="K1224" s="1"/>
      <c r="L1224" s="1"/>
      <c r="M1224" s="1" t="s">
        <v>927</v>
      </c>
      <c r="N1224" s="1" t="s">
        <v>213</v>
      </c>
      <c r="O1224" s="1" t="s">
        <v>4949</v>
      </c>
      <c r="P1224" s="1"/>
      <c r="Q1224" s="3">
        <v>36892.0</v>
      </c>
      <c r="R1224" s="1"/>
      <c r="S1224" s="1"/>
      <c r="T1224" s="1" t="s">
        <v>37</v>
      </c>
      <c r="U1224" s="1"/>
      <c r="V1224" s="1" t="s">
        <v>38</v>
      </c>
      <c r="W1224" s="1"/>
      <c r="X1224" s="1"/>
      <c r="Y1224" s="1" t="s">
        <v>49</v>
      </c>
      <c r="Z1224" s="1"/>
      <c r="AA1224" s="1" t="s">
        <v>40</v>
      </c>
      <c r="AB1224" s="1" t="s">
        <v>4950</v>
      </c>
      <c r="AC1224" s="1"/>
    </row>
    <row r="1225">
      <c r="A1225" s="1" t="str">
        <f>"0007DK"</f>
        <v>0007DK</v>
      </c>
      <c r="B1225" s="1" t="s">
        <v>4951</v>
      </c>
      <c r="C1225" s="1" t="s">
        <v>4952</v>
      </c>
      <c r="D1225" s="1"/>
      <c r="E1225" s="1">
        <v>668.0</v>
      </c>
      <c r="F1225" s="1" t="s">
        <v>44</v>
      </c>
      <c r="G1225" s="1" t="s">
        <v>4953</v>
      </c>
      <c r="H1225" s="1">
        <v>4.0</v>
      </c>
      <c r="I1225" s="1"/>
      <c r="J1225" s="1"/>
      <c r="K1225" s="1"/>
      <c r="L1225" s="1"/>
      <c r="M1225" s="1" t="s">
        <v>4954</v>
      </c>
      <c r="N1225" s="1" t="s">
        <v>66</v>
      </c>
      <c r="O1225" s="1" t="s">
        <v>1199</v>
      </c>
      <c r="P1225" s="1"/>
      <c r="Q1225" s="3">
        <v>36892.0</v>
      </c>
      <c r="R1225" s="1"/>
      <c r="S1225" s="3">
        <v>33050.0</v>
      </c>
      <c r="T1225" s="1" t="s">
        <v>37</v>
      </c>
      <c r="U1225" s="1"/>
      <c r="V1225" s="1" t="s">
        <v>38</v>
      </c>
      <c r="W1225" s="1"/>
      <c r="X1225" s="1"/>
      <c r="Y1225" s="1" t="s">
        <v>49</v>
      </c>
      <c r="Z1225" s="1"/>
      <c r="AA1225" s="1" t="s">
        <v>40</v>
      </c>
      <c r="AB1225" s="1" t="s">
        <v>1200</v>
      </c>
      <c r="AC1225" s="1"/>
    </row>
    <row r="1226">
      <c r="A1226" s="1" t="str">
        <f>"0007QK"</f>
        <v>0007QK</v>
      </c>
      <c r="B1226" s="1" t="s">
        <v>1383</v>
      </c>
      <c r="C1226" s="1" t="s">
        <v>1384</v>
      </c>
      <c r="D1226" s="1" t="str">
        <f>"8022288105"</f>
        <v>8022288105</v>
      </c>
      <c r="E1226" s="1">
        <v>2869.0</v>
      </c>
      <c r="F1226" s="1" t="s">
        <v>117</v>
      </c>
      <c r="G1226" s="1" t="s">
        <v>4955</v>
      </c>
      <c r="H1226" s="1">
        <v>7.0</v>
      </c>
      <c r="I1226" s="2">
        <v>14.0</v>
      </c>
      <c r="J1226" s="2">
        <v>14.0</v>
      </c>
      <c r="K1226" s="2" t="s">
        <v>119</v>
      </c>
      <c r="L1226" s="1"/>
      <c r="M1226" s="1" t="s">
        <v>4956</v>
      </c>
      <c r="N1226" s="1" t="s">
        <v>34</v>
      </c>
      <c r="O1226" s="1" t="s">
        <v>1237</v>
      </c>
      <c r="P1226" s="1" t="s">
        <v>4957</v>
      </c>
      <c r="Q1226" s="3">
        <v>36892.0</v>
      </c>
      <c r="R1226" s="1"/>
      <c r="S1226" s="3">
        <v>34947.0</v>
      </c>
      <c r="T1226" s="1" t="s">
        <v>37</v>
      </c>
      <c r="U1226" s="1"/>
      <c r="V1226" s="1" t="s">
        <v>38</v>
      </c>
      <c r="W1226" s="1">
        <v>43.393892</v>
      </c>
      <c r="X1226" s="1">
        <v>-72.707511</v>
      </c>
      <c r="Y1226" s="1" t="s">
        <v>4958</v>
      </c>
      <c r="Z1226" s="1"/>
      <c r="AA1226" s="1" t="s">
        <v>40</v>
      </c>
      <c r="AB1226" s="1" t="s">
        <v>1238</v>
      </c>
      <c r="AC1226" s="1">
        <v>5149.0</v>
      </c>
    </row>
    <row r="1227">
      <c r="A1227" s="1" t="str">
        <f>"0007DH"</f>
        <v>0007DH</v>
      </c>
      <c r="B1227" s="1" t="s">
        <v>1195</v>
      </c>
      <c r="C1227" s="1" t="s">
        <v>1196</v>
      </c>
      <c r="D1227" s="1"/>
      <c r="E1227" s="1">
        <v>665.0</v>
      </c>
      <c r="F1227" s="1" t="s">
        <v>44</v>
      </c>
      <c r="G1227" s="1" t="s">
        <v>4959</v>
      </c>
      <c r="H1227" s="1">
        <v>3.0</v>
      </c>
      <c r="I1227" s="1"/>
      <c r="J1227" s="1"/>
      <c r="K1227" s="1"/>
      <c r="L1227" s="1"/>
      <c r="M1227" s="1" t="s">
        <v>4960</v>
      </c>
      <c r="N1227" s="1" t="s">
        <v>66</v>
      </c>
      <c r="O1227" s="1" t="s">
        <v>1199</v>
      </c>
      <c r="P1227" s="1"/>
      <c r="Q1227" s="3">
        <v>36892.0</v>
      </c>
      <c r="R1227" s="1"/>
      <c r="S1227" s="3">
        <v>32714.0</v>
      </c>
      <c r="T1227" s="1" t="s">
        <v>37</v>
      </c>
      <c r="U1227" s="1"/>
      <c r="V1227" s="1" t="s">
        <v>38</v>
      </c>
      <c r="W1227" s="1"/>
      <c r="X1227" s="1"/>
      <c r="Y1227" s="1" t="s">
        <v>49</v>
      </c>
      <c r="Z1227" s="1"/>
      <c r="AA1227" s="1" t="s">
        <v>40</v>
      </c>
      <c r="AB1227" s="1" t="s">
        <v>1200</v>
      </c>
      <c r="AC1227" s="1"/>
    </row>
    <row r="1228">
      <c r="A1228" s="1" t="str">
        <f>"00080B"</f>
        <v>00080B</v>
      </c>
      <c r="B1228" s="1" t="s">
        <v>4961</v>
      </c>
      <c r="C1228" s="1" t="s">
        <v>4962</v>
      </c>
      <c r="D1228" s="1" t="str">
        <f>"8027330337"</f>
        <v>8027330337</v>
      </c>
      <c r="E1228" s="1">
        <v>3334.0</v>
      </c>
      <c r="F1228" s="1" t="s">
        <v>44</v>
      </c>
      <c r="G1228" s="1" t="s">
        <v>4963</v>
      </c>
      <c r="H1228" s="1">
        <v>2.0</v>
      </c>
      <c r="I1228" s="1"/>
      <c r="J1228" s="1"/>
      <c r="K1228" s="1"/>
      <c r="L1228" s="1"/>
      <c r="M1228" s="1" t="s">
        <v>72</v>
      </c>
      <c r="N1228" s="1" t="s">
        <v>78</v>
      </c>
      <c r="O1228" s="1" t="s">
        <v>1303</v>
      </c>
      <c r="P1228" s="1"/>
      <c r="Q1228" s="3">
        <v>36892.0</v>
      </c>
      <c r="R1228" s="1"/>
      <c r="S1228" s="3">
        <v>37812.0</v>
      </c>
      <c r="T1228" s="1" t="s">
        <v>37</v>
      </c>
      <c r="U1228" s="1"/>
      <c r="V1228" s="1" t="s">
        <v>38</v>
      </c>
      <c r="W1228" s="1"/>
      <c r="X1228" s="1"/>
      <c r="Y1228" s="1" t="s">
        <v>49</v>
      </c>
      <c r="Z1228" s="1"/>
      <c r="AA1228" s="1" t="s">
        <v>40</v>
      </c>
      <c r="AB1228" s="1" t="s">
        <v>1304</v>
      </c>
      <c r="AC1228" s="1"/>
    </row>
    <row r="1229">
      <c r="A1229" s="1" t="str">
        <f>"000786"</f>
        <v>000786</v>
      </c>
      <c r="B1229" s="1" t="s">
        <v>4964</v>
      </c>
      <c r="C1229" s="1" t="s">
        <v>4965</v>
      </c>
      <c r="D1229" s="1" t="str">
        <f>"8023487759"</f>
        <v>8023487759</v>
      </c>
      <c r="E1229" s="1">
        <v>4009.0</v>
      </c>
      <c r="F1229" s="1" t="s">
        <v>117</v>
      </c>
      <c r="G1229" s="1" t="s">
        <v>4966</v>
      </c>
      <c r="H1229" s="1">
        <v>2.0</v>
      </c>
      <c r="I1229" s="2" t="s">
        <v>119</v>
      </c>
      <c r="J1229" s="2" t="s">
        <v>119</v>
      </c>
      <c r="K1229" s="2" t="s">
        <v>119</v>
      </c>
      <c r="L1229" s="1"/>
      <c r="M1229" s="1" t="s">
        <v>4967</v>
      </c>
      <c r="N1229" s="1" t="s">
        <v>66</v>
      </c>
      <c r="O1229" s="1" t="s">
        <v>389</v>
      </c>
      <c r="P1229" s="1" t="s">
        <v>4968</v>
      </c>
      <c r="Q1229" s="3">
        <v>36892.0</v>
      </c>
      <c r="R1229" s="1"/>
      <c r="S1229" s="1"/>
      <c r="T1229" s="1" t="s">
        <v>37</v>
      </c>
      <c r="U1229" s="1"/>
      <c r="V1229" s="1" t="s">
        <v>38</v>
      </c>
      <c r="W1229" s="1">
        <v>42.9591947</v>
      </c>
      <c r="X1229" s="1">
        <v>-72.7513650999999</v>
      </c>
      <c r="Y1229" s="1" t="s">
        <v>4969</v>
      </c>
      <c r="Z1229" s="1"/>
      <c r="AA1229" s="1" t="s">
        <v>40</v>
      </c>
      <c r="AB1229" s="1" t="s">
        <v>4970</v>
      </c>
      <c r="AC1229" s="1">
        <v>5351.0</v>
      </c>
    </row>
    <row r="1230">
      <c r="A1230" s="1" t="str">
        <f>"0007DB"</f>
        <v>0007DB</v>
      </c>
      <c r="B1230" s="1" t="s">
        <v>4971</v>
      </c>
      <c r="C1230" s="1" t="s">
        <v>4972</v>
      </c>
      <c r="D1230" s="1" t="str">
        <f>"8027854223"</f>
        <v>8027854223</v>
      </c>
      <c r="E1230" s="1">
        <v>3975.0</v>
      </c>
      <c r="F1230" s="1" t="s">
        <v>44</v>
      </c>
      <c r="G1230" s="1" t="s">
        <v>4973</v>
      </c>
      <c r="H1230" s="1">
        <v>2.0</v>
      </c>
      <c r="I1230" s="1"/>
      <c r="J1230" s="1"/>
      <c r="K1230" s="1"/>
      <c r="L1230" s="1"/>
      <c r="M1230" s="1" t="s">
        <v>72</v>
      </c>
      <c r="N1230" s="1" t="s">
        <v>142</v>
      </c>
      <c r="O1230" s="1" t="s">
        <v>143</v>
      </c>
      <c r="P1230" s="1"/>
      <c r="Q1230" s="3">
        <v>36892.0</v>
      </c>
      <c r="R1230" s="1"/>
      <c r="S1230" s="3">
        <v>40024.0</v>
      </c>
      <c r="T1230" s="1" t="s">
        <v>37</v>
      </c>
      <c r="U1230" s="1"/>
      <c r="V1230" s="1" t="s">
        <v>38</v>
      </c>
      <c r="W1230" s="1">
        <v>43.843536</v>
      </c>
      <c r="X1230" s="1">
        <v>-72.312607</v>
      </c>
      <c r="Y1230" s="1" t="s">
        <v>4974</v>
      </c>
      <c r="Z1230" s="1"/>
      <c r="AA1230" s="1" t="s">
        <v>40</v>
      </c>
      <c r="AB1230" s="1" t="s">
        <v>146</v>
      </c>
      <c r="AC1230" s="1">
        <v>5075.0</v>
      </c>
    </row>
    <row r="1231">
      <c r="A1231" s="1" t="str">
        <f>"0007DA"</f>
        <v>0007DA</v>
      </c>
      <c r="B1231" s="1" t="s">
        <v>4975</v>
      </c>
      <c r="C1231" s="1" t="s">
        <v>4976</v>
      </c>
      <c r="D1231" s="1" t="str">
        <f>"8024363451"</f>
        <v>8024363451</v>
      </c>
      <c r="E1231" s="1">
        <v>3578.0</v>
      </c>
      <c r="F1231" s="1" t="s">
        <v>44</v>
      </c>
      <c r="G1231" s="1" t="s">
        <v>4977</v>
      </c>
      <c r="H1231" s="1">
        <v>2.0</v>
      </c>
      <c r="I1231" s="1"/>
      <c r="J1231" s="1"/>
      <c r="K1231" s="1"/>
      <c r="L1231" s="1"/>
      <c r="M1231" s="1" t="s">
        <v>72</v>
      </c>
      <c r="N1231" s="1" t="s">
        <v>34</v>
      </c>
      <c r="O1231" s="1" t="s">
        <v>85</v>
      </c>
      <c r="P1231" s="1"/>
      <c r="Q1231" s="3">
        <v>36892.0</v>
      </c>
      <c r="R1231" s="1"/>
      <c r="S1231" s="3">
        <v>40011.0</v>
      </c>
      <c r="T1231" s="1" t="s">
        <v>37</v>
      </c>
      <c r="U1231" s="1"/>
      <c r="V1231" s="1" t="s">
        <v>38</v>
      </c>
      <c r="W1231" s="1"/>
      <c r="X1231" s="1"/>
      <c r="Y1231" s="1" t="s">
        <v>49</v>
      </c>
      <c r="Z1231" s="1"/>
      <c r="AA1231" s="1" t="s">
        <v>40</v>
      </c>
      <c r="AB1231" s="1" t="s">
        <v>86</v>
      </c>
      <c r="AC1231" s="1"/>
    </row>
    <row r="1232">
      <c r="A1232" s="1" t="str">
        <f>"0007D9"</f>
        <v>0007D9</v>
      </c>
      <c r="B1232" s="1" t="s">
        <v>4147</v>
      </c>
      <c r="C1232" s="1" t="s">
        <v>4148</v>
      </c>
      <c r="D1232" s="1"/>
      <c r="E1232" s="1">
        <v>656.0</v>
      </c>
      <c r="F1232" s="1" t="s">
        <v>44</v>
      </c>
      <c r="G1232" s="1" t="s">
        <v>4978</v>
      </c>
      <c r="H1232" s="1"/>
      <c r="I1232" s="1"/>
      <c r="J1232" s="1"/>
      <c r="K1232" s="1"/>
      <c r="L1232" s="1"/>
      <c r="M1232" s="1" t="s">
        <v>4979</v>
      </c>
      <c r="N1232" s="1" t="s">
        <v>34</v>
      </c>
      <c r="O1232" s="1" t="s">
        <v>295</v>
      </c>
      <c r="P1232" s="1"/>
      <c r="Q1232" s="3">
        <v>36892.0</v>
      </c>
      <c r="R1232" s="1"/>
      <c r="S1232" s="1"/>
      <c r="T1232" s="1" t="s">
        <v>37</v>
      </c>
      <c r="U1232" s="1"/>
      <c r="V1232" s="1" t="s">
        <v>38</v>
      </c>
      <c r="W1232" s="1"/>
      <c r="X1232" s="1"/>
      <c r="Y1232" s="1" t="s">
        <v>49</v>
      </c>
      <c r="Z1232" s="1"/>
      <c r="AA1232" s="1" t="s">
        <v>40</v>
      </c>
      <c r="AB1232" s="1" t="s">
        <v>34</v>
      </c>
      <c r="AC1232" s="1"/>
    </row>
    <row r="1233">
      <c r="A1233" s="1" t="str">
        <f>"0007D7"</f>
        <v>0007D7</v>
      </c>
      <c r="B1233" s="1" t="s">
        <v>4980</v>
      </c>
      <c r="C1233" s="1" t="s">
        <v>4981</v>
      </c>
      <c r="D1233" s="1" t="str">
        <f>"8024858559"</f>
        <v>8024858559</v>
      </c>
      <c r="E1233" s="1">
        <v>4123.0</v>
      </c>
      <c r="F1233" s="1" t="s">
        <v>44</v>
      </c>
      <c r="G1233" s="1" t="s">
        <v>4982</v>
      </c>
      <c r="H1233" s="1"/>
      <c r="I1233" s="1"/>
      <c r="J1233" s="1"/>
      <c r="K1233" s="1"/>
      <c r="L1233" s="1"/>
      <c r="M1233" s="1" t="s">
        <v>72</v>
      </c>
      <c r="N1233" s="1" t="s">
        <v>135</v>
      </c>
      <c r="O1233" s="1" t="s">
        <v>2243</v>
      </c>
      <c r="P1233" s="1"/>
      <c r="Q1233" s="3">
        <v>36892.0</v>
      </c>
      <c r="R1233" s="1"/>
      <c r="S1233" s="1"/>
      <c r="T1233" s="1" t="s">
        <v>37</v>
      </c>
      <c r="U1233" s="1"/>
      <c r="V1233" s="1" t="s">
        <v>38</v>
      </c>
      <c r="W1233" s="1"/>
      <c r="X1233" s="1"/>
      <c r="Y1233" s="1" t="s">
        <v>49</v>
      </c>
      <c r="Z1233" s="1"/>
      <c r="AA1233" s="1" t="s">
        <v>40</v>
      </c>
      <c r="AB1233" s="1" t="s">
        <v>2244</v>
      </c>
      <c r="AC1233" s="1"/>
    </row>
    <row r="1234">
      <c r="A1234" s="1" t="str">
        <f>"0007D6"</f>
        <v>0007D6</v>
      </c>
      <c r="B1234" s="1" t="s">
        <v>4983</v>
      </c>
      <c r="C1234" s="1" t="s">
        <v>4984</v>
      </c>
      <c r="D1234" s="1"/>
      <c r="E1234" s="1">
        <v>653.0</v>
      </c>
      <c r="F1234" s="1" t="s">
        <v>44</v>
      </c>
      <c r="G1234" s="1" t="s">
        <v>4985</v>
      </c>
      <c r="H1234" s="1"/>
      <c r="I1234" s="1"/>
      <c r="J1234" s="1"/>
      <c r="K1234" s="1"/>
      <c r="L1234" s="1"/>
      <c r="M1234" s="1" t="s">
        <v>4986</v>
      </c>
      <c r="N1234" s="1" t="s">
        <v>34</v>
      </c>
      <c r="O1234" s="1" t="s">
        <v>295</v>
      </c>
      <c r="P1234" s="1"/>
      <c r="Q1234" s="3">
        <v>36892.0</v>
      </c>
      <c r="R1234" s="1"/>
      <c r="S1234" s="1"/>
      <c r="T1234" s="1" t="s">
        <v>37</v>
      </c>
      <c r="U1234" s="1"/>
      <c r="V1234" s="1" t="s">
        <v>38</v>
      </c>
      <c r="W1234" s="1"/>
      <c r="X1234" s="1"/>
      <c r="Y1234" s="1" t="s">
        <v>49</v>
      </c>
      <c r="Z1234" s="1"/>
      <c r="AA1234" s="1" t="s">
        <v>40</v>
      </c>
      <c r="AB1234" s="1" t="s">
        <v>34</v>
      </c>
      <c r="AC1234" s="1"/>
    </row>
    <row r="1235">
      <c r="A1235" s="1" t="str">
        <f>"0007D5"</f>
        <v>0007D5</v>
      </c>
      <c r="B1235" s="1" t="s">
        <v>4987</v>
      </c>
      <c r="C1235" s="1" t="s">
        <v>4988</v>
      </c>
      <c r="D1235" s="1" t="str">
        <f>"8026745471"</f>
        <v>8026745471</v>
      </c>
      <c r="E1235" s="1">
        <v>2451.0</v>
      </c>
      <c r="F1235" s="1" t="s">
        <v>44</v>
      </c>
      <c r="G1235" s="1" t="s">
        <v>4989</v>
      </c>
      <c r="H1235" s="1"/>
      <c r="I1235" s="1"/>
      <c r="J1235" s="1"/>
      <c r="K1235" s="1"/>
      <c r="L1235" s="1"/>
      <c r="M1235" s="1" t="s">
        <v>4990</v>
      </c>
      <c r="N1235" s="1" t="s">
        <v>34</v>
      </c>
      <c r="O1235" s="1" t="s">
        <v>295</v>
      </c>
      <c r="P1235" s="1"/>
      <c r="Q1235" s="3">
        <v>36892.0</v>
      </c>
      <c r="R1235" s="1"/>
      <c r="S1235" s="1"/>
      <c r="T1235" s="1" t="s">
        <v>37</v>
      </c>
      <c r="U1235" s="1"/>
      <c r="V1235" s="1" t="s">
        <v>38</v>
      </c>
      <c r="W1235" s="1"/>
      <c r="X1235" s="1"/>
      <c r="Y1235" s="1" t="s">
        <v>49</v>
      </c>
      <c r="Z1235" s="1"/>
      <c r="AA1235" s="1" t="s">
        <v>40</v>
      </c>
      <c r="AB1235" s="1" t="s">
        <v>34</v>
      </c>
      <c r="AC1235" s="1"/>
    </row>
    <row r="1236">
      <c r="A1236" s="1" t="str">
        <f>"0007D4"</f>
        <v>0007D4</v>
      </c>
      <c r="B1236" s="1" t="s">
        <v>4151</v>
      </c>
      <c r="C1236" s="1" t="s">
        <v>4152</v>
      </c>
      <c r="D1236" s="1"/>
      <c r="E1236" s="1">
        <v>651.0</v>
      </c>
      <c r="F1236" s="1" t="s">
        <v>44</v>
      </c>
      <c r="G1236" s="1" t="s">
        <v>4991</v>
      </c>
      <c r="H1236" s="1"/>
      <c r="I1236" s="1"/>
      <c r="J1236" s="1"/>
      <c r="K1236" s="1"/>
      <c r="L1236" s="1"/>
      <c r="M1236" s="1" t="s">
        <v>4992</v>
      </c>
      <c r="N1236" s="1" t="s">
        <v>34</v>
      </c>
      <c r="O1236" s="1" t="s">
        <v>295</v>
      </c>
      <c r="P1236" s="1"/>
      <c r="Q1236" s="3">
        <v>36892.0</v>
      </c>
      <c r="R1236" s="1"/>
      <c r="S1236" s="1"/>
      <c r="T1236" s="1" t="s">
        <v>37</v>
      </c>
      <c r="U1236" s="1"/>
      <c r="V1236" s="1" t="s">
        <v>38</v>
      </c>
      <c r="W1236" s="1"/>
      <c r="X1236" s="1"/>
      <c r="Y1236" s="1" t="s">
        <v>49</v>
      </c>
      <c r="Z1236" s="1"/>
      <c r="AA1236" s="1" t="s">
        <v>40</v>
      </c>
      <c r="AB1236" s="1" t="s">
        <v>34</v>
      </c>
      <c r="AC1236" s="1"/>
    </row>
    <row r="1237">
      <c r="A1237" s="1" t="str">
        <f>"0007D2"</f>
        <v>0007D2</v>
      </c>
      <c r="B1237" s="1" t="s">
        <v>4993</v>
      </c>
      <c r="C1237" s="1" t="s">
        <v>4994</v>
      </c>
      <c r="D1237" s="1" t="str">
        <f>"8026745712"</f>
        <v>8026745712</v>
      </c>
      <c r="E1237" s="1">
        <v>649.0</v>
      </c>
      <c r="F1237" s="1" t="s">
        <v>44</v>
      </c>
      <c r="G1237" s="1" t="s">
        <v>4995</v>
      </c>
      <c r="H1237" s="1">
        <v>1.0</v>
      </c>
      <c r="I1237" s="1"/>
      <c r="J1237" s="1"/>
      <c r="K1237" s="1"/>
      <c r="L1237" s="1"/>
      <c r="M1237" s="1" t="s">
        <v>72</v>
      </c>
      <c r="N1237" s="1" t="s">
        <v>34</v>
      </c>
      <c r="O1237" s="1" t="s">
        <v>295</v>
      </c>
      <c r="P1237" s="1"/>
      <c r="Q1237" s="3">
        <v>36892.0</v>
      </c>
      <c r="R1237" s="1"/>
      <c r="S1237" s="3">
        <v>34807.0</v>
      </c>
      <c r="T1237" s="1" t="s">
        <v>37</v>
      </c>
      <c r="U1237" s="1"/>
      <c r="V1237" s="1" t="s">
        <v>38</v>
      </c>
      <c r="W1237" s="1"/>
      <c r="X1237" s="1"/>
      <c r="Y1237" s="1" t="s">
        <v>49</v>
      </c>
      <c r="Z1237" s="1"/>
      <c r="AA1237" s="1" t="s">
        <v>40</v>
      </c>
      <c r="AB1237" s="1" t="s">
        <v>34</v>
      </c>
      <c r="AC1237" s="1"/>
    </row>
    <row r="1238">
      <c r="A1238" s="1" t="str">
        <f>"0008Y3"</f>
        <v>0008Y3</v>
      </c>
      <c r="B1238" s="1" t="s">
        <v>1609</v>
      </c>
      <c r="C1238" s="1" t="s">
        <v>1610</v>
      </c>
      <c r="D1238" s="1" t="str">
        <f>"8028245469"</f>
        <v>8028245469</v>
      </c>
      <c r="E1238" s="1">
        <v>3469.0</v>
      </c>
      <c r="F1238" s="1" t="s">
        <v>117</v>
      </c>
      <c r="G1238" s="1" t="s">
        <v>4996</v>
      </c>
      <c r="H1238" s="1">
        <v>2.0</v>
      </c>
      <c r="I1238" s="2" t="s">
        <v>119</v>
      </c>
      <c r="J1238" s="2">
        <v>2.0</v>
      </c>
      <c r="K1238" s="2" t="s">
        <v>119</v>
      </c>
      <c r="L1238" s="1"/>
      <c r="M1238" s="1" t="s">
        <v>4997</v>
      </c>
      <c r="N1238" s="1" t="s">
        <v>34</v>
      </c>
      <c r="O1238" s="1" t="s">
        <v>4998</v>
      </c>
      <c r="P1238" s="1" t="s">
        <v>4999</v>
      </c>
      <c r="Q1238" s="3">
        <v>36892.0</v>
      </c>
      <c r="R1238" s="1"/>
      <c r="S1238" s="3">
        <v>39332.0</v>
      </c>
      <c r="T1238" s="1" t="s">
        <v>37</v>
      </c>
      <c r="U1238" s="1"/>
      <c r="V1238" s="1" t="s">
        <v>38</v>
      </c>
      <c r="W1238" s="1">
        <v>43.311859</v>
      </c>
      <c r="X1238" s="1">
        <v>-72.8258589999999</v>
      </c>
      <c r="Y1238" s="1" t="s">
        <v>5000</v>
      </c>
      <c r="Z1238" s="1"/>
      <c r="AA1238" s="1" t="s">
        <v>40</v>
      </c>
      <c r="AB1238" s="1" t="s">
        <v>5001</v>
      </c>
      <c r="AC1238" s="1">
        <v>5161.0</v>
      </c>
    </row>
    <row r="1239">
      <c r="A1239" s="1" t="str">
        <f>"000948"</f>
        <v>000948</v>
      </c>
      <c r="B1239" s="1" t="s">
        <v>5002</v>
      </c>
      <c r="C1239" s="1" t="s">
        <v>5003</v>
      </c>
      <c r="D1239" s="1" t="str">
        <f>"8024572495"</f>
        <v>8024572495</v>
      </c>
      <c r="E1239" s="1">
        <v>3853.0</v>
      </c>
      <c r="F1239" s="1" t="s">
        <v>117</v>
      </c>
      <c r="G1239" s="1" t="s">
        <v>5004</v>
      </c>
      <c r="H1239" s="1">
        <v>2.0</v>
      </c>
      <c r="I1239" s="2" t="s">
        <v>119</v>
      </c>
      <c r="J1239" s="2">
        <v>2.0</v>
      </c>
      <c r="K1239" s="2" t="s">
        <v>119</v>
      </c>
      <c r="L1239" s="1"/>
      <c r="M1239" s="1" t="s">
        <v>5005</v>
      </c>
      <c r="N1239" s="1" t="s">
        <v>34</v>
      </c>
      <c r="O1239" s="1" t="s">
        <v>85</v>
      </c>
      <c r="P1239" s="1" t="s">
        <v>5006</v>
      </c>
      <c r="Q1239" s="3">
        <v>36892.0</v>
      </c>
      <c r="R1239" s="1"/>
      <c r="S1239" s="3">
        <v>42964.0</v>
      </c>
      <c r="T1239" s="1" t="s">
        <v>37</v>
      </c>
      <c r="U1239" s="1"/>
      <c r="V1239" s="1" t="s">
        <v>38</v>
      </c>
      <c r="W1239" s="1">
        <v>43.540636</v>
      </c>
      <c r="X1239" s="1">
        <v>-72.3989313999999</v>
      </c>
      <c r="Y1239" s="1" t="s">
        <v>5007</v>
      </c>
      <c r="Z1239" s="1"/>
      <c r="AA1239" s="1" t="s">
        <v>40</v>
      </c>
      <c r="AB1239" s="1" t="s">
        <v>86</v>
      </c>
      <c r="AC1239" s="1">
        <v>5048.0</v>
      </c>
    </row>
    <row r="1240">
      <c r="A1240" s="1" t="str">
        <f>"0007CZ"</f>
        <v>0007CZ</v>
      </c>
      <c r="B1240" s="1" t="s">
        <v>5008</v>
      </c>
      <c r="C1240" s="1" t="s">
        <v>5009</v>
      </c>
      <c r="D1240" s="1" t="str">
        <f>"8026448909"</f>
        <v>8026448909</v>
      </c>
      <c r="E1240" s="1">
        <v>3582.0</v>
      </c>
      <c r="F1240" s="1" t="s">
        <v>44</v>
      </c>
      <c r="G1240" s="1" t="s">
        <v>5010</v>
      </c>
      <c r="H1240" s="1">
        <v>1.0</v>
      </c>
      <c r="I1240" s="2" t="s">
        <v>119</v>
      </c>
      <c r="J1240" s="2" t="s">
        <v>119</v>
      </c>
      <c r="K1240" s="2" t="s">
        <v>119</v>
      </c>
      <c r="L1240" s="1"/>
      <c r="M1240" s="1" t="s">
        <v>72</v>
      </c>
      <c r="N1240" s="1" t="s">
        <v>213</v>
      </c>
      <c r="O1240" s="1" t="s">
        <v>5011</v>
      </c>
      <c r="P1240" s="1"/>
      <c r="Q1240" s="3">
        <v>36892.0</v>
      </c>
      <c r="R1240" s="1"/>
      <c r="S1240" s="1"/>
      <c r="T1240" s="1" t="s">
        <v>37</v>
      </c>
      <c r="U1240" s="1"/>
      <c r="V1240" s="1" t="s">
        <v>38</v>
      </c>
      <c r="W1240" s="1">
        <v>44.747875</v>
      </c>
      <c r="X1240" s="1">
        <v>-72.711815</v>
      </c>
      <c r="Y1240" s="1" t="s">
        <v>5012</v>
      </c>
      <c r="Z1240" s="1"/>
      <c r="AA1240" s="1" t="s">
        <v>40</v>
      </c>
      <c r="AB1240" s="1" t="s">
        <v>2180</v>
      </c>
      <c r="AC1240" s="1">
        <v>5442.0</v>
      </c>
    </row>
    <row r="1241">
      <c r="A1241" s="1" t="str">
        <f>"0007CY"</f>
        <v>0007CY</v>
      </c>
      <c r="B1241" s="1" t="s">
        <v>5013</v>
      </c>
      <c r="C1241" s="1" t="s">
        <v>5014</v>
      </c>
      <c r="D1241" s="1" t="str">
        <f>"8024224701"</f>
        <v>8024224701</v>
      </c>
      <c r="E1241" s="1">
        <v>640.0</v>
      </c>
      <c r="F1241" s="1" t="s">
        <v>31</v>
      </c>
      <c r="G1241" s="1" t="s">
        <v>5015</v>
      </c>
      <c r="H1241" s="1">
        <v>1.0</v>
      </c>
      <c r="I1241" s="1"/>
      <c r="J1241" s="1"/>
      <c r="K1241" s="1"/>
      <c r="L1241" s="1"/>
      <c r="M1241" s="1" t="s">
        <v>5016</v>
      </c>
      <c r="N1241" s="1" t="s">
        <v>34</v>
      </c>
      <c r="O1241" s="1" t="s">
        <v>958</v>
      </c>
      <c r="P1241" s="1"/>
      <c r="Q1241" s="3">
        <v>36892.0</v>
      </c>
      <c r="R1241" s="1"/>
      <c r="S1241" s="3">
        <v>37070.0</v>
      </c>
      <c r="T1241" s="1" t="s">
        <v>37</v>
      </c>
      <c r="U1241" s="1"/>
      <c r="V1241" s="1" t="s">
        <v>38</v>
      </c>
      <c r="W1241" s="1">
        <v>43.5703174324635</v>
      </c>
      <c r="X1241" s="1">
        <v>-72.7557778358459</v>
      </c>
      <c r="Y1241" s="1" t="s">
        <v>5017</v>
      </c>
      <c r="Z1241" s="1"/>
      <c r="AA1241" s="1" t="s">
        <v>40</v>
      </c>
      <c r="AB1241" s="1" t="s">
        <v>959</v>
      </c>
      <c r="AC1241" s="1">
        <v>5056.0</v>
      </c>
    </row>
    <row r="1242">
      <c r="A1242" s="1" t="str">
        <f>"0007CW"</f>
        <v>0007CW</v>
      </c>
      <c r="B1242" s="1" t="s">
        <v>5018</v>
      </c>
      <c r="C1242" s="1" t="s">
        <v>5019</v>
      </c>
      <c r="D1242" s="1" t="str">
        <f>"8022294280"</f>
        <v>8022294280</v>
      </c>
      <c r="E1242" s="1">
        <v>3996.0</v>
      </c>
      <c r="F1242" s="1" t="s">
        <v>44</v>
      </c>
      <c r="G1242" s="1" t="s">
        <v>5020</v>
      </c>
      <c r="H1242" s="1">
        <v>3.0</v>
      </c>
      <c r="I1242" s="1"/>
      <c r="J1242" s="1"/>
      <c r="K1242" s="1"/>
      <c r="L1242" s="1"/>
      <c r="M1242" s="1" t="s">
        <v>5021</v>
      </c>
      <c r="N1242" s="1" t="s">
        <v>135</v>
      </c>
      <c r="O1242" s="1" t="s">
        <v>805</v>
      </c>
      <c r="P1242" s="1"/>
      <c r="Q1242" s="3">
        <v>36892.0</v>
      </c>
      <c r="R1242" s="1"/>
      <c r="S1242" s="3">
        <v>39727.0</v>
      </c>
      <c r="T1242" s="1" t="s">
        <v>37</v>
      </c>
      <c r="U1242" s="1"/>
      <c r="V1242" s="1" t="s">
        <v>38</v>
      </c>
      <c r="W1242" s="1"/>
      <c r="X1242" s="1"/>
      <c r="Y1242" s="1" t="s">
        <v>49</v>
      </c>
      <c r="Z1242" s="1"/>
      <c r="AA1242" s="1" t="s">
        <v>40</v>
      </c>
      <c r="AB1242" s="1" t="s">
        <v>806</v>
      </c>
      <c r="AC1242" s="1"/>
    </row>
    <row r="1243">
      <c r="A1243" s="1" t="str">
        <f>"0007CV"</f>
        <v>0007CV</v>
      </c>
      <c r="B1243" s="1" t="s">
        <v>5022</v>
      </c>
      <c r="C1243" s="1" t="s">
        <v>5023</v>
      </c>
      <c r="D1243" s="1" t="str">
        <f>"8028853926"</f>
        <v>8028853926</v>
      </c>
      <c r="E1243" s="1">
        <v>3067.0</v>
      </c>
      <c r="F1243" s="1" t="s">
        <v>44</v>
      </c>
      <c r="G1243" s="1" t="s">
        <v>5024</v>
      </c>
      <c r="H1243" s="1">
        <v>2.0</v>
      </c>
      <c r="I1243" s="1"/>
      <c r="J1243" s="1"/>
      <c r="K1243" s="1"/>
      <c r="L1243" s="1"/>
      <c r="M1243" s="1" t="s">
        <v>5025</v>
      </c>
      <c r="N1243" s="1" t="s">
        <v>34</v>
      </c>
      <c r="O1243" s="1" t="s">
        <v>642</v>
      </c>
      <c r="P1243" s="1"/>
      <c r="Q1243" s="3">
        <v>36892.0</v>
      </c>
      <c r="R1243" s="1"/>
      <c r="S1243" s="3">
        <v>36013.0</v>
      </c>
      <c r="T1243" s="1" t="s">
        <v>37</v>
      </c>
      <c r="U1243" s="1"/>
      <c r="V1243" s="1" t="s">
        <v>38</v>
      </c>
      <c r="W1243" s="1"/>
      <c r="X1243" s="1"/>
      <c r="Y1243" s="1" t="s">
        <v>49</v>
      </c>
      <c r="Z1243" s="1"/>
      <c r="AA1243" s="1" t="s">
        <v>40</v>
      </c>
      <c r="AB1243" s="1" t="s">
        <v>643</v>
      </c>
      <c r="AC1243" s="1"/>
    </row>
    <row r="1244">
      <c r="A1244" s="1" t="str">
        <f>"0007CQ"</f>
        <v>0007CQ</v>
      </c>
      <c r="B1244" s="1" t="s">
        <v>5026</v>
      </c>
      <c r="C1244" s="1" t="s">
        <v>5027</v>
      </c>
      <c r="D1244" s="1"/>
      <c r="E1244" s="1">
        <v>635.0</v>
      </c>
      <c r="F1244" s="1" t="s">
        <v>44</v>
      </c>
      <c r="G1244" s="1" t="s">
        <v>5028</v>
      </c>
      <c r="H1244" s="1">
        <v>0.0</v>
      </c>
      <c r="I1244" s="1"/>
      <c r="J1244" s="1"/>
      <c r="K1244" s="1"/>
      <c r="L1244" s="1"/>
      <c r="M1244" s="1" t="s">
        <v>5029</v>
      </c>
      <c r="N1244" s="1" t="s">
        <v>34</v>
      </c>
      <c r="O1244" s="1" t="s">
        <v>642</v>
      </c>
      <c r="P1244" s="1"/>
      <c r="Q1244" s="3">
        <v>36892.0</v>
      </c>
      <c r="R1244" s="1"/>
      <c r="S1244" s="3">
        <v>32357.0</v>
      </c>
      <c r="T1244" s="1" t="s">
        <v>37</v>
      </c>
      <c r="U1244" s="1"/>
      <c r="V1244" s="1" t="s">
        <v>38</v>
      </c>
      <c r="W1244" s="1"/>
      <c r="X1244" s="1"/>
      <c r="Y1244" s="1" t="s">
        <v>49</v>
      </c>
      <c r="Z1244" s="1"/>
      <c r="AA1244" s="1" t="s">
        <v>40</v>
      </c>
      <c r="AB1244" s="1" t="s">
        <v>643</v>
      </c>
      <c r="AC1244" s="1"/>
    </row>
    <row r="1245">
      <c r="A1245" s="1" t="str">
        <f>"0007CP"</f>
        <v>0007CP</v>
      </c>
      <c r="B1245" s="1" t="s">
        <v>5030</v>
      </c>
      <c r="C1245" s="1" t="s">
        <v>5031</v>
      </c>
      <c r="D1245" s="1" t="str">
        <f>"8028753096"</f>
        <v>8028753096</v>
      </c>
      <c r="E1245" s="1">
        <v>2633.0</v>
      </c>
      <c r="F1245" s="1" t="s">
        <v>44</v>
      </c>
      <c r="G1245" s="1" t="s">
        <v>5032</v>
      </c>
      <c r="H1245" s="1">
        <v>1.0</v>
      </c>
      <c r="I1245" s="1"/>
      <c r="J1245" s="1"/>
      <c r="K1245" s="1"/>
      <c r="L1245" s="1"/>
      <c r="M1245" s="1" t="s">
        <v>72</v>
      </c>
      <c r="N1245" s="1" t="s">
        <v>34</v>
      </c>
      <c r="O1245" s="1" t="s">
        <v>565</v>
      </c>
      <c r="P1245" s="1"/>
      <c r="Q1245" s="3">
        <v>36892.0</v>
      </c>
      <c r="R1245" s="1"/>
      <c r="S1245" s="3">
        <v>32720.0</v>
      </c>
      <c r="T1245" s="1" t="s">
        <v>37</v>
      </c>
      <c r="U1245" s="1"/>
      <c r="V1245" s="1" t="s">
        <v>38</v>
      </c>
      <c r="W1245" s="1"/>
      <c r="X1245" s="1"/>
      <c r="Y1245" s="1" t="s">
        <v>49</v>
      </c>
      <c r="Z1245" s="1"/>
      <c r="AA1245" s="1" t="s">
        <v>40</v>
      </c>
      <c r="AB1245" s="1" t="s">
        <v>566</v>
      </c>
      <c r="AC1245" s="1"/>
    </row>
    <row r="1246">
      <c r="A1246" s="1" t="str">
        <f>"00090C"</f>
        <v>00090C</v>
      </c>
      <c r="B1246" s="1" t="s">
        <v>5033</v>
      </c>
      <c r="C1246" s="1" t="s">
        <v>5034</v>
      </c>
      <c r="D1246" s="1" t="str">
        <f>"8028851599"</f>
        <v>8028851599</v>
      </c>
      <c r="E1246" s="1">
        <v>3567.0</v>
      </c>
      <c r="F1246" s="1" t="s">
        <v>44</v>
      </c>
      <c r="G1246" s="1" t="s">
        <v>5035</v>
      </c>
      <c r="H1246" s="1">
        <v>3.0</v>
      </c>
      <c r="I1246" s="1"/>
      <c r="J1246" s="1"/>
      <c r="K1246" s="1"/>
      <c r="L1246" s="1"/>
      <c r="M1246" s="1" t="s">
        <v>5036</v>
      </c>
      <c r="N1246" s="1" t="s">
        <v>34</v>
      </c>
      <c r="O1246" s="1" t="s">
        <v>642</v>
      </c>
      <c r="P1246" s="1"/>
      <c r="Q1246" s="3">
        <v>36892.0</v>
      </c>
      <c r="R1246" s="1"/>
      <c r="S1246" s="3">
        <v>39287.0</v>
      </c>
      <c r="T1246" s="1" t="s">
        <v>37</v>
      </c>
      <c r="U1246" s="1"/>
      <c r="V1246" s="1" t="s">
        <v>38</v>
      </c>
      <c r="W1246" s="1">
        <v>43.308628</v>
      </c>
      <c r="X1246" s="1">
        <v>-72.458977</v>
      </c>
      <c r="Y1246" s="1" t="s">
        <v>5037</v>
      </c>
      <c r="Z1246" s="1"/>
      <c r="AA1246" s="1" t="s">
        <v>40</v>
      </c>
      <c r="AB1246" s="1" t="s">
        <v>643</v>
      </c>
      <c r="AC1246" s="1">
        <v>5156.0</v>
      </c>
    </row>
    <row r="1247">
      <c r="A1247" s="1" t="str">
        <f>"0007CK"</f>
        <v>0007CK</v>
      </c>
      <c r="B1247" s="1" t="s">
        <v>5038</v>
      </c>
      <c r="C1247" s="1" t="s">
        <v>5039</v>
      </c>
      <c r="D1247" s="1" t="str">
        <f>"8023875564"</f>
        <v>8023875564</v>
      </c>
      <c r="E1247" s="1">
        <v>2658.0</v>
      </c>
      <c r="F1247" s="1" t="s">
        <v>44</v>
      </c>
      <c r="G1247" s="1" t="s">
        <v>5040</v>
      </c>
      <c r="H1247" s="1">
        <v>5.0</v>
      </c>
      <c r="I1247" s="1"/>
      <c r="J1247" s="1"/>
      <c r="K1247" s="1"/>
      <c r="L1247" s="1"/>
      <c r="M1247" s="1" t="s">
        <v>72</v>
      </c>
      <c r="N1247" s="1" t="s">
        <v>66</v>
      </c>
      <c r="O1247" s="1" t="s">
        <v>593</v>
      </c>
      <c r="P1247" s="1"/>
      <c r="Q1247" s="3">
        <v>36892.0</v>
      </c>
      <c r="R1247" s="1"/>
      <c r="S1247" s="3">
        <v>36741.0</v>
      </c>
      <c r="T1247" s="1" t="s">
        <v>37</v>
      </c>
      <c r="U1247" s="1"/>
      <c r="V1247" s="1" t="s">
        <v>38</v>
      </c>
      <c r="W1247" s="1"/>
      <c r="X1247" s="1"/>
      <c r="Y1247" s="1" t="s">
        <v>49</v>
      </c>
      <c r="Z1247" s="1"/>
      <c r="AA1247" s="1" t="s">
        <v>40</v>
      </c>
      <c r="AB1247" s="1" t="s">
        <v>594</v>
      </c>
      <c r="AC1247" s="1"/>
    </row>
    <row r="1248">
      <c r="A1248" s="1" t="str">
        <f>"0007CJ"</f>
        <v>0007CJ</v>
      </c>
      <c r="B1248" s="1" t="s">
        <v>5041</v>
      </c>
      <c r="C1248" s="1" t="s">
        <v>5042</v>
      </c>
      <c r="D1248" s="1" t="str">
        <f>"8029482884"</f>
        <v>8029482884</v>
      </c>
      <c r="E1248" s="1">
        <v>3068.0</v>
      </c>
      <c r="F1248" s="1" t="s">
        <v>44</v>
      </c>
      <c r="G1248" s="1" t="s">
        <v>5043</v>
      </c>
      <c r="H1248" s="1">
        <v>3.0</v>
      </c>
      <c r="I1248" s="1"/>
      <c r="J1248" s="1"/>
      <c r="K1248" s="1"/>
      <c r="L1248" s="1"/>
      <c r="M1248" s="1" t="s">
        <v>72</v>
      </c>
      <c r="N1248" s="1" t="s">
        <v>161</v>
      </c>
      <c r="O1248" s="1" t="s">
        <v>531</v>
      </c>
      <c r="P1248" s="1"/>
      <c r="Q1248" s="3">
        <v>36892.0</v>
      </c>
      <c r="R1248" s="1"/>
      <c r="S1248" s="3">
        <v>37362.0</v>
      </c>
      <c r="T1248" s="1" t="s">
        <v>37</v>
      </c>
      <c r="U1248" s="1"/>
      <c r="V1248" s="1" t="s">
        <v>38</v>
      </c>
      <c r="W1248" s="1"/>
      <c r="X1248" s="1"/>
      <c r="Y1248" s="1" t="s">
        <v>49</v>
      </c>
      <c r="Z1248" s="1"/>
      <c r="AA1248" s="1" t="s">
        <v>40</v>
      </c>
      <c r="AB1248" s="1" t="s">
        <v>532</v>
      </c>
      <c r="AC1248" s="1"/>
    </row>
    <row r="1249">
      <c r="A1249" s="1" t="str">
        <f>"0008Z0"</f>
        <v>0008Z0</v>
      </c>
      <c r="B1249" s="1" t="s">
        <v>5044</v>
      </c>
      <c r="C1249" s="1" t="s">
        <v>5045</v>
      </c>
      <c r="D1249" s="1" t="str">
        <f>"8024535821"</f>
        <v>8024535821</v>
      </c>
      <c r="E1249" s="1">
        <v>3856.0</v>
      </c>
      <c r="F1249" s="1" t="s">
        <v>44</v>
      </c>
      <c r="G1249" s="1" t="s">
        <v>5046</v>
      </c>
      <c r="H1249" s="1">
        <v>4.0</v>
      </c>
      <c r="I1249" s="1"/>
      <c r="J1249" s="1"/>
      <c r="K1249" s="1"/>
      <c r="L1249" s="1"/>
      <c r="M1249" s="1" t="s">
        <v>33</v>
      </c>
      <c r="N1249" s="1" t="s">
        <v>161</v>
      </c>
      <c r="O1249" s="1" t="s">
        <v>185</v>
      </c>
      <c r="P1249" s="1" t="s">
        <v>36</v>
      </c>
      <c r="Q1249" s="3">
        <v>36892.0</v>
      </c>
      <c r="R1249" s="1"/>
      <c r="S1249" s="3">
        <v>39647.0</v>
      </c>
      <c r="T1249" s="1" t="s">
        <v>37</v>
      </c>
      <c r="U1249" s="1"/>
      <c r="V1249" s="1" t="s">
        <v>38</v>
      </c>
      <c r="W1249" s="1">
        <v>44.12505</v>
      </c>
      <c r="X1249" s="1">
        <v>-73.14665</v>
      </c>
      <c r="Y1249" s="1" t="s">
        <v>5047</v>
      </c>
      <c r="Z1249" s="1"/>
      <c r="AA1249" s="1" t="s">
        <v>40</v>
      </c>
      <c r="AB1249" s="1" t="s">
        <v>186</v>
      </c>
      <c r="AC1249" s="1">
        <v>5472.0</v>
      </c>
    </row>
    <row r="1250">
      <c r="A1250" s="1" t="str">
        <f>"0008Z1"</f>
        <v>0008Z1</v>
      </c>
      <c r="B1250" s="1" t="s">
        <v>5048</v>
      </c>
      <c r="C1250" s="1" t="s">
        <v>5049</v>
      </c>
      <c r="D1250" s="1" t="str">
        <f>"8028993943"</f>
        <v>8028993943</v>
      </c>
      <c r="E1250" s="1">
        <v>3515.0</v>
      </c>
      <c r="F1250" s="1" t="s">
        <v>44</v>
      </c>
      <c r="G1250" s="1" t="s">
        <v>5050</v>
      </c>
      <c r="H1250" s="1">
        <v>1.0</v>
      </c>
      <c r="I1250" s="1"/>
      <c r="J1250" s="1"/>
      <c r="K1250" s="1"/>
      <c r="L1250" s="1"/>
      <c r="M1250" s="1" t="s">
        <v>72</v>
      </c>
      <c r="N1250" s="1" t="s">
        <v>57</v>
      </c>
      <c r="O1250" s="1" t="s">
        <v>745</v>
      </c>
      <c r="P1250" s="1" t="s">
        <v>5051</v>
      </c>
      <c r="Q1250" s="3">
        <v>36892.0</v>
      </c>
      <c r="R1250" s="1"/>
      <c r="S1250" s="3">
        <v>38826.0</v>
      </c>
      <c r="T1250" s="1" t="s">
        <v>37</v>
      </c>
      <c r="U1250" s="1"/>
      <c r="V1250" s="1" t="s">
        <v>38</v>
      </c>
      <c r="W1250" s="1">
        <v>44.4907064</v>
      </c>
      <c r="X1250" s="1">
        <v>-72.9941721999999</v>
      </c>
      <c r="Y1250" s="1" t="s">
        <v>5052</v>
      </c>
      <c r="Z1250" s="1"/>
      <c r="AA1250" s="1" t="s">
        <v>40</v>
      </c>
      <c r="AB1250" s="1" t="s">
        <v>746</v>
      </c>
      <c r="AC1250" s="1">
        <v>5465.0</v>
      </c>
    </row>
    <row r="1251">
      <c r="A1251" s="1" t="str">
        <f>"0007JC"</f>
        <v>0007JC</v>
      </c>
      <c r="B1251" s="1" t="s">
        <v>5053</v>
      </c>
      <c r="C1251" s="1" t="s">
        <v>5054</v>
      </c>
      <c r="D1251" s="1" t="str">
        <f>"8028692861"</f>
        <v>8028692861</v>
      </c>
      <c r="E1251" s="1">
        <v>3131.0</v>
      </c>
      <c r="F1251" s="1" t="s">
        <v>44</v>
      </c>
      <c r="G1251" s="1" t="s">
        <v>5055</v>
      </c>
      <c r="H1251" s="1">
        <v>0.0</v>
      </c>
      <c r="I1251" s="1"/>
      <c r="J1251" s="1"/>
      <c r="K1251" s="1"/>
      <c r="L1251" s="1"/>
      <c r="M1251" s="1" t="s">
        <v>72</v>
      </c>
      <c r="N1251" s="1" t="s">
        <v>66</v>
      </c>
      <c r="O1251" s="1" t="s">
        <v>1199</v>
      </c>
      <c r="P1251" s="1"/>
      <c r="Q1251" s="3">
        <v>36892.0</v>
      </c>
      <c r="R1251" s="1"/>
      <c r="S1251" s="3">
        <v>37782.0</v>
      </c>
      <c r="T1251" s="1" t="s">
        <v>37</v>
      </c>
      <c r="U1251" s="1"/>
      <c r="V1251" s="1" t="s">
        <v>38</v>
      </c>
      <c r="W1251" s="1"/>
      <c r="X1251" s="1"/>
      <c r="Y1251" s="1" t="s">
        <v>49</v>
      </c>
      <c r="Z1251" s="1"/>
      <c r="AA1251" s="1" t="s">
        <v>40</v>
      </c>
      <c r="AB1251" s="1" t="s">
        <v>1200</v>
      </c>
      <c r="AC1251" s="1"/>
    </row>
    <row r="1252">
      <c r="A1252" s="1" t="str">
        <f>"0007CH"</f>
        <v>0007CH</v>
      </c>
      <c r="B1252" s="1" t="s">
        <v>5056</v>
      </c>
      <c r="C1252" s="1" t="s">
        <v>5057</v>
      </c>
      <c r="D1252" s="1" t="str">
        <f>"8028868112"</f>
        <v>8028868112</v>
      </c>
      <c r="E1252" s="1">
        <v>627.0</v>
      </c>
      <c r="F1252" s="1" t="s">
        <v>44</v>
      </c>
      <c r="G1252" s="1" t="s">
        <v>5058</v>
      </c>
      <c r="H1252" s="1">
        <v>2.0</v>
      </c>
      <c r="I1252" s="1"/>
      <c r="J1252" s="1"/>
      <c r="K1252" s="1"/>
      <c r="L1252" s="1"/>
      <c r="M1252" s="1" t="s">
        <v>5059</v>
      </c>
      <c r="N1252" s="1" t="s">
        <v>34</v>
      </c>
      <c r="O1252" s="1" t="s">
        <v>642</v>
      </c>
      <c r="P1252" s="1"/>
      <c r="Q1252" s="3">
        <v>36892.0</v>
      </c>
      <c r="R1252" s="1"/>
      <c r="S1252" s="3">
        <v>32351.0</v>
      </c>
      <c r="T1252" s="1" t="s">
        <v>37</v>
      </c>
      <c r="U1252" s="1"/>
      <c r="V1252" s="1" t="s">
        <v>38</v>
      </c>
      <c r="W1252" s="1"/>
      <c r="X1252" s="1"/>
      <c r="Y1252" s="1" t="s">
        <v>49</v>
      </c>
      <c r="Z1252" s="1"/>
      <c r="AA1252" s="1" t="s">
        <v>40</v>
      </c>
      <c r="AB1252" s="1" t="s">
        <v>643</v>
      </c>
      <c r="AC1252" s="1"/>
    </row>
    <row r="1253">
      <c r="A1253" s="1" t="str">
        <f>"0007CG"</f>
        <v>0007CG</v>
      </c>
      <c r="B1253" s="1" t="s">
        <v>5060</v>
      </c>
      <c r="C1253" s="1" t="s">
        <v>5061</v>
      </c>
      <c r="D1253" s="1" t="str">
        <f>"8022635652"</f>
        <v>8022635652</v>
      </c>
      <c r="E1253" s="1">
        <v>2632.0</v>
      </c>
      <c r="F1253" s="1" t="s">
        <v>44</v>
      </c>
      <c r="G1253" s="1" t="s">
        <v>5062</v>
      </c>
      <c r="H1253" s="1">
        <v>3.0</v>
      </c>
      <c r="I1253" s="1"/>
      <c r="J1253" s="1"/>
      <c r="K1253" s="1"/>
      <c r="L1253" s="1"/>
      <c r="M1253" s="1" t="s">
        <v>5063</v>
      </c>
      <c r="N1253" s="1" t="s">
        <v>34</v>
      </c>
      <c r="O1253" s="1" t="s">
        <v>1085</v>
      </c>
      <c r="P1253" s="1"/>
      <c r="Q1253" s="3">
        <v>36892.0</v>
      </c>
      <c r="R1253" s="1"/>
      <c r="S1253" s="3">
        <v>39287.0</v>
      </c>
      <c r="T1253" s="1" t="s">
        <v>37</v>
      </c>
      <c r="U1253" s="1"/>
      <c r="V1253" s="1" t="s">
        <v>38</v>
      </c>
      <c r="W1253" s="1"/>
      <c r="X1253" s="1"/>
      <c r="Y1253" s="1" t="s">
        <v>49</v>
      </c>
      <c r="Z1253" s="1"/>
      <c r="AA1253" s="1" t="s">
        <v>40</v>
      </c>
      <c r="AB1253" s="1" t="s">
        <v>1086</v>
      </c>
      <c r="AC1253" s="1"/>
    </row>
    <row r="1254">
      <c r="A1254" s="1" t="str">
        <f>"0007CF"</f>
        <v>0007CF</v>
      </c>
      <c r="B1254" s="1" t="s">
        <v>5064</v>
      </c>
      <c r="C1254" s="1" t="s">
        <v>5065</v>
      </c>
      <c r="D1254" s="1"/>
      <c r="E1254" s="1">
        <v>622.0</v>
      </c>
      <c r="F1254" s="1" t="s">
        <v>44</v>
      </c>
      <c r="G1254" s="1" t="s">
        <v>5066</v>
      </c>
      <c r="H1254" s="1">
        <v>2.0</v>
      </c>
      <c r="I1254" s="1"/>
      <c r="J1254" s="1"/>
      <c r="K1254" s="1"/>
      <c r="L1254" s="1"/>
      <c r="M1254" s="1" t="s">
        <v>72</v>
      </c>
      <c r="N1254" s="1" t="s">
        <v>34</v>
      </c>
      <c r="O1254" s="1" t="s">
        <v>642</v>
      </c>
      <c r="P1254" s="1"/>
      <c r="Q1254" s="3">
        <v>36892.0</v>
      </c>
      <c r="R1254" s="1"/>
      <c r="S1254" s="3">
        <v>32351.0</v>
      </c>
      <c r="T1254" s="1" t="s">
        <v>37</v>
      </c>
      <c r="U1254" s="1"/>
      <c r="V1254" s="1" t="s">
        <v>38</v>
      </c>
      <c r="W1254" s="1"/>
      <c r="X1254" s="1"/>
      <c r="Y1254" s="1" t="s">
        <v>49</v>
      </c>
      <c r="Z1254" s="1"/>
      <c r="AA1254" s="1" t="s">
        <v>40</v>
      </c>
      <c r="AB1254" s="1" t="s">
        <v>643</v>
      </c>
      <c r="AC1254" s="1"/>
    </row>
    <row r="1255">
      <c r="A1255" s="1" t="str">
        <f>"0007CD"</f>
        <v>0007CD</v>
      </c>
      <c r="B1255" s="1" t="s">
        <v>5067</v>
      </c>
      <c r="C1255" s="1" t="s">
        <v>5068</v>
      </c>
      <c r="D1255" s="1" t="str">
        <f>"8023940060"</f>
        <v>8023940060</v>
      </c>
      <c r="E1255" s="1">
        <v>3801.0</v>
      </c>
      <c r="F1255" s="1" t="s">
        <v>44</v>
      </c>
      <c r="G1255" s="1" t="s">
        <v>5069</v>
      </c>
      <c r="H1255" s="1"/>
      <c r="I1255" s="1"/>
      <c r="J1255" s="1"/>
      <c r="K1255" s="1"/>
      <c r="L1255" s="1"/>
      <c r="M1255" s="1" t="s">
        <v>72</v>
      </c>
      <c r="N1255" s="1" t="s">
        <v>414</v>
      </c>
      <c r="O1255" s="1" t="s">
        <v>2004</v>
      </c>
      <c r="P1255" s="1"/>
      <c r="Q1255" s="3">
        <v>36892.0</v>
      </c>
      <c r="R1255" s="1"/>
      <c r="S1255" s="1"/>
      <c r="T1255" s="1" t="s">
        <v>37</v>
      </c>
      <c r="U1255" s="1"/>
      <c r="V1255" s="1" t="s">
        <v>38</v>
      </c>
      <c r="W1255" s="1"/>
      <c r="X1255" s="1"/>
      <c r="Y1255" s="1" t="s">
        <v>49</v>
      </c>
      <c r="Z1255" s="1"/>
      <c r="AA1255" s="1" t="s">
        <v>40</v>
      </c>
      <c r="AB1255" s="1" t="s">
        <v>2005</v>
      </c>
      <c r="AC1255" s="1"/>
    </row>
    <row r="1256">
      <c r="A1256" s="1" t="str">
        <f>"0007CC"</f>
        <v>0007CC</v>
      </c>
      <c r="B1256" s="1" t="s">
        <v>920</v>
      </c>
      <c r="C1256" s="1" t="s">
        <v>921</v>
      </c>
      <c r="D1256" s="1" t="str">
        <f>"8028855458"</f>
        <v>8028855458</v>
      </c>
      <c r="E1256" s="1">
        <v>618.0</v>
      </c>
      <c r="F1256" s="1" t="s">
        <v>44</v>
      </c>
      <c r="G1256" s="1" t="s">
        <v>5070</v>
      </c>
      <c r="H1256" s="1">
        <v>1.0</v>
      </c>
      <c r="I1256" s="1"/>
      <c r="J1256" s="1"/>
      <c r="K1256" s="1"/>
      <c r="L1256" s="1"/>
      <c r="M1256" s="1" t="s">
        <v>72</v>
      </c>
      <c r="N1256" s="1" t="s">
        <v>34</v>
      </c>
      <c r="O1256" s="1" t="s">
        <v>642</v>
      </c>
      <c r="P1256" s="1"/>
      <c r="Q1256" s="3">
        <v>36892.0</v>
      </c>
      <c r="R1256" s="1"/>
      <c r="S1256" s="3">
        <v>32357.0</v>
      </c>
      <c r="T1256" s="1" t="s">
        <v>37</v>
      </c>
      <c r="U1256" s="1"/>
      <c r="V1256" s="1" t="s">
        <v>38</v>
      </c>
      <c r="W1256" s="1"/>
      <c r="X1256" s="1"/>
      <c r="Y1256" s="1" t="s">
        <v>49</v>
      </c>
      <c r="Z1256" s="1"/>
      <c r="AA1256" s="1" t="s">
        <v>40</v>
      </c>
      <c r="AB1256" s="1" t="s">
        <v>643</v>
      </c>
      <c r="AC1256" s="1"/>
    </row>
    <row r="1257">
      <c r="A1257" s="1" t="str">
        <f>"0007CB"</f>
        <v>0007CB</v>
      </c>
      <c r="B1257" s="1" t="s">
        <v>5071</v>
      </c>
      <c r="C1257" s="1" t="s">
        <v>5072</v>
      </c>
      <c r="D1257" s="1" t="str">
        <f>"8027548589"</f>
        <v>8027548589</v>
      </c>
      <c r="E1257" s="1">
        <v>4010.0</v>
      </c>
      <c r="F1257" s="1" t="s">
        <v>44</v>
      </c>
      <c r="G1257" s="1" t="s">
        <v>5073</v>
      </c>
      <c r="H1257" s="1">
        <v>0.0</v>
      </c>
      <c r="I1257" s="1"/>
      <c r="J1257" s="1"/>
      <c r="K1257" s="1"/>
      <c r="L1257" s="1"/>
      <c r="M1257" s="1" t="s">
        <v>72</v>
      </c>
      <c r="N1257" s="1" t="s">
        <v>94</v>
      </c>
      <c r="O1257" s="1" t="s">
        <v>5074</v>
      </c>
      <c r="P1257" s="1"/>
      <c r="Q1257" s="3">
        <v>36892.0</v>
      </c>
      <c r="R1257" s="1"/>
      <c r="S1257" s="1"/>
      <c r="T1257" s="1" t="s">
        <v>37</v>
      </c>
      <c r="U1257" s="1"/>
      <c r="V1257" s="1" t="s">
        <v>38</v>
      </c>
      <c r="W1257" s="1">
        <v>44.795357</v>
      </c>
      <c r="X1257" s="1">
        <v>-72.1079479</v>
      </c>
      <c r="Y1257" s="1" t="s">
        <v>5075</v>
      </c>
      <c r="Z1257" s="1"/>
      <c r="AA1257" s="1" t="s">
        <v>40</v>
      </c>
      <c r="AB1257" s="1" t="s">
        <v>5076</v>
      </c>
      <c r="AC1257" s="1">
        <v>5860.0</v>
      </c>
    </row>
    <row r="1258">
      <c r="A1258" s="1" t="str">
        <f>"0007CA"</f>
        <v>0007CA</v>
      </c>
      <c r="B1258" s="1" t="s">
        <v>5077</v>
      </c>
      <c r="C1258" s="1" t="s">
        <v>5078</v>
      </c>
      <c r="D1258" s="1"/>
      <c r="E1258" s="1">
        <v>616.0</v>
      </c>
      <c r="F1258" s="1" t="s">
        <v>44</v>
      </c>
      <c r="G1258" s="1" t="s">
        <v>5079</v>
      </c>
      <c r="H1258" s="1"/>
      <c r="I1258" s="1"/>
      <c r="J1258" s="1"/>
      <c r="K1258" s="1"/>
      <c r="L1258" s="1"/>
      <c r="M1258" s="1" t="s">
        <v>5080</v>
      </c>
      <c r="N1258" s="1" t="s">
        <v>34</v>
      </c>
      <c r="O1258" s="1" t="s">
        <v>642</v>
      </c>
      <c r="P1258" s="1"/>
      <c r="Q1258" s="3">
        <v>36892.0</v>
      </c>
      <c r="R1258" s="1"/>
      <c r="S1258" s="1"/>
      <c r="T1258" s="1" t="s">
        <v>37</v>
      </c>
      <c r="U1258" s="1"/>
      <c r="V1258" s="1" t="s">
        <v>38</v>
      </c>
      <c r="W1258" s="1"/>
      <c r="X1258" s="1"/>
      <c r="Y1258" s="1" t="s">
        <v>49</v>
      </c>
      <c r="Z1258" s="1"/>
      <c r="AA1258" s="1" t="s">
        <v>40</v>
      </c>
      <c r="AB1258" s="1" t="s">
        <v>643</v>
      </c>
      <c r="AC1258" s="1"/>
    </row>
    <row r="1259">
      <c r="A1259" s="1" t="str">
        <f>"0007C9"</f>
        <v>0007C9</v>
      </c>
      <c r="B1259" s="1" t="s">
        <v>5081</v>
      </c>
      <c r="C1259" s="1" t="s">
        <v>5082</v>
      </c>
      <c r="D1259" s="1" t="str">
        <f>"8024682353"</f>
        <v>8024682353</v>
      </c>
      <c r="E1259" s="1">
        <v>4070.0</v>
      </c>
      <c r="F1259" s="1" t="s">
        <v>44</v>
      </c>
      <c r="G1259" s="1" t="s">
        <v>5083</v>
      </c>
      <c r="H1259" s="1">
        <v>10.0</v>
      </c>
      <c r="I1259" s="1"/>
      <c r="J1259" s="1"/>
      <c r="K1259" s="1"/>
      <c r="L1259" s="1"/>
      <c r="M1259" s="1" t="s">
        <v>33</v>
      </c>
      <c r="N1259" s="1" t="s">
        <v>78</v>
      </c>
      <c r="O1259" s="1" t="s">
        <v>855</v>
      </c>
      <c r="P1259" s="1" t="s">
        <v>36</v>
      </c>
      <c r="Q1259" s="3">
        <v>36892.0</v>
      </c>
      <c r="R1259" s="1"/>
      <c r="S1259" s="3">
        <v>40758.0</v>
      </c>
      <c r="T1259" s="1" t="s">
        <v>37</v>
      </c>
      <c r="U1259" s="1"/>
      <c r="V1259" s="1" t="s">
        <v>38</v>
      </c>
      <c r="W1259" s="1"/>
      <c r="X1259" s="1"/>
      <c r="Y1259" s="1" t="s">
        <v>49</v>
      </c>
      <c r="Z1259" s="1"/>
      <c r="AA1259" s="1" t="s">
        <v>40</v>
      </c>
      <c r="AB1259" s="1" t="s">
        <v>857</v>
      </c>
      <c r="AC1259" s="1"/>
    </row>
    <row r="1260">
      <c r="A1260" s="1" t="str">
        <f>"0007C8"</f>
        <v>0007C8</v>
      </c>
      <c r="B1260" s="1" t="s">
        <v>5084</v>
      </c>
      <c r="C1260" s="1" t="s">
        <v>5085</v>
      </c>
      <c r="D1260" s="1"/>
      <c r="E1260" s="1">
        <v>611.0</v>
      </c>
      <c r="F1260" s="1" t="s">
        <v>44</v>
      </c>
      <c r="G1260" s="1" t="s">
        <v>5086</v>
      </c>
      <c r="H1260" s="1">
        <v>5.0</v>
      </c>
      <c r="I1260" s="1"/>
      <c r="J1260" s="1"/>
      <c r="K1260" s="1"/>
      <c r="L1260" s="1"/>
      <c r="M1260" s="1" t="s">
        <v>72</v>
      </c>
      <c r="N1260" s="1" t="s">
        <v>34</v>
      </c>
      <c r="O1260" s="1" t="s">
        <v>642</v>
      </c>
      <c r="P1260" s="1"/>
      <c r="Q1260" s="3">
        <v>36892.0</v>
      </c>
      <c r="R1260" s="1"/>
      <c r="S1260" s="3">
        <v>32351.0</v>
      </c>
      <c r="T1260" s="1" t="s">
        <v>37</v>
      </c>
      <c r="U1260" s="1"/>
      <c r="V1260" s="1" t="s">
        <v>38</v>
      </c>
      <c r="W1260" s="1"/>
      <c r="X1260" s="1"/>
      <c r="Y1260" s="1" t="s">
        <v>49</v>
      </c>
      <c r="Z1260" s="1"/>
      <c r="AA1260" s="1" t="s">
        <v>40</v>
      </c>
      <c r="AB1260" s="1" t="s">
        <v>643</v>
      </c>
      <c r="AC1260" s="1"/>
    </row>
    <row r="1261">
      <c r="A1261" s="1" t="str">
        <f>"00078F"</f>
        <v>00078F</v>
      </c>
      <c r="B1261" s="1" t="s">
        <v>5087</v>
      </c>
      <c r="C1261" s="1" t="s">
        <v>5088</v>
      </c>
      <c r="D1261" s="1" t="str">
        <f>"8028993941"</f>
        <v>8028993941</v>
      </c>
      <c r="E1261" s="1">
        <v>3098.0</v>
      </c>
      <c r="F1261" s="1" t="s">
        <v>117</v>
      </c>
      <c r="G1261" s="1" t="s">
        <v>5089</v>
      </c>
      <c r="H1261" s="1">
        <v>5.0</v>
      </c>
      <c r="I1261" s="2">
        <v>6.0</v>
      </c>
      <c r="J1261" s="2">
        <v>5.0</v>
      </c>
      <c r="K1261" s="2" t="s">
        <v>119</v>
      </c>
      <c r="L1261" s="1"/>
      <c r="M1261" s="1" t="s">
        <v>5090</v>
      </c>
      <c r="N1261" s="1" t="s">
        <v>57</v>
      </c>
      <c r="O1261" s="1" t="s">
        <v>745</v>
      </c>
      <c r="P1261" s="1" t="s">
        <v>5091</v>
      </c>
      <c r="Q1261" s="3">
        <v>36892.0</v>
      </c>
      <c r="R1261" s="1"/>
      <c r="S1261" s="3">
        <v>38616.0</v>
      </c>
      <c r="T1261" s="1" t="s">
        <v>37</v>
      </c>
      <c r="U1261" s="1"/>
      <c r="V1261" s="1" t="s">
        <v>38</v>
      </c>
      <c r="W1261" s="1">
        <v>44.484458570653</v>
      </c>
      <c r="X1261" s="1">
        <v>-72.9586654901504</v>
      </c>
      <c r="Y1261" s="1" t="s">
        <v>5092</v>
      </c>
      <c r="Z1261" s="1"/>
      <c r="AA1261" s="1" t="s">
        <v>40</v>
      </c>
      <c r="AB1261" s="1" t="s">
        <v>746</v>
      </c>
      <c r="AC1261" s="1">
        <v>5465.0</v>
      </c>
    </row>
    <row r="1262">
      <c r="A1262" s="1" t="str">
        <f>"0007V6"</f>
        <v>0007V6</v>
      </c>
      <c r="B1262" s="1" t="s">
        <v>5093</v>
      </c>
      <c r="C1262" s="1" t="s">
        <v>5094</v>
      </c>
      <c r="D1262" s="1" t="str">
        <f>"8024791794"</f>
        <v>8024791794</v>
      </c>
      <c r="E1262" s="1">
        <v>2583.0</v>
      </c>
      <c r="F1262" s="1" t="s">
        <v>44</v>
      </c>
      <c r="G1262" s="1" t="s">
        <v>5095</v>
      </c>
      <c r="H1262" s="1"/>
      <c r="I1262" s="1"/>
      <c r="J1262" s="1"/>
      <c r="K1262" s="1"/>
      <c r="L1262" s="1"/>
      <c r="M1262" s="1" t="s">
        <v>5096</v>
      </c>
      <c r="N1262" s="1" t="s">
        <v>142</v>
      </c>
      <c r="O1262" s="1" t="s">
        <v>2376</v>
      </c>
      <c r="P1262" s="1"/>
      <c r="Q1262" s="3">
        <v>36892.0</v>
      </c>
      <c r="R1262" s="1"/>
      <c r="S1262" s="1"/>
      <c r="T1262" s="1" t="s">
        <v>37</v>
      </c>
      <c r="U1262" s="1"/>
      <c r="V1262" s="1" t="s">
        <v>38</v>
      </c>
      <c r="W1262" s="1"/>
      <c r="X1262" s="1"/>
      <c r="Y1262" s="1" t="s">
        <v>49</v>
      </c>
      <c r="Z1262" s="1"/>
      <c r="AA1262" s="1" t="s">
        <v>40</v>
      </c>
      <c r="AB1262" s="1" t="s">
        <v>142</v>
      </c>
      <c r="AC1262" s="1"/>
    </row>
    <row r="1263">
      <c r="A1263" s="1" t="str">
        <f>"0007C5"</f>
        <v>0007C5</v>
      </c>
      <c r="B1263" s="1" t="s">
        <v>5097</v>
      </c>
      <c r="C1263" s="1" t="s">
        <v>5098</v>
      </c>
      <c r="D1263" s="1" t="str">
        <f>"8022635591"</f>
        <v>8022635591</v>
      </c>
      <c r="E1263" s="1">
        <v>608.0</v>
      </c>
      <c r="F1263" s="1" t="s">
        <v>44</v>
      </c>
      <c r="G1263" s="1" t="s">
        <v>5099</v>
      </c>
      <c r="H1263" s="1">
        <v>1.0</v>
      </c>
      <c r="I1263" s="1"/>
      <c r="J1263" s="1"/>
      <c r="K1263" s="1"/>
      <c r="L1263" s="1"/>
      <c r="M1263" s="1" t="s">
        <v>5100</v>
      </c>
      <c r="N1263" s="1" t="s">
        <v>34</v>
      </c>
      <c r="O1263" s="1" t="s">
        <v>1085</v>
      </c>
      <c r="P1263" s="1"/>
      <c r="Q1263" s="3">
        <v>36892.0</v>
      </c>
      <c r="R1263" s="1"/>
      <c r="S1263" s="3">
        <v>39287.0</v>
      </c>
      <c r="T1263" s="1" t="s">
        <v>37</v>
      </c>
      <c r="U1263" s="1"/>
      <c r="V1263" s="1" t="s">
        <v>38</v>
      </c>
      <c r="W1263" s="1">
        <v>43.3799747034607</v>
      </c>
      <c r="X1263" s="1">
        <v>-72.4796605110168</v>
      </c>
      <c r="Y1263" s="1" t="s">
        <v>5101</v>
      </c>
      <c r="Z1263" s="1"/>
      <c r="AA1263" s="1" t="s">
        <v>40</v>
      </c>
      <c r="AB1263" s="1" t="s">
        <v>1086</v>
      </c>
      <c r="AC1263" s="1">
        <v>5151.0</v>
      </c>
    </row>
    <row r="1264">
      <c r="A1264" s="1" t="str">
        <f>"00085V"</f>
        <v>00085V</v>
      </c>
      <c r="B1264" s="1" t="s">
        <v>2495</v>
      </c>
      <c r="C1264" s="1" t="s">
        <v>2496</v>
      </c>
      <c r="D1264" s="1" t="str">
        <f>"8024858266"</f>
        <v>8024858266</v>
      </c>
      <c r="E1264" s="1">
        <v>1699.0</v>
      </c>
      <c r="F1264" s="1" t="s">
        <v>44</v>
      </c>
      <c r="G1264" s="1" t="s">
        <v>5102</v>
      </c>
      <c r="H1264" s="1">
        <v>1.0</v>
      </c>
      <c r="I1264" s="1"/>
      <c r="J1264" s="1"/>
      <c r="K1264" s="1"/>
      <c r="L1264" s="1"/>
      <c r="M1264" s="1" t="s">
        <v>5103</v>
      </c>
      <c r="N1264" s="1" t="s">
        <v>142</v>
      </c>
      <c r="O1264" s="1" t="s">
        <v>353</v>
      </c>
      <c r="P1264" s="1"/>
      <c r="Q1264" s="3">
        <v>36892.0</v>
      </c>
      <c r="R1264" s="1"/>
      <c r="S1264" s="3">
        <v>37348.0</v>
      </c>
      <c r="T1264" s="1" t="s">
        <v>37</v>
      </c>
      <c r="U1264" s="1"/>
      <c r="V1264" s="1" t="s">
        <v>38</v>
      </c>
      <c r="W1264" s="1"/>
      <c r="X1264" s="1"/>
      <c r="Y1264" s="1" t="s">
        <v>49</v>
      </c>
      <c r="Z1264" s="1"/>
      <c r="AA1264" s="1" t="s">
        <v>40</v>
      </c>
      <c r="AB1264" s="1" t="s">
        <v>355</v>
      </c>
      <c r="AC1264" s="1"/>
    </row>
    <row r="1265">
      <c r="A1265" s="1" t="str">
        <f>"0007C2"</f>
        <v>0007C2</v>
      </c>
      <c r="B1265" s="1" t="s">
        <v>5104</v>
      </c>
      <c r="C1265" s="1" t="s">
        <v>5105</v>
      </c>
      <c r="D1265" s="1" t="str">
        <f>"8022351515"</f>
        <v>8022351515</v>
      </c>
      <c r="E1265" s="1">
        <v>3952.0</v>
      </c>
      <c r="F1265" s="1" t="s">
        <v>44</v>
      </c>
      <c r="G1265" s="1" t="s">
        <v>5106</v>
      </c>
      <c r="H1265" s="1">
        <v>1.0</v>
      </c>
      <c r="I1265" s="1"/>
      <c r="J1265" s="1"/>
      <c r="K1265" s="1"/>
      <c r="L1265" s="1"/>
      <c r="M1265" s="1" t="s">
        <v>72</v>
      </c>
      <c r="N1265" s="1" t="s">
        <v>78</v>
      </c>
      <c r="O1265" s="1" t="s">
        <v>420</v>
      </c>
      <c r="P1265" s="1"/>
      <c r="Q1265" s="3">
        <v>36892.0</v>
      </c>
      <c r="R1265" s="1"/>
      <c r="S1265" s="3">
        <v>39631.0</v>
      </c>
      <c r="T1265" s="1" t="s">
        <v>37</v>
      </c>
      <c r="U1265" s="1"/>
      <c r="V1265" s="1" t="s">
        <v>38</v>
      </c>
      <c r="W1265" s="1"/>
      <c r="X1265" s="1"/>
      <c r="Y1265" s="1" t="s">
        <v>49</v>
      </c>
      <c r="Z1265" s="1"/>
      <c r="AA1265" s="1" t="s">
        <v>40</v>
      </c>
      <c r="AB1265" s="1" t="s">
        <v>421</v>
      </c>
      <c r="AC1265" s="1"/>
    </row>
    <row r="1266">
      <c r="A1266" s="1" t="str">
        <f>"0007C0"</f>
        <v>0007C0</v>
      </c>
      <c r="B1266" s="1" t="s">
        <v>1738</v>
      </c>
      <c r="C1266" s="1" t="s">
        <v>1739</v>
      </c>
      <c r="D1266" s="1" t="str">
        <f>"8023657532"</f>
        <v>8023657532</v>
      </c>
      <c r="E1266" s="1">
        <v>2425.0</v>
      </c>
      <c r="F1266" s="1" t="s">
        <v>44</v>
      </c>
      <c r="G1266" s="1" t="s">
        <v>5107</v>
      </c>
      <c r="H1266" s="1">
        <v>3.0</v>
      </c>
      <c r="I1266" s="1"/>
      <c r="J1266" s="1"/>
      <c r="K1266" s="1"/>
      <c r="L1266" s="1"/>
      <c r="M1266" s="1" t="s">
        <v>5108</v>
      </c>
      <c r="N1266" s="1" t="s">
        <v>66</v>
      </c>
      <c r="O1266" s="1" t="s">
        <v>67</v>
      </c>
      <c r="P1266" s="1"/>
      <c r="Q1266" s="3">
        <v>36892.0</v>
      </c>
      <c r="R1266" s="1"/>
      <c r="S1266" s="3">
        <v>34905.0</v>
      </c>
      <c r="T1266" s="1" t="s">
        <v>37</v>
      </c>
      <c r="U1266" s="1"/>
      <c r="V1266" s="1" t="s">
        <v>38</v>
      </c>
      <c r="W1266" s="1"/>
      <c r="X1266" s="1"/>
      <c r="Y1266" s="1" t="s">
        <v>49</v>
      </c>
      <c r="Z1266" s="1"/>
      <c r="AA1266" s="1" t="s">
        <v>40</v>
      </c>
      <c r="AB1266" s="1" t="s">
        <v>68</v>
      </c>
      <c r="AC1266" s="1"/>
    </row>
    <row r="1267">
      <c r="A1267" s="1" t="str">
        <f>"0007BZ"</f>
        <v>0007BZ</v>
      </c>
      <c r="B1267" s="1" t="s">
        <v>5109</v>
      </c>
      <c r="C1267" s="1" t="s">
        <v>5110</v>
      </c>
      <c r="D1267" s="1"/>
      <c r="E1267" s="1">
        <v>2426.0</v>
      </c>
      <c r="F1267" s="1" t="s">
        <v>44</v>
      </c>
      <c r="G1267" s="1" t="s">
        <v>5111</v>
      </c>
      <c r="H1267" s="1"/>
      <c r="I1267" s="1"/>
      <c r="J1267" s="1"/>
      <c r="K1267" s="1"/>
      <c r="L1267" s="1"/>
      <c r="M1267" s="1" t="s">
        <v>5112</v>
      </c>
      <c r="N1267" s="1" t="s">
        <v>66</v>
      </c>
      <c r="O1267" s="1" t="s">
        <v>389</v>
      </c>
      <c r="P1267" s="1"/>
      <c r="Q1267" s="3">
        <v>36892.0</v>
      </c>
      <c r="R1267" s="1"/>
      <c r="S1267" s="1"/>
      <c r="T1267" s="1" t="s">
        <v>37</v>
      </c>
      <c r="U1267" s="1"/>
      <c r="V1267" s="1" t="s">
        <v>38</v>
      </c>
      <c r="W1267" s="1"/>
      <c r="X1267" s="1"/>
      <c r="Y1267" s="1" t="s">
        <v>49</v>
      </c>
      <c r="Z1267" s="1"/>
      <c r="AA1267" s="1" t="s">
        <v>40</v>
      </c>
      <c r="AB1267" s="1" t="s">
        <v>390</v>
      </c>
      <c r="AC1267" s="1"/>
    </row>
    <row r="1268">
      <c r="A1268" s="1" t="str">
        <f>"0007BW"</f>
        <v>0007BW</v>
      </c>
      <c r="B1268" s="1" t="s">
        <v>5113</v>
      </c>
      <c r="C1268" s="1" t="s">
        <v>5114</v>
      </c>
      <c r="D1268" s="1" t="str">
        <f>"8022635245"</f>
        <v>8022635245</v>
      </c>
      <c r="E1268" s="1">
        <v>595.0</v>
      </c>
      <c r="F1268" s="1" t="s">
        <v>44</v>
      </c>
      <c r="G1268" s="1" t="s">
        <v>5115</v>
      </c>
      <c r="H1268" s="1">
        <v>7.0</v>
      </c>
      <c r="I1268" s="1"/>
      <c r="J1268" s="1"/>
      <c r="K1268" s="1"/>
      <c r="L1268" s="1"/>
      <c r="M1268" s="1" t="s">
        <v>72</v>
      </c>
      <c r="N1268" s="1" t="s">
        <v>34</v>
      </c>
      <c r="O1268" s="1" t="s">
        <v>1085</v>
      </c>
      <c r="P1268" s="1"/>
      <c r="Q1268" s="3">
        <v>36892.0</v>
      </c>
      <c r="R1268" s="1"/>
      <c r="S1268" s="3">
        <v>36007.0</v>
      </c>
      <c r="T1268" s="1" t="s">
        <v>37</v>
      </c>
      <c r="U1268" s="1"/>
      <c r="V1268" s="1" t="s">
        <v>38</v>
      </c>
      <c r="W1268" s="1"/>
      <c r="X1268" s="1"/>
      <c r="Y1268" s="1" t="s">
        <v>49</v>
      </c>
      <c r="Z1268" s="1"/>
      <c r="AA1268" s="1" t="s">
        <v>40</v>
      </c>
      <c r="AB1268" s="1" t="s">
        <v>1086</v>
      </c>
      <c r="AC1268" s="1"/>
    </row>
    <row r="1269">
      <c r="A1269" s="1" t="str">
        <f>"0008C8"</f>
        <v>0008C8</v>
      </c>
      <c r="B1269" s="1" t="s">
        <v>5116</v>
      </c>
      <c r="C1269" s="1" t="s">
        <v>5117</v>
      </c>
      <c r="D1269" s="1" t="str">
        <f>"8028883448"</f>
        <v>8028883448</v>
      </c>
      <c r="E1269" s="1">
        <v>3772.0</v>
      </c>
      <c r="F1269" s="1" t="s">
        <v>44</v>
      </c>
      <c r="G1269" s="1" t="s">
        <v>5118</v>
      </c>
      <c r="H1269" s="1"/>
      <c r="I1269" s="1"/>
      <c r="J1269" s="1"/>
      <c r="K1269" s="1"/>
      <c r="L1269" s="1"/>
      <c r="M1269" s="1" t="s">
        <v>5119</v>
      </c>
      <c r="N1269" s="1" t="s">
        <v>213</v>
      </c>
      <c r="O1269" s="1" t="s">
        <v>2156</v>
      </c>
      <c r="P1269" s="1"/>
      <c r="Q1269" s="3">
        <v>36892.0</v>
      </c>
      <c r="R1269" s="1"/>
      <c r="S1269" s="1"/>
      <c r="T1269" s="1" t="s">
        <v>37</v>
      </c>
      <c r="U1269" s="1"/>
      <c r="V1269" s="1" t="s">
        <v>38</v>
      </c>
      <c r="W1269" s="1"/>
      <c r="X1269" s="1"/>
      <c r="Y1269" s="1" t="s">
        <v>49</v>
      </c>
      <c r="Z1269" s="1"/>
      <c r="AA1269" s="1" t="s">
        <v>40</v>
      </c>
      <c r="AB1269" s="1" t="s">
        <v>2157</v>
      </c>
      <c r="AC1269" s="1"/>
    </row>
    <row r="1270">
      <c r="A1270" s="1" t="str">
        <f>"0008VJ"</f>
        <v>0008VJ</v>
      </c>
      <c r="B1270" s="1" t="s">
        <v>5120</v>
      </c>
      <c r="C1270" s="1" t="s">
        <v>5121</v>
      </c>
      <c r="D1270" s="1" t="str">
        <f>"8028993111"</f>
        <v>8028993111</v>
      </c>
      <c r="E1270" s="1">
        <v>3842.0</v>
      </c>
      <c r="F1270" s="1" t="s">
        <v>117</v>
      </c>
      <c r="G1270" s="1" t="s">
        <v>5122</v>
      </c>
      <c r="H1270" s="1">
        <v>1.0</v>
      </c>
      <c r="I1270" s="2">
        <v>3.0</v>
      </c>
      <c r="J1270" s="2">
        <v>1.0</v>
      </c>
      <c r="K1270" s="2" t="s">
        <v>829</v>
      </c>
      <c r="L1270" s="2" t="s">
        <v>5123</v>
      </c>
      <c r="M1270" s="1" t="s">
        <v>4676</v>
      </c>
      <c r="N1270" s="1" t="s">
        <v>57</v>
      </c>
      <c r="O1270" s="1" t="s">
        <v>745</v>
      </c>
      <c r="P1270" s="1" t="s">
        <v>5124</v>
      </c>
      <c r="Q1270" s="3">
        <v>36892.0</v>
      </c>
      <c r="R1270" s="1"/>
      <c r="S1270" s="3">
        <v>39695.0</v>
      </c>
      <c r="T1270" s="1" t="s">
        <v>37</v>
      </c>
      <c r="U1270" s="1"/>
      <c r="V1270" s="1" t="s">
        <v>38</v>
      </c>
      <c r="W1270" s="1">
        <v>44.464457</v>
      </c>
      <c r="X1270" s="1">
        <v>-72.9781578999999</v>
      </c>
      <c r="Y1270" s="1" t="s">
        <v>5125</v>
      </c>
      <c r="Z1270" s="1"/>
      <c r="AA1270" s="1" t="s">
        <v>40</v>
      </c>
      <c r="AB1270" s="1" t="s">
        <v>746</v>
      </c>
      <c r="AC1270" s="1">
        <v>5465.0</v>
      </c>
    </row>
    <row r="1271">
      <c r="A1271" s="1" t="str">
        <f>"000848"</f>
        <v>000848</v>
      </c>
      <c r="B1271" s="1" t="s">
        <v>5126</v>
      </c>
      <c r="C1271" s="1" t="s">
        <v>5127</v>
      </c>
      <c r="D1271" s="1"/>
      <c r="E1271" s="1">
        <v>2543.0</v>
      </c>
      <c r="F1271" s="1" t="s">
        <v>44</v>
      </c>
      <c r="G1271" s="1" t="s">
        <v>5128</v>
      </c>
      <c r="H1271" s="1">
        <v>2.0</v>
      </c>
      <c r="I1271" s="1"/>
      <c r="J1271" s="1"/>
      <c r="K1271" s="1"/>
      <c r="L1271" s="1"/>
      <c r="M1271" s="1" t="s">
        <v>5129</v>
      </c>
      <c r="N1271" s="1" t="s">
        <v>135</v>
      </c>
      <c r="O1271" s="1" t="s">
        <v>775</v>
      </c>
      <c r="P1271" s="1"/>
      <c r="Q1271" s="3">
        <v>36892.0</v>
      </c>
      <c r="R1271" s="1"/>
      <c r="S1271" s="3">
        <v>33120.0</v>
      </c>
      <c r="T1271" s="1" t="s">
        <v>37</v>
      </c>
      <c r="U1271" s="1"/>
      <c r="V1271" s="1" t="s">
        <v>38</v>
      </c>
      <c r="W1271" s="1"/>
      <c r="X1271" s="1"/>
      <c r="Y1271" s="1" t="s">
        <v>49</v>
      </c>
      <c r="Z1271" s="1"/>
      <c r="AA1271" s="1" t="s">
        <v>40</v>
      </c>
      <c r="AB1271" s="1" t="s">
        <v>776</v>
      </c>
      <c r="AC1271" s="1"/>
    </row>
    <row r="1272">
      <c r="A1272" s="1" t="str">
        <f>"0007BM"</f>
        <v>0007BM</v>
      </c>
      <c r="B1272" s="1" t="s">
        <v>5130</v>
      </c>
      <c r="C1272" s="1" t="s">
        <v>5131</v>
      </c>
      <c r="D1272" s="1"/>
      <c r="E1272" s="1">
        <v>586.0</v>
      </c>
      <c r="F1272" s="1" t="s">
        <v>44</v>
      </c>
      <c r="G1272" s="1" t="s">
        <v>5132</v>
      </c>
      <c r="H1272" s="1"/>
      <c r="I1272" s="1"/>
      <c r="J1272" s="1"/>
      <c r="K1272" s="1"/>
      <c r="L1272" s="1"/>
      <c r="M1272" s="1" t="s">
        <v>5133</v>
      </c>
      <c r="N1272" s="1" t="s">
        <v>34</v>
      </c>
      <c r="O1272" s="1" t="s">
        <v>463</v>
      </c>
      <c r="P1272" s="1"/>
      <c r="Q1272" s="3">
        <v>36892.0</v>
      </c>
      <c r="R1272" s="1"/>
      <c r="S1272" s="1"/>
      <c r="T1272" s="1" t="s">
        <v>37</v>
      </c>
      <c r="U1272" s="1"/>
      <c r="V1272" s="1" t="s">
        <v>38</v>
      </c>
      <c r="W1272" s="1"/>
      <c r="X1272" s="1"/>
      <c r="Y1272" s="1" t="s">
        <v>49</v>
      </c>
      <c r="Z1272" s="1"/>
      <c r="AA1272" s="1" t="s">
        <v>40</v>
      </c>
      <c r="AB1272" s="1" t="s">
        <v>466</v>
      </c>
      <c r="AC1272" s="1"/>
    </row>
    <row r="1273">
      <c r="A1273" s="1" t="str">
        <f>"00089A"</f>
        <v>00089A</v>
      </c>
      <c r="B1273" s="1" t="s">
        <v>5134</v>
      </c>
      <c r="C1273" s="1" t="s">
        <v>5135</v>
      </c>
      <c r="D1273" s="1" t="str">
        <f>"8022653582"</f>
        <v>8022653582</v>
      </c>
      <c r="E1273" s="1">
        <v>3598.0</v>
      </c>
      <c r="F1273" s="1" t="s">
        <v>117</v>
      </c>
      <c r="G1273" s="1" t="s">
        <v>5136</v>
      </c>
      <c r="H1273" s="1">
        <v>5.0</v>
      </c>
      <c r="I1273" s="2">
        <v>2.0</v>
      </c>
      <c r="J1273" s="2">
        <v>2.0</v>
      </c>
      <c r="K1273" s="2" t="s">
        <v>829</v>
      </c>
      <c r="L1273" s="2" t="s">
        <v>5137</v>
      </c>
      <c r="M1273" s="1" t="s">
        <v>5138</v>
      </c>
      <c r="N1273" s="1" t="s">
        <v>78</v>
      </c>
      <c r="O1273" s="1" t="s">
        <v>855</v>
      </c>
      <c r="P1273" s="1" t="s">
        <v>5139</v>
      </c>
      <c r="Q1273" s="3">
        <v>36892.0</v>
      </c>
      <c r="R1273" s="1"/>
      <c r="S1273" s="3">
        <v>40758.0</v>
      </c>
      <c r="T1273" s="1" t="s">
        <v>37</v>
      </c>
      <c r="U1273" s="1"/>
      <c r="V1273" s="1" t="s">
        <v>38</v>
      </c>
      <c r="W1273" s="1">
        <v>43.6093833440753</v>
      </c>
      <c r="X1273" s="1">
        <v>-73.2358154654502</v>
      </c>
      <c r="Y1273" s="1" t="s">
        <v>5140</v>
      </c>
      <c r="Z1273" s="1"/>
      <c r="AA1273" s="1" t="s">
        <v>40</v>
      </c>
      <c r="AB1273" s="1" t="s">
        <v>857</v>
      </c>
      <c r="AC1273" s="1">
        <v>5735.0</v>
      </c>
    </row>
    <row r="1274">
      <c r="A1274" s="1" t="str">
        <f>"0008AP"</f>
        <v>0008AP</v>
      </c>
      <c r="B1274" s="1" t="s">
        <v>5141</v>
      </c>
      <c r="C1274" s="1" t="s">
        <v>5142</v>
      </c>
      <c r="D1274" s="1" t="str">
        <f>"8024339897"</f>
        <v>8024339897</v>
      </c>
      <c r="E1274" s="1">
        <v>3868.0</v>
      </c>
      <c r="F1274" s="1" t="s">
        <v>117</v>
      </c>
      <c r="G1274" s="1" t="s">
        <v>5143</v>
      </c>
      <c r="H1274" s="1">
        <v>13.0</v>
      </c>
      <c r="I1274" s="1"/>
      <c r="J1274" s="1"/>
      <c r="K1274" s="1"/>
      <c r="L1274" s="1"/>
      <c r="M1274" s="1" t="s">
        <v>5144</v>
      </c>
      <c r="N1274" s="1" t="s">
        <v>142</v>
      </c>
      <c r="O1274" s="1" t="s">
        <v>2253</v>
      </c>
      <c r="P1274" s="1" t="s">
        <v>5145</v>
      </c>
      <c r="Q1274" s="3">
        <v>36892.0</v>
      </c>
      <c r="R1274" s="1"/>
      <c r="S1274" s="3">
        <v>42515.0</v>
      </c>
      <c r="T1274" s="1" t="s">
        <v>37</v>
      </c>
      <c r="U1274" s="1"/>
      <c r="V1274" s="1" t="s">
        <v>38</v>
      </c>
      <c r="W1274" s="1">
        <v>44.12052</v>
      </c>
      <c r="X1274" s="1">
        <v>-72.5533699999999</v>
      </c>
      <c r="Y1274" s="1" t="s">
        <v>5146</v>
      </c>
      <c r="Z1274" s="1"/>
      <c r="AA1274" s="1" t="s">
        <v>40</v>
      </c>
      <c r="AB1274" s="1" t="s">
        <v>2254</v>
      </c>
      <c r="AC1274" s="1">
        <v>5679.0</v>
      </c>
    </row>
    <row r="1275">
      <c r="A1275" s="1" t="str">
        <f>"0007BG"</f>
        <v>0007BG</v>
      </c>
      <c r="B1275" s="1" t="s">
        <v>5147</v>
      </c>
      <c r="C1275" s="1" t="s">
        <v>5148</v>
      </c>
      <c r="D1275" s="1"/>
      <c r="E1275" s="1">
        <v>579.0</v>
      </c>
      <c r="F1275" s="1" t="s">
        <v>44</v>
      </c>
      <c r="G1275" s="1" t="s">
        <v>5149</v>
      </c>
      <c r="H1275" s="1">
        <v>2.0</v>
      </c>
      <c r="I1275" s="1"/>
      <c r="J1275" s="1"/>
      <c r="K1275" s="1"/>
      <c r="L1275" s="1"/>
      <c r="M1275" s="1" t="s">
        <v>5150</v>
      </c>
      <c r="N1275" s="1" t="s">
        <v>34</v>
      </c>
      <c r="O1275" s="1" t="s">
        <v>463</v>
      </c>
      <c r="P1275" s="1"/>
      <c r="Q1275" s="3">
        <v>36892.0</v>
      </c>
      <c r="R1275" s="1"/>
      <c r="S1275" s="3">
        <v>32338.0</v>
      </c>
      <c r="T1275" s="1" t="s">
        <v>37</v>
      </c>
      <c r="U1275" s="1"/>
      <c r="V1275" s="1" t="s">
        <v>38</v>
      </c>
      <c r="W1275" s="1"/>
      <c r="X1275" s="1"/>
      <c r="Y1275" s="1" t="s">
        <v>49</v>
      </c>
      <c r="Z1275" s="1"/>
      <c r="AA1275" s="1" t="s">
        <v>40</v>
      </c>
      <c r="AB1275" s="1" t="s">
        <v>466</v>
      </c>
      <c r="AC1275" s="1"/>
    </row>
    <row r="1276">
      <c r="A1276" s="1" t="str">
        <f>"0007BX"</f>
        <v>0007BX</v>
      </c>
      <c r="B1276" s="1" t="s">
        <v>5151</v>
      </c>
      <c r="C1276" s="1" t="s">
        <v>5152</v>
      </c>
      <c r="D1276" s="1" t="str">
        <f>"8026722027"</f>
        <v>8026722027</v>
      </c>
      <c r="E1276" s="1">
        <v>3267.0</v>
      </c>
      <c r="F1276" s="1" t="s">
        <v>44</v>
      </c>
      <c r="G1276" s="1" t="s">
        <v>5153</v>
      </c>
      <c r="H1276" s="1">
        <v>0.0</v>
      </c>
      <c r="I1276" s="1"/>
      <c r="J1276" s="1"/>
      <c r="K1276" s="1"/>
      <c r="L1276" s="1"/>
      <c r="M1276" s="1" t="s">
        <v>72</v>
      </c>
      <c r="N1276" s="1" t="s">
        <v>34</v>
      </c>
      <c r="O1276" s="1" t="s">
        <v>958</v>
      </c>
      <c r="P1276" s="1"/>
      <c r="Q1276" s="3">
        <v>36892.0</v>
      </c>
      <c r="R1276" s="1"/>
      <c r="S1276" s="1"/>
      <c r="T1276" s="1" t="s">
        <v>37</v>
      </c>
      <c r="U1276" s="1"/>
      <c r="V1276" s="1" t="s">
        <v>38</v>
      </c>
      <c r="W1276" s="1">
        <v>43.5694313</v>
      </c>
      <c r="X1276" s="1">
        <v>-72.7567219999999</v>
      </c>
      <c r="Y1276" s="1" t="s">
        <v>5154</v>
      </c>
      <c r="Z1276" s="1"/>
      <c r="AA1276" s="1" t="s">
        <v>40</v>
      </c>
      <c r="AB1276" s="1" t="s">
        <v>959</v>
      </c>
      <c r="AC1276" s="1">
        <v>5056.0</v>
      </c>
    </row>
    <row r="1277">
      <c r="A1277" s="1" t="str">
        <f>"0007MA"</f>
        <v>0007MA</v>
      </c>
      <c r="B1277" s="1" t="s">
        <v>4071</v>
      </c>
      <c r="C1277" s="1" t="s">
        <v>4072</v>
      </c>
      <c r="D1277" s="1" t="str">
        <f>"8028772690"</f>
        <v>8028772690</v>
      </c>
      <c r="E1277" s="1">
        <v>941.0</v>
      </c>
      <c r="F1277" s="1" t="s">
        <v>117</v>
      </c>
      <c r="G1277" s="1" t="s">
        <v>5155</v>
      </c>
      <c r="H1277" s="1">
        <v>5.0</v>
      </c>
      <c r="I1277" s="2">
        <v>4.0</v>
      </c>
      <c r="J1277" s="2">
        <v>2.0</v>
      </c>
      <c r="K1277" s="2" t="s">
        <v>119</v>
      </c>
      <c r="L1277" s="1"/>
      <c r="M1277" s="1">
        <v>8.0</v>
      </c>
      <c r="N1277" s="1" t="s">
        <v>161</v>
      </c>
      <c r="O1277" s="1" t="s">
        <v>531</v>
      </c>
      <c r="P1277" s="1" t="s">
        <v>5156</v>
      </c>
      <c r="Q1277" s="3">
        <v>36892.0</v>
      </c>
      <c r="R1277" s="1"/>
      <c r="S1277" s="1"/>
      <c r="T1277" s="1" t="s">
        <v>37</v>
      </c>
      <c r="U1277" s="1"/>
      <c r="V1277" s="1" t="s">
        <v>38</v>
      </c>
      <c r="W1277" s="1">
        <v>43.75621</v>
      </c>
      <c r="X1277" s="1">
        <v>-73.30979</v>
      </c>
      <c r="Y1277" s="1" t="s">
        <v>49</v>
      </c>
      <c r="Z1277" s="1"/>
      <c r="AA1277" s="1" t="s">
        <v>40</v>
      </c>
      <c r="AB1277" s="1" t="s">
        <v>532</v>
      </c>
      <c r="AC1277" s="1">
        <v>5760.0</v>
      </c>
    </row>
    <row r="1278">
      <c r="A1278" s="1" t="str">
        <f>"000763"</f>
        <v>000763</v>
      </c>
      <c r="B1278" s="1" t="s">
        <v>5157</v>
      </c>
      <c r="C1278" s="1" t="s">
        <v>5158</v>
      </c>
      <c r="D1278" s="1" t="str">
        <f>"8027289899"</f>
        <v>8027289899</v>
      </c>
      <c r="E1278" s="1">
        <v>3771.0</v>
      </c>
      <c r="F1278" s="1" t="s">
        <v>117</v>
      </c>
      <c r="G1278" s="1" t="s">
        <v>5159</v>
      </c>
      <c r="H1278" s="1">
        <v>2.0</v>
      </c>
      <c r="I1278" s="2">
        <v>5.0</v>
      </c>
      <c r="J1278" s="2">
        <v>5.0</v>
      </c>
      <c r="K1278" s="2" t="s">
        <v>119</v>
      </c>
      <c r="L1278" s="1"/>
      <c r="M1278" s="1" t="s">
        <v>5160</v>
      </c>
      <c r="N1278" s="1" t="s">
        <v>142</v>
      </c>
      <c r="O1278" s="1" t="s">
        <v>359</v>
      </c>
      <c r="P1278" s="1" t="s">
        <v>5161</v>
      </c>
      <c r="Q1278" s="3">
        <v>36892.0</v>
      </c>
      <c r="R1278" s="1"/>
      <c r="S1278" s="3">
        <v>42943.0</v>
      </c>
      <c r="T1278" s="1" t="s">
        <v>37</v>
      </c>
      <c r="U1278" s="1"/>
      <c r="V1278" s="1" t="s">
        <v>38</v>
      </c>
      <c r="W1278" s="1">
        <v>43.977345</v>
      </c>
      <c r="X1278" s="1">
        <v>-72.6707079999999</v>
      </c>
      <c r="Y1278" s="1" t="s">
        <v>5162</v>
      </c>
      <c r="Z1278" s="1"/>
      <c r="AA1278" s="1" t="s">
        <v>40</v>
      </c>
      <c r="AB1278" s="1" t="s">
        <v>361</v>
      </c>
      <c r="AC1278" s="1">
        <v>5060.0</v>
      </c>
    </row>
    <row r="1279">
      <c r="A1279" s="1" t="str">
        <f>"0007HV"</f>
        <v>0007HV</v>
      </c>
      <c r="B1279" s="1" t="s">
        <v>5163</v>
      </c>
      <c r="C1279" s="1" t="s">
        <v>5164</v>
      </c>
      <c r="D1279" s="1"/>
      <c r="E1279" s="1">
        <v>794.0</v>
      </c>
      <c r="F1279" s="1" t="s">
        <v>44</v>
      </c>
      <c r="G1279" s="1" t="s">
        <v>5165</v>
      </c>
      <c r="H1279" s="1"/>
      <c r="I1279" s="1"/>
      <c r="J1279" s="1"/>
      <c r="K1279" s="1"/>
      <c r="L1279" s="1"/>
      <c r="M1279" s="1" t="s">
        <v>72</v>
      </c>
      <c r="N1279" s="1" t="s">
        <v>66</v>
      </c>
      <c r="O1279" s="1" t="s">
        <v>5166</v>
      </c>
      <c r="P1279" s="1"/>
      <c r="Q1279" s="3">
        <v>36892.0</v>
      </c>
      <c r="R1279" s="1"/>
      <c r="S1279" s="1"/>
      <c r="T1279" s="1" t="s">
        <v>37</v>
      </c>
      <c r="U1279" s="1"/>
      <c r="V1279" s="1" t="s">
        <v>38</v>
      </c>
      <c r="W1279" s="1"/>
      <c r="X1279" s="1"/>
      <c r="Y1279" s="1" t="s">
        <v>49</v>
      </c>
      <c r="Z1279" s="1"/>
      <c r="AA1279" s="1" t="s">
        <v>40</v>
      </c>
      <c r="AB1279" s="1" t="s">
        <v>5167</v>
      </c>
      <c r="AC1279" s="1"/>
    </row>
    <row r="1280">
      <c r="A1280" s="1" t="str">
        <f>"0007XC"</f>
        <v>0007XC</v>
      </c>
      <c r="B1280" s="1" t="s">
        <v>3966</v>
      </c>
      <c r="C1280" s="1" t="s">
        <v>3967</v>
      </c>
      <c r="D1280" s="1" t="str">
        <f>"8028776766"</f>
        <v>8028776766</v>
      </c>
      <c r="E1280" s="1">
        <v>1277.0</v>
      </c>
      <c r="F1280" s="1" t="s">
        <v>44</v>
      </c>
      <c r="G1280" s="1" t="s">
        <v>5168</v>
      </c>
      <c r="H1280" s="1">
        <v>5.0</v>
      </c>
      <c r="I1280" s="1"/>
      <c r="J1280" s="1"/>
      <c r="K1280" s="1"/>
      <c r="L1280" s="1"/>
      <c r="M1280" s="1" t="s">
        <v>5169</v>
      </c>
      <c r="N1280" s="1" t="s">
        <v>161</v>
      </c>
      <c r="O1280" s="1" t="s">
        <v>769</v>
      </c>
      <c r="P1280" s="1"/>
      <c r="Q1280" s="3">
        <v>36892.0</v>
      </c>
      <c r="R1280" s="1"/>
      <c r="S1280" s="3">
        <v>38883.0</v>
      </c>
      <c r="T1280" s="1" t="s">
        <v>37</v>
      </c>
      <c r="U1280" s="1"/>
      <c r="V1280" s="1" t="s">
        <v>38</v>
      </c>
      <c r="W1280" s="1"/>
      <c r="X1280" s="1"/>
      <c r="Y1280" s="1" t="s">
        <v>49</v>
      </c>
      <c r="Z1280" s="1"/>
      <c r="AA1280" s="1" t="s">
        <v>40</v>
      </c>
      <c r="AB1280" s="1" t="s">
        <v>770</v>
      </c>
      <c r="AC1280" s="1"/>
    </row>
    <row r="1281">
      <c r="A1281" s="1" t="str">
        <f>"0007BA"</f>
        <v>0007BA</v>
      </c>
      <c r="B1281" s="1" t="s">
        <v>5170</v>
      </c>
      <c r="C1281" s="1" t="s">
        <v>5171</v>
      </c>
      <c r="D1281" s="1"/>
      <c r="E1281" s="1">
        <v>3619.0</v>
      </c>
      <c r="F1281" s="1" t="s">
        <v>44</v>
      </c>
      <c r="G1281" s="1" t="s">
        <v>5172</v>
      </c>
      <c r="H1281" s="1">
        <v>5.0</v>
      </c>
      <c r="I1281" s="1"/>
      <c r="J1281" s="1"/>
      <c r="K1281" s="1"/>
      <c r="L1281" s="1"/>
      <c r="M1281" s="1" t="s">
        <v>72</v>
      </c>
      <c r="N1281" s="1" t="s">
        <v>34</v>
      </c>
      <c r="O1281" s="1" t="s">
        <v>1286</v>
      </c>
      <c r="P1281" s="1"/>
      <c r="Q1281" s="3">
        <v>36892.0</v>
      </c>
      <c r="R1281" s="1"/>
      <c r="S1281" s="3">
        <v>39247.0</v>
      </c>
      <c r="T1281" s="1" t="s">
        <v>37</v>
      </c>
      <c r="U1281" s="1"/>
      <c r="V1281" s="1" t="s">
        <v>38</v>
      </c>
      <c r="W1281" s="1"/>
      <c r="X1281" s="1"/>
      <c r="Y1281" s="1" t="s">
        <v>49</v>
      </c>
      <c r="Z1281" s="1"/>
      <c r="AA1281" s="1" t="s">
        <v>40</v>
      </c>
      <c r="AB1281" s="1" t="s">
        <v>1287</v>
      </c>
      <c r="AC1281" s="1"/>
    </row>
    <row r="1282">
      <c r="A1282" s="1" t="str">
        <f>"0007B8"</f>
        <v>0007B8</v>
      </c>
      <c r="B1282" s="1" t="s">
        <v>5173</v>
      </c>
      <c r="C1282" s="1" t="s">
        <v>5174</v>
      </c>
      <c r="D1282" s="1" t="str">
        <f>"8024572583"</f>
        <v>8024572583</v>
      </c>
      <c r="E1282" s="1">
        <v>565.0</v>
      </c>
      <c r="F1282" s="1" t="s">
        <v>44</v>
      </c>
      <c r="G1282" s="1" t="s">
        <v>5175</v>
      </c>
      <c r="H1282" s="1">
        <v>3.0</v>
      </c>
      <c r="I1282" s="1"/>
      <c r="J1282" s="1"/>
      <c r="K1282" s="1"/>
      <c r="L1282" s="1"/>
      <c r="M1282" s="1" t="s">
        <v>72</v>
      </c>
      <c r="N1282" s="1" t="s">
        <v>34</v>
      </c>
      <c r="O1282" s="1" t="s">
        <v>324</v>
      </c>
      <c r="P1282" s="1"/>
      <c r="Q1282" s="3">
        <v>36892.0</v>
      </c>
      <c r="R1282" s="1"/>
      <c r="S1282" s="3">
        <v>35969.0</v>
      </c>
      <c r="T1282" s="1" t="s">
        <v>37</v>
      </c>
      <c r="U1282" s="1"/>
      <c r="V1282" s="1" t="s">
        <v>38</v>
      </c>
      <c r="W1282" s="1"/>
      <c r="X1282" s="1"/>
      <c r="Y1282" s="1" t="s">
        <v>49</v>
      </c>
      <c r="Z1282" s="1"/>
      <c r="AA1282" s="1" t="s">
        <v>40</v>
      </c>
      <c r="AB1282" s="1" t="s">
        <v>326</v>
      </c>
      <c r="AC1282" s="1"/>
    </row>
    <row r="1283">
      <c r="A1283" s="1" t="str">
        <f>"0007B7"</f>
        <v>0007B7</v>
      </c>
      <c r="B1283" s="1" t="s">
        <v>5176</v>
      </c>
      <c r="C1283" s="1" t="s">
        <v>5177</v>
      </c>
      <c r="D1283" s="1"/>
      <c r="E1283" s="1">
        <v>564.0</v>
      </c>
      <c r="F1283" s="1" t="s">
        <v>44</v>
      </c>
      <c r="G1283" s="1" t="s">
        <v>5178</v>
      </c>
      <c r="H1283" s="1">
        <v>4.0</v>
      </c>
      <c r="I1283" s="1"/>
      <c r="J1283" s="1"/>
      <c r="K1283" s="1"/>
      <c r="L1283" s="1"/>
      <c r="M1283" s="1" t="s">
        <v>1179</v>
      </c>
      <c r="N1283" s="1" t="s">
        <v>34</v>
      </c>
      <c r="O1283" s="1" t="s">
        <v>324</v>
      </c>
      <c r="P1283" s="1"/>
      <c r="Q1283" s="3">
        <v>36892.0</v>
      </c>
      <c r="R1283" s="1"/>
      <c r="S1283" s="3">
        <v>32734.0</v>
      </c>
      <c r="T1283" s="1" t="s">
        <v>37</v>
      </c>
      <c r="U1283" s="1"/>
      <c r="V1283" s="1" t="s">
        <v>38</v>
      </c>
      <c r="W1283" s="1"/>
      <c r="X1283" s="1"/>
      <c r="Y1283" s="1" t="s">
        <v>49</v>
      </c>
      <c r="Z1283" s="1"/>
      <c r="AA1283" s="1" t="s">
        <v>40</v>
      </c>
      <c r="AB1283" s="1" t="s">
        <v>326</v>
      </c>
      <c r="AC1283" s="1"/>
    </row>
    <row r="1284">
      <c r="A1284" s="1" t="str">
        <f>"00079K"</f>
        <v>00079K</v>
      </c>
      <c r="B1284" s="1" t="s">
        <v>5179</v>
      </c>
      <c r="C1284" s="1" t="s">
        <v>5180</v>
      </c>
      <c r="D1284" s="1" t="str">
        <f>"8026445361"</f>
        <v>8026445361</v>
      </c>
      <c r="E1284" s="1">
        <v>2876.0</v>
      </c>
      <c r="F1284" s="1" t="s">
        <v>44</v>
      </c>
      <c r="G1284" s="1" t="s">
        <v>5181</v>
      </c>
      <c r="H1284" s="1">
        <v>22.0</v>
      </c>
      <c r="I1284" s="1"/>
      <c r="J1284" s="1"/>
      <c r="K1284" s="1"/>
      <c r="L1284" s="1"/>
      <c r="M1284" s="1" t="s">
        <v>72</v>
      </c>
      <c r="N1284" s="1" t="s">
        <v>213</v>
      </c>
      <c r="O1284" s="1" t="s">
        <v>620</v>
      </c>
      <c r="P1284" s="1"/>
      <c r="Q1284" s="3">
        <v>36892.0</v>
      </c>
      <c r="R1284" s="1"/>
      <c r="S1284" s="3">
        <v>38175.0</v>
      </c>
      <c r="T1284" s="1" t="s">
        <v>37</v>
      </c>
      <c r="U1284" s="1"/>
      <c r="V1284" s="1" t="s">
        <v>38</v>
      </c>
      <c r="W1284" s="1"/>
      <c r="X1284" s="1"/>
      <c r="Y1284" s="1" t="s">
        <v>49</v>
      </c>
      <c r="Z1284" s="1"/>
      <c r="AA1284" s="1" t="s">
        <v>40</v>
      </c>
      <c r="AB1284" s="1" t="s">
        <v>621</v>
      </c>
      <c r="AC1284" s="1"/>
    </row>
    <row r="1285">
      <c r="A1285" s="1" t="str">
        <f>"0007B5"</f>
        <v>0007B5</v>
      </c>
      <c r="B1285" s="1" t="s">
        <v>5182</v>
      </c>
      <c r="C1285" s="1" t="s">
        <v>5183</v>
      </c>
      <c r="D1285" s="1"/>
      <c r="E1285" s="1">
        <v>3014.0</v>
      </c>
      <c r="F1285" s="1" t="s">
        <v>44</v>
      </c>
      <c r="G1285" s="1" t="s">
        <v>5184</v>
      </c>
      <c r="H1285" s="1">
        <v>2.0</v>
      </c>
      <c r="I1285" s="1"/>
      <c r="J1285" s="1"/>
      <c r="K1285" s="1"/>
      <c r="L1285" s="1"/>
      <c r="M1285" s="1" t="s">
        <v>72</v>
      </c>
      <c r="N1285" s="1" t="s">
        <v>135</v>
      </c>
      <c r="O1285" s="1" t="s">
        <v>1798</v>
      </c>
      <c r="P1285" s="1"/>
      <c r="Q1285" s="3">
        <v>36892.0</v>
      </c>
      <c r="R1285" s="1"/>
      <c r="S1285" s="3">
        <v>35611.0</v>
      </c>
      <c r="T1285" s="1" t="s">
        <v>37</v>
      </c>
      <c r="U1285" s="1"/>
      <c r="V1285" s="1" t="s">
        <v>38</v>
      </c>
      <c r="W1285" s="1"/>
      <c r="X1285" s="1"/>
      <c r="Y1285" s="1" t="s">
        <v>49</v>
      </c>
      <c r="Z1285" s="1"/>
      <c r="AA1285" s="1" t="s">
        <v>40</v>
      </c>
      <c r="AB1285" s="1" t="s">
        <v>1799</v>
      </c>
      <c r="AC1285" s="1"/>
    </row>
    <row r="1286">
      <c r="A1286" s="1" t="str">
        <f>"0007B4"</f>
        <v>0007B4</v>
      </c>
      <c r="B1286" s="1" t="s">
        <v>5185</v>
      </c>
      <c r="C1286" s="1" t="s">
        <v>5186</v>
      </c>
      <c r="D1286" s="1" t="str">
        <f>"8028795132"</f>
        <v>8028795132</v>
      </c>
      <c r="E1286" s="1">
        <v>3407.0</v>
      </c>
      <c r="F1286" s="1" t="s">
        <v>44</v>
      </c>
      <c r="G1286" s="1" t="s">
        <v>5187</v>
      </c>
      <c r="H1286" s="1"/>
      <c r="I1286" s="1"/>
      <c r="J1286" s="1"/>
      <c r="K1286" s="1"/>
      <c r="L1286" s="1"/>
      <c r="M1286" s="1" t="s">
        <v>5188</v>
      </c>
      <c r="N1286" s="1" t="s">
        <v>161</v>
      </c>
      <c r="O1286" s="1" t="s">
        <v>576</v>
      </c>
      <c r="P1286" s="1"/>
      <c r="Q1286" s="3">
        <v>36892.0</v>
      </c>
      <c r="R1286" s="1"/>
      <c r="S1286" s="1"/>
      <c r="T1286" s="1" t="s">
        <v>37</v>
      </c>
      <c r="U1286" s="1"/>
      <c r="V1286" s="1" t="s">
        <v>38</v>
      </c>
      <c r="W1286" s="1"/>
      <c r="X1286" s="1"/>
      <c r="Y1286" s="1" t="s">
        <v>49</v>
      </c>
      <c r="Z1286" s="1"/>
      <c r="AA1286" s="1" t="s">
        <v>40</v>
      </c>
      <c r="AB1286" s="1" t="s">
        <v>161</v>
      </c>
      <c r="AC1286" s="1"/>
    </row>
    <row r="1287">
      <c r="A1287" s="1" t="str">
        <f>"0007B5"</f>
        <v>0007B5</v>
      </c>
      <c r="B1287" s="1" t="s">
        <v>5182</v>
      </c>
      <c r="C1287" s="1" t="s">
        <v>5183</v>
      </c>
      <c r="D1287" s="1"/>
      <c r="E1287" s="1">
        <v>3014.0</v>
      </c>
      <c r="F1287" s="1" t="s">
        <v>44</v>
      </c>
      <c r="G1287" s="1" t="s">
        <v>5189</v>
      </c>
      <c r="H1287" s="1">
        <v>1.0</v>
      </c>
      <c r="I1287" s="1"/>
      <c r="J1287" s="1"/>
      <c r="K1287" s="1"/>
      <c r="L1287" s="1"/>
      <c r="M1287" s="1" t="s">
        <v>5190</v>
      </c>
      <c r="N1287" s="1" t="s">
        <v>135</v>
      </c>
      <c r="O1287" s="1" t="s">
        <v>1798</v>
      </c>
      <c r="P1287" s="1"/>
      <c r="Q1287" s="3">
        <v>36892.0</v>
      </c>
      <c r="R1287" s="1"/>
      <c r="S1287" s="3">
        <v>35611.0</v>
      </c>
      <c r="T1287" s="1" t="s">
        <v>37</v>
      </c>
      <c r="U1287" s="1"/>
      <c r="V1287" s="1" t="s">
        <v>38</v>
      </c>
      <c r="W1287" s="1"/>
      <c r="X1287" s="1"/>
      <c r="Y1287" s="1" t="s">
        <v>49</v>
      </c>
      <c r="Z1287" s="1"/>
      <c r="AA1287" s="1" t="s">
        <v>40</v>
      </c>
      <c r="AB1287" s="1" t="s">
        <v>1799</v>
      </c>
      <c r="AC1287" s="1"/>
    </row>
    <row r="1288">
      <c r="A1288" s="1" t="str">
        <f>"000810"</f>
        <v>000810</v>
      </c>
      <c r="B1288" s="1" t="s">
        <v>3074</v>
      </c>
      <c r="C1288" s="1" t="s">
        <v>3075</v>
      </c>
      <c r="D1288" s="1" t="str">
        <f>"8028634938"</f>
        <v>8028634938</v>
      </c>
      <c r="E1288" s="1">
        <v>1467.0</v>
      </c>
      <c r="F1288" s="1" t="s">
        <v>117</v>
      </c>
      <c r="G1288" s="1" t="s">
        <v>5191</v>
      </c>
      <c r="H1288" s="1">
        <v>6.0</v>
      </c>
      <c r="I1288" s="2" t="s">
        <v>119</v>
      </c>
      <c r="J1288" s="2">
        <v>2.0</v>
      </c>
      <c r="K1288" s="2" t="s">
        <v>119</v>
      </c>
      <c r="L1288" s="2" t="s">
        <v>3077</v>
      </c>
      <c r="M1288" s="1" t="s">
        <v>5192</v>
      </c>
      <c r="N1288" s="1" t="s">
        <v>57</v>
      </c>
      <c r="O1288" s="1" t="s">
        <v>503</v>
      </c>
      <c r="P1288" s="1" t="s">
        <v>5193</v>
      </c>
      <c r="Q1288" s="3">
        <v>36892.0</v>
      </c>
      <c r="R1288" s="1"/>
      <c r="S1288" s="3">
        <v>41933.0</v>
      </c>
      <c r="T1288" s="1" t="s">
        <v>37</v>
      </c>
      <c r="U1288" s="1"/>
      <c r="V1288" s="1" t="s">
        <v>38</v>
      </c>
      <c r="W1288" s="1">
        <v>44.4559651</v>
      </c>
      <c r="X1288" s="1">
        <v>-73.1940793</v>
      </c>
      <c r="Y1288" s="1" t="s">
        <v>5194</v>
      </c>
      <c r="Z1288" s="1"/>
      <c r="AA1288" s="1" t="s">
        <v>40</v>
      </c>
      <c r="AB1288" s="1" t="s">
        <v>5195</v>
      </c>
      <c r="AC1288" s="1">
        <v>5401.0</v>
      </c>
    </row>
    <row r="1289">
      <c r="A1289" s="1" t="str">
        <f>"0007B1"</f>
        <v>0007B1</v>
      </c>
      <c r="B1289" s="1" t="s">
        <v>5196</v>
      </c>
      <c r="C1289" s="1" t="s">
        <v>5197</v>
      </c>
      <c r="D1289" s="1" t="str">
        <f>"8027755189"</f>
        <v>8027755189</v>
      </c>
      <c r="E1289" s="1">
        <v>3608.0</v>
      </c>
      <c r="F1289" s="1" t="s">
        <v>44</v>
      </c>
      <c r="G1289" s="1" t="s">
        <v>5198</v>
      </c>
      <c r="H1289" s="1">
        <v>1.0</v>
      </c>
      <c r="I1289" s="1"/>
      <c r="J1289" s="1"/>
      <c r="K1289" s="1"/>
      <c r="L1289" s="1"/>
      <c r="M1289" s="1" t="s">
        <v>72</v>
      </c>
      <c r="N1289" s="1" t="s">
        <v>78</v>
      </c>
      <c r="O1289" s="1" t="s">
        <v>452</v>
      </c>
      <c r="P1289" s="1"/>
      <c r="Q1289" s="3">
        <v>36892.0</v>
      </c>
      <c r="R1289" s="1"/>
      <c r="S1289" s="3">
        <v>39205.0</v>
      </c>
      <c r="T1289" s="1" t="s">
        <v>37</v>
      </c>
      <c r="U1289" s="1"/>
      <c r="V1289" s="1" t="s">
        <v>38</v>
      </c>
      <c r="W1289" s="1"/>
      <c r="X1289" s="1"/>
      <c r="Y1289" s="1" t="s">
        <v>49</v>
      </c>
      <c r="Z1289" s="1"/>
      <c r="AA1289" s="1" t="s">
        <v>40</v>
      </c>
      <c r="AB1289" s="1" t="s">
        <v>452</v>
      </c>
      <c r="AC1289" s="1"/>
    </row>
    <row r="1290">
      <c r="A1290" s="1" t="str">
        <f>"0007WA"</f>
        <v>0007WA</v>
      </c>
      <c r="B1290" s="1" t="s">
        <v>157</v>
      </c>
      <c r="C1290" s="1" t="s">
        <v>158</v>
      </c>
      <c r="D1290" s="1" t="str">
        <f>"8029482057"</f>
        <v>8029482057</v>
      </c>
      <c r="E1290" s="1">
        <v>1217.0</v>
      </c>
      <c r="F1290" s="1" t="s">
        <v>31</v>
      </c>
      <c r="G1290" s="1" t="s">
        <v>5199</v>
      </c>
      <c r="H1290" s="1">
        <v>14.0</v>
      </c>
      <c r="I1290" s="1"/>
      <c r="J1290" s="1"/>
      <c r="K1290" s="1"/>
      <c r="L1290" s="1"/>
      <c r="M1290" s="1" t="s">
        <v>5200</v>
      </c>
      <c r="N1290" s="1" t="s">
        <v>161</v>
      </c>
      <c r="O1290" s="1" t="s">
        <v>1053</v>
      </c>
      <c r="P1290" s="1" t="s">
        <v>5201</v>
      </c>
      <c r="Q1290" s="3">
        <v>36892.0</v>
      </c>
      <c r="R1290" s="1"/>
      <c r="S1290" s="3">
        <v>41912.0</v>
      </c>
      <c r="T1290" s="1" t="s">
        <v>164</v>
      </c>
      <c r="U1290" s="1"/>
      <c r="V1290" s="1" t="s">
        <v>38</v>
      </c>
      <c r="W1290" s="1">
        <v>43.93379</v>
      </c>
      <c r="X1290" s="1">
        <v>-73.31011</v>
      </c>
      <c r="Y1290" s="1" t="s">
        <v>3478</v>
      </c>
      <c r="Z1290" s="1"/>
      <c r="AA1290" s="1" t="s">
        <v>40</v>
      </c>
      <c r="AB1290" s="1" t="s">
        <v>1054</v>
      </c>
      <c r="AC1290" s="1">
        <v>5770.0</v>
      </c>
    </row>
    <row r="1291">
      <c r="A1291" s="1" t="str">
        <f>"0007AX"</f>
        <v>0007AX</v>
      </c>
      <c r="B1291" s="1" t="s">
        <v>5202</v>
      </c>
      <c r="C1291" s="1" t="s">
        <v>5203</v>
      </c>
      <c r="D1291" s="1" t="str">
        <f>"8024573074"</f>
        <v>8024573074</v>
      </c>
      <c r="E1291" s="1">
        <v>551.0</v>
      </c>
      <c r="F1291" s="1" t="s">
        <v>44</v>
      </c>
      <c r="G1291" s="1" t="s">
        <v>5204</v>
      </c>
      <c r="H1291" s="1">
        <v>1.0</v>
      </c>
      <c r="I1291" s="1"/>
      <c r="J1291" s="1"/>
      <c r="K1291" s="1"/>
      <c r="L1291" s="1"/>
      <c r="M1291" s="1" t="s">
        <v>5205</v>
      </c>
      <c r="N1291" s="1" t="s">
        <v>34</v>
      </c>
      <c r="O1291" s="1" t="s">
        <v>324</v>
      </c>
      <c r="P1291" s="1"/>
      <c r="Q1291" s="3">
        <v>36892.0</v>
      </c>
      <c r="R1291" s="1"/>
      <c r="S1291" s="3">
        <v>35605.0</v>
      </c>
      <c r="T1291" s="1" t="s">
        <v>37</v>
      </c>
      <c r="U1291" s="1"/>
      <c r="V1291" s="1" t="s">
        <v>38</v>
      </c>
      <c r="W1291" s="1"/>
      <c r="X1291" s="1"/>
      <c r="Y1291" s="1" t="s">
        <v>49</v>
      </c>
      <c r="Z1291" s="1"/>
      <c r="AA1291" s="1" t="s">
        <v>40</v>
      </c>
      <c r="AB1291" s="1" t="s">
        <v>326</v>
      </c>
      <c r="AC1291" s="1"/>
    </row>
    <row r="1292">
      <c r="A1292" s="1" t="str">
        <f>"0007AW"</f>
        <v>0007AW</v>
      </c>
      <c r="B1292" s="1" t="s">
        <v>5206</v>
      </c>
      <c r="C1292" s="1" t="s">
        <v>5207</v>
      </c>
      <c r="D1292" s="1"/>
      <c r="E1292" s="1">
        <v>550.0</v>
      </c>
      <c r="F1292" s="1" t="s">
        <v>44</v>
      </c>
      <c r="G1292" s="1" t="s">
        <v>5208</v>
      </c>
      <c r="H1292" s="1">
        <v>2.0</v>
      </c>
      <c r="I1292" s="1"/>
      <c r="J1292" s="1"/>
      <c r="K1292" s="1"/>
      <c r="L1292" s="1"/>
      <c r="M1292" s="1" t="s">
        <v>5209</v>
      </c>
      <c r="N1292" s="1" t="s">
        <v>34</v>
      </c>
      <c r="O1292" s="1" t="s">
        <v>88</v>
      </c>
      <c r="P1292" s="1"/>
      <c r="Q1292" s="3">
        <v>36892.0</v>
      </c>
      <c r="R1292" s="1"/>
      <c r="S1292" s="3">
        <v>32742.0</v>
      </c>
      <c r="T1292" s="1" t="s">
        <v>37</v>
      </c>
      <c r="U1292" s="1"/>
      <c r="V1292" s="1" t="s">
        <v>38</v>
      </c>
      <c r="W1292" s="1"/>
      <c r="X1292" s="1"/>
      <c r="Y1292" s="1" t="s">
        <v>49</v>
      </c>
      <c r="Z1292" s="1"/>
      <c r="AA1292" s="1" t="s">
        <v>40</v>
      </c>
      <c r="AB1292" s="1" t="s">
        <v>89</v>
      </c>
      <c r="AC1292" s="1"/>
    </row>
    <row r="1293">
      <c r="A1293" s="1" t="str">
        <f>"0008AH"</f>
        <v>0008AH</v>
      </c>
      <c r="B1293" s="1" t="s">
        <v>5210</v>
      </c>
      <c r="C1293" s="1" t="s">
        <v>5211</v>
      </c>
      <c r="D1293" s="1"/>
      <c r="E1293" s="1">
        <v>1963.0</v>
      </c>
      <c r="F1293" s="1" t="s">
        <v>44</v>
      </c>
      <c r="G1293" s="1" t="s">
        <v>5212</v>
      </c>
      <c r="H1293" s="1"/>
      <c r="I1293" s="1"/>
      <c r="J1293" s="1"/>
      <c r="K1293" s="1"/>
      <c r="L1293" s="1"/>
      <c r="M1293" s="1" t="s">
        <v>5213</v>
      </c>
      <c r="N1293" s="1" t="s">
        <v>128</v>
      </c>
      <c r="O1293" s="1" t="s">
        <v>887</v>
      </c>
      <c r="P1293" s="1"/>
      <c r="Q1293" s="3">
        <v>36892.0</v>
      </c>
      <c r="R1293" s="1"/>
      <c r="S1293" s="1"/>
      <c r="T1293" s="1" t="s">
        <v>37</v>
      </c>
      <c r="U1293" s="1"/>
      <c r="V1293" s="1" t="s">
        <v>38</v>
      </c>
      <c r="W1293" s="1"/>
      <c r="X1293" s="1"/>
      <c r="Y1293" s="1" t="s">
        <v>49</v>
      </c>
      <c r="Z1293" s="1"/>
      <c r="AA1293" s="1" t="s">
        <v>40</v>
      </c>
      <c r="AB1293" s="1" t="s">
        <v>888</v>
      </c>
      <c r="AC1293" s="1"/>
    </row>
    <row r="1294">
      <c r="A1294" s="1" t="str">
        <f>"0007K8"</f>
        <v>0007K8</v>
      </c>
      <c r="B1294" s="1" t="s">
        <v>5214</v>
      </c>
      <c r="C1294" s="1" t="s">
        <v>5215</v>
      </c>
      <c r="D1294" s="1" t="str">
        <f>"8026264029"</f>
        <v>8026264029</v>
      </c>
      <c r="E1294" s="1">
        <v>2969.0</v>
      </c>
      <c r="F1294" s="1" t="s">
        <v>117</v>
      </c>
      <c r="G1294" s="1" t="s">
        <v>5216</v>
      </c>
      <c r="H1294" s="1">
        <v>2.0</v>
      </c>
      <c r="I1294" s="2">
        <v>2.0</v>
      </c>
      <c r="J1294" s="2">
        <v>2.0</v>
      </c>
      <c r="K1294" s="2" t="s">
        <v>119</v>
      </c>
      <c r="L1294" s="1"/>
      <c r="M1294" s="1" t="s">
        <v>5217</v>
      </c>
      <c r="N1294" s="1" t="s">
        <v>128</v>
      </c>
      <c r="O1294" s="1" t="s">
        <v>1701</v>
      </c>
      <c r="P1294" s="1" t="s">
        <v>5218</v>
      </c>
      <c r="Q1294" s="3">
        <v>36892.0</v>
      </c>
      <c r="R1294" s="1"/>
      <c r="S1294" s="1"/>
      <c r="T1294" s="1" t="s">
        <v>37</v>
      </c>
      <c r="U1294" s="1"/>
      <c r="V1294" s="1" t="s">
        <v>38</v>
      </c>
      <c r="W1294" s="1">
        <v>44.595979</v>
      </c>
      <c r="X1294" s="1">
        <v>-72.1135489</v>
      </c>
      <c r="Y1294" s="1" t="s">
        <v>5219</v>
      </c>
      <c r="Z1294" s="1"/>
      <c r="AA1294" s="1" t="s">
        <v>40</v>
      </c>
      <c r="AB1294" s="1" t="s">
        <v>1702</v>
      </c>
      <c r="AC1294" s="1">
        <v>5866.0</v>
      </c>
    </row>
    <row r="1295">
      <c r="A1295" s="1" t="str">
        <f>"00070G"</f>
        <v>00070G</v>
      </c>
      <c r="B1295" s="1" t="s">
        <v>5220</v>
      </c>
      <c r="C1295" s="1" t="s">
        <v>5221</v>
      </c>
      <c r="D1295" s="1" t="str">
        <f>"8022267185"</f>
        <v>8022267185</v>
      </c>
      <c r="E1295" s="1">
        <v>3967.0</v>
      </c>
      <c r="F1295" s="1" t="s">
        <v>44</v>
      </c>
      <c r="G1295" s="1" t="s">
        <v>5222</v>
      </c>
      <c r="H1295" s="1"/>
      <c r="I1295" s="1"/>
      <c r="J1295" s="1"/>
      <c r="K1295" s="1"/>
      <c r="L1295" s="1"/>
      <c r="M1295" s="1" t="s">
        <v>72</v>
      </c>
      <c r="N1295" s="1" t="s">
        <v>34</v>
      </c>
      <c r="O1295" s="1" t="s">
        <v>457</v>
      </c>
      <c r="P1295" s="1"/>
      <c r="Q1295" s="3">
        <v>36892.0</v>
      </c>
      <c r="R1295" s="1"/>
      <c r="S1295" s="1"/>
      <c r="T1295" s="1" t="s">
        <v>37</v>
      </c>
      <c r="U1295" s="1"/>
      <c r="V1295" s="1" t="s">
        <v>38</v>
      </c>
      <c r="W1295" s="1"/>
      <c r="X1295" s="1"/>
      <c r="Y1295" s="1" t="s">
        <v>49</v>
      </c>
      <c r="Z1295" s="1"/>
      <c r="AA1295" s="1" t="s">
        <v>40</v>
      </c>
      <c r="AB1295" s="1" t="s">
        <v>458</v>
      </c>
      <c r="AC1295" s="1"/>
    </row>
    <row r="1296">
      <c r="A1296" s="1" t="str">
        <f>"00089H"</f>
        <v>00089H</v>
      </c>
      <c r="B1296" s="1" t="s">
        <v>3614</v>
      </c>
      <c r="C1296" s="1" t="s">
        <v>3615</v>
      </c>
      <c r="D1296" s="1" t="str">
        <f>"8028885441"</f>
        <v>8028885441</v>
      </c>
      <c r="E1296" s="1">
        <v>2893.0</v>
      </c>
      <c r="F1296" s="1" t="s">
        <v>44</v>
      </c>
      <c r="G1296" s="1" t="s">
        <v>5223</v>
      </c>
      <c r="H1296" s="1"/>
      <c r="I1296" s="1"/>
      <c r="J1296" s="1"/>
      <c r="K1296" s="1"/>
      <c r="L1296" s="1"/>
      <c r="M1296" s="1" t="s">
        <v>5224</v>
      </c>
      <c r="N1296" s="1" t="s">
        <v>213</v>
      </c>
      <c r="O1296" s="1" t="s">
        <v>2562</v>
      </c>
      <c r="P1296" s="1"/>
      <c r="Q1296" s="3">
        <v>36892.0</v>
      </c>
      <c r="R1296" s="1"/>
      <c r="S1296" s="1"/>
      <c r="T1296" s="1" t="s">
        <v>37</v>
      </c>
      <c r="U1296" s="1"/>
      <c r="V1296" s="1" t="s">
        <v>38</v>
      </c>
      <c r="W1296" s="1"/>
      <c r="X1296" s="1"/>
      <c r="Y1296" s="1" t="s">
        <v>49</v>
      </c>
      <c r="Z1296" s="1"/>
      <c r="AA1296" s="1" t="s">
        <v>40</v>
      </c>
      <c r="AB1296" s="1" t="s">
        <v>2563</v>
      </c>
      <c r="AC1296" s="1"/>
    </row>
    <row r="1297">
      <c r="A1297" s="1" t="str">
        <f>"0007VQ"</f>
        <v>0007VQ</v>
      </c>
      <c r="B1297" s="1" t="s">
        <v>5225</v>
      </c>
      <c r="C1297" s="1" t="s">
        <v>5226</v>
      </c>
      <c r="D1297" s="1" t="str">
        <f>"8029858725"</f>
        <v>8029858725</v>
      </c>
      <c r="E1297" s="1">
        <v>2974.0</v>
      </c>
      <c r="F1297" s="1" t="s">
        <v>44</v>
      </c>
      <c r="G1297" s="1" t="s">
        <v>5227</v>
      </c>
      <c r="H1297" s="1">
        <v>6.0</v>
      </c>
      <c r="I1297" s="1"/>
      <c r="J1297" s="1"/>
      <c r="K1297" s="1"/>
      <c r="L1297" s="1"/>
      <c r="M1297" s="1" t="s">
        <v>72</v>
      </c>
      <c r="N1297" s="1" t="s">
        <v>57</v>
      </c>
      <c r="O1297" s="1" t="s">
        <v>238</v>
      </c>
      <c r="P1297" s="1"/>
      <c r="Q1297" s="3">
        <v>36892.0</v>
      </c>
      <c r="R1297" s="1"/>
      <c r="S1297" s="3">
        <v>37886.0</v>
      </c>
      <c r="T1297" s="1" t="s">
        <v>37</v>
      </c>
      <c r="U1297" s="1"/>
      <c r="V1297" s="1" t="s">
        <v>38</v>
      </c>
      <c r="W1297" s="1"/>
      <c r="X1297" s="1"/>
      <c r="Y1297" s="1" t="s">
        <v>49</v>
      </c>
      <c r="Z1297" s="1"/>
      <c r="AA1297" s="1" t="s">
        <v>40</v>
      </c>
      <c r="AB1297" s="1" t="s">
        <v>239</v>
      </c>
      <c r="AC1297" s="1"/>
    </row>
    <row r="1298">
      <c r="A1298" s="1" t="str">
        <f>"0007AM"</f>
        <v>0007AM</v>
      </c>
      <c r="B1298" s="1" t="s">
        <v>5228</v>
      </c>
      <c r="C1298" s="1" t="s">
        <v>5229</v>
      </c>
      <c r="D1298" s="1"/>
      <c r="E1298" s="1">
        <v>540.0</v>
      </c>
      <c r="F1298" s="1" t="s">
        <v>44</v>
      </c>
      <c r="G1298" s="1" t="s">
        <v>5230</v>
      </c>
      <c r="H1298" s="1">
        <v>2.0</v>
      </c>
      <c r="I1298" s="1"/>
      <c r="J1298" s="1"/>
      <c r="K1298" s="1"/>
      <c r="L1298" s="1"/>
      <c r="M1298" s="1" t="s">
        <v>5231</v>
      </c>
      <c r="N1298" s="1" t="s">
        <v>34</v>
      </c>
      <c r="O1298" s="1" t="s">
        <v>35</v>
      </c>
      <c r="P1298" s="1"/>
      <c r="Q1298" s="3">
        <v>36892.0</v>
      </c>
      <c r="R1298" s="1"/>
      <c r="S1298" s="3">
        <v>32336.0</v>
      </c>
      <c r="T1298" s="1" t="s">
        <v>37</v>
      </c>
      <c r="U1298" s="1"/>
      <c r="V1298" s="1" t="s">
        <v>38</v>
      </c>
      <c r="W1298" s="1"/>
      <c r="X1298" s="1"/>
      <c r="Y1298" s="1" t="s">
        <v>49</v>
      </c>
      <c r="Z1298" s="1"/>
      <c r="AA1298" s="1" t="s">
        <v>40</v>
      </c>
      <c r="AB1298" s="1" t="s">
        <v>345</v>
      </c>
      <c r="AC1298" s="1"/>
    </row>
    <row r="1299">
      <c r="A1299" s="1" t="str">
        <f>"0007AK"</f>
        <v>0007AK</v>
      </c>
      <c r="B1299" s="1" t="s">
        <v>5232</v>
      </c>
      <c r="C1299" s="1" t="s">
        <v>5233</v>
      </c>
      <c r="D1299" s="1" t="str">
        <f>"8027637873"</f>
        <v>8027637873</v>
      </c>
      <c r="E1299" s="1">
        <v>539.0</v>
      </c>
      <c r="F1299" s="1" t="s">
        <v>44</v>
      </c>
      <c r="G1299" s="1" t="s">
        <v>5234</v>
      </c>
      <c r="H1299" s="1">
        <v>1.0</v>
      </c>
      <c r="I1299" s="1"/>
      <c r="J1299" s="1"/>
      <c r="K1299" s="1"/>
      <c r="L1299" s="1"/>
      <c r="M1299" s="1" t="s">
        <v>5235</v>
      </c>
      <c r="N1299" s="1" t="s">
        <v>34</v>
      </c>
      <c r="O1299" s="1" t="s">
        <v>35</v>
      </c>
      <c r="P1299" s="1"/>
      <c r="Q1299" s="3">
        <v>36892.0</v>
      </c>
      <c r="R1299" s="1"/>
      <c r="S1299" s="3">
        <v>35258.0</v>
      </c>
      <c r="T1299" s="1" t="s">
        <v>37</v>
      </c>
      <c r="U1299" s="1"/>
      <c r="V1299" s="1" t="s">
        <v>38</v>
      </c>
      <c r="W1299" s="1"/>
      <c r="X1299" s="1"/>
      <c r="Y1299" s="1" t="s">
        <v>49</v>
      </c>
      <c r="Z1299" s="1"/>
      <c r="AA1299" s="1" t="s">
        <v>40</v>
      </c>
      <c r="AB1299" s="1" t="s">
        <v>345</v>
      </c>
      <c r="AC1299" s="1"/>
    </row>
    <row r="1300">
      <c r="A1300" s="1" t="str">
        <f>"000818"</f>
        <v>000818</v>
      </c>
      <c r="B1300" s="1" t="s">
        <v>5236</v>
      </c>
      <c r="C1300" s="1" t="s">
        <v>5237</v>
      </c>
      <c r="D1300" s="1"/>
      <c r="E1300" s="1">
        <v>2675.0</v>
      </c>
      <c r="F1300" s="1" t="s">
        <v>44</v>
      </c>
      <c r="G1300" s="1" t="s">
        <v>5238</v>
      </c>
      <c r="H1300" s="1">
        <v>3.0</v>
      </c>
      <c r="I1300" s="1"/>
      <c r="J1300" s="1"/>
      <c r="K1300" s="1"/>
      <c r="L1300" s="1"/>
      <c r="M1300" s="1" t="s">
        <v>72</v>
      </c>
      <c r="N1300" s="1" t="s">
        <v>34</v>
      </c>
      <c r="O1300" s="1" t="s">
        <v>88</v>
      </c>
      <c r="P1300" s="1"/>
      <c r="Q1300" s="3">
        <v>36892.0</v>
      </c>
      <c r="R1300" s="1"/>
      <c r="S1300" s="3">
        <v>34857.0</v>
      </c>
      <c r="T1300" s="1" t="s">
        <v>37</v>
      </c>
      <c r="U1300" s="1"/>
      <c r="V1300" s="1" t="s">
        <v>38</v>
      </c>
      <c r="W1300" s="1"/>
      <c r="X1300" s="1"/>
      <c r="Y1300" s="1" t="s">
        <v>49</v>
      </c>
      <c r="Z1300" s="1"/>
      <c r="AA1300" s="1" t="s">
        <v>40</v>
      </c>
      <c r="AB1300" s="1" t="s">
        <v>89</v>
      </c>
      <c r="AC1300" s="1"/>
    </row>
    <row r="1301">
      <c r="A1301" s="1" t="str">
        <f>"0007A0"</f>
        <v>0007A0</v>
      </c>
      <c r="B1301" s="1" t="s">
        <v>5239</v>
      </c>
      <c r="C1301" s="1" t="s">
        <v>5240</v>
      </c>
      <c r="D1301" s="1"/>
      <c r="E1301" s="1">
        <v>505.0</v>
      </c>
      <c r="F1301" s="1" t="s">
        <v>44</v>
      </c>
      <c r="G1301" s="1" t="s">
        <v>5241</v>
      </c>
      <c r="H1301" s="1">
        <v>0.0</v>
      </c>
      <c r="I1301" s="1"/>
      <c r="J1301" s="1"/>
      <c r="K1301" s="1"/>
      <c r="L1301" s="1"/>
      <c r="M1301" s="1" t="s">
        <v>5242</v>
      </c>
      <c r="N1301" s="1" t="s">
        <v>34</v>
      </c>
      <c r="O1301" s="1" t="s">
        <v>1286</v>
      </c>
      <c r="P1301" s="1"/>
      <c r="Q1301" s="3">
        <v>36892.0</v>
      </c>
      <c r="R1301" s="1"/>
      <c r="S1301" s="3">
        <v>32337.0</v>
      </c>
      <c r="T1301" s="1" t="s">
        <v>37</v>
      </c>
      <c r="U1301" s="1"/>
      <c r="V1301" s="1" t="s">
        <v>38</v>
      </c>
      <c r="W1301" s="1">
        <v>43.704791</v>
      </c>
      <c r="X1301" s="1">
        <v>-72.5159287</v>
      </c>
      <c r="Y1301" s="1" t="s">
        <v>49</v>
      </c>
      <c r="Z1301" s="1"/>
      <c r="AA1301" s="1" t="s">
        <v>40</v>
      </c>
      <c r="AB1301" s="1" t="s">
        <v>1287</v>
      </c>
      <c r="AC1301" s="1">
        <v>5068.0</v>
      </c>
    </row>
    <row r="1302">
      <c r="A1302" s="1" t="str">
        <f>"0007Z4"</f>
        <v>0007Z4</v>
      </c>
      <c r="B1302" s="1" t="s">
        <v>5243</v>
      </c>
      <c r="C1302" s="1" t="s">
        <v>5244</v>
      </c>
      <c r="D1302" s="1" t="str">
        <f>"8022635359"</f>
        <v>8022635359</v>
      </c>
      <c r="E1302" s="1">
        <v>2973.0</v>
      </c>
      <c r="F1302" s="1" t="s">
        <v>31</v>
      </c>
      <c r="G1302" s="1" t="s">
        <v>5245</v>
      </c>
      <c r="H1302" s="1">
        <v>2.0</v>
      </c>
      <c r="I1302" s="1"/>
      <c r="J1302" s="1"/>
      <c r="K1302" s="1"/>
      <c r="L1302" s="1"/>
      <c r="M1302" s="1" t="s">
        <v>5246</v>
      </c>
      <c r="N1302" s="1" t="s">
        <v>34</v>
      </c>
      <c r="O1302" s="1" t="s">
        <v>1085</v>
      </c>
      <c r="P1302" s="1"/>
      <c r="Q1302" s="3">
        <v>36892.0</v>
      </c>
      <c r="R1302" s="1"/>
      <c r="S1302" s="3">
        <v>35312.0</v>
      </c>
      <c r="T1302" s="1" t="s">
        <v>37</v>
      </c>
      <c r="U1302" s="1"/>
      <c r="V1302" s="1" t="s">
        <v>38</v>
      </c>
      <c r="W1302" s="1">
        <v>43.36751241632</v>
      </c>
      <c r="X1302" s="1">
        <v>-72.5050234794616</v>
      </c>
      <c r="Y1302" s="1" t="s">
        <v>5247</v>
      </c>
      <c r="Z1302" s="1"/>
      <c r="AA1302" s="1" t="s">
        <v>40</v>
      </c>
      <c r="AB1302" s="1" t="s">
        <v>5248</v>
      </c>
      <c r="AC1302" s="1">
        <v>5151.0</v>
      </c>
    </row>
    <row r="1303">
      <c r="A1303" s="1" t="str">
        <f>"0007AH"</f>
        <v>0007AH</v>
      </c>
      <c r="B1303" s="1" t="s">
        <v>5249</v>
      </c>
      <c r="C1303" s="1" t="s">
        <v>5250</v>
      </c>
      <c r="D1303" s="1" t="str">
        <f>"8027638009"</f>
        <v>8027638009</v>
      </c>
      <c r="E1303" s="1">
        <v>537.0</v>
      </c>
      <c r="F1303" s="1" t="s">
        <v>44</v>
      </c>
      <c r="G1303" s="1" t="s">
        <v>5251</v>
      </c>
      <c r="H1303" s="1">
        <v>7.0</v>
      </c>
      <c r="I1303" s="1"/>
      <c r="J1303" s="1"/>
      <c r="K1303" s="1"/>
      <c r="L1303" s="1"/>
      <c r="M1303" s="1" t="s">
        <v>5252</v>
      </c>
      <c r="N1303" s="1" t="s">
        <v>34</v>
      </c>
      <c r="O1303" s="1" t="s">
        <v>35</v>
      </c>
      <c r="P1303" s="1"/>
      <c r="Q1303" s="3">
        <v>36892.0</v>
      </c>
      <c r="R1303" s="1"/>
      <c r="S1303" s="3">
        <v>32741.0</v>
      </c>
      <c r="T1303" s="1" t="s">
        <v>37</v>
      </c>
      <c r="U1303" s="1"/>
      <c r="V1303" s="1" t="s">
        <v>38</v>
      </c>
      <c r="W1303" s="1"/>
      <c r="X1303" s="1"/>
      <c r="Y1303" s="1" t="s">
        <v>49</v>
      </c>
      <c r="Z1303" s="1"/>
      <c r="AA1303" s="1" t="s">
        <v>40</v>
      </c>
      <c r="AB1303" s="1" t="s">
        <v>345</v>
      </c>
      <c r="AC1303" s="1"/>
    </row>
    <row r="1304">
      <c r="A1304" s="1" t="str">
        <f>"0007AG"</f>
        <v>0007AG</v>
      </c>
      <c r="B1304" s="1" t="s">
        <v>5253</v>
      </c>
      <c r="C1304" s="1" t="s">
        <v>5254</v>
      </c>
      <c r="D1304" s="1" t="str">
        <f>"8028899438"</f>
        <v>8028899438</v>
      </c>
      <c r="E1304" s="1">
        <v>535.0</v>
      </c>
      <c r="F1304" s="1" t="s">
        <v>44</v>
      </c>
      <c r="G1304" s="1" t="s">
        <v>5255</v>
      </c>
      <c r="H1304" s="1">
        <v>2.0</v>
      </c>
      <c r="I1304" s="1"/>
      <c r="J1304" s="1"/>
      <c r="K1304" s="1"/>
      <c r="L1304" s="1"/>
      <c r="M1304" s="1" t="s">
        <v>5256</v>
      </c>
      <c r="N1304" s="1" t="s">
        <v>142</v>
      </c>
      <c r="O1304" s="1" t="s">
        <v>648</v>
      </c>
      <c r="P1304" s="1"/>
      <c r="Q1304" s="3">
        <v>36892.0</v>
      </c>
      <c r="R1304" s="1"/>
      <c r="S1304" s="3">
        <v>32357.0</v>
      </c>
      <c r="T1304" s="1" t="s">
        <v>37</v>
      </c>
      <c r="U1304" s="1"/>
      <c r="V1304" s="1" t="s">
        <v>38</v>
      </c>
      <c r="W1304" s="1"/>
      <c r="X1304" s="1"/>
      <c r="Y1304" s="1" t="s">
        <v>49</v>
      </c>
      <c r="Z1304" s="1"/>
      <c r="AA1304" s="1" t="s">
        <v>40</v>
      </c>
      <c r="AB1304" s="1" t="s">
        <v>650</v>
      </c>
      <c r="AC1304" s="1"/>
    </row>
    <row r="1305">
      <c r="A1305" s="1" t="str">
        <f>"0008YV"</f>
        <v>0008YV</v>
      </c>
      <c r="B1305" s="1" t="s">
        <v>5257</v>
      </c>
      <c r="C1305" s="1" t="s">
        <v>5258</v>
      </c>
      <c r="D1305" s="1" t="str">
        <f>"8022349689"</f>
        <v>8022349689</v>
      </c>
      <c r="E1305" s="1">
        <v>3509.0</v>
      </c>
      <c r="F1305" s="1" t="s">
        <v>31</v>
      </c>
      <c r="G1305" s="1" t="s">
        <v>5259</v>
      </c>
      <c r="H1305" s="1">
        <v>3.0</v>
      </c>
      <c r="I1305" s="1"/>
      <c r="J1305" s="1"/>
      <c r="K1305" s="1"/>
      <c r="L1305" s="1"/>
      <c r="M1305" s="1" t="s">
        <v>72</v>
      </c>
      <c r="N1305" s="1" t="s">
        <v>34</v>
      </c>
      <c r="O1305" s="1" t="s">
        <v>150</v>
      </c>
      <c r="P1305" s="1" t="s">
        <v>5260</v>
      </c>
      <c r="Q1305" s="3">
        <v>36892.0</v>
      </c>
      <c r="R1305" s="1"/>
      <c r="S1305" s="3">
        <v>42222.0</v>
      </c>
      <c r="T1305" s="1" t="s">
        <v>37</v>
      </c>
      <c r="U1305" s="1"/>
      <c r="V1305" s="1" t="s">
        <v>38</v>
      </c>
      <c r="W1305" s="1">
        <v>43.8532332948957</v>
      </c>
      <c r="X1305" s="1">
        <v>-72.6484251022338</v>
      </c>
      <c r="Y1305" s="1" t="s">
        <v>5261</v>
      </c>
      <c r="Z1305" s="1"/>
      <c r="AA1305" s="1" t="s">
        <v>40</v>
      </c>
      <c r="AB1305" s="1" t="s">
        <v>151</v>
      </c>
      <c r="AC1305" s="1">
        <v>5032.0</v>
      </c>
    </row>
    <row r="1306">
      <c r="A1306" s="1" t="str">
        <f>"0007AC"</f>
        <v>0007AC</v>
      </c>
      <c r="B1306" s="1" t="s">
        <v>5262</v>
      </c>
      <c r="C1306" s="1" t="s">
        <v>5263</v>
      </c>
      <c r="D1306" s="1" t="str">
        <f>"8027673062"</f>
        <v>8027673062</v>
      </c>
      <c r="E1306" s="1">
        <v>528.0</v>
      </c>
      <c r="F1306" s="1" t="s">
        <v>44</v>
      </c>
      <c r="G1306" s="1" t="s">
        <v>5264</v>
      </c>
      <c r="H1306" s="1">
        <v>15.0</v>
      </c>
      <c r="I1306" s="1"/>
      <c r="J1306" s="1"/>
      <c r="K1306" s="1"/>
      <c r="L1306" s="1"/>
      <c r="M1306" s="1" t="s">
        <v>72</v>
      </c>
      <c r="N1306" s="1" t="s">
        <v>34</v>
      </c>
      <c r="O1306" s="1" t="s">
        <v>1277</v>
      </c>
      <c r="P1306" s="1"/>
      <c r="Q1306" s="3">
        <v>36892.0</v>
      </c>
      <c r="R1306" s="1"/>
      <c r="S1306" s="3">
        <v>37048.0</v>
      </c>
      <c r="T1306" s="1" t="s">
        <v>37</v>
      </c>
      <c r="U1306" s="1"/>
      <c r="V1306" s="1" t="s">
        <v>38</v>
      </c>
      <c r="W1306" s="1">
        <v>43.85825</v>
      </c>
      <c r="X1306" s="1">
        <v>-72.807587</v>
      </c>
      <c r="Y1306" s="1" t="s">
        <v>5265</v>
      </c>
      <c r="Z1306" s="1"/>
      <c r="AA1306" s="1" t="s">
        <v>40</v>
      </c>
      <c r="AB1306" s="1" t="s">
        <v>1278</v>
      </c>
      <c r="AC1306" s="1">
        <v>5767.0</v>
      </c>
    </row>
    <row r="1307">
      <c r="A1307" s="1" t="str">
        <f>"00087K"</f>
        <v>00087K</v>
      </c>
      <c r="B1307" s="1" t="s">
        <v>5266</v>
      </c>
      <c r="C1307" s="1" t="s">
        <v>5267</v>
      </c>
      <c r="D1307" s="1" t="str">
        <f>"8025862853"</f>
        <v>8025862853</v>
      </c>
      <c r="E1307" s="1">
        <v>3298.0</v>
      </c>
      <c r="F1307" s="1" t="s">
        <v>44</v>
      </c>
      <c r="G1307" s="1" t="s">
        <v>5268</v>
      </c>
      <c r="H1307" s="1"/>
      <c r="I1307" s="1"/>
      <c r="J1307" s="1"/>
      <c r="K1307" s="1"/>
      <c r="L1307" s="1"/>
      <c r="M1307" s="1" t="s">
        <v>72</v>
      </c>
      <c r="N1307" s="1" t="s">
        <v>94</v>
      </c>
      <c r="O1307" s="1" t="s">
        <v>1688</v>
      </c>
      <c r="P1307" s="1"/>
      <c r="Q1307" s="3">
        <v>36892.0</v>
      </c>
      <c r="R1307" s="1"/>
      <c r="S1307" s="1"/>
      <c r="T1307" s="1" t="s">
        <v>37</v>
      </c>
      <c r="U1307" s="1"/>
      <c r="V1307" s="1" t="s">
        <v>38</v>
      </c>
      <c r="W1307" s="1"/>
      <c r="X1307" s="1"/>
      <c r="Y1307" s="1" t="s">
        <v>49</v>
      </c>
      <c r="Z1307" s="1"/>
      <c r="AA1307" s="1" t="s">
        <v>40</v>
      </c>
      <c r="AB1307" s="1" t="s">
        <v>1690</v>
      </c>
      <c r="AC1307" s="1"/>
    </row>
    <row r="1308">
      <c r="A1308" s="1" t="str">
        <f>"0007AB"</f>
        <v>0007AB</v>
      </c>
      <c r="B1308" s="1" t="s">
        <v>5269</v>
      </c>
      <c r="C1308" s="1" t="s">
        <v>5270</v>
      </c>
      <c r="D1308" s="1" t="str">
        <f>"8027673195"</f>
        <v>8027673195</v>
      </c>
      <c r="E1308" s="1">
        <v>524.0</v>
      </c>
      <c r="F1308" s="1" t="s">
        <v>44</v>
      </c>
      <c r="G1308" s="1" t="s">
        <v>5271</v>
      </c>
      <c r="H1308" s="1">
        <v>4.0</v>
      </c>
      <c r="I1308" s="1"/>
      <c r="J1308" s="1"/>
      <c r="K1308" s="1"/>
      <c r="L1308" s="1"/>
      <c r="M1308" s="1" t="s">
        <v>5272</v>
      </c>
      <c r="N1308" s="1" t="s">
        <v>34</v>
      </c>
      <c r="O1308" s="1" t="s">
        <v>1277</v>
      </c>
      <c r="P1308" s="1"/>
      <c r="Q1308" s="3">
        <v>36892.0</v>
      </c>
      <c r="R1308" s="1"/>
      <c r="S1308" s="3">
        <v>37775.0</v>
      </c>
      <c r="T1308" s="1" t="s">
        <v>37</v>
      </c>
      <c r="U1308" s="1"/>
      <c r="V1308" s="1" t="s">
        <v>38</v>
      </c>
      <c r="W1308" s="1"/>
      <c r="X1308" s="1"/>
      <c r="Y1308" s="1" t="s">
        <v>49</v>
      </c>
      <c r="Z1308" s="1"/>
      <c r="AA1308" s="1" t="s">
        <v>40</v>
      </c>
      <c r="AB1308" s="1" t="s">
        <v>1278</v>
      </c>
      <c r="AC1308" s="1"/>
    </row>
    <row r="1309">
      <c r="A1309" s="1" t="str">
        <f>"0007AA"</f>
        <v>0007AA</v>
      </c>
      <c r="B1309" s="1" t="s">
        <v>5273</v>
      </c>
      <c r="C1309" s="1" t="s">
        <v>5274</v>
      </c>
      <c r="D1309" s="1" t="str">
        <f>"8022290054"</f>
        <v>8022290054</v>
      </c>
      <c r="E1309" s="1">
        <v>2664.0</v>
      </c>
      <c r="F1309" s="1" t="s">
        <v>44</v>
      </c>
      <c r="G1309" s="1" t="s">
        <v>5275</v>
      </c>
      <c r="H1309" s="1"/>
      <c r="I1309" s="1"/>
      <c r="J1309" s="1"/>
      <c r="K1309" s="1"/>
      <c r="L1309" s="1"/>
      <c r="M1309" s="1" t="s">
        <v>5276</v>
      </c>
      <c r="N1309" s="1" t="s">
        <v>135</v>
      </c>
      <c r="O1309" s="1" t="s">
        <v>2713</v>
      </c>
      <c r="P1309" s="1"/>
      <c r="Q1309" s="3">
        <v>36892.0</v>
      </c>
      <c r="R1309" s="1"/>
      <c r="S1309" s="1"/>
      <c r="T1309" s="1" t="s">
        <v>37</v>
      </c>
      <c r="U1309" s="1"/>
      <c r="V1309" s="1" t="s">
        <v>38</v>
      </c>
      <c r="W1309" s="1"/>
      <c r="X1309" s="1"/>
      <c r="Y1309" s="1" t="s">
        <v>49</v>
      </c>
      <c r="Z1309" s="1"/>
      <c r="AA1309" s="1" t="s">
        <v>40</v>
      </c>
      <c r="AB1309" s="1" t="s">
        <v>2715</v>
      </c>
      <c r="AC1309" s="1"/>
    </row>
    <row r="1310">
      <c r="A1310" s="1" t="str">
        <f>"00080W"</f>
        <v>00080W</v>
      </c>
      <c r="B1310" s="1" t="s">
        <v>5277</v>
      </c>
      <c r="C1310" s="1" t="s">
        <v>5278</v>
      </c>
      <c r="D1310" s="1" t="str">
        <f>"8022345653"</f>
        <v>8022345653</v>
      </c>
      <c r="E1310" s="1">
        <v>2578.0</v>
      </c>
      <c r="F1310" s="1" t="s">
        <v>44</v>
      </c>
      <c r="G1310" s="1" t="s">
        <v>5279</v>
      </c>
      <c r="H1310" s="1">
        <v>2.0</v>
      </c>
      <c r="I1310" s="1"/>
      <c r="J1310" s="1"/>
      <c r="K1310" s="1"/>
      <c r="L1310" s="1"/>
      <c r="M1310" s="1" t="s">
        <v>5280</v>
      </c>
      <c r="N1310" s="1" t="s">
        <v>34</v>
      </c>
      <c r="O1310" s="1" t="s">
        <v>150</v>
      </c>
      <c r="P1310" s="1"/>
      <c r="Q1310" s="3">
        <v>36892.0</v>
      </c>
      <c r="R1310" s="1"/>
      <c r="S1310" s="3">
        <v>34941.0</v>
      </c>
      <c r="T1310" s="1" t="s">
        <v>37</v>
      </c>
      <c r="U1310" s="1"/>
      <c r="V1310" s="1" t="s">
        <v>38</v>
      </c>
      <c r="W1310" s="1"/>
      <c r="X1310" s="1"/>
      <c r="Y1310" s="1" t="s">
        <v>49</v>
      </c>
      <c r="Z1310" s="1"/>
      <c r="AA1310" s="1" t="s">
        <v>40</v>
      </c>
      <c r="AB1310" s="1" t="s">
        <v>151</v>
      </c>
      <c r="AC1310" s="1"/>
    </row>
    <row r="1311">
      <c r="A1311" s="1" t="str">
        <f>"0007A9"</f>
        <v>0007A9</v>
      </c>
      <c r="B1311" s="1" t="s">
        <v>5281</v>
      </c>
      <c r="C1311" s="1" t="s">
        <v>5282</v>
      </c>
      <c r="D1311" s="1" t="str">
        <f>"8023622389"</f>
        <v>8023622389</v>
      </c>
      <c r="E1311" s="1">
        <v>3597.0</v>
      </c>
      <c r="F1311" s="1" t="s">
        <v>44</v>
      </c>
      <c r="G1311" s="1" t="s">
        <v>5283</v>
      </c>
      <c r="H1311" s="1">
        <v>0.0</v>
      </c>
      <c r="I1311" s="1"/>
      <c r="J1311" s="1"/>
      <c r="K1311" s="1"/>
      <c r="L1311" s="1"/>
      <c r="M1311" s="1" t="s">
        <v>72</v>
      </c>
      <c r="N1311" s="1" t="s">
        <v>414</v>
      </c>
      <c r="O1311" s="1" t="s">
        <v>415</v>
      </c>
      <c r="P1311" s="1"/>
      <c r="Q1311" s="3">
        <v>36892.0</v>
      </c>
      <c r="R1311" s="1"/>
      <c r="S1311" s="3">
        <v>38971.0</v>
      </c>
      <c r="T1311" s="1" t="s">
        <v>37</v>
      </c>
      <c r="U1311" s="1"/>
      <c r="V1311" s="1" t="s">
        <v>38</v>
      </c>
      <c r="W1311" s="1"/>
      <c r="X1311" s="1"/>
      <c r="Y1311" s="1" t="s">
        <v>49</v>
      </c>
      <c r="Z1311" s="1"/>
      <c r="AA1311" s="1" t="s">
        <v>40</v>
      </c>
      <c r="AB1311" s="1" t="s">
        <v>416</v>
      </c>
      <c r="AC1311" s="1"/>
    </row>
    <row r="1312">
      <c r="A1312" s="1" t="str">
        <f>"0007WB"</f>
        <v>0007WB</v>
      </c>
      <c r="B1312" s="1" t="s">
        <v>567</v>
      </c>
      <c r="C1312" s="1" t="s">
        <v>568</v>
      </c>
      <c r="D1312" s="1" t="str">
        <f>"8029895895"</f>
        <v>8029895895</v>
      </c>
      <c r="E1312" s="1">
        <v>2046.0</v>
      </c>
      <c r="F1312" s="1" t="s">
        <v>117</v>
      </c>
      <c r="G1312" s="1" t="s">
        <v>5284</v>
      </c>
      <c r="H1312" s="1">
        <v>15.0</v>
      </c>
      <c r="I1312" s="2" t="s">
        <v>119</v>
      </c>
      <c r="J1312" s="2" t="s">
        <v>119</v>
      </c>
      <c r="K1312" s="2" t="s">
        <v>119</v>
      </c>
      <c r="L1312" s="1"/>
      <c r="M1312" s="1" t="s">
        <v>5285</v>
      </c>
      <c r="N1312" s="1" t="s">
        <v>161</v>
      </c>
      <c r="O1312" s="1" t="s">
        <v>571</v>
      </c>
      <c r="P1312" s="1" t="s">
        <v>5286</v>
      </c>
      <c r="Q1312" s="3">
        <v>36892.0</v>
      </c>
      <c r="R1312" s="1"/>
      <c r="S1312" s="3">
        <v>38869.0</v>
      </c>
      <c r="T1312" s="1" t="s">
        <v>37</v>
      </c>
      <c r="U1312" s="1"/>
      <c r="V1312" s="1" t="s">
        <v>38</v>
      </c>
      <c r="W1312" s="1">
        <v>44.1076410658001</v>
      </c>
      <c r="X1312" s="1">
        <v>-72.995965629816</v>
      </c>
      <c r="Y1312" s="1" t="s">
        <v>5287</v>
      </c>
      <c r="Z1312" s="1"/>
      <c r="AA1312" s="1" t="s">
        <v>40</v>
      </c>
      <c r="AB1312" s="1" t="s">
        <v>573</v>
      </c>
      <c r="AC1312" s="1">
        <v>5443.0</v>
      </c>
    </row>
    <row r="1313">
      <c r="A1313" s="1" t="str">
        <f>"0007A7"</f>
        <v>0007A7</v>
      </c>
      <c r="B1313" s="1" t="s">
        <v>5288</v>
      </c>
      <c r="C1313" s="1" t="s">
        <v>5289</v>
      </c>
      <c r="D1313" s="1" t="str">
        <f>"8023851900"</f>
        <v>8023851900</v>
      </c>
      <c r="E1313" s="1">
        <v>3948.0</v>
      </c>
      <c r="F1313" s="1" t="s">
        <v>44</v>
      </c>
      <c r="G1313" s="1" t="s">
        <v>5290</v>
      </c>
      <c r="H1313" s="1">
        <v>1.0</v>
      </c>
      <c r="I1313" s="1"/>
      <c r="J1313" s="1"/>
      <c r="K1313" s="1"/>
      <c r="L1313" s="1"/>
      <c r="M1313" s="1" t="s">
        <v>72</v>
      </c>
      <c r="N1313" s="1" t="s">
        <v>161</v>
      </c>
      <c r="O1313" s="1" t="s">
        <v>943</v>
      </c>
      <c r="P1313" s="1"/>
      <c r="Q1313" s="3">
        <v>36892.0</v>
      </c>
      <c r="R1313" s="1"/>
      <c r="S1313" s="3">
        <v>39951.0</v>
      </c>
      <c r="T1313" s="1" t="s">
        <v>37</v>
      </c>
      <c r="U1313" s="1"/>
      <c r="V1313" s="1" t="s">
        <v>38</v>
      </c>
      <c r="W1313" s="1"/>
      <c r="X1313" s="1"/>
      <c r="Y1313" s="1" t="s">
        <v>49</v>
      </c>
      <c r="Z1313" s="1"/>
      <c r="AA1313" s="1" t="s">
        <v>40</v>
      </c>
      <c r="AB1313" s="1" t="s">
        <v>945</v>
      </c>
      <c r="AC1313" s="1"/>
    </row>
    <row r="1314">
      <c r="A1314" s="1" t="str">
        <f>"000760"</f>
        <v>000760</v>
      </c>
      <c r="B1314" s="1" t="s">
        <v>5291</v>
      </c>
      <c r="C1314" s="1" t="s">
        <v>5292</v>
      </c>
      <c r="D1314" s="1"/>
      <c r="E1314" s="1">
        <v>2927.0</v>
      </c>
      <c r="F1314" s="1" t="s">
        <v>44</v>
      </c>
      <c r="G1314" s="1" t="s">
        <v>5293</v>
      </c>
      <c r="H1314" s="1">
        <v>4.0</v>
      </c>
      <c r="I1314" s="1"/>
      <c r="J1314" s="1"/>
      <c r="K1314" s="1"/>
      <c r="L1314" s="1"/>
      <c r="M1314" s="1" t="s">
        <v>5294</v>
      </c>
      <c r="N1314" s="1" t="s">
        <v>135</v>
      </c>
      <c r="O1314" s="1" t="s">
        <v>440</v>
      </c>
      <c r="P1314" s="1"/>
      <c r="Q1314" s="3">
        <v>36892.0</v>
      </c>
      <c r="R1314" s="1"/>
      <c r="S1314" s="3">
        <v>34865.0</v>
      </c>
      <c r="T1314" s="1" t="s">
        <v>37</v>
      </c>
      <c r="U1314" s="1"/>
      <c r="V1314" s="1" t="s">
        <v>38</v>
      </c>
      <c r="W1314" s="1"/>
      <c r="X1314" s="1"/>
      <c r="Y1314" s="1" t="s">
        <v>49</v>
      </c>
      <c r="Z1314" s="1"/>
      <c r="AA1314" s="1" t="s">
        <v>40</v>
      </c>
      <c r="AB1314" s="1" t="s">
        <v>441</v>
      </c>
      <c r="AC1314" s="1"/>
    </row>
    <row r="1315">
      <c r="A1315" s="1" t="str">
        <f>"0007A2"</f>
        <v>0007A2</v>
      </c>
      <c r="B1315" s="1" t="s">
        <v>5295</v>
      </c>
      <c r="C1315" s="1" t="s">
        <v>5296</v>
      </c>
      <c r="D1315" s="1" t="str">
        <f>"8024671177"</f>
        <v>8024671177</v>
      </c>
      <c r="E1315" s="1">
        <v>3590.0</v>
      </c>
      <c r="F1315" s="1" t="s">
        <v>44</v>
      </c>
      <c r="G1315" s="1" t="s">
        <v>5297</v>
      </c>
      <c r="H1315" s="1">
        <v>0.0</v>
      </c>
      <c r="I1315" s="1"/>
      <c r="J1315" s="1"/>
      <c r="K1315" s="1"/>
      <c r="L1315" s="1"/>
      <c r="M1315" s="1" t="s">
        <v>72</v>
      </c>
      <c r="N1315" s="1" t="s">
        <v>128</v>
      </c>
      <c r="O1315" s="1" t="s">
        <v>2616</v>
      </c>
      <c r="P1315" s="1"/>
      <c r="Q1315" s="3">
        <v>36892.0</v>
      </c>
      <c r="R1315" s="1"/>
      <c r="S1315" s="1"/>
      <c r="T1315" s="1" t="s">
        <v>37</v>
      </c>
      <c r="U1315" s="1"/>
      <c r="V1315" s="1" t="s">
        <v>38</v>
      </c>
      <c r="W1315" s="1">
        <v>44.6741463405959</v>
      </c>
      <c r="X1315" s="1">
        <v>-71.951994895935</v>
      </c>
      <c r="Y1315" s="1" t="s">
        <v>5298</v>
      </c>
      <c r="Z1315" s="1"/>
      <c r="AA1315" s="1" t="s">
        <v>40</v>
      </c>
      <c r="AB1315" s="1" t="s">
        <v>2617</v>
      </c>
      <c r="AC1315" s="1">
        <v>5871.0</v>
      </c>
    </row>
    <row r="1316">
      <c r="A1316" s="1" t="str">
        <f>"0008GB"</f>
        <v>0008GB</v>
      </c>
      <c r="B1316" s="1" t="s">
        <v>5299</v>
      </c>
      <c r="C1316" s="1" t="s">
        <v>5300</v>
      </c>
      <c r="D1316" s="1" t="str">
        <f>"8029482615"</f>
        <v>8029482615</v>
      </c>
      <c r="E1316" s="1">
        <v>2706.0</v>
      </c>
      <c r="F1316" s="1" t="s">
        <v>117</v>
      </c>
      <c r="G1316" s="1" t="s">
        <v>5301</v>
      </c>
      <c r="H1316" s="1">
        <v>15.0</v>
      </c>
      <c r="I1316" s="2">
        <v>1.0</v>
      </c>
      <c r="J1316" s="2">
        <v>0.0</v>
      </c>
      <c r="K1316" s="2" t="s">
        <v>119</v>
      </c>
      <c r="L1316" s="1"/>
      <c r="M1316" s="1" t="s">
        <v>5302</v>
      </c>
      <c r="N1316" s="1" t="s">
        <v>161</v>
      </c>
      <c r="O1316" s="1" t="s">
        <v>531</v>
      </c>
      <c r="P1316" s="1" t="s">
        <v>5303</v>
      </c>
      <c r="Q1316" s="3">
        <v>36892.0</v>
      </c>
      <c r="R1316" s="1"/>
      <c r="S1316" s="3">
        <v>41937.0</v>
      </c>
      <c r="T1316" s="1" t="s">
        <v>37</v>
      </c>
      <c r="U1316" s="1"/>
      <c r="V1316" s="1" t="s">
        <v>38</v>
      </c>
      <c r="W1316" s="1">
        <v>43.8503009966617</v>
      </c>
      <c r="X1316" s="1">
        <v>-73.248920738697</v>
      </c>
      <c r="Y1316" s="1" t="s">
        <v>5304</v>
      </c>
      <c r="Z1316" s="1"/>
      <c r="AA1316" s="1" t="s">
        <v>40</v>
      </c>
      <c r="AB1316" s="1" t="s">
        <v>532</v>
      </c>
      <c r="AC1316" s="1">
        <v>5760.0</v>
      </c>
    </row>
    <row r="1317">
      <c r="A1317" s="1" t="str">
        <f>"0007A0"</f>
        <v>0007A0</v>
      </c>
      <c r="B1317" s="1" t="s">
        <v>5239</v>
      </c>
      <c r="C1317" s="1" t="s">
        <v>5240</v>
      </c>
      <c r="D1317" s="1"/>
      <c r="E1317" s="1">
        <v>505.0</v>
      </c>
      <c r="F1317" s="1" t="s">
        <v>44</v>
      </c>
      <c r="G1317" s="1" t="s">
        <v>5305</v>
      </c>
      <c r="H1317" s="1">
        <v>0.0</v>
      </c>
      <c r="I1317" s="1"/>
      <c r="J1317" s="1"/>
      <c r="K1317" s="1"/>
      <c r="L1317" s="1"/>
      <c r="M1317" s="1" t="s">
        <v>5306</v>
      </c>
      <c r="N1317" s="1" t="s">
        <v>34</v>
      </c>
      <c r="O1317" s="1" t="s">
        <v>1286</v>
      </c>
      <c r="P1317" s="1"/>
      <c r="Q1317" s="3">
        <v>36892.0</v>
      </c>
      <c r="R1317" s="1"/>
      <c r="S1317" s="3">
        <v>32337.0</v>
      </c>
      <c r="T1317" s="1" t="s">
        <v>37</v>
      </c>
      <c r="U1317" s="1"/>
      <c r="V1317" s="1" t="s">
        <v>38</v>
      </c>
      <c r="W1317" s="1">
        <v>43.704791</v>
      </c>
      <c r="X1317" s="1">
        <v>-72.5159287</v>
      </c>
      <c r="Y1317" s="1" t="s">
        <v>49</v>
      </c>
      <c r="Z1317" s="1"/>
      <c r="AA1317" s="1" t="s">
        <v>40</v>
      </c>
      <c r="AB1317" s="1" t="s">
        <v>1287</v>
      </c>
      <c r="AC1317" s="1">
        <v>5068.0</v>
      </c>
    </row>
    <row r="1318">
      <c r="A1318" s="1" t="str">
        <f>"0007VY"</f>
        <v>0007VY</v>
      </c>
      <c r="B1318" s="1" t="s">
        <v>5307</v>
      </c>
      <c r="C1318" s="1" t="s">
        <v>5308</v>
      </c>
      <c r="D1318" s="1" t="str">
        <f>"8028674090"</f>
        <v>8028674090</v>
      </c>
      <c r="E1318" s="1">
        <v>3088.0</v>
      </c>
      <c r="F1318" s="1" t="s">
        <v>44</v>
      </c>
      <c r="G1318" s="1" t="s">
        <v>5309</v>
      </c>
      <c r="H1318" s="1">
        <v>2.0</v>
      </c>
      <c r="I1318" s="1"/>
      <c r="J1318" s="1"/>
      <c r="K1318" s="1"/>
      <c r="L1318" s="1"/>
      <c r="M1318" s="1" t="s">
        <v>33</v>
      </c>
      <c r="N1318" s="1" t="s">
        <v>414</v>
      </c>
      <c r="O1318" s="1" t="s">
        <v>415</v>
      </c>
      <c r="P1318" s="1" t="s">
        <v>5310</v>
      </c>
      <c r="Q1318" s="3">
        <v>36892.0</v>
      </c>
      <c r="R1318" s="1"/>
      <c r="S1318" s="3">
        <v>37029.0</v>
      </c>
      <c r="T1318" s="1" t="s">
        <v>37</v>
      </c>
      <c r="U1318" s="1"/>
      <c r="V1318" s="1" t="s">
        <v>38</v>
      </c>
      <c r="W1318" s="1"/>
      <c r="X1318" s="1"/>
      <c r="Y1318" s="1" t="s">
        <v>49</v>
      </c>
      <c r="Z1318" s="1"/>
      <c r="AA1318" s="1" t="s">
        <v>40</v>
      </c>
      <c r="AB1318" s="1" t="s">
        <v>416</v>
      </c>
      <c r="AC1318" s="1"/>
    </row>
    <row r="1319">
      <c r="A1319" s="1" t="str">
        <f>"0008MM"</f>
        <v>0008MM</v>
      </c>
      <c r="B1319" s="1" t="s">
        <v>5311</v>
      </c>
      <c r="C1319" s="1" t="s">
        <v>5312</v>
      </c>
      <c r="D1319" s="1" t="str">
        <f>"8023723321"</f>
        <v>8023723321</v>
      </c>
      <c r="E1319" s="1">
        <v>3056.0</v>
      </c>
      <c r="F1319" s="1" t="s">
        <v>44</v>
      </c>
      <c r="G1319" s="1" t="s">
        <v>5313</v>
      </c>
      <c r="H1319" s="1">
        <v>2.0</v>
      </c>
      <c r="I1319" s="1"/>
      <c r="J1319" s="1"/>
      <c r="K1319" s="1"/>
      <c r="L1319" s="1"/>
      <c r="M1319" s="1" t="s">
        <v>72</v>
      </c>
      <c r="N1319" s="1" t="s">
        <v>107</v>
      </c>
      <c r="O1319" s="1" t="s">
        <v>724</v>
      </c>
      <c r="P1319" s="1"/>
      <c r="Q1319" s="3">
        <v>36892.0</v>
      </c>
      <c r="R1319" s="1"/>
      <c r="S1319" s="3">
        <v>36367.0</v>
      </c>
      <c r="T1319" s="1" t="s">
        <v>37</v>
      </c>
      <c r="U1319" s="1"/>
      <c r="V1319" s="1" t="s">
        <v>38</v>
      </c>
      <c r="W1319" s="1"/>
      <c r="X1319" s="1"/>
      <c r="Y1319" s="1" t="s">
        <v>49</v>
      </c>
      <c r="Z1319" s="1"/>
      <c r="AA1319" s="1" t="s">
        <v>40</v>
      </c>
      <c r="AB1319" s="1" t="s">
        <v>725</v>
      </c>
      <c r="AC1319" s="1"/>
    </row>
    <row r="1320">
      <c r="A1320" s="1" t="str">
        <f>"00079X"</f>
        <v>00079X</v>
      </c>
      <c r="B1320" s="1" t="s">
        <v>5314</v>
      </c>
      <c r="C1320" s="1" t="s">
        <v>5315</v>
      </c>
      <c r="D1320" s="1" t="str">
        <f>"8024572392"</f>
        <v>8024572392</v>
      </c>
      <c r="E1320" s="1">
        <v>500.0</v>
      </c>
      <c r="F1320" s="1" t="s">
        <v>117</v>
      </c>
      <c r="G1320" s="1" t="s">
        <v>5316</v>
      </c>
      <c r="H1320" s="1">
        <v>3.0</v>
      </c>
      <c r="I1320" s="2" t="s">
        <v>119</v>
      </c>
      <c r="J1320" s="2" t="s">
        <v>119</v>
      </c>
      <c r="K1320" s="2" t="s">
        <v>119</v>
      </c>
      <c r="L1320" s="1"/>
      <c r="M1320" s="1" t="s">
        <v>5317</v>
      </c>
      <c r="N1320" s="1" t="s">
        <v>34</v>
      </c>
      <c r="O1320" s="1" t="s">
        <v>1286</v>
      </c>
      <c r="P1320" s="1" t="s">
        <v>5318</v>
      </c>
      <c r="Q1320" s="3">
        <v>36892.0</v>
      </c>
      <c r="R1320" s="1"/>
      <c r="S1320" s="3">
        <v>42958.0</v>
      </c>
      <c r="T1320" s="1" t="s">
        <v>37</v>
      </c>
      <c r="U1320" s="1"/>
      <c r="V1320" s="1" t="s">
        <v>38</v>
      </c>
      <c r="W1320" s="1">
        <v>43.7228366999999</v>
      </c>
      <c r="X1320" s="1">
        <v>-72.4527914</v>
      </c>
      <c r="Y1320" s="1" t="s">
        <v>5319</v>
      </c>
      <c r="Z1320" s="1"/>
      <c r="AA1320" s="1" t="s">
        <v>40</v>
      </c>
      <c r="AB1320" s="1" t="s">
        <v>1287</v>
      </c>
      <c r="AC1320" s="1">
        <v>5084.0</v>
      </c>
    </row>
    <row r="1321">
      <c r="A1321" s="1" t="str">
        <f>"00079W"</f>
        <v>00079W</v>
      </c>
      <c r="B1321" s="1" t="s">
        <v>5320</v>
      </c>
      <c r="C1321" s="1" t="s">
        <v>5321</v>
      </c>
      <c r="D1321" s="1"/>
      <c r="E1321" s="1">
        <v>495.0</v>
      </c>
      <c r="F1321" s="1" t="s">
        <v>44</v>
      </c>
      <c r="G1321" s="1" t="s">
        <v>5322</v>
      </c>
      <c r="H1321" s="1">
        <v>2.0</v>
      </c>
      <c r="I1321" s="1"/>
      <c r="J1321" s="1"/>
      <c r="K1321" s="1"/>
      <c r="L1321" s="1"/>
      <c r="M1321" s="1" t="s">
        <v>5323</v>
      </c>
      <c r="N1321" s="1" t="s">
        <v>34</v>
      </c>
      <c r="O1321" s="1" t="s">
        <v>1286</v>
      </c>
      <c r="P1321" s="1"/>
      <c r="Q1321" s="3">
        <v>36892.0</v>
      </c>
      <c r="R1321" s="1"/>
      <c r="S1321" s="3">
        <v>32337.0</v>
      </c>
      <c r="T1321" s="1" t="s">
        <v>37</v>
      </c>
      <c r="U1321" s="1"/>
      <c r="V1321" s="1" t="s">
        <v>38</v>
      </c>
      <c r="W1321" s="1"/>
      <c r="X1321" s="1"/>
      <c r="Y1321" s="1" t="s">
        <v>49</v>
      </c>
      <c r="Z1321" s="1"/>
      <c r="AA1321" s="1" t="s">
        <v>40</v>
      </c>
      <c r="AB1321" s="1" t="s">
        <v>1287</v>
      </c>
      <c r="AC1321" s="1"/>
    </row>
    <row r="1322">
      <c r="A1322" s="1" t="str">
        <f>"000716"</f>
        <v>000716</v>
      </c>
      <c r="B1322" s="1" t="s">
        <v>5324</v>
      </c>
      <c r="C1322" s="1" t="s">
        <v>5325</v>
      </c>
      <c r="D1322" s="1"/>
      <c r="E1322" s="1">
        <v>84.0</v>
      </c>
      <c r="F1322" s="1" t="s">
        <v>44</v>
      </c>
      <c r="G1322" s="1" t="s">
        <v>5326</v>
      </c>
      <c r="H1322" s="1">
        <v>2.0</v>
      </c>
      <c r="I1322" s="1"/>
      <c r="J1322" s="1"/>
      <c r="K1322" s="1"/>
      <c r="L1322" s="1"/>
      <c r="M1322" s="1" t="s">
        <v>5327</v>
      </c>
      <c r="N1322" s="1" t="s">
        <v>34</v>
      </c>
      <c r="O1322" s="1" t="s">
        <v>1870</v>
      </c>
      <c r="P1322" s="1"/>
      <c r="Q1322" s="3">
        <v>36892.0</v>
      </c>
      <c r="R1322" s="1"/>
      <c r="S1322" s="3">
        <v>32365.0</v>
      </c>
      <c r="T1322" s="1" t="s">
        <v>37</v>
      </c>
      <c r="U1322" s="1"/>
      <c r="V1322" s="1" t="s">
        <v>38</v>
      </c>
      <c r="W1322" s="1"/>
      <c r="X1322" s="1"/>
      <c r="Y1322" s="1" t="s">
        <v>49</v>
      </c>
      <c r="Z1322" s="1"/>
      <c r="AA1322" s="1" t="s">
        <v>40</v>
      </c>
      <c r="AB1322" s="1" t="s">
        <v>5328</v>
      </c>
      <c r="AC1322" s="1"/>
    </row>
    <row r="1323">
      <c r="A1323" s="1" t="str">
        <f>"00079P"</f>
        <v>00079P</v>
      </c>
      <c r="B1323" s="1" t="s">
        <v>5329</v>
      </c>
      <c r="C1323" s="1" t="s">
        <v>5330</v>
      </c>
      <c r="D1323" s="1"/>
      <c r="E1323" s="1">
        <v>491.0</v>
      </c>
      <c r="F1323" s="1" t="s">
        <v>44</v>
      </c>
      <c r="G1323" s="1" t="s">
        <v>5331</v>
      </c>
      <c r="H1323" s="1">
        <v>0.0</v>
      </c>
      <c r="I1323" s="1"/>
      <c r="J1323" s="1"/>
      <c r="K1323" s="1"/>
      <c r="L1323" s="1"/>
      <c r="M1323" s="1" t="s">
        <v>5332</v>
      </c>
      <c r="N1323" s="1" t="s">
        <v>34</v>
      </c>
      <c r="O1323" s="1" t="s">
        <v>1237</v>
      </c>
      <c r="P1323" s="1"/>
      <c r="Q1323" s="3">
        <v>36892.0</v>
      </c>
      <c r="R1323" s="1"/>
      <c r="S1323" s="3">
        <v>32359.0</v>
      </c>
      <c r="T1323" s="1" t="s">
        <v>37</v>
      </c>
      <c r="U1323" s="1"/>
      <c r="V1323" s="1" t="s">
        <v>38</v>
      </c>
      <c r="W1323" s="1"/>
      <c r="X1323" s="1"/>
      <c r="Y1323" s="1" t="s">
        <v>49</v>
      </c>
      <c r="Z1323" s="1"/>
      <c r="AA1323" s="1" t="s">
        <v>40</v>
      </c>
      <c r="AB1323" s="1" t="s">
        <v>1238</v>
      </c>
      <c r="AC1323" s="1"/>
    </row>
    <row r="1324">
      <c r="A1324" s="1" t="str">
        <f>"00079N"</f>
        <v>00079N</v>
      </c>
      <c r="B1324" s="1" t="s">
        <v>1220</v>
      </c>
      <c r="C1324" s="1" t="s">
        <v>1221</v>
      </c>
      <c r="D1324" s="1" t="str">
        <f>"8022287936"</f>
        <v>8022287936</v>
      </c>
      <c r="E1324" s="1">
        <v>489.0</v>
      </c>
      <c r="F1324" s="1" t="s">
        <v>44</v>
      </c>
      <c r="G1324" s="1" t="s">
        <v>5333</v>
      </c>
      <c r="H1324" s="1">
        <v>2.0</v>
      </c>
      <c r="I1324" s="1"/>
      <c r="J1324" s="1"/>
      <c r="K1324" s="1"/>
      <c r="L1324" s="1"/>
      <c r="M1324" s="1" t="s">
        <v>5334</v>
      </c>
      <c r="N1324" s="1" t="s">
        <v>34</v>
      </c>
      <c r="O1324" s="1" t="s">
        <v>1237</v>
      </c>
      <c r="P1324" s="1"/>
      <c r="Q1324" s="3">
        <v>36892.0</v>
      </c>
      <c r="R1324" s="1"/>
      <c r="S1324" s="3">
        <v>32366.0</v>
      </c>
      <c r="T1324" s="1" t="s">
        <v>37</v>
      </c>
      <c r="U1324" s="1"/>
      <c r="V1324" s="1" t="s">
        <v>38</v>
      </c>
      <c r="W1324" s="1"/>
      <c r="X1324" s="1"/>
      <c r="Y1324" s="1" t="s">
        <v>49</v>
      </c>
      <c r="Z1324" s="1"/>
      <c r="AA1324" s="1" t="s">
        <v>40</v>
      </c>
      <c r="AB1324" s="1" t="s">
        <v>1238</v>
      </c>
      <c r="AC1324" s="1"/>
    </row>
    <row r="1325">
      <c r="A1325" s="1" t="str">
        <f>"0008MQ"</f>
        <v>0008MQ</v>
      </c>
      <c r="B1325" s="1" t="s">
        <v>5335</v>
      </c>
      <c r="C1325" s="1" t="s">
        <v>5336</v>
      </c>
      <c r="D1325" s="1" t="str">
        <f>"8024292572"</f>
        <v>8024292572</v>
      </c>
      <c r="E1325" s="1">
        <v>3153.0</v>
      </c>
      <c r="F1325" s="1" t="s">
        <v>44</v>
      </c>
      <c r="G1325" s="1" t="s">
        <v>5337</v>
      </c>
      <c r="H1325" s="1">
        <v>2.0</v>
      </c>
      <c r="I1325" s="1"/>
      <c r="J1325" s="1"/>
      <c r="K1325" s="1"/>
      <c r="L1325" s="1"/>
      <c r="M1325" s="1" t="s">
        <v>72</v>
      </c>
      <c r="N1325" s="1" t="s">
        <v>142</v>
      </c>
      <c r="O1325" s="1" t="s">
        <v>540</v>
      </c>
      <c r="P1325" s="1"/>
      <c r="Q1325" s="3">
        <v>36892.0</v>
      </c>
      <c r="R1325" s="1"/>
      <c r="S1325" s="3">
        <v>36318.0</v>
      </c>
      <c r="T1325" s="1" t="s">
        <v>37</v>
      </c>
      <c r="U1325" s="1"/>
      <c r="V1325" s="1" t="s">
        <v>38</v>
      </c>
      <c r="W1325" s="1"/>
      <c r="X1325" s="1"/>
      <c r="Y1325" s="1" t="s">
        <v>49</v>
      </c>
      <c r="Z1325" s="1"/>
      <c r="AA1325" s="1" t="s">
        <v>40</v>
      </c>
      <c r="AB1325" s="1" t="s">
        <v>541</v>
      </c>
      <c r="AC1325" s="1"/>
    </row>
    <row r="1326">
      <c r="A1326" s="1" t="str">
        <f>"00080W"</f>
        <v>00080W</v>
      </c>
      <c r="B1326" s="1" t="s">
        <v>5277</v>
      </c>
      <c r="C1326" s="1" t="s">
        <v>5278</v>
      </c>
      <c r="D1326" s="1" t="str">
        <f>"8022345653"</f>
        <v>8022345653</v>
      </c>
      <c r="E1326" s="1">
        <v>2578.0</v>
      </c>
      <c r="F1326" s="1" t="s">
        <v>44</v>
      </c>
      <c r="G1326" s="1" t="s">
        <v>5338</v>
      </c>
      <c r="H1326" s="1"/>
      <c r="I1326" s="1"/>
      <c r="J1326" s="1"/>
      <c r="K1326" s="1"/>
      <c r="L1326" s="1"/>
      <c r="M1326" s="1" t="s">
        <v>5339</v>
      </c>
      <c r="N1326" s="1" t="s">
        <v>34</v>
      </c>
      <c r="O1326" s="1" t="s">
        <v>4105</v>
      </c>
      <c r="P1326" s="1"/>
      <c r="Q1326" s="3">
        <v>36892.0</v>
      </c>
      <c r="R1326" s="1"/>
      <c r="S1326" s="1"/>
      <c r="T1326" s="1" t="s">
        <v>37</v>
      </c>
      <c r="U1326" s="1"/>
      <c r="V1326" s="1" t="s">
        <v>38</v>
      </c>
      <c r="W1326" s="1"/>
      <c r="X1326" s="1"/>
      <c r="Y1326" s="1" t="s">
        <v>49</v>
      </c>
      <c r="Z1326" s="1"/>
      <c r="AA1326" s="1" t="s">
        <v>40</v>
      </c>
      <c r="AB1326" s="1" t="s">
        <v>4106</v>
      </c>
      <c r="AC1326" s="1"/>
    </row>
    <row r="1327">
      <c r="A1327" s="1" t="str">
        <f>"0007X6"</f>
        <v>0007X6</v>
      </c>
      <c r="B1327" s="1" t="s">
        <v>5340</v>
      </c>
      <c r="C1327" s="1" t="s">
        <v>5341</v>
      </c>
      <c r="D1327" s="1"/>
      <c r="E1327" s="1">
        <v>2375.0</v>
      </c>
      <c r="F1327" s="1" t="s">
        <v>44</v>
      </c>
      <c r="G1327" s="1" t="s">
        <v>5342</v>
      </c>
      <c r="H1327" s="1">
        <v>1.0</v>
      </c>
      <c r="I1327" s="1"/>
      <c r="J1327" s="1"/>
      <c r="K1327" s="1"/>
      <c r="L1327" s="1"/>
      <c r="M1327" s="1" t="s">
        <v>5343</v>
      </c>
      <c r="N1327" s="1" t="s">
        <v>34</v>
      </c>
      <c r="O1327" s="1" t="s">
        <v>85</v>
      </c>
      <c r="P1327" s="1"/>
      <c r="Q1327" s="3">
        <v>36892.0</v>
      </c>
      <c r="R1327" s="1"/>
      <c r="S1327" s="3">
        <v>32738.0</v>
      </c>
      <c r="T1327" s="1" t="s">
        <v>37</v>
      </c>
      <c r="U1327" s="1"/>
      <c r="V1327" s="1" t="s">
        <v>38</v>
      </c>
      <c r="W1327" s="1"/>
      <c r="X1327" s="1"/>
      <c r="Y1327" s="1" t="s">
        <v>49</v>
      </c>
      <c r="Z1327" s="1"/>
      <c r="AA1327" s="1" t="s">
        <v>40</v>
      </c>
      <c r="AB1327" s="1" t="s">
        <v>86</v>
      </c>
      <c r="AC1327" s="1"/>
    </row>
    <row r="1328">
      <c r="A1328" s="1" t="str">
        <f>"00079J"</f>
        <v>00079J</v>
      </c>
      <c r="B1328" s="1" t="s">
        <v>5344</v>
      </c>
      <c r="C1328" s="1" t="s">
        <v>5345</v>
      </c>
      <c r="D1328" s="1"/>
      <c r="E1328" s="1">
        <v>480.0</v>
      </c>
      <c r="F1328" s="1" t="s">
        <v>44</v>
      </c>
      <c r="G1328" s="1" t="s">
        <v>5346</v>
      </c>
      <c r="H1328" s="1">
        <v>2.0</v>
      </c>
      <c r="I1328" s="1"/>
      <c r="J1328" s="1"/>
      <c r="K1328" s="1"/>
      <c r="L1328" s="1"/>
      <c r="M1328" s="1" t="s">
        <v>5347</v>
      </c>
      <c r="N1328" s="1" t="s">
        <v>34</v>
      </c>
      <c r="O1328" s="1" t="s">
        <v>85</v>
      </c>
      <c r="P1328" s="1"/>
      <c r="Q1328" s="3">
        <v>36892.0</v>
      </c>
      <c r="R1328" s="1"/>
      <c r="S1328" s="3">
        <v>32738.0</v>
      </c>
      <c r="T1328" s="1" t="s">
        <v>37</v>
      </c>
      <c r="U1328" s="1"/>
      <c r="V1328" s="1" t="s">
        <v>38</v>
      </c>
      <c r="W1328" s="1"/>
      <c r="X1328" s="1"/>
      <c r="Y1328" s="1" t="s">
        <v>49</v>
      </c>
      <c r="Z1328" s="1"/>
      <c r="AA1328" s="1" t="s">
        <v>40</v>
      </c>
      <c r="AB1328" s="1" t="s">
        <v>86</v>
      </c>
      <c r="AC1328" s="1"/>
    </row>
    <row r="1329">
      <c r="A1329" s="1" t="str">
        <f>"0007JY"</f>
        <v>0007JY</v>
      </c>
      <c r="B1329" s="1" t="s">
        <v>871</v>
      </c>
      <c r="C1329" s="1" t="s">
        <v>872</v>
      </c>
      <c r="D1329" s="1" t="str">
        <f>"8022732186"</f>
        <v>8022732186</v>
      </c>
      <c r="E1329" s="1">
        <v>848.0</v>
      </c>
      <c r="F1329" s="1" t="s">
        <v>44</v>
      </c>
      <c r="G1329" s="1" t="s">
        <v>5348</v>
      </c>
      <c r="H1329" s="1">
        <v>6.0</v>
      </c>
      <c r="I1329" s="1"/>
      <c r="J1329" s="1"/>
      <c r="K1329" s="1"/>
      <c r="L1329" s="1"/>
      <c r="M1329" s="1" t="s">
        <v>5349</v>
      </c>
      <c r="N1329" s="1" t="s">
        <v>161</v>
      </c>
      <c r="O1329" s="1" t="s">
        <v>586</v>
      </c>
      <c r="P1329" s="1"/>
      <c r="Q1329" s="3">
        <v>36892.0</v>
      </c>
      <c r="R1329" s="1"/>
      <c r="S1329" s="3">
        <v>41929.0</v>
      </c>
      <c r="T1329" s="1" t="s">
        <v>37</v>
      </c>
      <c r="U1329" s="1"/>
      <c r="V1329" s="1" t="s">
        <v>38</v>
      </c>
      <c r="W1329" s="1">
        <v>43.99797</v>
      </c>
      <c r="X1329" s="1">
        <v>-73.31786</v>
      </c>
      <c r="Y1329" s="1" t="s">
        <v>5350</v>
      </c>
      <c r="Z1329" s="1"/>
      <c r="AA1329" s="1" t="s">
        <v>40</v>
      </c>
      <c r="AB1329" s="1" t="s">
        <v>589</v>
      </c>
      <c r="AC1329" s="1">
        <v>0.0</v>
      </c>
    </row>
    <row r="1330">
      <c r="A1330" s="1" t="str">
        <f>"0008NQ"</f>
        <v>0008NQ</v>
      </c>
      <c r="B1330" s="1" t="s">
        <v>5351</v>
      </c>
      <c r="C1330" s="1" t="s">
        <v>5352</v>
      </c>
      <c r="D1330" s="1" t="str">
        <f>"8022232564"</f>
        <v>8022232564</v>
      </c>
      <c r="E1330" s="1">
        <v>3695.0</v>
      </c>
      <c r="F1330" s="1" t="s">
        <v>44</v>
      </c>
      <c r="G1330" s="1" t="s">
        <v>5353</v>
      </c>
      <c r="H1330" s="1">
        <v>2.0</v>
      </c>
      <c r="I1330" s="1"/>
      <c r="J1330" s="1"/>
      <c r="K1330" s="1"/>
      <c r="L1330" s="1"/>
      <c r="M1330" s="1" t="s">
        <v>72</v>
      </c>
      <c r="N1330" s="1" t="s">
        <v>135</v>
      </c>
      <c r="O1330" s="1" t="s">
        <v>1142</v>
      </c>
      <c r="P1330" s="1"/>
      <c r="Q1330" s="3">
        <v>36892.0</v>
      </c>
      <c r="R1330" s="1"/>
      <c r="S1330" s="3">
        <v>39980.0</v>
      </c>
      <c r="T1330" s="1" t="s">
        <v>37</v>
      </c>
      <c r="U1330" s="1"/>
      <c r="V1330" s="1" t="s">
        <v>38</v>
      </c>
      <c r="W1330" s="1"/>
      <c r="X1330" s="1"/>
      <c r="Y1330" s="1" t="s">
        <v>49</v>
      </c>
      <c r="Z1330" s="1"/>
      <c r="AA1330" s="1" t="s">
        <v>40</v>
      </c>
      <c r="AB1330" s="1" t="s">
        <v>1145</v>
      </c>
      <c r="AC1330" s="1"/>
    </row>
    <row r="1331">
      <c r="A1331" s="1" t="str">
        <f>"00079F"</f>
        <v>00079F</v>
      </c>
      <c r="B1331" s="1" t="s">
        <v>5354</v>
      </c>
      <c r="C1331" s="1" t="s">
        <v>5355</v>
      </c>
      <c r="D1331" s="1" t="str">
        <f>"8024845164"</f>
        <v>8024845164</v>
      </c>
      <c r="E1331" s="1">
        <v>2602.0</v>
      </c>
      <c r="F1331" s="1" t="s">
        <v>44</v>
      </c>
      <c r="G1331" s="1" t="s">
        <v>5356</v>
      </c>
      <c r="H1331" s="1"/>
      <c r="I1331" s="1"/>
      <c r="J1331" s="1"/>
      <c r="K1331" s="1"/>
      <c r="L1331" s="1"/>
      <c r="M1331" s="1" t="s">
        <v>5357</v>
      </c>
      <c r="N1331" s="1" t="s">
        <v>34</v>
      </c>
      <c r="O1331" s="1" t="s">
        <v>4105</v>
      </c>
      <c r="P1331" s="1"/>
      <c r="Q1331" s="3">
        <v>36892.0</v>
      </c>
      <c r="R1331" s="1"/>
      <c r="S1331" s="1"/>
      <c r="T1331" s="1" t="s">
        <v>37</v>
      </c>
      <c r="U1331" s="1"/>
      <c r="V1331" s="1" t="s">
        <v>38</v>
      </c>
      <c r="W1331" s="1"/>
      <c r="X1331" s="1"/>
      <c r="Y1331" s="1" t="s">
        <v>49</v>
      </c>
      <c r="Z1331" s="1"/>
      <c r="AA1331" s="1" t="s">
        <v>40</v>
      </c>
      <c r="AB1331" s="1" t="s">
        <v>4106</v>
      </c>
      <c r="AC1331" s="1"/>
    </row>
    <row r="1332">
      <c r="A1332" s="1" t="str">
        <f>"00079D"</f>
        <v>00079D</v>
      </c>
      <c r="B1332" s="1" t="s">
        <v>5358</v>
      </c>
      <c r="C1332" s="1" t="s">
        <v>5359</v>
      </c>
      <c r="D1332" s="1"/>
      <c r="E1332" s="1">
        <v>2597.0</v>
      </c>
      <c r="F1332" s="1" t="s">
        <v>44</v>
      </c>
      <c r="G1332" s="1" t="s">
        <v>5360</v>
      </c>
      <c r="H1332" s="1">
        <v>2.0</v>
      </c>
      <c r="I1332" s="1"/>
      <c r="J1332" s="1"/>
      <c r="K1332" s="1"/>
      <c r="L1332" s="1"/>
      <c r="M1332" s="1" t="s">
        <v>5361</v>
      </c>
      <c r="N1332" s="1" t="s">
        <v>34</v>
      </c>
      <c r="O1332" s="1" t="s">
        <v>85</v>
      </c>
      <c r="P1332" s="1"/>
      <c r="Q1332" s="3">
        <v>36892.0</v>
      </c>
      <c r="R1332" s="1"/>
      <c r="S1332" s="3">
        <v>32738.0</v>
      </c>
      <c r="T1332" s="1" t="s">
        <v>37</v>
      </c>
      <c r="U1332" s="1"/>
      <c r="V1332" s="1" t="s">
        <v>38</v>
      </c>
      <c r="W1332" s="1"/>
      <c r="X1332" s="1"/>
      <c r="Y1332" s="1" t="s">
        <v>49</v>
      </c>
      <c r="Z1332" s="1"/>
      <c r="AA1332" s="1" t="s">
        <v>40</v>
      </c>
      <c r="AB1332" s="1" t="s">
        <v>86</v>
      </c>
      <c r="AC1332" s="1"/>
    </row>
    <row r="1333">
      <c r="A1333" s="1" t="str">
        <f>"0008VQ"</f>
        <v>0008VQ</v>
      </c>
      <c r="B1333" s="1" t="s">
        <v>5362</v>
      </c>
      <c r="C1333" s="1" t="s">
        <v>5363</v>
      </c>
      <c r="D1333" s="1" t="str">
        <f>"8028794209"</f>
        <v>8028794209</v>
      </c>
      <c r="E1333" s="1">
        <v>3330.0</v>
      </c>
      <c r="F1333" s="1" t="s">
        <v>117</v>
      </c>
      <c r="G1333" s="1" t="s">
        <v>5364</v>
      </c>
      <c r="H1333" s="1">
        <v>2.0</v>
      </c>
      <c r="I1333" s="2">
        <v>0.0</v>
      </c>
      <c r="J1333" s="2">
        <v>0.0</v>
      </c>
      <c r="K1333" s="2" t="s">
        <v>829</v>
      </c>
      <c r="L1333" s="1"/>
      <c r="M1333" s="1" t="s">
        <v>5365</v>
      </c>
      <c r="N1333" s="1" t="s">
        <v>57</v>
      </c>
      <c r="O1333" s="1" t="s">
        <v>155</v>
      </c>
      <c r="P1333" s="1" t="s">
        <v>5366</v>
      </c>
      <c r="Q1333" s="3">
        <v>36892.0</v>
      </c>
      <c r="R1333" s="1"/>
      <c r="S1333" s="3">
        <v>37358.0</v>
      </c>
      <c r="T1333" s="1" t="s">
        <v>37</v>
      </c>
      <c r="U1333" s="1"/>
      <c r="V1333" s="1" t="s">
        <v>38</v>
      </c>
      <c r="W1333" s="1">
        <v>44.629992</v>
      </c>
      <c r="X1333" s="1">
        <v>-73.0215049999999</v>
      </c>
      <c r="Y1333" s="1" t="s">
        <v>5367</v>
      </c>
      <c r="Z1333" s="1"/>
      <c r="AA1333" s="1" t="s">
        <v>40</v>
      </c>
      <c r="AB1333" s="1" t="s">
        <v>156</v>
      </c>
      <c r="AC1333" s="1">
        <v>5494.0</v>
      </c>
    </row>
    <row r="1334">
      <c r="A1334" s="1" t="str">
        <f t="shared" ref="A1334:A1335" si="86">"00079C"</f>
        <v>00079C</v>
      </c>
      <c r="B1334" s="1" t="s">
        <v>5368</v>
      </c>
      <c r="C1334" s="1" t="s">
        <v>5369</v>
      </c>
      <c r="D1334" s="1" t="str">
        <f t="shared" ref="D1334:D1335" si="87">"8022956567"</f>
        <v>8022956567</v>
      </c>
      <c r="E1334" s="1">
        <v>472.0</v>
      </c>
      <c r="F1334" s="1" t="s">
        <v>44</v>
      </c>
      <c r="G1334" s="1" t="s">
        <v>5370</v>
      </c>
      <c r="H1334" s="1"/>
      <c r="I1334" s="1"/>
      <c r="J1334" s="1"/>
      <c r="K1334" s="1"/>
      <c r="L1334" s="1"/>
      <c r="M1334" s="1" t="s">
        <v>5371</v>
      </c>
      <c r="N1334" s="1" t="s">
        <v>34</v>
      </c>
      <c r="O1334" s="1" t="s">
        <v>85</v>
      </c>
      <c r="P1334" s="1"/>
      <c r="Q1334" s="3">
        <v>36892.0</v>
      </c>
      <c r="R1334" s="1"/>
      <c r="S1334" s="1"/>
      <c r="T1334" s="1" t="s">
        <v>37</v>
      </c>
      <c r="U1334" s="1"/>
      <c r="V1334" s="1" t="s">
        <v>38</v>
      </c>
      <c r="W1334" s="1"/>
      <c r="X1334" s="1"/>
      <c r="Y1334" s="1" t="s">
        <v>49</v>
      </c>
      <c r="Z1334" s="1"/>
      <c r="AA1334" s="1" t="s">
        <v>40</v>
      </c>
      <c r="AB1334" s="1" t="s">
        <v>86</v>
      </c>
      <c r="AC1334" s="1"/>
    </row>
    <row r="1335">
      <c r="A1335" s="1" t="str">
        <f t="shared" si="86"/>
        <v>00079C</v>
      </c>
      <c r="B1335" s="1" t="s">
        <v>5368</v>
      </c>
      <c r="C1335" s="1" t="s">
        <v>5369</v>
      </c>
      <c r="D1335" s="1" t="str">
        <f t="shared" si="87"/>
        <v>8022956567</v>
      </c>
      <c r="E1335" s="1">
        <v>472.0</v>
      </c>
      <c r="F1335" s="1" t="s">
        <v>44</v>
      </c>
      <c r="G1335" s="1" t="s">
        <v>5372</v>
      </c>
      <c r="H1335" s="1">
        <v>6.0</v>
      </c>
      <c r="I1335" s="1"/>
      <c r="J1335" s="1"/>
      <c r="K1335" s="1"/>
      <c r="L1335" s="1"/>
      <c r="M1335" s="1" t="s">
        <v>5373</v>
      </c>
      <c r="N1335" s="1" t="s">
        <v>34</v>
      </c>
      <c r="O1335" s="1" t="s">
        <v>85</v>
      </c>
      <c r="P1335" s="1"/>
      <c r="Q1335" s="3">
        <v>36892.0</v>
      </c>
      <c r="R1335" s="1"/>
      <c r="S1335" s="3">
        <v>32737.0</v>
      </c>
      <c r="T1335" s="1" t="s">
        <v>37</v>
      </c>
      <c r="U1335" s="1"/>
      <c r="V1335" s="1" t="s">
        <v>38</v>
      </c>
      <c r="W1335" s="1"/>
      <c r="X1335" s="1"/>
      <c r="Y1335" s="1" t="s">
        <v>49</v>
      </c>
      <c r="Z1335" s="1"/>
      <c r="AA1335" s="1" t="s">
        <v>40</v>
      </c>
      <c r="AB1335" s="1" t="s">
        <v>86</v>
      </c>
      <c r="AC1335" s="1"/>
    </row>
    <row r="1336">
      <c r="A1336" s="1" t="str">
        <f>"0007D1"</f>
        <v>0007D1</v>
      </c>
      <c r="B1336" s="1" t="s">
        <v>5374</v>
      </c>
      <c r="C1336" s="1" t="s">
        <v>5375</v>
      </c>
      <c r="D1336" s="1" t="str">
        <f>"8023621669"</f>
        <v>8023621669</v>
      </c>
      <c r="E1336" s="1">
        <v>2878.0</v>
      </c>
      <c r="F1336" s="1" t="s">
        <v>44</v>
      </c>
      <c r="G1336" s="1" t="s">
        <v>5376</v>
      </c>
      <c r="H1336" s="1">
        <v>4.0</v>
      </c>
      <c r="I1336" s="1"/>
      <c r="J1336" s="1"/>
      <c r="K1336" s="1"/>
      <c r="L1336" s="1"/>
      <c r="M1336" s="1" t="s">
        <v>5377</v>
      </c>
      <c r="N1336" s="1" t="s">
        <v>414</v>
      </c>
      <c r="O1336" s="1" t="s">
        <v>2880</v>
      </c>
      <c r="P1336" s="1"/>
      <c r="Q1336" s="3">
        <v>36892.0</v>
      </c>
      <c r="R1336" s="1"/>
      <c r="S1336" s="3">
        <v>36588.0</v>
      </c>
      <c r="T1336" s="1" t="s">
        <v>37</v>
      </c>
      <c r="U1336" s="1"/>
      <c r="V1336" s="1" t="s">
        <v>38</v>
      </c>
      <c r="W1336" s="1"/>
      <c r="X1336" s="1"/>
      <c r="Y1336" s="1" t="s">
        <v>49</v>
      </c>
      <c r="Z1336" s="1"/>
      <c r="AA1336" s="1" t="s">
        <v>40</v>
      </c>
      <c r="AB1336" s="1" t="s">
        <v>2881</v>
      </c>
      <c r="AC1336" s="1"/>
    </row>
    <row r="1337">
      <c r="A1337" s="1" t="str">
        <f>"00072X"</f>
        <v>00072X</v>
      </c>
      <c r="B1337" s="1" t="s">
        <v>5378</v>
      </c>
      <c r="C1337" s="1" t="s">
        <v>5379</v>
      </c>
      <c r="D1337" s="1" t="str">
        <f>"8025632629"</f>
        <v>8025632629</v>
      </c>
      <c r="E1337" s="1">
        <v>3581.0</v>
      </c>
      <c r="F1337" s="1" t="s">
        <v>44</v>
      </c>
      <c r="G1337" s="1" t="s">
        <v>5380</v>
      </c>
      <c r="H1337" s="1">
        <v>1.0</v>
      </c>
      <c r="I1337" s="1"/>
      <c r="J1337" s="1"/>
      <c r="K1337" s="1"/>
      <c r="L1337" s="1"/>
      <c r="M1337" s="1" t="s">
        <v>72</v>
      </c>
      <c r="N1337" s="1" t="s">
        <v>128</v>
      </c>
      <c r="O1337" s="1" t="s">
        <v>887</v>
      </c>
      <c r="P1337" s="1"/>
      <c r="Q1337" s="3">
        <v>36892.0</v>
      </c>
      <c r="R1337" s="1"/>
      <c r="S1337" s="3">
        <v>38931.0</v>
      </c>
      <c r="T1337" s="1" t="s">
        <v>37</v>
      </c>
      <c r="U1337" s="1"/>
      <c r="V1337" s="1" t="s">
        <v>38</v>
      </c>
      <c r="W1337" s="1"/>
      <c r="X1337" s="1"/>
      <c r="Y1337" s="1" t="s">
        <v>49</v>
      </c>
      <c r="Z1337" s="1"/>
      <c r="AA1337" s="1" t="s">
        <v>40</v>
      </c>
      <c r="AB1337" s="1" t="s">
        <v>888</v>
      </c>
      <c r="AC1337" s="1"/>
    </row>
    <row r="1338">
      <c r="A1338" s="1" t="str">
        <f>"000798"</f>
        <v>000798</v>
      </c>
      <c r="B1338" s="1" t="s">
        <v>5381</v>
      </c>
      <c r="C1338" s="1" t="s">
        <v>5382</v>
      </c>
      <c r="D1338" s="1"/>
      <c r="E1338" s="1">
        <v>467.0</v>
      </c>
      <c r="F1338" s="1" t="s">
        <v>44</v>
      </c>
      <c r="G1338" s="1" t="s">
        <v>5383</v>
      </c>
      <c r="H1338" s="1">
        <v>1.0</v>
      </c>
      <c r="I1338" s="1"/>
      <c r="J1338" s="1"/>
      <c r="K1338" s="1"/>
      <c r="L1338" s="1"/>
      <c r="M1338" s="1" t="s">
        <v>5384</v>
      </c>
      <c r="N1338" s="1" t="s">
        <v>34</v>
      </c>
      <c r="O1338" s="1" t="s">
        <v>85</v>
      </c>
      <c r="P1338" s="1"/>
      <c r="Q1338" s="3">
        <v>36892.0</v>
      </c>
      <c r="R1338" s="1"/>
      <c r="S1338" s="3">
        <v>32737.0</v>
      </c>
      <c r="T1338" s="1" t="s">
        <v>37</v>
      </c>
      <c r="U1338" s="1"/>
      <c r="V1338" s="1" t="s">
        <v>38</v>
      </c>
      <c r="W1338" s="1"/>
      <c r="X1338" s="1"/>
      <c r="Y1338" s="1" t="s">
        <v>49</v>
      </c>
      <c r="Z1338" s="1"/>
      <c r="AA1338" s="1" t="s">
        <v>40</v>
      </c>
      <c r="AB1338" s="1" t="s">
        <v>86</v>
      </c>
      <c r="AC1338" s="1"/>
    </row>
    <row r="1339">
      <c r="A1339" s="1" t="str">
        <f>"000797"</f>
        <v>000797</v>
      </c>
      <c r="B1339" s="1" t="s">
        <v>5385</v>
      </c>
      <c r="C1339" s="1" t="s">
        <v>5386</v>
      </c>
      <c r="D1339" s="1"/>
      <c r="E1339" s="1">
        <v>466.0</v>
      </c>
      <c r="F1339" s="1" t="s">
        <v>44</v>
      </c>
      <c r="G1339" s="1" t="s">
        <v>5387</v>
      </c>
      <c r="H1339" s="1">
        <v>1.0</v>
      </c>
      <c r="I1339" s="1"/>
      <c r="J1339" s="1"/>
      <c r="K1339" s="1"/>
      <c r="L1339" s="1"/>
      <c r="M1339" s="1" t="s">
        <v>425</v>
      </c>
      <c r="N1339" s="1" t="s">
        <v>34</v>
      </c>
      <c r="O1339" s="1" t="s">
        <v>85</v>
      </c>
      <c r="P1339" s="1"/>
      <c r="Q1339" s="3">
        <v>36892.0</v>
      </c>
      <c r="R1339" s="1"/>
      <c r="S1339" s="3">
        <v>32738.0</v>
      </c>
      <c r="T1339" s="1" t="s">
        <v>37</v>
      </c>
      <c r="U1339" s="1"/>
      <c r="V1339" s="1" t="s">
        <v>38</v>
      </c>
      <c r="W1339" s="1"/>
      <c r="X1339" s="1"/>
      <c r="Y1339" s="1" t="s">
        <v>49</v>
      </c>
      <c r="Z1339" s="1"/>
      <c r="AA1339" s="1" t="s">
        <v>40</v>
      </c>
      <c r="AB1339" s="1" t="s">
        <v>86</v>
      </c>
      <c r="AC1339" s="1"/>
    </row>
    <row r="1340">
      <c r="A1340" s="1" t="str">
        <f>"00072Q"</f>
        <v>00072Q</v>
      </c>
      <c r="B1340" s="1" t="s">
        <v>5388</v>
      </c>
      <c r="C1340" s="1" t="s">
        <v>5389</v>
      </c>
      <c r="D1340" s="1" t="str">
        <f>"8025868040"</f>
        <v>8025868040</v>
      </c>
      <c r="E1340" s="1">
        <v>3341.0</v>
      </c>
      <c r="F1340" s="1" t="s">
        <v>44</v>
      </c>
      <c r="G1340" s="1" t="s">
        <v>5390</v>
      </c>
      <c r="H1340" s="1"/>
      <c r="I1340" s="1"/>
      <c r="J1340" s="1"/>
      <c r="K1340" s="1"/>
      <c r="L1340" s="1"/>
      <c r="M1340" s="1" t="s">
        <v>5391</v>
      </c>
      <c r="N1340" s="1" t="s">
        <v>94</v>
      </c>
      <c r="O1340" s="1" t="s">
        <v>1688</v>
      </c>
      <c r="P1340" s="1"/>
      <c r="Q1340" s="3">
        <v>36892.0</v>
      </c>
      <c r="R1340" s="1"/>
      <c r="S1340" s="1"/>
      <c r="T1340" s="1" t="s">
        <v>37</v>
      </c>
      <c r="U1340" s="1"/>
      <c r="V1340" s="1" t="s">
        <v>38</v>
      </c>
      <c r="W1340" s="1"/>
      <c r="X1340" s="1"/>
      <c r="Y1340" s="1" t="s">
        <v>49</v>
      </c>
      <c r="Z1340" s="1"/>
      <c r="AA1340" s="1" t="s">
        <v>40</v>
      </c>
      <c r="AB1340" s="1" t="s">
        <v>1690</v>
      </c>
      <c r="AC1340" s="1"/>
    </row>
    <row r="1341">
      <c r="A1341" s="1" t="str">
        <f>"000740"</f>
        <v>000740</v>
      </c>
      <c r="B1341" s="1" t="s">
        <v>5392</v>
      </c>
      <c r="C1341" s="1" t="s">
        <v>5393</v>
      </c>
      <c r="D1341" s="1" t="str">
        <f>"8024632201"</f>
        <v>8024632201</v>
      </c>
      <c r="E1341" s="1">
        <v>3324.0</v>
      </c>
      <c r="F1341" s="1" t="s">
        <v>44</v>
      </c>
      <c r="G1341" s="1" t="s">
        <v>5394</v>
      </c>
      <c r="H1341" s="1"/>
      <c r="I1341" s="1"/>
      <c r="J1341" s="1"/>
      <c r="K1341" s="1"/>
      <c r="L1341" s="1"/>
      <c r="M1341" s="1" t="s">
        <v>72</v>
      </c>
      <c r="N1341" s="1" t="s">
        <v>66</v>
      </c>
      <c r="O1341" s="1" t="s">
        <v>1199</v>
      </c>
      <c r="P1341" s="1"/>
      <c r="Q1341" s="3">
        <v>36892.0</v>
      </c>
      <c r="R1341" s="1"/>
      <c r="S1341" s="1"/>
      <c r="T1341" s="1" t="s">
        <v>37</v>
      </c>
      <c r="U1341" s="1"/>
      <c r="V1341" s="1" t="s">
        <v>38</v>
      </c>
      <c r="W1341" s="1"/>
      <c r="X1341" s="1"/>
      <c r="Y1341" s="1" t="s">
        <v>49</v>
      </c>
      <c r="Z1341" s="1"/>
      <c r="AA1341" s="1" t="s">
        <v>40</v>
      </c>
      <c r="AB1341" s="1" t="s">
        <v>1200</v>
      </c>
      <c r="AC1341" s="1"/>
    </row>
    <row r="1342">
      <c r="A1342" s="1" t="str">
        <f>"000793"</f>
        <v>000793</v>
      </c>
      <c r="B1342" s="1" t="s">
        <v>5395</v>
      </c>
      <c r="C1342" s="1" t="s">
        <v>5396</v>
      </c>
      <c r="D1342" s="1" t="str">
        <f>"8024535985"</f>
        <v>8024535985</v>
      </c>
      <c r="E1342" s="1">
        <v>4008.0</v>
      </c>
      <c r="F1342" s="1" t="s">
        <v>44</v>
      </c>
      <c r="G1342" s="1" t="s">
        <v>5397</v>
      </c>
      <c r="H1342" s="1"/>
      <c r="I1342" s="1"/>
      <c r="J1342" s="1"/>
      <c r="K1342" s="1"/>
      <c r="L1342" s="1"/>
      <c r="M1342" s="1" t="s">
        <v>72</v>
      </c>
      <c r="N1342" s="1" t="s">
        <v>161</v>
      </c>
      <c r="O1342" s="1" t="s">
        <v>571</v>
      </c>
      <c r="P1342" s="1"/>
      <c r="Q1342" s="3">
        <v>36892.0</v>
      </c>
      <c r="R1342" s="1"/>
      <c r="S1342" s="1"/>
      <c r="T1342" s="1" t="s">
        <v>37</v>
      </c>
      <c r="U1342" s="1"/>
      <c r="V1342" s="1" t="s">
        <v>38</v>
      </c>
      <c r="W1342" s="1"/>
      <c r="X1342" s="1"/>
      <c r="Y1342" s="1" t="s">
        <v>49</v>
      </c>
      <c r="Z1342" s="1"/>
      <c r="AA1342" s="1" t="s">
        <v>40</v>
      </c>
      <c r="AB1342" s="1" t="s">
        <v>573</v>
      </c>
      <c r="AC1342" s="1"/>
    </row>
    <row r="1343">
      <c r="A1343" s="1" t="str">
        <f>"000792"</f>
        <v>000792</v>
      </c>
      <c r="B1343" s="1" t="s">
        <v>5398</v>
      </c>
      <c r="C1343" s="1" t="s">
        <v>5399</v>
      </c>
      <c r="D1343" s="1" t="str">
        <f>"8026492956"</f>
        <v>8026492956</v>
      </c>
      <c r="E1343" s="1">
        <v>455.0</v>
      </c>
      <c r="F1343" s="1" t="s">
        <v>44</v>
      </c>
      <c r="G1343" s="1" t="s">
        <v>5400</v>
      </c>
      <c r="H1343" s="1">
        <v>4.0</v>
      </c>
      <c r="I1343" s="1"/>
      <c r="J1343" s="1"/>
      <c r="K1343" s="1"/>
      <c r="L1343" s="1"/>
      <c r="M1343" s="1" t="s">
        <v>5401</v>
      </c>
      <c r="N1343" s="1" t="s">
        <v>34</v>
      </c>
      <c r="O1343" s="1" t="s">
        <v>463</v>
      </c>
      <c r="P1343" s="1"/>
      <c r="Q1343" s="3">
        <v>36892.0</v>
      </c>
      <c r="R1343" s="1"/>
      <c r="S1343" s="3">
        <v>35598.0</v>
      </c>
      <c r="T1343" s="1" t="s">
        <v>37</v>
      </c>
      <c r="U1343" s="1"/>
      <c r="V1343" s="1" t="s">
        <v>38</v>
      </c>
      <c r="W1343" s="1"/>
      <c r="X1343" s="1"/>
      <c r="Y1343" s="1" t="s">
        <v>49</v>
      </c>
      <c r="Z1343" s="1"/>
      <c r="AA1343" s="1" t="s">
        <v>40</v>
      </c>
      <c r="AB1343" s="1" t="s">
        <v>466</v>
      </c>
      <c r="AC1343" s="1">
        <v>0.0</v>
      </c>
    </row>
    <row r="1344">
      <c r="A1344" s="1" t="str">
        <f>"0008G9"</f>
        <v>0008G9</v>
      </c>
      <c r="B1344" s="1" t="s">
        <v>1850</v>
      </c>
      <c r="C1344" s="1" t="s">
        <v>1851</v>
      </c>
      <c r="D1344" s="1"/>
      <c r="E1344" s="1">
        <v>2594.0</v>
      </c>
      <c r="F1344" s="1" t="s">
        <v>44</v>
      </c>
      <c r="G1344" s="1" t="s">
        <v>5402</v>
      </c>
      <c r="H1344" s="1">
        <v>6.0</v>
      </c>
      <c r="I1344" s="1"/>
      <c r="J1344" s="1"/>
      <c r="K1344" s="1"/>
      <c r="L1344" s="1"/>
      <c r="M1344" s="1" t="s">
        <v>5403</v>
      </c>
      <c r="N1344" s="1" t="s">
        <v>57</v>
      </c>
      <c r="O1344" s="1" t="s">
        <v>238</v>
      </c>
      <c r="P1344" s="1"/>
      <c r="Q1344" s="3">
        <v>36892.0</v>
      </c>
      <c r="R1344" s="1"/>
      <c r="S1344" s="3">
        <v>33031.0</v>
      </c>
      <c r="T1344" s="1" t="s">
        <v>37</v>
      </c>
      <c r="U1344" s="1"/>
      <c r="V1344" s="1" t="s">
        <v>38</v>
      </c>
      <c r="W1344" s="1"/>
      <c r="X1344" s="1"/>
      <c r="Y1344" s="1" t="s">
        <v>49</v>
      </c>
      <c r="Z1344" s="1"/>
      <c r="AA1344" s="1" t="s">
        <v>40</v>
      </c>
      <c r="AB1344" s="1" t="s">
        <v>239</v>
      </c>
      <c r="AC1344" s="1"/>
    </row>
    <row r="1345">
      <c r="A1345" s="1" t="str">
        <f>"0008GA"</f>
        <v>0008GA</v>
      </c>
      <c r="B1345" s="1" t="s">
        <v>5404</v>
      </c>
      <c r="C1345" s="1" t="s">
        <v>5405</v>
      </c>
      <c r="D1345" s="1" t="str">
        <f>"8025253800"</f>
        <v>8025253800</v>
      </c>
      <c r="E1345" s="1">
        <v>2595.0</v>
      </c>
      <c r="F1345" s="1" t="s">
        <v>44</v>
      </c>
      <c r="G1345" s="1" t="s">
        <v>5406</v>
      </c>
      <c r="H1345" s="1">
        <v>9.0</v>
      </c>
      <c r="I1345" s="1"/>
      <c r="J1345" s="1"/>
      <c r="K1345" s="1"/>
      <c r="L1345" s="1"/>
      <c r="M1345" s="1" t="s">
        <v>5407</v>
      </c>
      <c r="N1345" s="1" t="s">
        <v>94</v>
      </c>
      <c r="O1345" s="1" t="s">
        <v>992</v>
      </c>
      <c r="P1345" s="1"/>
      <c r="Q1345" s="3">
        <v>36892.0</v>
      </c>
      <c r="R1345" s="1"/>
      <c r="S1345" s="3">
        <v>37032.0</v>
      </c>
      <c r="T1345" s="1" t="s">
        <v>37</v>
      </c>
      <c r="U1345" s="1"/>
      <c r="V1345" s="1" t="s">
        <v>38</v>
      </c>
      <c r="W1345" s="1"/>
      <c r="X1345" s="1"/>
      <c r="Y1345" s="1" t="s">
        <v>49</v>
      </c>
      <c r="Z1345" s="1"/>
      <c r="AA1345" s="1" t="s">
        <v>40</v>
      </c>
      <c r="AB1345" s="1" t="s">
        <v>994</v>
      </c>
      <c r="AC1345" s="1"/>
    </row>
    <row r="1346">
      <c r="A1346" s="1" t="str">
        <f t="shared" ref="A1346:A1347" si="88">"000790"</f>
        <v>000790</v>
      </c>
      <c r="B1346" s="1" t="s">
        <v>5408</v>
      </c>
      <c r="C1346" s="1" t="s">
        <v>5409</v>
      </c>
      <c r="D1346" s="1"/>
      <c r="E1346" s="1">
        <v>452.0</v>
      </c>
      <c r="F1346" s="1" t="s">
        <v>44</v>
      </c>
      <c r="G1346" s="1" t="s">
        <v>5410</v>
      </c>
      <c r="H1346" s="1">
        <v>3.0</v>
      </c>
      <c r="I1346" s="1"/>
      <c r="J1346" s="1"/>
      <c r="K1346" s="1"/>
      <c r="L1346" s="1"/>
      <c r="M1346" s="1" t="s">
        <v>5411</v>
      </c>
      <c r="N1346" s="1" t="s">
        <v>34</v>
      </c>
      <c r="O1346" s="1" t="s">
        <v>953</v>
      </c>
      <c r="P1346" s="1"/>
      <c r="Q1346" s="3">
        <v>36892.0</v>
      </c>
      <c r="R1346" s="1"/>
      <c r="S1346" s="3">
        <v>32972.0</v>
      </c>
      <c r="T1346" s="1" t="s">
        <v>37</v>
      </c>
      <c r="U1346" s="1"/>
      <c r="V1346" s="1" t="s">
        <v>38</v>
      </c>
      <c r="W1346" s="1"/>
      <c r="X1346" s="1"/>
      <c r="Y1346" s="1" t="s">
        <v>49</v>
      </c>
      <c r="Z1346" s="1"/>
      <c r="AA1346" s="1" t="s">
        <v>40</v>
      </c>
      <c r="AB1346" s="1" t="s">
        <v>954</v>
      </c>
      <c r="AC1346" s="1"/>
    </row>
    <row r="1347">
      <c r="A1347" s="1" t="str">
        <f t="shared" si="88"/>
        <v>000790</v>
      </c>
      <c r="B1347" s="1" t="s">
        <v>5408</v>
      </c>
      <c r="C1347" s="1" t="s">
        <v>5409</v>
      </c>
      <c r="D1347" s="1"/>
      <c r="E1347" s="1">
        <v>452.0</v>
      </c>
      <c r="F1347" s="1" t="s">
        <v>44</v>
      </c>
      <c r="G1347" s="1" t="s">
        <v>5412</v>
      </c>
      <c r="H1347" s="1">
        <v>5.0</v>
      </c>
      <c r="I1347" s="1"/>
      <c r="J1347" s="1"/>
      <c r="K1347" s="1"/>
      <c r="L1347" s="1"/>
      <c r="M1347" s="1" t="s">
        <v>72</v>
      </c>
      <c r="N1347" s="1" t="s">
        <v>34</v>
      </c>
      <c r="O1347" s="1" t="s">
        <v>953</v>
      </c>
      <c r="P1347" s="1"/>
      <c r="Q1347" s="3">
        <v>36892.0</v>
      </c>
      <c r="R1347" s="1"/>
      <c r="S1347" s="3">
        <v>32971.0</v>
      </c>
      <c r="T1347" s="1" t="s">
        <v>37</v>
      </c>
      <c r="U1347" s="1"/>
      <c r="V1347" s="1" t="s">
        <v>38</v>
      </c>
      <c r="W1347" s="1"/>
      <c r="X1347" s="1"/>
      <c r="Y1347" s="1" t="s">
        <v>49</v>
      </c>
      <c r="Z1347" s="1"/>
      <c r="AA1347" s="1" t="s">
        <v>40</v>
      </c>
      <c r="AB1347" s="1" t="s">
        <v>954</v>
      </c>
      <c r="AC1347" s="1"/>
    </row>
    <row r="1348">
      <c r="A1348" s="1" t="str">
        <f>"00078Y"</f>
        <v>00078Y</v>
      </c>
      <c r="B1348" s="1" t="s">
        <v>5413</v>
      </c>
      <c r="C1348" s="1" t="s">
        <v>5414</v>
      </c>
      <c r="D1348" s="1" t="str">
        <f>"8024571280"</f>
        <v>8024571280</v>
      </c>
      <c r="E1348" s="1">
        <v>449.0</v>
      </c>
      <c r="F1348" s="1" t="s">
        <v>44</v>
      </c>
      <c r="G1348" s="1" t="s">
        <v>5415</v>
      </c>
      <c r="H1348" s="1">
        <v>1.0</v>
      </c>
      <c r="I1348" s="1"/>
      <c r="J1348" s="1"/>
      <c r="K1348" s="1"/>
      <c r="L1348" s="1"/>
      <c r="M1348" s="1" t="s">
        <v>5416</v>
      </c>
      <c r="N1348" s="1" t="s">
        <v>34</v>
      </c>
      <c r="O1348" s="1" t="s">
        <v>953</v>
      </c>
      <c r="P1348" s="1"/>
      <c r="Q1348" s="3">
        <v>36892.0</v>
      </c>
      <c r="R1348" s="1"/>
      <c r="S1348" s="3">
        <v>32372.0</v>
      </c>
      <c r="T1348" s="1" t="s">
        <v>37</v>
      </c>
      <c r="U1348" s="1"/>
      <c r="V1348" s="1" t="s">
        <v>38</v>
      </c>
      <c r="W1348" s="1"/>
      <c r="X1348" s="1"/>
      <c r="Y1348" s="1" t="s">
        <v>49</v>
      </c>
      <c r="Z1348" s="1"/>
      <c r="AA1348" s="1" t="s">
        <v>40</v>
      </c>
      <c r="AB1348" s="1" t="s">
        <v>954</v>
      </c>
      <c r="AC1348" s="1"/>
    </row>
    <row r="1349">
      <c r="A1349" s="1" t="str">
        <f>"0008X6"</f>
        <v>0008X6</v>
      </c>
      <c r="B1349" s="1" t="s">
        <v>5417</v>
      </c>
      <c r="C1349" s="1" t="s">
        <v>5418</v>
      </c>
      <c r="D1349" s="1"/>
      <c r="E1349" s="1">
        <v>3422.0</v>
      </c>
      <c r="F1349" s="1" t="s">
        <v>44</v>
      </c>
      <c r="G1349" s="1" t="s">
        <v>5419</v>
      </c>
      <c r="H1349" s="1"/>
      <c r="I1349" s="1"/>
      <c r="J1349" s="1"/>
      <c r="K1349" s="1"/>
      <c r="L1349" s="1"/>
      <c r="M1349" s="1" t="s">
        <v>72</v>
      </c>
      <c r="N1349" s="1" t="s">
        <v>135</v>
      </c>
      <c r="O1349" s="1" t="s">
        <v>758</v>
      </c>
      <c r="P1349" s="1"/>
      <c r="Q1349" s="3">
        <v>36892.0</v>
      </c>
      <c r="R1349" s="1"/>
      <c r="S1349" s="1"/>
      <c r="T1349" s="1" t="s">
        <v>37</v>
      </c>
      <c r="U1349" s="1"/>
      <c r="V1349" s="1" t="s">
        <v>38</v>
      </c>
      <c r="W1349" s="1"/>
      <c r="X1349" s="1"/>
      <c r="Y1349" s="1" t="s">
        <v>49</v>
      </c>
      <c r="Z1349" s="1"/>
      <c r="AA1349" s="1" t="s">
        <v>40</v>
      </c>
      <c r="AB1349" s="1" t="s">
        <v>759</v>
      </c>
      <c r="AC1349" s="1"/>
    </row>
    <row r="1350">
      <c r="A1350" s="1" t="str">
        <f>"000754"</f>
        <v>000754</v>
      </c>
      <c r="B1350" s="1" t="s">
        <v>5420</v>
      </c>
      <c r="C1350" s="1" t="s">
        <v>5421</v>
      </c>
      <c r="D1350" s="1" t="str">
        <f>"8028936194"</f>
        <v>8028936194</v>
      </c>
      <c r="E1350" s="1">
        <v>3020.0</v>
      </c>
      <c r="F1350" s="1" t="s">
        <v>44</v>
      </c>
      <c r="G1350" s="1" t="s">
        <v>5422</v>
      </c>
      <c r="H1350" s="1">
        <v>10.0</v>
      </c>
      <c r="I1350" s="1"/>
      <c r="J1350" s="1"/>
      <c r="K1350" s="1"/>
      <c r="L1350" s="1"/>
      <c r="M1350" s="1" t="s">
        <v>5423</v>
      </c>
      <c r="N1350" s="1" t="s">
        <v>57</v>
      </c>
      <c r="O1350" s="1" t="s">
        <v>559</v>
      </c>
      <c r="P1350" s="1"/>
      <c r="Q1350" s="3">
        <v>36892.0</v>
      </c>
      <c r="R1350" s="1"/>
      <c r="S1350" s="3">
        <v>36315.0</v>
      </c>
      <c r="T1350" s="1" t="s">
        <v>37</v>
      </c>
      <c r="U1350" s="1"/>
      <c r="V1350" s="1" t="s">
        <v>38</v>
      </c>
      <c r="W1350" s="1"/>
      <c r="X1350" s="1"/>
      <c r="Y1350" s="1" t="s">
        <v>49</v>
      </c>
      <c r="Z1350" s="1"/>
      <c r="AA1350" s="1" t="s">
        <v>40</v>
      </c>
      <c r="AB1350" s="1" t="s">
        <v>560</v>
      </c>
      <c r="AC1350" s="1"/>
    </row>
    <row r="1351">
      <c r="A1351" s="1" t="str">
        <f>"00078W"</f>
        <v>00078W</v>
      </c>
      <c r="B1351" s="1" t="s">
        <v>5424</v>
      </c>
      <c r="C1351" s="1" t="s">
        <v>5425</v>
      </c>
      <c r="D1351" s="1"/>
      <c r="E1351" s="1">
        <v>445.0</v>
      </c>
      <c r="F1351" s="1" t="s">
        <v>44</v>
      </c>
      <c r="G1351" s="1" t="s">
        <v>5426</v>
      </c>
      <c r="H1351" s="1"/>
      <c r="I1351" s="1"/>
      <c r="J1351" s="1"/>
      <c r="K1351" s="1"/>
      <c r="L1351" s="1"/>
      <c r="M1351" s="1" t="s">
        <v>5427</v>
      </c>
      <c r="N1351" s="1" t="s">
        <v>34</v>
      </c>
      <c r="O1351" s="1" t="s">
        <v>953</v>
      </c>
      <c r="P1351" s="1"/>
      <c r="Q1351" s="3">
        <v>36892.0</v>
      </c>
      <c r="R1351" s="1"/>
      <c r="S1351" s="1"/>
      <c r="T1351" s="1" t="s">
        <v>37</v>
      </c>
      <c r="U1351" s="1"/>
      <c r="V1351" s="1" t="s">
        <v>38</v>
      </c>
      <c r="W1351" s="1"/>
      <c r="X1351" s="1"/>
      <c r="Y1351" s="1" t="s">
        <v>49</v>
      </c>
      <c r="Z1351" s="1"/>
      <c r="AA1351" s="1" t="s">
        <v>40</v>
      </c>
      <c r="AB1351" s="1" t="s">
        <v>954</v>
      </c>
      <c r="AC1351" s="1"/>
    </row>
    <row r="1352">
      <c r="A1352" s="1" t="str">
        <f>"00078V"</f>
        <v>00078V</v>
      </c>
      <c r="B1352" s="1" t="s">
        <v>5428</v>
      </c>
      <c r="C1352" s="1" t="s">
        <v>5429</v>
      </c>
      <c r="D1352" s="1"/>
      <c r="E1352" s="1">
        <v>443.0</v>
      </c>
      <c r="F1352" s="1" t="s">
        <v>44</v>
      </c>
      <c r="G1352" s="1" t="s">
        <v>5430</v>
      </c>
      <c r="H1352" s="1">
        <v>3.0</v>
      </c>
      <c r="I1352" s="1"/>
      <c r="J1352" s="1"/>
      <c r="K1352" s="1"/>
      <c r="L1352" s="1"/>
      <c r="M1352" s="1" t="s">
        <v>5431</v>
      </c>
      <c r="N1352" s="1" t="s">
        <v>34</v>
      </c>
      <c r="O1352" s="1" t="s">
        <v>953</v>
      </c>
      <c r="P1352" s="1"/>
      <c r="Q1352" s="3">
        <v>36892.0</v>
      </c>
      <c r="R1352" s="1"/>
      <c r="S1352" s="3">
        <v>32742.0</v>
      </c>
      <c r="T1352" s="1" t="s">
        <v>37</v>
      </c>
      <c r="U1352" s="1"/>
      <c r="V1352" s="1" t="s">
        <v>38</v>
      </c>
      <c r="W1352" s="1"/>
      <c r="X1352" s="1"/>
      <c r="Y1352" s="1" t="s">
        <v>49</v>
      </c>
      <c r="Z1352" s="1"/>
      <c r="AA1352" s="1" t="s">
        <v>40</v>
      </c>
      <c r="AB1352" s="1" t="s">
        <v>954</v>
      </c>
      <c r="AC1352" s="1"/>
    </row>
    <row r="1353">
      <c r="A1353" s="1" t="str">
        <f>"00078Q"</f>
        <v>00078Q</v>
      </c>
      <c r="B1353" s="1" t="s">
        <v>5432</v>
      </c>
      <c r="C1353" s="1" t="s">
        <v>5433</v>
      </c>
      <c r="D1353" s="1" t="str">
        <f>"8024263849"</f>
        <v>8024263849</v>
      </c>
      <c r="E1353" s="1">
        <v>3473.0</v>
      </c>
      <c r="F1353" s="1" t="s">
        <v>44</v>
      </c>
      <c r="G1353" s="1" t="s">
        <v>5434</v>
      </c>
      <c r="H1353" s="1">
        <v>0.0</v>
      </c>
      <c r="I1353" s="1"/>
      <c r="J1353" s="1"/>
      <c r="K1353" s="1"/>
      <c r="L1353" s="1"/>
      <c r="M1353" s="1" t="s">
        <v>72</v>
      </c>
      <c r="N1353" s="1" t="s">
        <v>135</v>
      </c>
      <c r="O1353" s="1" t="s">
        <v>1073</v>
      </c>
      <c r="P1353" s="1"/>
      <c r="Q1353" s="3">
        <v>36892.0</v>
      </c>
      <c r="R1353" s="1"/>
      <c r="S1353" s="1"/>
      <c r="T1353" s="1" t="s">
        <v>37</v>
      </c>
      <c r="U1353" s="1"/>
      <c r="V1353" s="1" t="s">
        <v>38</v>
      </c>
      <c r="W1353" s="1">
        <v>44.335766</v>
      </c>
      <c r="X1353" s="1">
        <v>-72.3892439999999</v>
      </c>
      <c r="Y1353" s="1" t="s">
        <v>5435</v>
      </c>
      <c r="Z1353" s="1"/>
      <c r="AA1353" s="1" t="s">
        <v>40</v>
      </c>
      <c r="AB1353" s="1" t="s">
        <v>1075</v>
      </c>
      <c r="AC1353" s="1">
        <v>5658.0</v>
      </c>
    </row>
    <row r="1354">
      <c r="A1354" s="1" t="str">
        <f>"00078K"</f>
        <v>00078K</v>
      </c>
      <c r="B1354" s="1" t="s">
        <v>5436</v>
      </c>
      <c r="C1354" s="1" t="s">
        <v>5437</v>
      </c>
      <c r="D1354" s="1" t="str">
        <f>"8028752160"</f>
        <v>8028752160</v>
      </c>
      <c r="E1354" s="1">
        <v>432.0</v>
      </c>
      <c r="F1354" s="1" t="s">
        <v>44</v>
      </c>
      <c r="G1354" s="1" t="s">
        <v>5438</v>
      </c>
      <c r="H1354" s="1">
        <v>1.0</v>
      </c>
      <c r="I1354" s="1"/>
      <c r="J1354" s="1"/>
      <c r="K1354" s="1"/>
      <c r="L1354" s="1"/>
      <c r="M1354" s="1" t="s">
        <v>72</v>
      </c>
      <c r="N1354" s="1" t="s">
        <v>34</v>
      </c>
      <c r="O1354" s="1" t="s">
        <v>565</v>
      </c>
      <c r="P1354" s="1"/>
      <c r="Q1354" s="3">
        <v>36892.0</v>
      </c>
      <c r="R1354" s="1"/>
      <c r="S1354" s="3">
        <v>35193.0</v>
      </c>
      <c r="T1354" s="1" t="s">
        <v>37</v>
      </c>
      <c r="U1354" s="1"/>
      <c r="V1354" s="1" t="s">
        <v>38</v>
      </c>
      <c r="W1354" s="1"/>
      <c r="X1354" s="1"/>
      <c r="Y1354" s="1" t="s">
        <v>49</v>
      </c>
      <c r="Z1354" s="1"/>
      <c r="AA1354" s="1" t="s">
        <v>40</v>
      </c>
      <c r="AB1354" s="1" t="s">
        <v>566</v>
      </c>
      <c r="AC1354" s="1"/>
    </row>
    <row r="1355">
      <c r="A1355" s="1" t="str">
        <f>"00078J"</f>
        <v>00078J</v>
      </c>
      <c r="B1355" s="1" t="s">
        <v>5439</v>
      </c>
      <c r="C1355" s="1" t="s">
        <v>5440</v>
      </c>
      <c r="D1355" s="1" t="str">
        <f>"8022225587"</f>
        <v>8022225587</v>
      </c>
      <c r="E1355" s="1">
        <v>2917.0</v>
      </c>
      <c r="F1355" s="1" t="s">
        <v>44</v>
      </c>
      <c r="G1355" s="1" t="s">
        <v>5441</v>
      </c>
      <c r="H1355" s="1"/>
      <c r="I1355" s="1"/>
      <c r="J1355" s="1"/>
      <c r="K1355" s="1"/>
      <c r="L1355" s="1"/>
      <c r="M1355" s="1" t="s">
        <v>72</v>
      </c>
      <c r="N1355" s="1" t="s">
        <v>142</v>
      </c>
      <c r="O1355" s="1" t="s">
        <v>227</v>
      </c>
      <c r="P1355" s="1"/>
      <c r="Q1355" s="3">
        <v>36892.0</v>
      </c>
      <c r="R1355" s="1"/>
      <c r="S1355" s="1"/>
      <c r="T1355" s="1" t="s">
        <v>37</v>
      </c>
      <c r="U1355" s="1"/>
      <c r="V1355" s="1" t="s">
        <v>38</v>
      </c>
      <c r="W1355" s="1"/>
      <c r="X1355" s="1"/>
      <c r="Y1355" s="1" t="s">
        <v>49</v>
      </c>
      <c r="Z1355" s="1"/>
      <c r="AA1355" s="1" t="s">
        <v>40</v>
      </c>
      <c r="AB1355" s="1" t="s">
        <v>228</v>
      </c>
      <c r="AC1355" s="1"/>
    </row>
    <row r="1356">
      <c r="A1356" s="1" t="str">
        <f>"00078H"</f>
        <v>00078H</v>
      </c>
      <c r="B1356" s="1" t="s">
        <v>5442</v>
      </c>
      <c r="C1356" s="1" t="s">
        <v>5443</v>
      </c>
      <c r="D1356" s="1" t="str">
        <f>"8028752125"</f>
        <v>8028752125</v>
      </c>
      <c r="E1356" s="1">
        <v>2553.0</v>
      </c>
      <c r="F1356" s="1" t="s">
        <v>44</v>
      </c>
      <c r="G1356" s="1" t="s">
        <v>5444</v>
      </c>
      <c r="H1356" s="1">
        <v>3.0</v>
      </c>
      <c r="I1356" s="1"/>
      <c r="J1356" s="1"/>
      <c r="K1356" s="1"/>
      <c r="L1356" s="1"/>
      <c r="M1356" s="1" t="s">
        <v>5445</v>
      </c>
      <c r="N1356" s="1" t="s">
        <v>34</v>
      </c>
      <c r="O1356" s="1" t="s">
        <v>565</v>
      </c>
      <c r="P1356" s="1"/>
      <c r="Q1356" s="3">
        <v>36892.0</v>
      </c>
      <c r="R1356" s="1"/>
      <c r="S1356" s="3">
        <v>32358.0</v>
      </c>
      <c r="T1356" s="1" t="s">
        <v>37</v>
      </c>
      <c r="U1356" s="1"/>
      <c r="V1356" s="1" t="s">
        <v>38</v>
      </c>
      <c r="W1356" s="1"/>
      <c r="X1356" s="1"/>
      <c r="Y1356" s="1" t="s">
        <v>49</v>
      </c>
      <c r="Z1356" s="1"/>
      <c r="AA1356" s="1" t="s">
        <v>40</v>
      </c>
      <c r="AB1356" s="1" t="s">
        <v>566</v>
      </c>
      <c r="AC1356" s="1"/>
    </row>
    <row r="1357">
      <c r="A1357" s="1" t="str">
        <f>"000770"</f>
        <v>000770</v>
      </c>
      <c r="B1357" s="1" t="s">
        <v>5446</v>
      </c>
      <c r="C1357" s="1" t="s">
        <v>5447</v>
      </c>
      <c r="D1357" s="1" t="str">
        <f>"8022953785"</f>
        <v>8022953785</v>
      </c>
      <c r="E1357" s="1">
        <v>3101.0</v>
      </c>
      <c r="F1357" s="1" t="s">
        <v>44</v>
      </c>
      <c r="G1357" s="1" t="s">
        <v>5448</v>
      </c>
      <c r="H1357" s="1">
        <v>4.0</v>
      </c>
      <c r="I1357" s="1"/>
      <c r="J1357" s="1"/>
      <c r="K1357" s="1"/>
      <c r="L1357" s="1"/>
      <c r="M1357" s="1" t="s">
        <v>72</v>
      </c>
      <c r="N1357" s="1" t="s">
        <v>34</v>
      </c>
      <c r="O1357" s="1" t="s">
        <v>953</v>
      </c>
      <c r="P1357" s="1" t="s">
        <v>36</v>
      </c>
      <c r="Q1357" s="3">
        <v>36892.0</v>
      </c>
      <c r="R1357" s="1"/>
      <c r="S1357" s="3">
        <v>40336.0</v>
      </c>
      <c r="T1357" s="1" t="s">
        <v>37</v>
      </c>
      <c r="U1357" s="1"/>
      <c r="V1357" s="1" t="s">
        <v>38</v>
      </c>
      <c r="W1357" s="1"/>
      <c r="X1357" s="1"/>
      <c r="Y1357" s="1" t="s">
        <v>49</v>
      </c>
      <c r="Z1357" s="1"/>
      <c r="AA1357" s="1" t="s">
        <v>40</v>
      </c>
      <c r="AB1357" s="1" t="s">
        <v>954</v>
      </c>
      <c r="AC1357" s="1"/>
    </row>
    <row r="1358">
      <c r="A1358" s="1" t="str">
        <f>"0008XQ"</f>
        <v>0008XQ</v>
      </c>
      <c r="B1358" s="1" t="s">
        <v>5449</v>
      </c>
      <c r="C1358" s="1" t="s">
        <v>5450</v>
      </c>
      <c r="D1358" s="1" t="str">
        <f>"8028883770"</f>
        <v>8028883770</v>
      </c>
      <c r="E1358" s="1">
        <v>3446.0</v>
      </c>
      <c r="F1358" s="1" t="s">
        <v>44</v>
      </c>
      <c r="G1358" s="1" t="s">
        <v>5451</v>
      </c>
      <c r="H1358" s="1"/>
      <c r="I1358" s="1"/>
      <c r="J1358" s="1"/>
      <c r="K1358" s="1"/>
      <c r="L1358" s="1"/>
      <c r="M1358" s="1" t="s">
        <v>72</v>
      </c>
      <c r="N1358" s="1" t="s">
        <v>213</v>
      </c>
      <c r="O1358" s="1" t="s">
        <v>365</v>
      </c>
      <c r="P1358" s="1"/>
      <c r="Q1358" s="3">
        <v>36892.0</v>
      </c>
      <c r="R1358" s="1"/>
      <c r="S1358" s="1"/>
      <c r="T1358" s="1" t="s">
        <v>37</v>
      </c>
      <c r="U1358" s="1"/>
      <c r="V1358" s="1" t="s">
        <v>38</v>
      </c>
      <c r="W1358" s="1"/>
      <c r="X1358" s="1"/>
      <c r="Y1358" s="1" t="s">
        <v>49</v>
      </c>
      <c r="Z1358" s="1"/>
      <c r="AA1358" s="1" t="s">
        <v>40</v>
      </c>
      <c r="AB1358" s="1" t="s">
        <v>366</v>
      </c>
      <c r="AC1358" s="1"/>
    </row>
    <row r="1359">
      <c r="A1359" s="1" t="str">
        <f>"00078C"</f>
        <v>00078C</v>
      </c>
      <c r="B1359" s="1" t="s">
        <v>5452</v>
      </c>
      <c r="C1359" s="1" t="s">
        <v>5453</v>
      </c>
      <c r="D1359" s="1" t="str">
        <f>"8023624452"</f>
        <v>8023624452</v>
      </c>
      <c r="E1359" s="1">
        <v>3472.0</v>
      </c>
      <c r="F1359" s="1" t="s">
        <v>44</v>
      </c>
      <c r="G1359" s="1" t="s">
        <v>5454</v>
      </c>
      <c r="H1359" s="1">
        <v>7.0</v>
      </c>
      <c r="I1359" s="1"/>
      <c r="J1359" s="1"/>
      <c r="K1359" s="1"/>
      <c r="L1359" s="1"/>
      <c r="M1359" s="1" t="s">
        <v>72</v>
      </c>
      <c r="N1359" s="1" t="s">
        <v>414</v>
      </c>
      <c r="O1359" s="1" t="s">
        <v>415</v>
      </c>
      <c r="P1359" s="1"/>
      <c r="Q1359" s="3">
        <v>36892.0</v>
      </c>
      <c r="R1359" s="1"/>
      <c r="S1359" s="3">
        <v>39640.0</v>
      </c>
      <c r="T1359" s="1" t="s">
        <v>37</v>
      </c>
      <c r="U1359" s="1"/>
      <c r="V1359" s="1" t="s">
        <v>38</v>
      </c>
      <c r="W1359" s="1"/>
      <c r="X1359" s="1"/>
      <c r="Y1359" s="1" t="s">
        <v>49</v>
      </c>
      <c r="Z1359" s="1"/>
      <c r="AA1359" s="1" t="s">
        <v>40</v>
      </c>
      <c r="AB1359" s="1" t="s">
        <v>416</v>
      </c>
      <c r="AC1359" s="1"/>
    </row>
    <row r="1360">
      <c r="A1360" s="1" t="str">
        <f>"000862"</f>
        <v>000862</v>
      </c>
      <c r="B1360" s="1" t="s">
        <v>5455</v>
      </c>
      <c r="C1360" s="1" t="s">
        <v>5456</v>
      </c>
      <c r="D1360" s="1" t="str">
        <f>"8023486632"</f>
        <v>8023486632</v>
      </c>
      <c r="E1360" s="1">
        <v>3946.0</v>
      </c>
      <c r="F1360" s="1" t="s">
        <v>117</v>
      </c>
      <c r="G1360" s="1" t="s">
        <v>5457</v>
      </c>
      <c r="H1360" s="1">
        <v>1.0</v>
      </c>
      <c r="I1360" s="2">
        <v>4.0</v>
      </c>
      <c r="J1360" s="2">
        <v>4.0</v>
      </c>
      <c r="K1360" s="2" t="s">
        <v>119</v>
      </c>
      <c r="L1360" s="2" t="s">
        <v>2117</v>
      </c>
      <c r="M1360" s="1" t="s">
        <v>5458</v>
      </c>
      <c r="N1360" s="1" t="s">
        <v>66</v>
      </c>
      <c r="O1360" s="1" t="s">
        <v>389</v>
      </c>
      <c r="P1360" s="1" t="s">
        <v>5459</v>
      </c>
      <c r="Q1360" s="3">
        <v>36892.0</v>
      </c>
      <c r="R1360" s="1"/>
      <c r="S1360" s="3">
        <v>39646.0</v>
      </c>
      <c r="T1360" s="1" t="s">
        <v>37</v>
      </c>
      <c r="U1360" s="1"/>
      <c r="V1360" s="1" t="s">
        <v>38</v>
      </c>
      <c r="W1360" s="1">
        <v>42.944439</v>
      </c>
      <c r="X1360" s="1">
        <v>-72.6824709999999</v>
      </c>
      <c r="Y1360" s="1" t="s">
        <v>5460</v>
      </c>
      <c r="Z1360" s="1"/>
      <c r="AA1360" s="1" t="s">
        <v>40</v>
      </c>
      <c r="AB1360" s="1" t="s">
        <v>5461</v>
      </c>
      <c r="AC1360" s="1">
        <v>5146.0</v>
      </c>
    </row>
    <row r="1361">
      <c r="A1361" s="1" t="str">
        <f>"00078A"</f>
        <v>00078A</v>
      </c>
      <c r="B1361" s="1" t="s">
        <v>5462</v>
      </c>
      <c r="C1361" s="1" t="s">
        <v>5463</v>
      </c>
      <c r="D1361" s="1" t="str">
        <f>"8023253263"</f>
        <v>8023253263</v>
      </c>
      <c r="E1361" s="1">
        <v>2556.0</v>
      </c>
      <c r="F1361" s="1" t="s">
        <v>44</v>
      </c>
      <c r="G1361" s="1" t="s">
        <v>5464</v>
      </c>
      <c r="H1361" s="1">
        <v>5.0</v>
      </c>
      <c r="I1361" s="2">
        <v>3.0</v>
      </c>
      <c r="J1361" s="2">
        <v>3.0</v>
      </c>
      <c r="K1361" s="2" t="s">
        <v>119</v>
      </c>
      <c r="L1361" s="2" t="s">
        <v>2117</v>
      </c>
      <c r="M1361" s="1" t="s">
        <v>425</v>
      </c>
      <c r="N1361" s="1" t="s">
        <v>78</v>
      </c>
      <c r="O1361" s="1" t="s">
        <v>434</v>
      </c>
      <c r="P1361" s="1"/>
      <c r="Q1361" s="3">
        <v>36892.0</v>
      </c>
      <c r="R1361" s="1"/>
      <c r="S1361" s="3">
        <v>34185.0</v>
      </c>
      <c r="T1361" s="1" t="s">
        <v>37</v>
      </c>
      <c r="U1361" s="1"/>
      <c r="V1361" s="1" t="s">
        <v>38</v>
      </c>
      <c r="W1361" s="1"/>
      <c r="X1361" s="1"/>
      <c r="Y1361" s="1" t="s">
        <v>49</v>
      </c>
      <c r="Z1361" s="1"/>
      <c r="AA1361" s="1" t="s">
        <v>40</v>
      </c>
      <c r="AB1361" s="1" t="s">
        <v>435</v>
      </c>
      <c r="AC1361" s="1"/>
    </row>
    <row r="1362">
      <c r="A1362" s="1" t="str">
        <f>"0008JV"</f>
        <v>0008JV</v>
      </c>
      <c r="B1362" s="1" t="s">
        <v>459</v>
      </c>
      <c r="C1362" s="1" t="s">
        <v>460</v>
      </c>
      <c r="D1362" s="1" t="str">
        <f>"8026492200"</f>
        <v>8026492200</v>
      </c>
      <c r="E1362" s="1">
        <v>2802.0</v>
      </c>
      <c r="F1362" s="1" t="s">
        <v>117</v>
      </c>
      <c r="G1362" s="1" t="s">
        <v>5465</v>
      </c>
      <c r="H1362" s="1">
        <v>0.0</v>
      </c>
      <c r="I1362" s="2" t="s">
        <v>119</v>
      </c>
      <c r="J1362" s="2" t="s">
        <v>119</v>
      </c>
      <c r="K1362" s="2" t="s">
        <v>119</v>
      </c>
      <c r="L1362" s="1"/>
      <c r="M1362" s="1" t="s">
        <v>5466</v>
      </c>
      <c r="N1362" s="1" t="s">
        <v>34</v>
      </c>
      <c r="O1362" s="1" t="s">
        <v>463</v>
      </c>
      <c r="P1362" s="1"/>
      <c r="Q1362" s="3">
        <v>36892.0</v>
      </c>
      <c r="R1362" s="3">
        <v>42522.0</v>
      </c>
      <c r="S1362" s="3">
        <v>38448.0</v>
      </c>
      <c r="T1362" s="1" t="s">
        <v>37</v>
      </c>
      <c r="U1362" s="1"/>
      <c r="V1362" s="1" t="s">
        <v>38</v>
      </c>
      <c r="W1362" s="1"/>
      <c r="X1362" s="1"/>
      <c r="Y1362" s="1" t="s">
        <v>49</v>
      </c>
      <c r="Z1362" s="1"/>
      <c r="AA1362" s="1" t="s">
        <v>40</v>
      </c>
      <c r="AB1362" s="1" t="s">
        <v>466</v>
      </c>
      <c r="AC1362" s="1">
        <v>5055.0</v>
      </c>
    </row>
    <row r="1363">
      <c r="A1363" s="1" t="str">
        <f>"0008YD"</f>
        <v>0008YD</v>
      </c>
      <c r="B1363" s="1" t="s">
        <v>5467</v>
      </c>
      <c r="C1363" s="1" t="s">
        <v>5468</v>
      </c>
      <c r="D1363" s="1" t="str">
        <f>"8024463582"</f>
        <v>8024463582</v>
      </c>
      <c r="E1363" s="1">
        <v>3489.0</v>
      </c>
      <c r="F1363" s="1" t="s">
        <v>117</v>
      </c>
      <c r="G1363" s="1" t="s">
        <v>5469</v>
      </c>
      <c r="H1363" s="1">
        <v>1.0</v>
      </c>
      <c r="I1363" s="2">
        <v>2.0</v>
      </c>
      <c r="J1363" s="2">
        <v>2.0</v>
      </c>
      <c r="K1363" s="2" t="s">
        <v>119</v>
      </c>
      <c r="L1363" s="1"/>
      <c r="M1363" s="1" t="s">
        <v>5470</v>
      </c>
      <c r="N1363" s="1" t="s">
        <v>78</v>
      </c>
      <c r="O1363" s="1" t="s">
        <v>1124</v>
      </c>
      <c r="P1363" s="1" t="s">
        <v>5471</v>
      </c>
      <c r="Q1363" s="3">
        <v>36892.0</v>
      </c>
      <c r="R1363" s="1"/>
      <c r="S1363" s="1"/>
      <c r="T1363" s="1" t="s">
        <v>37</v>
      </c>
      <c r="U1363" s="1"/>
      <c r="V1363" s="1" t="s">
        <v>38</v>
      </c>
      <c r="W1363" s="1">
        <v>43.398626</v>
      </c>
      <c r="X1363" s="1">
        <v>-72.9989011999999</v>
      </c>
      <c r="Y1363" s="1" t="s">
        <v>5472</v>
      </c>
      <c r="Z1363" s="1"/>
      <c r="AA1363" s="1" t="s">
        <v>40</v>
      </c>
      <c r="AB1363" s="1" t="s">
        <v>1127</v>
      </c>
      <c r="AC1363" s="1">
        <v>5773.0</v>
      </c>
    </row>
    <row r="1364">
      <c r="A1364" s="1" t="str">
        <f>"000787"</f>
        <v>000787</v>
      </c>
      <c r="B1364" s="1" t="s">
        <v>5473</v>
      </c>
      <c r="C1364" s="1" t="s">
        <v>5474</v>
      </c>
      <c r="D1364" s="1" t="str">
        <f>"8028753431"</f>
        <v>8028753431</v>
      </c>
      <c r="E1364" s="1">
        <v>420.0</v>
      </c>
      <c r="F1364" s="1" t="s">
        <v>44</v>
      </c>
      <c r="G1364" s="1" t="s">
        <v>5475</v>
      </c>
      <c r="H1364" s="1"/>
      <c r="I1364" s="1"/>
      <c r="J1364" s="1"/>
      <c r="K1364" s="1"/>
      <c r="L1364" s="1"/>
      <c r="M1364" s="1" t="s">
        <v>5476</v>
      </c>
      <c r="N1364" s="1" t="s">
        <v>34</v>
      </c>
      <c r="O1364" s="1" t="s">
        <v>565</v>
      </c>
      <c r="P1364" s="1"/>
      <c r="Q1364" s="3">
        <v>36892.0</v>
      </c>
      <c r="R1364" s="1"/>
      <c r="S1364" s="1"/>
      <c r="T1364" s="1" t="s">
        <v>37</v>
      </c>
      <c r="U1364" s="1"/>
      <c r="V1364" s="1" t="s">
        <v>38</v>
      </c>
      <c r="W1364" s="1"/>
      <c r="X1364" s="1"/>
      <c r="Y1364" s="1" t="s">
        <v>49</v>
      </c>
      <c r="Z1364" s="1"/>
      <c r="AA1364" s="1" t="s">
        <v>40</v>
      </c>
      <c r="AB1364" s="1" t="s">
        <v>566</v>
      </c>
      <c r="AC1364" s="1"/>
    </row>
    <row r="1365">
      <c r="A1365" s="1" t="str">
        <f>"0008X8"</f>
        <v>0008X8</v>
      </c>
      <c r="B1365" s="1" t="s">
        <v>5477</v>
      </c>
      <c r="C1365" s="1" t="s">
        <v>5478</v>
      </c>
      <c r="D1365" s="1" t="str">
        <f>"8024823193"</f>
        <v>8024823193</v>
      </c>
      <c r="E1365" s="1">
        <v>3426.0</v>
      </c>
      <c r="F1365" s="1" t="s">
        <v>117</v>
      </c>
      <c r="G1365" s="1" t="s">
        <v>5479</v>
      </c>
      <c r="H1365" s="1">
        <v>11.0</v>
      </c>
      <c r="I1365" s="2">
        <v>2.0</v>
      </c>
      <c r="J1365" s="2">
        <v>2.0</v>
      </c>
      <c r="K1365" s="2" t="s">
        <v>119</v>
      </c>
      <c r="L1365" s="1"/>
      <c r="M1365" s="1" t="s">
        <v>991</v>
      </c>
      <c r="N1365" s="1" t="s">
        <v>57</v>
      </c>
      <c r="O1365" s="1" t="s">
        <v>204</v>
      </c>
      <c r="P1365" s="1" t="s">
        <v>5480</v>
      </c>
      <c r="Q1365" s="3">
        <v>36892.0</v>
      </c>
      <c r="R1365" s="1"/>
      <c r="S1365" s="3">
        <v>42627.0</v>
      </c>
      <c r="T1365" s="1" t="s">
        <v>37</v>
      </c>
      <c r="U1365" s="1"/>
      <c r="V1365" s="1" t="s">
        <v>38</v>
      </c>
      <c r="W1365" s="1">
        <v>44.315838</v>
      </c>
      <c r="X1365" s="1">
        <v>-73.112297</v>
      </c>
      <c r="Y1365" s="1" t="s">
        <v>5481</v>
      </c>
      <c r="Z1365" s="1"/>
      <c r="AA1365" s="1" t="s">
        <v>40</v>
      </c>
      <c r="AB1365" s="1" t="s">
        <v>205</v>
      </c>
      <c r="AC1365" s="1">
        <v>5461.0</v>
      </c>
    </row>
    <row r="1366">
      <c r="A1366" s="1" t="str">
        <f>"000783"</f>
        <v>000783</v>
      </c>
      <c r="B1366" s="1" t="s">
        <v>5482</v>
      </c>
      <c r="C1366" s="1" t="s">
        <v>5483</v>
      </c>
      <c r="D1366" s="1"/>
      <c r="E1366" s="1">
        <v>414.0</v>
      </c>
      <c r="F1366" s="1" t="s">
        <v>44</v>
      </c>
      <c r="G1366" s="1" t="s">
        <v>5484</v>
      </c>
      <c r="H1366" s="1">
        <v>2.0</v>
      </c>
      <c r="I1366" s="1"/>
      <c r="J1366" s="1"/>
      <c r="K1366" s="1"/>
      <c r="L1366" s="1"/>
      <c r="M1366" s="1" t="s">
        <v>5485</v>
      </c>
      <c r="N1366" s="1" t="s">
        <v>34</v>
      </c>
      <c r="O1366" s="1" t="s">
        <v>457</v>
      </c>
      <c r="P1366" s="1"/>
      <c r="Q1366" s="3">
        <v>36892.0</v>
      </c>
      <c r="R1366" s="1"/>
      <c r="S1366" s="3">
        <v>32363.0</v>
      </c>
      <c r="T1366" s="1" t="s">
        <v>37</v>
      </c>
      <c r="U1366" s="1"/>
      <c r="V1366" s="1" t="s">
        <v>38</v>
      </c>
      <c r="W1366" s="1"/>
      <c r="X1366" s="1"/>
      <c r="Y1366" s="1" t="s">
        <v>49</v>
      </c>
      <c r="Z1366" s="1"/>
      <c r="AA1366" s="1" t="s">
        <v>40</v>
      </c>
      <c r="AB1366" s="1" t="s">
        <v>458</v>
      </c>
      <c r="AC1366" s="1"/>
    </row>
    <row r="1367">
      <c r="A1367" s="1" t="str">
        <f>"000782"</f>
        <v>000782</v>
      </c>
      <c r="B1367" s="1" t="s">
        <v>5486</v>
      </c>
      <c r="C1367" s="1" t="s">
        <v>5487</v>
      </c>
      <c r="D1367" s="1"/>
      <c r="E1367" s="1">
        <v>413.0</v>
      </c>
      <c r="F1367" s="1" t="s">
        <v>44</v>
      </c>
      <c r="G1367" s="1" t="s">
        <v>5488</v>
      </c>
      <c r="H1367" s="1">
        <v>1.0</v>
      </c>
      <c r="I1367" s="1"/>
      <c r="J1367" s="1"/>
      <c r="K1367" s="1"/>
      <c r="L1367" s="1"/>
      <c r="M1367" s="1" t="s">
        <v>5489</v>
      </c>
      <c r="N1367" s="1" t="s">
        <v>34</v>
      </c>
      <c r="O1367" s="1" t="s">
        <v>457</v>
      </c>
      <c r="P1367" s="1"/>
      <c r="Q1367" s="3">
        <v>36892.0</v>
      </c>
      <c r="R1367" s="1"/>
      <c r="S1367" s="3">
        <v>32363.0</v>
      </c>
      <c r="T1367" s="1" t="s">
        <v>37</v>
      </c>
      <c r="U1367" s="1"/>
      <c r="V1367" s="1" t="s">
        <v>38</v>
      </c>
      <c r="W1367" s="1"/>
      <c r="X1367" s="1"/>
      <c r="Y1367" s="1" t="s">
        <v>49</v>
      </c>
      <c r="Z1367" s="1"/>
      <c r="AA1367" s="1" t="s">
        <v>40</v>
      </c>
      <c r="AB1367" s="1" t="s">
        <v>458</v>
      </c>
      <c r="AC1367" s="1"/>
    </row>
    <row r="1368">
      <c r="A1368" s="1" t="str">
        <f>"0007YM"</f>
        <v>0007YM</v>
      </c>
      <c r="B1368" s="1" t="s">
        <v>1804</v>
      </c>
      <c r="C1368" s="1" t="s">
        <v>1805</v>
      </c>
      <c r="D1368" s="1" t="str">
        <f>"8028886682"</f>
        <v>8028886682</v>
      </c>
      <c r="E1368" s="1">
        <v>3770.0</v>
      </c>
      <c r="F1368" s="1" t="s">
        <v>44</v>
      </c>
      <c r="G1368" s="1" t="s">
        <v>5490</v>
      </c>
      <c r="H1368" s="1"/>
      <c r="I1368" s="1"/>
      <c r="J1368" s="1"/>
      <c r="K1368" s="1"/>
      <c r="L1368" s="1"/>
      <c r="M1368" s="1" t="s">
        <v>72</v>
      </c>
      <c r="N1368" s="1" t="s">
        <v>213</v>
      </c>
      <c r="O1368" s="1" t="s">
        <v>625</v>
      </c>
      <c r="P1368" s="1"/>
      <c r="Q1368" s="3">
        <v>36892.0</v>
      </c>
      <c r="R1368" s="1"/>
      <c r="S1368" s="1"/>
      <c r="T1368" s="1" t="s">
        <v>37</v>
      </c>
      <c r="U1368" s="1"/>
      <c r="V1368" s="1" t="s">
        <v>38</v>
      </c>
      <c r="W1368" s="1"/>
      <c r="X1368" s="1"/>
      <c r="Y1368" s="1" t="s">
        <v>49</v>
      </c>
      <c r="Z1368" s="1"/>
      <c r="AA1368" s="1" t="s">
        <v>40</v>
      </c>
      <c r="AB1368" s="1" t="s">
        <v>626</v>
      </c>
      <c r="AC1368" s="1"/>
    </row>
    <row r="1369">
      <c r="A1369" s="1" t="str">
        <f>"000781"</f>
        <v>000781</v>
      </c>
      <c r="B1369" s="1" t="s">
        <v>5491</v>
      </c>
      <c r="C1369" s="1" t="s">
        <v>5492</v>
      </c>
      <c r="D1369" s="1" t="str">
        <f>"8022267579"</f>
        <v>8022267579</v>
      </c>
      <c r="E1369" s="1">
        <v>411.0</v>
      </c>
      <c r="F1369" s="1" t="s">
        <v>44</v>
      </c>
      <c r="G1369" s="1" t="s">
        <v>5493</v>
      </c>
      <c r="H1369" s="1">
        <v>2.0</v>
      </c>
      <c r="I1369" s="1"/>
      <c r="J1369" s="1"/>
      <c r="K1369" s="1"/>
      <c r="L1369" s="1"/>
      <c r="M1369" s="1" t="s">
        <v>5494</v>
      </c>
      <c r="N1369" s="1" t="s">
        <v>34</v>
      </c>
      <c r="O1369" s="1" t="s">
        <v>457</v>
      </c>
      <c r="P1369" s="1"/>
      <c r="Q1369" s="3">
        <v>36892.0</v>
      </c>
      <c r="R1369" s="1"/>
      <c r="S1369" s="3">
        <v>32363.0</v>
      </c>
      <c r="T1369" s="1" t="s">
        <v>37</v>
      </c>
      <c r="U1369" s="1"/>
      <c r="V1369" s="1" t="s">
        <v>38</v>
      </c>
      <c r="W1369" s="1"/>
      <c r="X1369" s="1"/>
      <c r="Y1369" s="1" t="s">
        <v>49</v>
      </c>
      <c r="Z1369" s="1"/>
      <c r="AA1369" s="1" t="s">
        <v>40</v>
      </c>
      <c r="AB1369" s="1" t="s">
        <v>458</v>
      </c>
      <c r="AC1369" s="1"/>
    </row>
    <row r="1370">
      <c r="A1370" s="1" t="str">
        <f>"000780"</f>
        <v>000780</v>
      </c>
      <c r="B1370" s="1" t="s">
        <v>5495</v>
      </c>
      <c r="C1370" s="1" t="s">
        <v>5496</v>
      </c>
      <c r="D1370" s="1" t="str">
        <f>"8022267374"</f>
        <v>8022267374</v>
      </c>
      <c r="E1370" s="1">
        <v>409.0</v>
      </c>
      <c r="F1370" s="1" t="s">
        <v>44</v>
      </c>
      <c r="G1370" s="1" t="s">
        <v>5497</v>
      </c>
      <c r="H1370" s="1">
        <v>1.0</v>
      </c>
      <c r="I1370" s="1"/>
      <c r="J1370" s="1"/>
      <c r="K1370" s="1"/>
      <c r="L1370" s="1"/>
      <c r="M1370" s="1" t="s">
        <v>5498</v>
      </c>
      <c r="N1370" s="1" t="s">
        <v>34</v>
      </c>
      <c r="O1370" s="1" t="s">
        <v>457</v>
      </c>
      <c r="P1370" s="1"/>
      <c r="Q1370" s="3">
        <v>36892.0</v>
      </c>
      <c r="R1370" s="1"/>
      <c r="S1370" s="3">
        <v>32365.0</v>
      </c>
      <c r="T1370" s="1" t="s">
        <v>37</v>
      </c>
      <c r="U1370" s="1"/>
      <c r="V1370" s="1" t="s">
        <v>38</v>
      </c>
      <c r="W1370" s="1"/>
      <c r="X1370" s="1"/>
      <c r="Y1370" s="1" t="s">
        <v>49</v>
      </c>
      <c r="Z1370" s="1"/>
      <c r="AA1370" s="1" t="s">
        <v>40</v>
      </c>
      <c r="AB1370" s="1" t="s">
        <v>458</v>
      </c>
      <c r="AC1370" s="1"/>
    </row>
    <row r="1371">
      <c r="A1371" s="1" t="str">
        <f>"00077Y"</f>
        <v>00077Y</v>
      </c>
      <c r="B1371" s="1" t="s">
        <v>5499</v>
      </c>
      <c r="C1371" s="1" t="s">
        <v>5500</v>
      </c>
      <c r="D1371" s="1"/>
      <c r="E1371" s="1">
        <v>403.0</v>
      </c>
      <c r="F1371" s="1" t="s">
        <v>44</v>
      </c>
      <c r="G1371" s="1" t="s">
        <v>5501</v>
      </c>
      <c r="H1371" s="1"/>
      <c r="I1371" s="1"/>
      <c r="J1371" s="1"/>
      <c r="K1371" s="1"/>
      <c r="L1371" s="1"/>
      <c r="M1371" s="1" t="s">
        <v>5502</v>
      </c>
      <c r="N1371" s="1" t="s">
        <v>34</v>
      </c>
      <c r="O1371" s="1" t="s">
        <v>457</v>
      </c>
      <c r="P1371" s="1"/>
      <c r="Q1371" s="3">
        <v>36892.0</v>
      </c>
      <c r="R1371" s="1"/>
      <c r="S1371" s="1"/>
      <c r="T1371" s="1" t="s">
        <v>37</v>
      </c>
      <c r="U1371" s="1"/>
      <c r="V1371" s="1" t="s">
        <v>38</v>
      </c>
      <c r="W1371" s="1"/>
      <c r="X1371" s="1"/>
      <c r="Y1371" s="1" t="s">
        <v>49</v>
      </c>
      <c r="Z1371" s="1"/>
      <c r="AA1371" s="1" t="s">
        <v>40</v>
      </c>
      <c r="AB1371" s="1" t="s">
        <v>458</v>
      </c>
      <c r="AC1371" s="1"/>
    </row>
    <row r="1372">
      <c r="A1372" s="1" t="str">
        <f>"00077X"</f>
        <v>00077X</v>
      </c>
      <c r="B1372" s="1" t="s">
        <v>5503</v>
      </c>
      <c r="C1372" s="1" t="s">
        <v>5504</v>
      </c>
      <c r="D1372" s="1" t="str">
        <f>"8023756536"</f>
        <v>8023756536</v>
      </c>
      <c r="E1372" s="1">
        <v>3622.0</v>
      </c>
      <c r="F1372" s="1" t="s">
        <v>44</v>
      </c>
      <c r="G1372" s="1" t="s">
        <v>5505</v>
      </c>
      <c r="H1372" s="1">
        <v>2.0</v>
      </c>
      <c r="I1372" s="1"/>
      <c r="J1372" s="1"/>
      <c r="K1372" s="1"/>
      <c r="L1372" s="1"/>
      <c r="M1372" s="1" t="s">
        <v>72</v>
      </c>
      <c r="N1372" s="1" t="s">
        <v>414</v>
      </c>
      <c r="O1372" s="1" t="s">
        <v>3034</v>
      </c>
      <c r="P1372" s="1"/>
      <c r="Q1372" s="3">
        <v>36892.0</v>
      </c>
      <c r="R1372" s="1"/>
      <c r="S1372" s="3">
        <v>38551.0</v>
      </c>
      <c r="T1372" s="1" t="s">
        <v>37</v>
      </c>
      <c r="U1372" s="1"/>
      <c r="V1372" s="1" t="s">
        <v>38</v>
      </c>
      <c r="W1372" s="1"/>
      <c r="X1372" s="1"/>
      <c r="Y1372" s="1" t="s">
        <v>49</v>
      </c>
      <c r="Z1372" s="1"/>
      <c r="AA1372" s="1" t="s">
        <v>40</v>
      </c>
      <c r="AB1372" s="1" t="s">
        <v>3036</v>
      </c>
      <c r="AC1372" s="1"/>
    </row>
    <row r="1373">
      <c r="A1373" s="1" t="str">
        <f>"0007BP"</f>
        <v>0007BP</v>
      </c>
      <c r="B1373" s="1" t="s">
        <v>5506</v>
      </c>
      <c r="C1373" s="1" t="s">
        <v>5507</v>
      </c>
      <c r="D1373" s="1" t="str">
        <f>"8023874160"</f>
        <v>8023874160</v>
      </c>
      <c r="E1373" s="1">
        <v>3146.0</v>
      </c>
      <c r="F1373" s="1" t="s">
        <v>117</v>
      </c>
      <c r="G1373" s="1" t="s">
        <v>5508</v>
      </c>
      <c r="H1373" s="1">
        <v>6.0</v>
      </c>
      <c r="I1373" s="2" t="s">
        <v>119</v>
      </c>
      <c r="J1373" s="2">
        <v>3.0</v>
      </c>
      <c r="K1373" s="2" t="s">
        <v>119</v>
      </c>
      <c r="L1373" s="1"/>
      <c r="M1373" s="1" t="s">
        <v>5509</v>
      </c>
      <c r="N1373" s="1" t="s">
        <v>66</v>
      </c>
      <c r="O1373" s="1" t="s">
        <v>113</v>
      </c>
      <c r="P1373" s="1" t="s">
        <v>5510</v>
      </c>
      <c r="Q1373" s="3">
        <v>36892.0</v>
      </c>
      <c r="R1373" s="1"/>
      <c r="S1373" s="3">
        <v>37782.0</v>
      </c>
      <c r="T1373" s="1" t="s">
        <v>37</v>
      </c>
      <c r="U1373" s="1"/>
      <c r="V1373" s="1" t="s">
        <v>38</v>
      </c>
      <c r="W1373" s="1">
        <v>43.054543</v>
      </c>
      <c r="X1373" s="1">
        <v>-72.545334</v>
      </c>
      <c r="Y1373" s="1" t="s">
        <v>5511</v>
      </c>
      <c r="Z1373" s="1"/>
      <c r="AA1373" s="1" t="s">
        <v>40</v>
      </c>
      <c r="AB1373" s="1" t="s">
        <v>594</v>
      </c>
      <c r="AC1373" s="1">
        <v>5346.0</v>
      </c>
    </row>
    <row r="1374">
      <c r="A1374" s="1" t="str">
        <f>"0008J5"</f>
        <v>0008J5</v>
      </c>
      <c r="B1374" s="1" t="s">
        <v>3151</v>
      </c>
      <c r="C1374" s="1" t="s">
        <v>3152</v>
      </c>
      <c r="D1374" s="1" t="str">
        <f>"8025632184"</f>
        <v>8025632184</v>
      </c>
      <c r="E1374" s="1">
        <v>2777.0</v>
      </c>
      <c r="F1374" s="1" t="s">
        <v>44</v>
      </c>
      <c r="G1374" s="1" t="s">
        <v>5512</v>
      </c>
      <c r="H1374" s="1">
        <v>8.0</v>
      </c>
      <c r="I1374" s="1"/>
      <c r="J1374" s="1"/>
      <c r="K1374" s="1"/>
      <c r="L1374" s="1"/>
      <c r="M1374" s="1" t="s">
        <v>72</v>
      </c>
      <c r="N1374" s="1" t="s">
        <v>128</v>
      </c>
      <c r="O1374" s="1" t="s">
        <v>887</v>
      </c>
      <c r="P1374" s="1"/>
      <c r="Q1374" s="3">
        <v>36892.0</v>
      </c>
      <c r="R1374" s="1"/>
      <c r="S1374" s="3">
        <v>35240.0</v>
      </c>
      <c r="T1374" s="1" t="s">
        <v>37</v>
      </c>
      <c r="U1374" s="1"/>
      <c r="V1374" s="1" t="s">
        <v>38</v>
      </c>
      <c r="W1374" s="1"/>
      <c r="X1374" s="1"/>
      <c r="Y1374" s="1" t="s">
        <v>49</v>
      </c>
      <c r="Z1374" s="1"/>
      <c r="AA1374" s="1" t="s">
        <v>40</v>
      </c>
      <c r="AB1374" s="1" t="s">
        <v>888</v>
      </c>
      <c r="AC1374" s="1"/>
    </row>
    <row r="1375">
      <c r="A1375" s="1" t="str">
        <f>"00077V"</f>
        <v>00077V</v>
      </c>
      <c r="B1375" s="1" t="s">
        <v>5513</v>
      </c>
      <c r="C1375" s="1" t="s">
        <v>5514</v>
      </c>
      <c r="D1375" s="1" t="str">
        <f>"8024845071"</f>
        <v>8024845071</v>
      </c>
      <c r="E1375" s="1">
        <v>399.0</v>
      </c>
      <c r="F1375" s="1" t="s">
        <v>44</v>
      </c>
      <c r="G1375" s="1" t="s">
        <v>5515</v>
      </c>
      <c r="H1375" s="1">
        <v>1.0</v>
      </c>
      <c r="I1375" s="1"/>
      <c r="J1375" s="1"/>
      <c r="K1375" s="1"/>
      <c r="L1375" s="1"/>
      <c r="M1375" s="1" t="s">
        <v>72</v>
      </c>
      <c r="N1375" s="1" t="s">
        <v>34</v>
      </c>
      <c r="O1375" s="1" t="s">
        <v>1870</v>
      </c>
      <c r="P1375" s="1"/>
      <c r="Q1375" s="3">
        <v>36892.0</v>
      </c>
      <c r="R1375" s="1"/>
      <c r="S1375" s="3">
        <v>32272.0</v>
      </c>
      <c r="T1375" s="1" t="s">
        <v>37</v>
      </c>
      <c r="U1375" s="1"/>
      <c r="V1375" s="1" t="s">
        <v>38</v>
      </c>
      <c r="W1375" s="1"/>
      <c r="X1375" s="1"/>
      <c r="Y1375" s="1" t="s">
        <v>49</v>
      </c>
      <c r="Z1375" s="1"/>
      <c r="AA1375" s="1" t="s">
        <v>40</v>
      </c>
      <c r="AB1375" s="1" t="s">
        <v>5328</v>
      </c>
      <c r="AC1375" s="1"/>
    </row>
    <row r="1376">
      <c r="A1376" s="1" t="str">
        <f>"00077Q"</f>
        <v>00077Q</v>
      </c>
      <c r="B1376" s="1" t="s">
        <v>5516</v>
      </c>
      <c r="C1376" s="1" t="s">
        <v>5517</v>
      </c>
      <c r="D1376" s="1"/>
      <c r="E1376" s="1">
        <v>398.0</v>
      </c>
      <c r="F1376" s="1" t="s">
        <v>44</v>
      </c>
      <c r="G1376" s="1" t="s">
        <v>5518</v>
      </c>
      <c r="H1376" s="1"/>
      <c r="I1376" s="1"/>
      <c r="J1376" s="1"/>
      <c r="K1376" s="1"/>
      <c r="L1376" s="1"/>
      <c r="M1376" s="1" t="s">
        <v>5519</v>
      </c>
      <c r="N1376" s="1" t="s">
        <v>34</v>
      </c>
      <c r="O1376" s="1" t="s">
        <v>1870</v>
      </c>
      <c r="P1376" s="1"/>
      <c r="Q1376" s="3">
        <v>36892.0</v>
      </c>
      <c r="R1376" s="1"/>
      <c r="S1376" s="1"/>
      <c r="T1376" s="1" t="s">
        <v>37</v>
      </c>
      <c r="U1376" s="1"/>
      <c r="V1376" s="1" t="s">
        <v>38</v>
      </c>
      <c r="W1376" s="1"/>
      <c r="X1376" s="1"/>
      <c r="Y1376" s="1" t="s">
        <v>49</v>
      </c>
      <c r="Z1376" s="1"/>
      <c r="AA1376" s="1" t="s">
        <v>40</v>
      </c>
      <c r="AB1376" s="1" t="s">
        <v>5328</v>
      </c>
      <c r="AC1376" s="1"/>
    </row>
    <row r="1377">
      <c r="A1377" s="1" t="str">
        <f>"00077P"</f>
        <v>00077P</v>
      </c>
      <c r="B1377" s="1" t="s">
        <v>5520</v>
      </c>
      <c r="C1377" s="1" t="s">
        <v>5521</v>
      </c>
      <c r="D1377" s="1"/>
      <c r="E1377" s="1">
        <v>396.0</v>
      </c>
      <c r="F1377" s="1" t="s">
        <v>44</v>
      </c>
      <c r="G1377" s="1" t="s">
        <v>5522</v>
      </c>
      <c r="H1377" s="1"/>
      <c r="I1377" s="1"/>
      <c r="J1377" s="1"/>
      <c r="K1377" s="1"/>
      <c r="L1377" s="1"/>
      <c r="M1377" s="1" t="s">
        <v>72</v>
      </c>
      <c r="N1377" s="1" t="s">
        <v>34</v>
      </c>
      <c r="O1377" s="1" t="s">
        <v>295</v>
      </c>
      <c r="P1377" s="1"/>
      <c r="Q1377" s="3">
        <v>36892.0</v>
      </c>
      <c r="R1377" s="1"/>
      <c r="S1377" s="1"/>
      <c r="T1377" s="1" t="s">
        <v>37</v>
      </c>
      <c r="U1377" s="1"/>
      <c r="V1377" s="1" t="s">
        <v>38</v>
      </c>
      <c r="W1377" s="1"/>
      <c r="X1377" s="1"/>
      <c r="Y1377" s="1" t="s">
        <v>49</v>
      </c>
      <c r="Z1377" s="1"/>
      <c r="AA1377" s="1" t="s">
        <v>40</v>
      </c>
      <c r="AB1377" s="1" t="s">
        <v>34</v>
      </c>
      <c r="AC1377" s="1"/>
    </row>
    <row r="1378">
      <c r="A1378" s="1" t="str">
        <f>"00077N"</f>
        <v>00077N</v>
      </c>
      <c r="B1378" s="1" t="s">
        <v>5523</v>
      </c>
      <c r="C1378" s="1" t="s">
        <v>5524</v>
      </c>
      <c r="D1378" s="1" t="str">
        <f>"8026742245"</f>
        <v>8026742245</v>
      </c>
      <c r="E1378" s="1">
        <v>395.0</v>
      </c>
      <c r="F1378" s="1" t="s">
        <v>44</v>
      </c>
      <c r="G1378" s="1" t="s">
        <v>5525</v>
      </c>
      <c r="H1378" s="1">
        <v>1.0</v>
      </c>
      <c r="I1378" s="1"/>
      <c r="J1378" s="1"/>
      <c r="K1378" s="1"/>
      <c r="L1378" s="1"/>
      <c r="M1378" s="1" t="s">
        <v>5526</v>
      </c>
      <c r="N1378" s="1" t="s">
        <v>34</v>
      </c>
      <c r="O1378" s="1" t="s">
        <v>1870</v>
      </c>
      <c r="P1378" s="1"/>
      <c r="Q1378" s="3">
        <v>36892.0</v>
      </c>
      <c r="R1378" s="1"/>
      <c r="S1378" s="3">
        <v>32365.0</v>
      </c>
      <c r="T1378" s="1" t="s">
        <v>37</v>
      </c>
      <c r="U1378" s="1"/>
      <c r="V1378" s="1" t="s">
        <v>38</v>
      </c>
      <c r="W1378" s="1"/>
      <c r="X1378" s="1"/>
      <c r="Y1378" s="1" t="s">
        <v>49</v>
      </c>
      <c r="Z1378" s="1"/>
      <c r="AA1378" s="1" t="s">
        <v>40</v>
      </c>
      <c r="AB1378" s="1" t="s">
        <v>5328</v>
      </c>
      <c r="AC1378" s="1"/>
    </row>
    <row r="1379">
      <c r="A1379" s="1" t="str">
        <f>"0008JH"</f>
        <v>0008JH</v>
      </c>
      <c r="B1379" s="1" t="s">
        <v>2000</v>
      </c>
      <c r="C1379" s="1" t="s">
        <v>2001</v>
      </c>
      <c r="D1379" s="1" t="str">
        <f>"8022874059"</f>
        <v>8022874059</v>
      </c>
      <c r="E1379" s="1">
        <v>2792.0</v>
      </c>
      <c r="F1379" s="1" t="s">
        <v>44</v>
      </c>
      <c r="G1379" s="1" t="s">
        <v>5527</v>
      </c>
      <c r="H1379" s="1">
        <v>20.0</v>
      </c>
      <c r="I1379" s="1"/>
      <c r="J1379" s="1"/>
      <c r="K1379" s="1"/>
      <c r="L1379" s="1"/>
      <c r="M1379" s="1" t="s">
        <v>5528</v>
      </c>
      <c r="N1379" s="1" t="s">
        <v>78</v>
      </c>
      <c r="O1379" s="1" t="s">
        <v>615</v>
      </c>
      <c r="P1379" s="1"/>
      <c r="Q1379" s="3">
        <v>36892.0</v>
      </c>
      <c r="R1379" s="1"/>
      <c r="S1379" s="3">
        <v>38832.0</v>
      </c>
      <c r="T1379" s="1" t="s">
        <v>37</v>
      </c>
      <c r="U1379" s="1"/>
      <c r="V1379" s="1" t="s">
        <v>38</v>
      </c>
      <c r="W1379" s="1"/>
      <c r="X1379" s="1"/>
      <c r="Y1379" s="1" t="s">
        <v>49</v>
      </c>
      <c r="Z1379" s="1"/>
      <c r="AA1379" s="1" t="s">
        <v>40</v>
      </c>
      <c r="AB1379" s="1" t="s">
        <v>616</v>
      </c>
      <c r="AC1379" s="1"/>
    </row>
    <row r="1380">
      <c r="A1380" s="1" t="str">
        <f>"00077K"</f>
        <v>00077K</v>
      </c>
      <c r="B1380" s="1" t="s">
        <v>5529</v>
      </c>
      <c r="C1380" s="1" t="s">
        <v>5530</v>
      </c>
      <c r="D1380" s="1" t="str">
        <f>"8024847249"</f>
        <v>8024847249</v>
      </c>
      <c r="E1380" s="1">
        <v>393.0</v>
      </c>
      <c r="F1380" s="1" t="s">
        <v>44</v>
      </c>
      <c r="G1380" s="1" t="s">
        <v>5531</v>
      </c>
      <c r="H1380" s="1">
        <v>1.0</v>
      </c>
      <c r="I1380" s="1"/>
      <c r="J1380" s="1"/>
      <c r="K1380" s="1"/>
      <c r="L1380" s="1"/>
      <c r="M1380" s="1" t="s">
        <v>72</v>
      </c>
      <c r="N1380" s="1" t="s">
        <v>34</v>
      </c>
      <c r="O1380" s="1" t="s">
        <v>1870</v>
      </c>
      <c r="P1380" s="1"/>
      <c r="Q1380" s="3">
        <v>36892.0</v>
      </c>
      <c r="R1380" s="1"/>
      <c r="S1380" s="3">
        <v>32272.0</v>
      </c>
      <c r="T1380" s="1" t="s">
        <v>37</v>
      </c>
      <c r="U1380" s="1"/>
      <c r="V1380" s="1" t="s">
        <v>38</v>
      </c>
      <c r="W1380" s="1"/>
      <c r="X1380" s="1"/>
      <c r="Y1380" s="1" t="s">
        <v>49</v>
      </c>
      <c r="Z1380" s="1"/>
      <c r="AA1380" s="1" t="s">
        <v>40</v>
      </c>
      <c r="AB1380" s="1" t="s">
        <v>5328</v>
      </c>
      <c r="AC1380" s="1"/>
    </row>
    <row r="1381">
      <c r="A1381" s="1" t="str">
        <f>"00085C"</f>
        <v>00085C</v>
      </c>
      <c r="B1381" s="1" t="s">
        <v>2320</v>
      </c>
      <c r="C1381" s="1" t="s">
        <v>2321</v>
      </c>
      <c r="D1381" s="1" t="str">
        <f>"8024683036"</f>
        <v>8024683036</v>
      </c>
      <c r="E1381" s="1">
        <v>3672.0</v>
      </c>
      <c r="F1381" s="1" t="s">
        <v>44</v>
      </c>
      <c r="G1381" s="1" t="s">
        <v>5532</v>
      </c>
      <c r="H1381" s="1">
        <v>12.0</v>
      </c>
      <c r="I1381" s="1"/>
      <c r="J1381" s="1"/>
      <c r="K1381" s="1"/>
      <c r="L1381" s="1"/>
      <c r="M1381" s="1" t="s">
        <v>5533</v>
      </c>
      <c r="N1381" s="1" t="s">
        <v>78</v>
      </c>
      <c r="O1381" s="1" t="s">
        <v>426</v>
      </c>
      <c r="P1381" s="1"/>
      <c r="Q1381" s="3">
        <v>36892.0</v>
      </c>
      <c r="R1381" s="1"/>
      <c r="S1381" s="3">
        <v>41198.0</v>
      </c>
      <c r="T1381" s="1" t="s">
        <v>37</v>
      </c>
      <c r="U1381" s="1"/>
      <c r="V1381" s="1" t="s">
        <v>38</v>
      </c>
      <c r="W1381" s="1"/>
      <c r="X1381" s="1"/>
      <c r="Y1381" s="1" t="s">
        <v>49</v>
      </c>
      <c r="Z1381" s="1"/>
      <c r="AA1381" s="1" t="s">
        <v>40</v>
      </c>
      <c r="AB1381" s="1" t="s">
        <v>427</v>
      </c>
      <c r="AC1381" s="1"/>
    </row>
    <row r="1382">
      <c r="A1382" s="1" t="str">
        <f>"00077H"</f>
        <v>00077H</v>
      </c>
      <c r="B1382" s="1" t="s">
        <v>5534</v>
      </c>
      <c r="C1382" s="1" t="s">
        <v>5535</v>
      </c>
      <c r="D1382" s="1"/>
      <c r="E1382" s="1">
        <v>386.0</v>
      </c>
      <c r="F1382" s="1" t="s">
        <v>44</v>
      </c>
      <c r="G1382" s="1" t="s">
        <v>5536</v>
      </c>
      <c r="H1382" s="1"/>
      <c r="I1382" s="1"/>
      <c r="J1382" s="1"/>
      <c r="K1382" s="1"/>
      <c r="L1382" s="1"/>
      <c r="M1382" s="1" t="s">
        <v>5537</v>
      </c>
      <c r="N1382" s="1" t="s">
        <v>34</v>
      </c>
      <c r="O1382" s="1" t="s">
        <v>4105</v>
      </c>
      <c r="P1382" s="1"/>
      <c r="Q1382" s="3">
        <v>36892.0</v>
      </c>
      <c r="R1382" s="1"/>
      <c r="S1382" s="1"/>
      <c r="T1382" s="1" t="s">
        <v>37</v>
      </c>
      <c r="U1382" s="1"/>
      <c r="V1382" s="1" t="s">
        <v>38</v>
      </c>
      <c r="W1382" s="1"/>
      <c r="X1382" s="1"/>
      <c r="Y1382" s="1" t="s">
        <v>49</v>
      </c>
      <c r="Z1382" s="1"/>
      <c r="AA1382" s="1" t="s">
        <v>40</v>
      </c>
      <c r="AB1382" s="1" t="s">
        <v>4106</v>
      </c>
      <c r="AC1382" s="1"/>
    </row>
    <row r="1383">
      <c r="A1383" s="1" t="str">
        <f>"00077G"</f>
        <v>00077G</v>
      </c>
      <c r="B1383" s="1" t="s">
        <v>5538</v>
      </c>
      <c r="C1383" s="1" t="s">
        <v>5539</v>
      </c>
      <c r="D1383" s="1" t="str">
        <f>"8028791783"</f>
        <v>8028791783</v>
      </c>
      <c r="E1383" s="1">
        <v>3666.0</v>
      </c>
      <c r="F1383" s="1" t="s">
        <v>117</v>
      </c>
      <c r="G1383" s="1" t="s">
        <v>5540</v>
      </c>
      <c r="H1383" s="1">
        <v>1.0</v>
      </c>
      <c r="I1383" s="2" t="s">
        <v>119</v>
      </c>
      <c r="J1383" s="2" t="s">
        <v>119</v>
      </c>
      <c r="K1383" s="2" t="s">
        <v>119</v>
      </c>
      <c r="L1383" s="1"/>
      <c r="M1383" s="1" t="s">
        <v>5541</v>
      </c>
      <c r="N1383" s="1" t="s">
        <v>57</v>
      </c>
      <c r="O1383" s="1" t="s">
        <v>509</v>
      </c>
      <c r="P1383" s="1" t="s">
        <v>5542</v>
      </c>
      <c r="Q1383" s="3">
        <v>36892.0</v>
      </c>
      <c r="R1383" s="1"/>
      <c r="S1383" s="3">
        <v>39330.0</v>
      </c>
      <c r="T1383" s="1" t="s">
        <v>37</v>
      </c>
      <c r="U1383" s="1"/>
      <c r="V1383" s="1" t="s">
        <v>38</v>
      </c>
      <c r="W1383" s="1">
        <v>44.510426</v>
      </c>
      <c r="X1383" s="1">
        <v>-73.127111</v>
      </c>
      <c r="Y1383" s="1" t="s">
        <v>5543</v>
      </c>
      <c r="Z1383" s="1"/>
      <c r="AA1383" s="1" t="s">
        <v>40</v>
      </c>
      <c r="AB1383" s="1" t="s">
        <v>3296</v>
      </c>
      <c r="AC1383" s="1">
        <v>5452.0</v>
      </c>
    </row>
    <row r="1384">
      <c r="A1384" s="1" t="str">
        <f>"00077F"</f>
        <v>00077F</v>
      </c>
      <c r="B1384" s="1" t="s">
        <v>5544</v>
      </c>
      <c r="C1384" s="1" t="s">
        <v>5545</v>
      </c>
      <c r="D1384" s="1" t="str">
        <f>"8022349412"</f>
        <v>8022349412</v>
      </c>
      <c r="E1384" s="1">
        <v>382.0</v>
      </c>
      <c r="F1384" s="1" t="s">
        <v>44</v>
      </c>
      <c r="G1384" s="1" t="s">
        <v>5546</v>
      </c>
      <c r="H1384" s="1"/>
      <c r="I1384" s="1"/>
      <c r="J1384" s="1"/>
      <c r="K1384" s="1"/>
      <c r="L1384" s="1"/>
      <c r="M1384" s="1" t="s">
        <v>72</v>
      </c>
      <c r="N1384" s="1" t="s">
        <v>34</v>
      </c>
      <c r="O1384" s="1" t="s">
        <v>551</v>
      </c>
      <c r="P1384" s="1"/>
      <c r="Q1384" s="3">
        <v>36892.0</v>
      </c>
      <c r="R1384" s="1"/>
      <c r="S1384" s="1"/>
      <c r="T1384" s="1" t="s">
        <v>37</v>
      </c>
      <c r="U1384" s="1"/>
      <c r="V1384" s="1" t="s">
        <v>38</v>
      </c>
      <c r="W1384" s="1"/>
      <c r="X1384" s="1"/>
      <c r="Y1384" s="1" t="s">
        <v>49</v>
      </c>
      <c r="Z1384" s="1"/>
      <c r="AA1384" s="1" t="s">
        <v>40</v>
      </c>
      <c r="AB1384" s="1" t="s">
        <v>552</v>
      </c>
      <c r="AC1384" s="1"/>
    </row>
    <row r="1385">
      <c r="A1385" s="1" t="str">
        <f>"0007DG"</f>
        <v>0007DG</v>
      </c>
      <c r="B1385" s="1" t="s">
        <v>5547</v>
      </c>
      <c r="C1385" s="1" t="s">
        <v>5548</v>
      </c>
      <c r="D1385" s="1" t="str">
        <f>"8024422048"</f>
        <v>8024422048</v>
      </c>
      <c r="E1385" s="1">
        <v>2971.0</v>
      </c>
      <c r="F1385" s="1" t="s">
        <v>44</v>
      </c>
      <c r="G1385" s="1" t="s">
        <v>5549</v>
      </c>
      <c r="H1385" s="1">
        <v>2.0</v>
      </c>
      <c r="I1385" s="1"/>
      <c r="J1385" s="1"/>
      <c r="K1385" s="1"/>
      <c r="L1385" s="1"/>
      <c r="M1385" s="1" t="s">
        <v>72</v>
      </c>
      <c r="N1385" s="1" t="s">
        <v>414</v>
      </c>
      <c r="O1385" s="1" t="s">
        <v>720</v>
      </c>
      <c r="P1385" s="1"/>
      <c r="Q1385" s="3">
        <v>36892.0</v>
      </c>
      <c r="R1385" s="1"/>
      <c r="S1385" s="3">
        <v>35900.0</v>
      </c>
      <c r="T1385" s="1" t="s">
        <v>37</v>
      </c>
      <c r="U1385" s="1"/>
      <c r="V1385" s="1" t="s">
        <v>38</v>
      </c>
      <c r="W1385" s="1"/>
      <c r="X1385" s="1"/>
      <c r="Y1385" s="1" t="s">
        <v>49</v>
      </c>
      <c r="Z1385" s="1"/>
      <c r="AA1385" s="1" t="s">
        <v>40</v>
      </c>
      <c r="AB1385" s="1" t="s">
        <v>414</v>
      </c>
      <c r="AC1385" s="1"/>
    </row>
    <row r="1386">
      <c r="A1386" s="1" t="str">
        <f>"0008AK"</f>
        <v>0008AK</v>
      </c>
      <c r="B1386" s="1" t="s">
        <v>5550</v>
      </c>
      <c r="C1386" s="1" t="s">
        <v>5551</v>
      </c>
      <c r="D1386" s="1" t="str">
        <f>"8022579591"</f>
        <v>8022579591</v>
      </c>
      <c r="E1386" s="1">
        <v>3202.0</v>
      </c>
      <c r="F1386" s="1" t="s">
        <v>44</v>
      </c>
      <c r="G1386" s="1" t="s">
        <v>5552</v>
      </c>
      <c r="H1386" s="1">
        <v>2.0</v>
      </c>
      <c r="I1386" s="1"/>
      <c r="J1386" s="1"/>
      <c r="K1386" s="1"/>
      <c r="L1386" s="1"/>
      <c r="M1386" s="1" t="s">
        <v>72</v>
      </c>
      <c r="N1386" s="1" t="s">
        <v>66</v>
      </c>
      <c r="O1386" s="1" t="s">
        <v>2346</v>
      </c>
      <c r="P1386" s="1"/>
      <c r="Q1386" s="3">
        <v>36892.0</v>
      </c>
      <c r="R1386" s="1"/>
      <c r="S1386" s="3">
        <v>36455.0</v>
      </c>
      <c r="T1386" s="1" t="s">
        <v>37</v>
      </c>
      <c r="U1386" s="1"/>
      <c r="V1386" s="1" t="s">
        <v>38</v>
      </c>
      <c r="W1386" s="1"/>
      <c r="X1386" s="1"/>
      <c r="Y1386" s="1" t="s">
        <v>49</v>
      </c>
      <c r="Z1386" s="1"/>
      <c r="AA1386" s="1" t="s">
        <v>40</v>
      </c>
      <c r="AB1386" s="1" t="s">
        <v>2349</v>
      </c>
      <c r="AC1386" s="1"/>
    </row>
    <row r="1387">
      <c r="A1387" s="1" t="str">
        <f>"00077B"</f>
        <v>00077B</v>
      </c>
      <c r="B1387" s="1" t="s">
        <v>5553</v>
      </c>
      <c r="C1387" s="1" t="s">
        <v>5554</v>
      </c>
      <c r="D1387" s="1"/>
      <c r="E1387" s="1">
        <v>373.0</v>
      </c>
      <c r="F1387" s="1" t="s">
        <v>44</v>
      </c>
      <c r="G1387" s="1" t="s">
        <v>5555</v>
      </c>
      <c r="H1387" s="1"/>
      <c r="I1387" s="1"/>
      <c r="J1387" s="1"/>
      <c r="K1387" s="1"/>
      <c r="L1387" s="1"/>
      <c r="M1387" s="1" t="s">
        <v>5556</v>
      </c>
      <c r="N1387" s="1" t="s">
        <v>34</v>
      </c>
      <c r="O1387" s="1" t="s">
        <v>150</v>
      </c>
      <c r="P1387" s="1"/>
      <c r="Q1387" s="3">
        <v>36892.0</v>
      </c>
      <c r="R1387" s="1"/>
      <c r="S1387" s="1"/>
      <c r="T1387" s="1" t="s">
        <v>37</v>
      </c>
      <c r="U1387" s="1"/>
      <c r="V1387" s="1" t="s">
        <v>38</v>
      </c>
      <c r="W1387" s="1"/>
      <c r="X1387" s="1"/>
      <c r="Y1387" s="1" t="s">
        <v>49</v>
      </c>
      <c r="Z1387" s="1"/>
      <c r="AA1387" s="1" t="s">
        <v>40</v>
      </c>
      <c r="AB1387" s="1" t="s">
        <v>151</v>
      </c>
      <c r="AC1387" s="1"/>
    </row>
    <row r="1388">
      <c r="A1388" s="1" t="str">
        <f>"00077A"</f>
        <v>00077A</v>
      </c>
      <c r="B1388" s="1" t="s">
        <v>5557</v>
      </c>
      <c r="C1388" s="1" t="s">
        <v>5558</v>
      </c>
      <c r="D1388" s="1" t="str">
        <f>"8022349204"</f>
        <v>8022349204</v>
      </c>
      <c r="E1388" s="1">
        <v>371.0</v>
      </c>
      <c r="F1388" s="1" t="s">
        <v>44</v>
      </c>
      <c r="G1388" s="1" t="s">
        <v>5559</v>
      </c>
      <c r="H1388" s="1">
        <v>2.0</v>
      </c>
      <c r="I1388" s="1"/>
      <c r="J1388" s="1"/>
      <c r="K1388" s="1"/>
      <c r="L1388" s="1"/>
      <c r="M1388" s="1" t="s">
        <v>5556</v>
      </c>
      <c r="N1388" s="1" t="s">
        <v>34</v>
      </c>
      <c r="O1388" s="1" t="s">
        <v>150</v>
      </c>
      <c r="P1388" s="1"/>
      <c r="Q1388" s="3">
        <v>36892.0</v>
      </c>
      <c r="R1388" s="1"/>
      <c r="S1388" s="3">
        <v>32336.0</v>
      </c>
      <c r="T1388" s="1" t="s">
        <v>37</v>
      </c>
      <c r="U1388" s="1"/>
      <c r="V1388" s="1" t="s">
        <v>38</v>
      </c>
      <c r="W1388" s="1"/>
      <c r="X1388" s="1"/>
      <c r="Y1388" s="1" t="s">
        <v>49</v>
      </c>
      <c r="Z1388" s="1"/>
      <c r="AA1388" s="1" t="s">
        <v>40</v>
      </c>
      <c r="AB1388" s="1" t="s">
        <v>151</v>
      </c>
      <c r="AC1388" s="1"/>
    </row>
    <row r="1389">
      <c r="A1389" s="1" t="str">
        <f>"000777"</f>
        <v>000777</v>
      </c>
      <c r="B1389" s="1" t="s">
        <v>5560</v>
      </c>
      <c r="C1389" s="1" t="s">
        <v>5561</v>
      </c>
      <c r="D1389" s="1"/>
      <c r="E1389" s="1">
        <v>364.0</v>
      </c>
      <c r="F1389" s="1" t="s">
        <v>44</v>
      </c>
      <c r="G1389" s="1" t="s">
        <v>5562</v>
      </c>
      <c r="H1389" s="1"/>
      <c r="I1389" s="1"/>
      <c r="J1389" s="1"/>
      <c r="K1389" s="1"/>
      <c r="L1389" s="1"/>
      <c r="M1389" s="1" t="s">
        <v>5563</v>
      </c>
      <c r="N1389" s="1" t="s">
        <v>34</v>
      </c>
      <c r="O1389" s="1" t="s">
        <v>551</v>
      </c>
      <c r="P1389" s="1"/>
      <c r="Q1389" s="3">
        <v>36892.0</v>
      </c>
      <c r="R1389" s="1"/>
      <c r="S1389" s="1"/>
      <c r="T1389" s="1" t="s">
        <v>37</v>
      </c>
      <c r="U1389" s="1"/>
      <c r="V1389" s="1" t="s">
        <v>38</v>
      </c>
      <c r="W1389" s="1"/>
      <c r="X1389" s="1"/>
      <c r="Y1389" s="1" t="s">
        <v>49</v>
      </c>
      <c r="Z1389" s="1"/>
      <c r="AA1389" s="1" t="s">
        <v>40</v>
      </c>
      <c r="AB1389" s="1" t="s">
        <v>552</v>
      </c>
      <c r="AC1389" s="1"/>
    </row>
    <row r="1390">
      <c r="A1390" s="1" t="str">
        <f>"0008DX"</f>
        <v>0008DX</v>
      </c>
      <c r="B1390" s="1" t="s">
        <v>5564</v>
      </c>
      <c r="C1390" s="1" t="s">
        <v>5565</v>
      </c>
      <c r="D1390" s="1" t="str">
        <f>"8023840514"</f>
        <v>8023840514</v>
      </c>
      <c r="E1390" s="1">
        <v>3201.0</v>
      </c>
      <c r="F1390" s="1" t="s">
        <v>44</v>
      </c>
      <c r="G1390" s="1" t="s">
        <v>5566</v>
      </c>
      <c r="H1390" s="1"/>
      <c r="I1390" s="1"/>
      <c r="J1390" s="1"/>
      <c r="K1390" s="1"/>
      <c r="L1390" s="1"/>
      <c r="M1390" s="1" t="s">
        <v>72</v>
      </c>
      <c r="N1390" s="1" t="s">
        <v>66</v>
      </c>
      <c r="O1390" s="1" t="s">
        <v>113</v>
      </c>
      <c r="P1390" s="1"/>
      <c r="Q1390" s="3">
        <v>36892.0</v>
      </c>
      <c r="R1390" s="1"/>
      <c r="S1390" s="1"/>
      <c r="T1390" s="1" t="s">
        <v>37</v>
      </c>
      <c r="U1390" s="1"/>
      <c r="V1390" s="1" t="s">
        <v>38</v>
      </c>
      <c r="W1390" s="1"/>
      <c r="X1390" s="1"/>
      <c r="Y1390" s="1" t="s">
        <v>49</v>
      </c>
      <c r="Z1390" s="1"/>
      <c r="AA1390" s="1" t="s">
        <v>40</v>
      </c>
      <c r="AB1390" s="1" t="s">
        <v>114</v>
      </c>
      <c r="AC1390" s="1"/>
    </row>
    <row r="1391">
      <c r="A1391" s="1" t="str">
        <f>"000774"</f>
        <v>000774</v>
      </c>
      <c r="B1391" s="1" t="s">
        <v>5567</v>
      </c>
      <c r="C1391" s="1" t="s">
        <v>5568</v>
      </c>
      <c r="D1391" s="1"/>
      <c r="E1391" s="1">
        <v>360.0</v>
      </c>
      <c r="F1391" s="1" t="s">
        <v>44</v>
      </c>
      <c r="G1391" s="1" t="s">
        <v>5569</v>
      </c>
      <c r="H1391" s="1"/>
      <c r="I1391" s="1"/>
      <c r="J1391" s="1"/>
      <c r="K1391" s="1"/>
      <c r="L1391" s="1"/>
      <c r="M1391" s="1" t="s">
        <v>5570</v>
      </c>
      <c r="N1391" s="1" t="s">
        <v>34</v>
      </c>
      <c r="O1391" s="1" t="s">
        <v>551</v>
      </c>
      <c r="P1391" s="1"/>
      <c r="Q1391" s="3">
        <v>36892.0</v>
      </c>
      <c r="R1391" s="1"/>
      <c r="S1391" s="1"/>
      <c r="T1391" s="1" t="s">
        <v>37</v>
      </c>
      <c r="U1391" s="1"/>
      <c r="V1391" s="1" t="s">
        <v>38</v>
      </c>
      <c r="W1391" s="1"/>
      <c r="X1391" s="1"/>
      <c r="Y1391" s="1" t="s">
        <v>49</v>
      </c>
      <c r="Z1391" s="1"/>
      <c r="AA1391" s="1" t="s">
        <v>40</v>
      </c>
      <c r="AB1391" s="1" t="s">
        <v>552</v>
      </c>
      <c r="AC1391" s="1"/>
    </row>
    <row r="1392">
      <c r="A1392" s="1" t="str">
        <f>"0008Y8"</f>
        <v>0008Y8</v>
      </c>
      <c r="B1392" s="1" t="s">
        <v>5571</v>
      </c>
      <c r="C1392" s="1" t="s">
        <v>5572</v>
      </c>
      <c r="D1392" s="1" t="str">
        <f>"8028992315"</f>
        <v>8028992315</v>
      </c>
      <c r="E1392" s="1">
        <v>3476.0</v>
      </c>
      <c r="F1392" s="1" t="s">
        <v>44</v>
      </c>
      <c r="G1392" s="1" t="s">
        <v>5573</v>
      </c>
      <c r="H1392" s="1">
        <v>3.0</v>
      </c>
      <c r="I1392" s="1"/>
      <c r="J1392" s="1"/>
      <c r="K1392" s="1"/>
      <c r="L1392" s="1"/>
      <c r="M1392" s="1" t="s">
        <v>72</v>
      </c>
      <c r="N1392" s="1" t="s">
        <v>57</v>
      </c>
      <c r="O1392" s="1" t="s">
        <v>58</v>
      </c>
      <c r="P1392" s="1"/>
      <c r="Q1392" s="3">
        <v>36892.0</v>
      </c>
      <c r="R1392" s="1"/>
      <c r="S1392" s="3">
        <v>37819.0</v>
      </c>
      <c r="T1392" s="1" t="s">
        <v>37</v>
      </c>
      <c r="U1392" s="1"/>
      <c r="V1392" s="1" t="s">
        <v>38</v>
      </c>
      <c r="W1392" s="1"/>
      <c r="X1392" s="1"/>
      <c r="Y1392" s="1" t="s">
        <v>49</v>
      </c>
      <c r="Z1392" s="1"/>
      <c r="AA1392" s="1" t="s">
        <v>40</v>
      </c>
      <c r="AB1392" s="1" t="s">
        <v>61</v>
      </c>
      <c r="AC1392" s="1"/>
    </row>
    <row r="1393">
      <c r="A1393" s="1" t="str">
        <f>"00082X"</f>
        <v>00082X</v>
      </c>
      <c r="B1393" s="1" t="s">
        <v>5574</v>
      </c>
      <c r="C1393" s="1" t="s">
        <v>5575</v>
      </c>
      <c r="D1393" s="1" t="str">
        <f>"8022575539"</f>
        <v>8022575539</v>
      </c>
      <c r="E1393" s="1">
        <v>2586.0</v>
      </c>
      <c r="F1393" s="1" t="s">
        <v>44</v>
      </c>
      <c r="G1393" s="1" t="s">
        <v>5576</v>
      </c>
      <c r="H1393" s="1"/>
      <c r="I1393" s="1"/>
      <c r="J1393" s="1"/>
      <c r="K1393" s="1"/>
      <c r="L1393" s="1"/>
      <c r="M1393" s="1" t="s">
        <v>5577</v>
      </c>
      <c r="N1393" s="1" t="s">
        <v>66</v>
      </c>
      <c r="O1393" s="1" t="s">
        <v>1877</v>
      </c>
      <c r="P1393" s="1"/>
      <c r="Q1393" s="3">
        <v>36892.0</v>
      </c>
      <c r="R1393" s="1"/>
      <c r="S1393" s="1"/>
      <c r="T1393" s="1" t="s">
        <v>37</v>
      </c>
      <c r="U1393" s="1"/>
      <c r="V1393" s="1" t="s">
        <v>38</v>
      </c>
      <c r="W1393" s="1"/>
      <c r="X1393" s="1"/>
      <c r="Y1393" s="1" t="s">
        <v>49</v>
      </c>
      <c r="Z1393" s="1"/>
      <c r="AA1393" s="1" t="s">
        <v>40</v>
      </c>
      <c r="AB1393" s="1" t="s">
        <v>1878</v>
      </c>
      <c r="AC1393" s="1"/>
    </row>
    <row r="1394">
      <c r="A1394" s="1" t="str">
        <f>"00086Q"</f>
        <v>00086Q</v>
      </c>
      <c r="B1394" s="1" t="s">
        <v>5578</v>
      </c>
      <c r="C1394" s="1" t="s">
        <v>5579</v>
      </c>
      <c r="D1394" s="1" t="str">
        <f>"8025580239"</f>
        <v>8025580239</v>
      </c>
      <c r="E1394" s="1">
        <v>4006.0</v>
      </c>
      <c r="F1394" s="1" t="s">
        <v>44</v>
      </c>
      <c r="G1394" s="1" t="s">
        <v>5580</v>
      </c>
      <c r="H1394" s="1">
        <v>6.0</v>
      </c>
      <c r="I1394" s="1"/>
      <c r="J1394" s="1"/>
      <c r="K1394" s="1"/>
      <c r="L1394" s="1"/>
      <c r="M1394" s="1" t="s">
        <v>5581</v>
      </c>
      <c r="N1394" s="1" t="s">
        <v>414</v>
      </c>
      <c r="O1394" s="1" t="s">
        <v>720</v>
      </c>
      <c r="P1394" s="1"/>
      <c r="Q1394" s="3">
        <v>36892.0</v>
      </c>
      <c r="R1394" s="1"/>
      <c r="S1394" s="3">
        <v>39974.0</v>
      </c>
      <c r="T1394" s="1" t="s">
        <v>37</v>
      </c>
      <c r="U1394" s="1"/>
      <c r="V1394" s="1" t="s">
        <v>38</v>
      </c>
      <c r="W1394" s="1"/>
      <c r="X1394" s="1"/>
      <c r="Y1394" s="1" t="s">
        <v>49</v>
      </c>
      <c r="Z1394" s="1"/>
      <c r="AA1394" s="1" t="s">
        <v>40</v>
      </c>
      <c r="AB1394" s="1" t="s">
        <v>414</v>
      </c>
      <c r="AC1394" s="1"/>
    </row>
    <row r="1395">
      <c r="A1395" s="1" t="str">
        <f>"0007DJ"</f>
        <v>0007DJ</v>
      </c>
      <c r="B1395" s="1" t="s">
        <v>5582</v>
      </c>
      <c r="C1395" s="1" t="s">
        <v>5583</v>
      </c>
      <c r="D1395" s="1" t="str">
        <f>"8023494279"</f>
        <v>8023494279</v>
      </c>
      <c r="E1395" s="1">
        <v>2870.0</v>
      </c>
      <c r="F1395" s="1" t="s">
        <v>117</v>
      </c>
      <c r="G1395" s="1" t="s">
        <v>5584</v>
      </c>
      <c r="H1395" s="1">
        <v>24.0</v>
      </c>
      <c r="I1395" s="2" t="s">
        <v>119</v>
      </c>
      <c r="J1395" s="2">
        <v>5.0</v>
      </c>
      <c r="K1395" s="2" t="s">
        <v>119</v>
      </c>
      <c r="L1395" s="1"/>
      <c r="M1395" s="1" t="s">
        <v>5585</v>
      </c>
      <c r="N1395" s="1" t="s">
        <v>161</v>
      </c>
      <c r="O1395" s="1" t="s">
        <v>162</v>
      </c>
      <c r="P1395" s="1" t="s">
        <v>5586</v>
      </c>
      <c r="Q1395" s="3">
        <v>41158.0</v>
      </c>
      <c r="R1395" s="1"/>
      <c r="S1395" s="3">
        <v>41929.0</v>
      </c>
      <c r="T1395" s="1" t="s">
        <v>37</v>
      </c>
      <c r="U1395" s="1"/>
      <c r="V1395" s="1" t="s">
        <v>38</v>
      </c>
      <c r="W1395" s="1">
        <v>43.96105</v>
      </c>
      <c r="X1395" s="1">
        <v>-73.21663</v>
      </c>
      <c r="Y1395" s="1" t="s">
        <v>5587</v>
      </c>
      <c r="Z1395" s="1"/>
      <c r="AA1395" s="1" t="s">
        <v>40</v>
      </c>
      <c r="AB1395" s="1" t="s">
        <v>166</v>
      </c>
      <c r="AC1395" s="1">
        <v>0.0</v>
      </c>
    </row>
    <row r="1396">
      <c r="A1396" s="1" t="str">
        <f>"000771"</f>
        <v>000771</v>
      </c>
      <c r="B1396" s="1" t="s">
        <v>5588</v>
      </c>
      <c r="C1396" s="1" t="s">
        <v>5589</v>
      </c>
      <c r="D1396" s="1" t="str">
        <f>"8028753617"</f>
        <v>8028753617</v>
      </c>
      <c r="E1396" s="1">
        <v>346.0</v>
      </c>
      <c r="F1396" s="1" t="s">
        <v>117</v>
      </c>
      <c r="G1396" s="1" t="s">
        <v>5590</v>
      </c>
      <c r="H1396" s="1">
        <v>1.0</v>
      </c>
      <c r="I1396" s="2" t="s">
        <v>119</v>
      </c>
      <c r="J1396" s="2">
        <v>1.0</v>
      </c>
      <c r="K1396" s="2" t="s">
        <v>119</v>
      </c>
      <c r="L1396" s="1"/>
      <c r="M1396" s="1" t="s">
        <v>5591</v>
      </c>
      <c r="N1396" s="1" t="s">
        <v>34</v>
      </c>
      <c r="O1396" s="1" t="s">
        <v>5592</v>
      </c>
      <c r="P1396" s="1" t="s">
        <v>5593</v>
      </c>
      <c r="Q1396" s="3">
        <v>36892.0</v>
      </c>
      <c r="R1396" s="1"/>
      <c r="S1396" s="1"/>
      <c r="T1396" s="1" t="s">
        <v>37</v>
      </c>
      <c r="U1396" s="1"/>
      <c r="V1396" s="1" t="s">
        <v>38</v>
      </c>
      <c r="W1396" s="1">
        <v>43.268429</v>
      </c>
      <c r="X1396" s="1">
        <v>-72.731125</v>
      </c>
      <c r="Y1396" s="1" t="s">
        <v>5594</v>
      </c>
      <c r="Z1396" s="1"/>
      <c r="AA1396" s="1" t="s">
        <v>40</v>
      </c>
      <c r="AB1396" s="1" t="s">
        <v>5595</v>
      </c>
      <c r="AC1396" s="1">
        <v>5143.0</v>
      </c>
    </row>
    <row r="1397">
      <c r="A1397" s="1" t="str">
        <f>"0007C3"</f>
        <v>0007C3</v>
      </c>
      <c r="B1397" s="1" t="s">
        <v>5596</v>
      </c>
      <c r="C1397" s="1" t="s">
        <v>5597</v>
      </c>
      <c r="D1397" s="1"/>
      <c r="E1397" s="1">
        <v>3142.0</v>
      </c>
      <c r="F1397" s="1" t="s">
        <v>44</v>
      </c>
      <c r="G1397" s="1" t="s">
        <v>5598</v>
      </c>
      <c r="H1397" s="1">
        <v>2.0</v>
      </c>
      <c r="I1397" s="1"/>
      <c r="J1397" s="1"/>
      <c r="K1397" s="1"/>
      <c r="L1397" s="1"/>
      <c r="M1397" s="1" t="s">
        <v>72</v>
      </c>
      <c r="N1397" s="1" t="s">
        <v>66</v>
      </c>
      <c r="O1397" s="1" t="s">
        <v>1199</v>
      </c>
      <c r="P1397" s="1"/>
      <c r="Q1397" s="3">
        <v>36892.0</v>
      </c>
      <c r="R1397" s="1"/>
      <c r="S1397" s="3">
        <v>36431.0</v>
      </c>
      <c r="T1397" s="1" t="s">
        <v>37</v>
      </c>
      <c r="U1397" s="1"/>
      <c r="V1397" s="1" t="s">
        <v>38</v>
      </c>
      <c r="W1397" s="1"/>
      <c r="X1397" s="1"/>
      <c r="Y1397" s="1" t="s">
        <v>49</v>
      </c>
      <c r="Z1397" s="1"/>
      <c r="AA1397" s="1" t="s">
        <v>40</v>
      </c>
      <c r="AB1397" s="1" t="s">
        <v>1200</v>
      </c>
      <c r="AC1397" s="1"/>
    </row>
    <row r="1398">
      <c r="A1398" s="1" t="str">
        <f>"00079V"</f>
        <v>00079V</v>
      </c>
      <c r="B1398" s="1" t="s">
        <v>5599</v>
      </c>
      <c r="C1398" s="1" t="s">
        <v>5600</v>
      </c>
      <c r="D1398" s="1" t="str">
        <f>"8027289783"</f>
        <v>8027289783</v>
      </c>
      <c r="E1398" s="1">
        <v>2919.0</v>
      </c>
      <c r="F1398" s="1" t="s">
        <v>44</v>
      </c>
      <c r="G1398" s="1" t="s">
        <v>5601</v>
      </c>
      <c r="H1398" s="1">
        <v>2.0</v>
      </c>
      <c r="I1398" s="1"/>
      <c r="J1398" s="1"/>
      <c r="K1398" s="1"/>
      <c r="L1398" s="1"/>
      <c r="M1398" s="1" t="s">
        <v>72</v>
      </c>
      <c r="N1398" s="1" t="s">
        <v>142</v>
      </c>
      <c r="O1398" s="1" t="s">
        <v>359</v>
      </c>
      <c r="P1398" s="1"/>
      <c r="Q1398" s="3">
        <v>36892.0</v>
      </c>
      <c r="R1398" s="1"/>
      <c r="S1398" s="3">
        <v>38149.0</v>
      </c>
      <c r="T1398" s="1" t="s">
        <v>37</v>
      </c>
      <c r="U1398" s="1"/>
      <c r="V1398" s="1" t="s">
        <v>38</v>
      </c>
      <c r="W1398" s="1">
        <v>43.925762</v>
      </c>
      <c r="X1398" s="1">
        <v>-72.722099</v>
      </c>
      <c r="Y1398" s="1" t="s">
        <v>5602</v>
      </c>
      <c r="Z1398" s="1"/>
      <c r="AA1398" s="1" t="s">
        <v>40</v>
      </c>
      <c r="AB1398" s="1" t="s">
        <v>361</v>
      </c>
      <c r="AC1398" s="1">
        <v>5060.0</v>
      </c>
    </row>
    <row r="1399">
      <c r="A1399" s="1" t="str">
        <f>"0007C1"</f>
        <v>0007C1</v>
      </c>
      <c r="B1399" s="1" t="s">
        <v>5603</v>
      </c>
      <c r="C1399" s="1" t="s">
        <v>5604</v>
      </c>
      <c r="D1399" s="1" t="str">
        <f>"8022957344"</f>
        <v>8022957344</v>
      </c>
      <c r="E1399" s="1">
        <v>3143.0</v>
      </c>
      <c r="F1399" s="1" t="s">
        <v>44</v>
      </c>
      <c r="G1399" s="1" t="s">
        <v>5605</v>
      </c>
      <c r="H1399" s="1"/>
      <c r="I1399" s="1"/>
      <c r="J1399" s="1"/>
      <c r="K1399" s="1"/>
      <c r="L1399" s="1"/>
      <c r="M1399" s="1" t="s">
        <v>5606</v>
      </c>
      <c r="N1399" s="1" t="s">
        <v>34</v>
      </c>
      <c r="O1399" s="1" t="s">
        <v>1286</v>
      </c>
      <c r="P1399" s="1"/>
      <c r="Q1399" s="3">
        <v>36892.0</v>
      </c>
      <c r="R1399" s="1"/>
      <c r="S1399" s="1"/>
      <c r="T1399" s="1" t="s">
        <v>37</v>
      </c>
      <c r="U1399" s="1"/>
      <c r="V1399" s="1" t="s">
        <v>38</v>
      </c>
      <c r="W1399" s="1"/>
      <c r="X1399" s="1"/>
      <c r="Y1399" s="1" t="s">
        <v>49</v>
      </c>
      <c r="Z1399" s="1"/>
      <c r="AA1399" s="1" t="s">
        <v>40</v>
      </c>
      <c r="AB1399" s="1" t="s">
        <v>1287</v>
      </c>
      <c r="AC1399" s="1"/>
    </row>
    <row r="1400">
      <c r="A1400" s="1" t="str">
        <f>"0008ZQ"</f>
        <v>0008ZQ</v>
      </c>
      <c r="B1400" s="1" t="s">
        <v>738</v>
      </c>
      <c r="C1400" s="1" t="s">
        <v>739</v>
      </c>
      <c r="D1400" s="1" t="str">
        <f>"8022346113"</f>
        <v>8022346113</v>
      </c>
      <c r="E1400" s="1">
        <v>3547.0</v>
      </c>
      <c r="F1400" s="1" t="s">
        <v>44</v>
      </c>
      <c r="G1400" s="1" t="s">
        <v>5607</v>
      </c>
      <c r="H1400" s="1">
        <v>1.0</v>
      </c>
      <c r="I1400" s="1"/>
      <c r="J1400" s="1"/>
      <c r="K1400" s="1"/>
      <c r="L1400" s="1"/>
      <c r="M1400" s="1" t="s">
        <v>5608</v>
      </c>
      <c r="N1400" s="1" t="s">
        <v>78</v>
      </c>
      <c r="O1400" s="1" t="s">
        <v>869</v>
      </c>
      <c r="P1400" s="1" t="s">
        <v>5609</v>
      </c>
      <c r="Q1400" s="3">
        <v>36892.0</v>
      </c>
      <c r="R1400" s="1"/>
      <c r="S1400" s="3">
        <v>38881.0</v>
      </c>
      <c r="T1400" s="1" t="s">
        <v>37</v>
      </c>
      <c r="U1400" s="1"/>
      <c r="V1400" s="1" t="s">
        <v>38</v>
      </c>
      <c r="W1400" s="1"/>
      <c r="X1400" s="1"/>
      <c r="Y1400" s="1" t="s">
        <v>49</v>
      </c>
      <c r="Z1400" s="1"/>
      <c r="AA1400" s="1" t="s">
        <v>40</v>
      </c>
      <c r="AB1400" s="1" t="s">
        <v>870</v>
      </c>
      <c r="AC1400" s="1">
        <v>5772.0</v>
      </c>
    </row>
    <row r="1401">
      <c r="A1401" s="1" t="str">
        <f>"00076W"</f>
        <v>00076W</v>
      </c>
      <c r="B1401" s="1" t="s">
        <v>5610</v>
      </c>
      <c r="C1401" s="1" t="s">
        <v>5611</v>
      </c>
      <c r="D1401" s="1" t="str">
        <f>"8024470425"</f>
        <v>8024470425</v>
      </c>
      <c r="E1401" s="1">
        <v>339.0</v>
      </c>
      <c r="F1401" s="1" t="s">
        <v>117</v>
      </c>
      <c r="G1401" s="1" t="s">
        <v>5612</v>
      </c>
      <c r="H1401" s="1">
        <v>10.0</v>
      </c>
      <c r="I1401" s="2">
        <v>0.0</v>
      </c>
      <c r="J1401" s="2">
        <v>0.0</v>
      </c>
      <c r="K1401" s="2" t="s">
        <v>119</v>
      </c>
      <c r="L1401" s="1"/>
      <c r="M1401" s="1" t="s">
        <v>5613</v>
      </c>
      <c r="N1401" s="1" t="s">
        <v>414</v>
      </c>
      <c r="O1401" s="1" t="s">
        <v>1160</v>
      </c>
      <c r="P1401" s="1" t="s">
        <v>5614</v>
      </c>
      <c r="Q1401" s="3">
        <v>36892.0</v>
      </c>
      <c r="R1401" s="1"/>
      <c r="S1401" s="3">
        <v>42947.0</v>
      </c>
      <c r="T1401" s="1" t="s">
        <v>37</v>
      </c>
      <c r="U1401" s="1"/>
      <c r="V1401" s="1" t="s">
        <v>38</v>
      </c>
      <c r="W1401" s="1">
        <v>42.9829884050738</v>
      </c>
      <c r="X1401" s="1">
        <v>-73.2656966149807</v>
      </c>
      <c r="Y1401" s="1" t="s">
        <v>5615</v>
      </c>
      <c r="Z1401" s="1"/>
      <c r="AA1401" s="1" t="s">
        <v>40</v>
      </c>
      <c r="AB1401" s="1" t="s">
        <v>1161</v>
      </c>
      <c r="AC1401" s="1">
        <v>5257.0</v>
      </c>
    </row>
    <row r="1402">
      <c r="A1402" s="1" t="str">
        <f>"00073D"</f>
        <v>00073D</v>
      </c>
      <c r="B1402" s="1" t="s">
        <v>5616</v>
      </c>
      <c r="C1402" s="1" t="s">
        <v>5617</v>
      </c>
      <c r="D1402" s="1" t="str">
        <f>"8024470208"</f>
        <v>8024470208</v>
      </c>
      <c r="E1402" s="1">
        <v>211.0</v>
      </c>
      <c r="F1402" s="1" t="s">
        <v>44</v>
      </c>
      <c r="G1402" s="1" t="s">
        <v>5618</v>
      </c>
      <c r="H1402" s="1">
        <v>10.0</v>
      </c>
      <c r="I1402" s="1"/>
      <c r="J1402" s="1"/>
      <c r="K1402" s="1"/>
      <c r="L1402" s="1"/>
      <c r="M1402" s="1" t="s">
        <v>5619</v>
      </c>
      <c r="N1402" s="1" t="s">
        <v>414</v>
      </c>
      <c r="O1402" s="1" t="s">
        <v>1160</v>
      </c>
      <c r="P1402" s="1"/>
      <c r="Q1402" s="3">
        <v>36892.0</v>
      </c>
      <c r="R1402" s="1"/>
      <c r="S1402" s="3">
        <v>32331.0</v>
      </c>
      <c r="T1402" s="1" t="s">
        <v>37</v>
      </c>
      <c r="U1402" s="1"/>
      <c r="V1402" s="1" t="s">
        <v>38</v>
      </c>
      <c r="W1402" s="1"/>
      <c r="X1402" s="1"/>
      <c r="Y1402" s="1" t="s">
        <v>49</v>
      </c>
      <c r="Z1402" s="1"/>
      <c r="AA1402" s="1" t="s">
        <v>40</v>
      </c>
      <c r="AB1402" s="1" t="s">
        <v>1161</v>
      </c>
      <c r="AC1402" s="1"/>
    </row>
    <row r="1403">
      <c r="A1403" s="1" t="str">
        <f>"00076P"</f>
        <v>00076P</v>
      </c>
      <c r="B1403" s="1" t="s">
        <v>5620</v>
      </c>
      <c r="C1403" s="1" t="s">
        <v>5621</v>
      </c>
      <c r="D1403" s="1" t="str">
        <f>"8026941427"</f>
        <v>8026941427</v>
      </c>
      <c r="E1403" s="1">
        <v>336.0</v>
      </c>
      <c r="F1403" s="1" t="s">
        <v>117</v>
      </c>
      <c r="G1403" s="1" t="s">
        <v>5622</v>
      </c>
      <c r="H1403" s="1">
        <v>4.0</v>
      </c>
      <c r="I1403" s="2" t="s">
        <v>119</v>
      </c>
      <c r="J1403" s="2">
        <v>1.0</v>
      </c>
      <c r="K1403" s="2">
        <v>0.0</v>
      </c>
      <c r="L1403" s="1"/>
      <c r="M1403" s="1" t="s">
        <v>5623</v>
      </c>
      <c r="N1403" s="1" t="s">
        <v>414</v>
      </c>
      <c r="O1403" s="1" t="s">
        <v>4050</v>
      </c>
      <c r="P1403" s="1" t="s">
        <v>5624</v>
      </c>
      <c r="Q1403" s="3">
        <v>36892.0</v>
      </c>
      <c r="R1403" s="1"/>
      <c r="S1403" s="3">
        <v>32374.0</v>
      </c>
      <c r="T1403" s="1" t="s">
        <v>37</v>
      </c>
      <c r="U1403" s="1"/>
      <c r="V1403" s="1" t="s">
        <v>38</v>
      </c>
      <c r="W1403" s="1">
        <v>42.756989</v>
      </c>
      <c r="X1403" s="1">
        <v>-73.076454</v>
      </c>
      <c r="Y1403" s="1" t="s">
        <v>5625</v>
      </c>
      <c r="Z1403" s="1"/>
      <c r="AA1403" s="1" t="s">
        <v>40</v>
      </c>
      <c r="AB1403" s="1" t="s">
        <v>4051</v>
      </c>
      <c r="AC1403" s="1">
        <v>5352.0</v>
      </c>
    </row>
    <row r="1404">
      <c r="A1404" s="1" t="str">
        <f>"00076N"</f>
        <v>00076N</v>
      </c>
      <c r="B1404" s="1" t="s">
        <v>5626</v>
      </c>
      <c r="C1404" s="1" t="s">
        <v>5627</v>
      </c>
      <c r="D1404" s="1"/>
      <c r="E1404" s="1">
        <v>2545.0</v>
      </c>
      <c r="F1404" s="1" t="s">
        <v>44</v>
      </c>
      <c r="G1404" s="1" t="s">
        <v>5628</v>
      </c>
      <c r="H1404" s="1"/>
      <c r="I1404" s="1"/>
      <c r="J1404" s="1"/>
      <c r="K1404" s="1"/>
      <c r="L1404" s="1"/>
      <c r="M1404" s="1" t="s">
        <v>5629</v>
      </c>
      <c r="N1404" s="1" t="s">
        <v>414</v>
      </c>
      <c r="O1404" s="1" t="s">
        <v>5630</v>
      </c>
      <c r="P1404" s="1"/>
      <c r="Q1404" s="3">
        <v>36892.0</v>
      </c>
      <c r="R1404" s="1"/>
      <c r="S1404" s="1"/>
      <c r="T1404" s="1" t="s">
        <v>37</v>
      </c>
      <c r="U1404" s="1"/>
      <c r="V1404" s="1" t="s">
        <v>38</v>
      </c>
      <c r="W1404" s="1"/>
      <c r="X1404" s="1"/>
      <c r="Y1404" s="1" t="s">
        <v>49</v>
      </c>
      <c r="Z1404" s="1"/>
      <c r="AA1404" s="1" t="s">
        <v>40</v>
      </c>
      <c r="AB1404" s="1" t="s">
        <v>5631</v>
      </c>
      <c r="AC1404" s="1"/>
    </row>
    <row r="1405">
      <c r="A1405" s="1" t="str">
        <f>"00076M"</f>
        <v>00076M</v>
      </c>
      <c r="B1405" s="1" t="s">
        <v>5632</v>
      </c>
      <c r="C1405" s="1" t="s">
        <v>5633</v>
      </c>
      <c r="D1405" s="1" t="str">
        <f>"8026941549"</f>
        <v>8026941549</v>
      </c>
      <c r="E1405" s="1">
        <v>333.0</v>
      </c>
      <c r="F1405" s="1" t="s">
        <v>44</v>
      </c>
      <c r="G1405" s="1" t="s">
        <v>5634</v>
      </c>
      <c r="H1405" s="1">
        <v>0.0</v>
      </c>
      <c r="I1405" s="1"/>
      <c r="J1405" s="1"/>
      <c r="K1405" s="1"/>
      <c r="L1405" s="1"/>
      <c r="M1405" s="1" t="s">
        <v>5635</v>
      </c>
      <c r="N1405" s="1" t="s">
        <v>414</v>
      </c>
      <c r="O1405" s="1" t="s">
        <v>4050</v>
      </c>
      <c r="P1405" s="1"/>
      <c r="Q1405" s="3">
        <v>36892.0</v>
      </c>
      <c r="R1405" s="1"/>
      <c r="S1405" s="3">
        <v>32373.0</v>
      </c>
      <c r="T1405" s="1" t="s">
        <v>37</v>
      </c>
      <c r="U1405" s="1"/>
      <c r="V1405" s="1" t="s">
        <v>38</v>
      </c>
      <c r="W1405" s="1"/>
      <c r="X1405" s="1"/>
      <c r="Y1405" s="1" t="s">
        <v>49</v>
      </c>
      <c r="Z1405" s="1"/>
      <c r="AA1405" s="1" t="s">
        <v>40</v>
      </c>
      <c r="AB1405" s="1" t="s">
        <v>4051</v>
      </c>
      <c r="AC1405" s="1"/>
    </row>
    <row r="1406">
      <c r="A1406" s="1" t="str">
        <f>"00076K"</f>
        <v>00076K</v>
      </c>
      <c r="B1406" s="1" t="s">
        <v>4046</v>
      </c>
      <c r="C1406" s="1" t="s">
        <v>4047</v>
      </c>
      <c r="D1406" s="1" t="str">
        <f>"8026941417"</f>
        <v>8026941417</v>
      </c>
      <c r="E1406" s="1">
        <v>332.0</v>
      </c>
      <c r="F1406" s="1" t="s">
        <v>44</v>
      </c>
      <c r="G1406" s="1" t="s">
        <v>5636</v>
      </c>
      <c r="H1406" s="1">
        <v>25.0</v>
      </c>
      <c r="I1406" s="1"/>
      <c r="J1406" s="1"/>
      <c r="K1406" s="1"/>
      <c r="L1406" s="1"/>
      <c r="M1406" s="1" t="s">
        <v>5637</v>
      </c>
      <c r="N1406" s="1" t="s">
        <v>414</v>
      </c>
      <c r="O1406" s="1" t="s">
        <v>4050</v>
      </c>
      <c r="P1406" s="1"/>
      <c r="Q1406" s="3">
        <v>36892.0</v>
      </c>
      <c r="R1406" s="1"/>
      <c r="S1406" s="3">
        <v>32374.0</v>
      </c>
      <c r="T1406" s="1" t="s">
        <v>37</v>
      </c>
      <c r="U1406" s="1"/>
      <c r="V1406" s="1" t="s">
        <v>38</v>
      </c>
      <c r="W1406" s="1"/>
      <c r="X1406" s="1"/>
      <c r="Y1406" s="1" t="s">
        <v>49</v>
      </c>
      <c r="Z1406" s="1"/>
      <c r="AA1406" s="1" t="s">
        <v>40</v>
      </c>
      <c r="AB1406" s="1" t="s">
        <v>4051</v>
      </c>
      <c r="AC1406" s="1"/>
    </row>
    <row r="1407">
      <c r="A1407" s="1" t="str">
        <f>"00076G"</f>
        <v>00076G</v>
      </c>
      <c r="B1407" s="1" t="s">
        <v>5638</v>
      </c>
      <c r="C1407" s="1" t="s">
        <v>5639</v>
      </c>
      <c r="D1407" s="1" t="str">
        <f>"8024472496"</f>
        <v>8024472496</v>
      </c>
      <c r="E1407" s="1">
        <v>3841.0</v>
      </c>
      <c r="F1407" s="1" t="s">
        <v>44</v>
      </c>
      <c r="G1407" s="1" t="s">
        <v>5640</v>
      </c>
      <c r="H1407" s="1"/>
      <c r="I1407" s="1"/>
      <c r="J1407" s="1"/>
      <c r="K1407" s="1"/>
      <c r="L1407" s="1"/>
      <c r="M1407" s="1" t="s">
        <v>72</v>
      </c>
      <c r="N1407" s="1" t="s">
        <v>414</v>
      </c>
      <c r="O1407" s="1" t="s">
        <v>720</v>
      </c>
      <c r="P1407" s="1"/>
      <c r="Q1407" s="3">
        <v>36892.0</v>
      </c>
      <c r="R1407" s="1"/>
      <c r="S1407" s="1"/>
      <c r="T1407" s="1" t="s">
        <v>37</v>
      </c>
      <c r="U1407" s="1"/>
      <c r="V1407" s="1" t="s">
        <v>38</v>
      </c>
      <c r="W1407" s="1"/>
      <c r="X1407" s="1"/>
      <c r="Y1407" s="1" t="s">
        <v>49</v>
      </c>
      <c r="Z1407" s="1"/>
      <c r="AA1407" s="1" t="s">
        <v>40</v>
      </c>
      <c r="AB1407" s="1" t="s">
        <v>414</v>
      </c>
      <c r="AC1407" s="1"/>
    </row>
    <row r="1408">
      <c r="A1408" s="1" t="str">
        <f>"00076F"</f>
        <v>00076F</v>
      </c>
      <c r="B1408" s="1" t="s">
        <v>5641</v>
      </c>
      <c r="C1408" s="1" t="s">
        <v>5642</v>
      </c>
      <c r="D1408" s="1"/>
      <c r="E1408" s="1">
        <v>326.0</v>
      </c>
      <c r="F1408" s="1" t="s">
        <v>44</v>
      </c>
      <c r="G1408" s="1" t="s">
        <v>5643</v>
      </c>
      <c r="H1408" s="1"/>
      <c r="I1408" s="1"/>
      <c r="J1408" s="1"/>
      <c r="K1408" s="1"/>
      <c r="L1408" s="1"/>
      <c r="M1408" s="1" t="s">
        <v>5644</v>
      </c>
      <c r="N1408" s="1" t="s">
        <v>414</v>
      </c>
      <c r="O1408" s="1" t="s">
        <v>1160</v>
      </c>
      <c r="P1408" s="1"/>
      <c r="Q1408" s="3">
        <v>36892.0</v>
      </c>
      <c r="R1408" s="1"/>
      <c r="S1408" s="1"/>
      <c r="T1408" s="1" t="s">
        <v>37</v>
      </c>
      <c r="U1408" s="1"/>
      <c r="V1408" s="1" t="s">
        <v>38</v>
      </c>
      <c r="W1408" s="1"/>
      <c r="X1408" s="1"/>
      <c r="Y1408" s="1" t="s">
        <v>49</v>
      </c>
      <c r="Z1408" s="1"/>
      <c r="AA1408" s="1" t="s">
        <v>40</v>
      </c>
      <c r="AB1408" s="1" t="s">
        <v>1161</v>
      </c>
      <c r="AC1408" s="1"/>
    </row>
    <row r="1409">
      <c r="A1409" s="1" t="str">
        <f>"0008DQ"</f>
        <v>0008DQ</v>
      </c>
      <c r="B1409" s="1" t="s">
        <v>5645</v>
      </c>
      <c r="C1409" s="1" t="s">
        <v>5646</v>
      </c>
      <c r="D1409" s="1" t="str">
        <f>"8027483034"</f>
        <v>8027483034</v>
      </c>
      <c r="E1409" s="1">
        <v>3979.0</v>
      </c>
      <c r="F1409" s="1" t="s">
        <v>117</v>
      </c>
      <c r="G1409" s="1" t="s">
        <v>5647</v>
      </c>
      <c r="H1409" s="1">
        <v>12.0</v>
      </c>
      <c r="I1409" s="2">
        <v>6.0</v>
      </c>
      <c r="J1409" s="2">
        <v>6.0</v>
      </c>
      <c r="K1409" s="2" t="s">
        <v>119</v>
      </c>
      <c r="L1409" s="1"/>
      <c r="M1409" s="1" t="s">
        <v>5648</v>
      </c>
      <c r="N1409" s="1" t="s">
        <v>94</v>
      </c>
      <c r="O1409" s="1" t="s">
        <v>1651</v>
      </c>
      <c r="P1409" s="1" t="s">
        <v>5649</v>
      </c>
      <c r="Q1409" s="3">
        <v>36892.0</v>
      </c>
      <c r="R1409" s="1"/>
      <c r="S1409" s="3">
        <v>39658.0</v>
      </c>
      <c r="T1409" s="1" t="s">
        <v>37</v>
      </c>
      <c r="U1409" s="1"/>
      <c r="V1409" s="1" t="s">
        <v>38</v>
      </c>
      <c r="W1409" s="1">
        <v>44.84729</v>
      </c>
      <c r="X1409" s="1">
        <v>-72.06432</v>
      </c>
      <c r="Y1409" s="1" t="s">
        <v>5650</v>
      </c>
      <c r="Z1409" s="1"/>
      <c r="AA1409" s="1" t="s">
        <v>40</v>
      </c>
      <c r="AB1409" s="1" t="s">
        <v>1652</v>
      </c>
      <c r="AC1409" s="1">
        <v>5872.0</v>
      </c>
    </row>
    <row r="1410">
      <c r="A1410" s="1" t="str">
        <f>"0008BK"</f>
        <v>0008BK</v>
      </c>
      <c r="B1410" s="1" t="s">
        <v>5651</v>
      </c>
      <c r="C1410" s="1" t="s">
        <v>5652</v>
      </c>
      <c r="D1410" s="1" t="str">
        <f>"8028273840"</f>
        <v>8028273840</v>
      </c>
      <c r="E1410" s="1">
        <v>3126.0</v>
      </c>
      <c r="F1410" s="1" t="s">
        <v>44</v>
      </c>
      <c r="G1410" s="1" t="s">
        <v>5653</v>
      </c>
      <c r="H1410" s="1"/>
      <c r="I1410" s="1"/>
      <c r="J1410" s="1"/>
      <c r="K1410" s="1"/>
      <c r="L1410" s="1"/>
      <c r="M1410" s="1" t="s">
        <v>72</v>
      </c>
      <c r="N1410" s="1" t="s">
        <v>47</v>
      </c>
      <c r="O1410" s="1" t="s">
        <v>100</v>
      </c>
      <c r="P1410" s="1"/>
      <c r="Q1410" s="3">
        <v>36892.0</v>
      </c>
      <c r="R1410" s="1"/>
      <c r="S1410" s="1"/>
      <c r="T1410" s="1" t="s">
        <v>37</v>
      </c>
      <c r="U1410" s="1"/>
      <c r="V1410" s="1" t="s">
        <v>38</v>
      </c>
      <c r="W1410" s="1"/>
      <c r="X1410" s="1"/>
      <c r="Y1410" s="1" t="s">
        <v>49</v>
      </c>
      <c r="Z1410" s="1"/>
      <c r="AA1410" s="1" t="s">
        <v>40</v>
      </c>
      <c r="AB1410" s="1" t="s">
        <v>102</v>
      </c>
      <c r="AC1410" s="1"/>
    </row>
    <row r="1411">
      <c r="A1411" s="1" t="str">
        <f>"00076B"</f>
        <v>00076B</v>
      </c>
      <c r="B1411" s="1" t="s">
        <v>5654</v>
      </c>
      <c r="C1411" s="1" t="s">
        <v>5655</v>
      </c>
      <c r="D1411" s="1"/>
      <c r="E1411" s="1">
        <v>321.0</v>
      </c>
      <c r="F1411" s="1" t="s">
        <v>44</v>
      </c>
      <c r="G1411" s="1" t="s">
        <v>5656</v>
      </c>
      <c r="H1411" s="1"/>
      <c r="I1411" s="1"/>
      <c r="J1411" s="1"/>
      <c r="K1411" s="1"/>
      <c r="L1411" s="1"/>
      <c r="M1411" s="1" t="s">
        <v>5657</v>
      </c>
      <c r="N1411" s="1" t="s">
        <v>414</v>
      </c>
      <c r="O1411" s="1" t="s">
        <v>1160</v>
      </c>
      <c r="P1411" s="1"/>
      <c r="Q1411" s="3">
        <v>36892.0</v>
      </c>
      <c r="R1411" s="1"/>
      <c r="S1411" s="1"/>
      <c r="T1411" s="1" t="s">
        <v>37</v>
      </c>
      <c r="U1411" s="1"/>
      <c r="V1411" s="1" t="s">
        <v>38</v>
      </c>
      <c r="W1411" s="1"/>
      <c r="X1411" s="1"/>
      <c r="Y1411" s="1" t="s">
        <v>49</v>
      </c>
      <c r="Z1411" s="1"/>
      <c r="AA1411" s="1" t="s">
        <v>40</v>
      </c>
      <c r="AB1411" s="1" t="s">
        <v>1161</v>
      </c>
      <c r="AC1411" s="1"/>
    </row>
    <row r="1412">
      <c r="A1412" s="1" t="str">
        <f>"00076A"</f>
        <v>00076A</v>
      </c>
      <c r="B1412" s="1" t="s">
        <v>5658</v>
      </c>
      <c r="C1412" s="1" t="s">
        <v>5659</v>
      </c>
      <c r="D1412" s="1" t="str">
        <f>"8024471826"</f>
        <v>8024471826</v>
      </c>
      <c r="E1412" s="1">
        <v>2380.0</v>
      </c>
      <c r="F1412" s="1" t="s">
        <v>117</v>
      </c>
      <c r="G1412" s="1" t="s">
        <v>5660</v>
      </c>
      <c r="H1412" s="1">
        <v>8.0</v>
      </c>
      <c r="I1412" s="2" t="s">
        <v>119</v>
      </c>
      <c r="J1412" s="2">
        <v>2.0</v>
      </c>
      <c r="K1412" s="2" t="s">
        <v>119</v>
      </c>
      <c r="L1412" s="1"/>
      <c r="M1412" s="1">
        <v>1.0</v>
      </c>
      <c r="N1412" s="1" t="s">
        <v>414</v>
      </c>
      <c r="O1412" s="1" t="s">
        <v>794</v>
      </c>
      <c r="P1412" s="1" t="s">
        <v>5661</v>
      </c>
      <c r="Q1412" s="3">
        <v>36892.0</v>
      </c>
      <c r="R1412" s="1"/>
      <c r="S1412" s="3">
        <v>32332.0</v>
      </c>
      <c r="T1412" s="1" t="s">
        <v>37</v>
      </c>
      <c r="U1412" s="1"/>
      <c r="V1412" s="1" t="s">
        <v>38</v>
      </c>
      <c r="W1412" s="1">
        <v>42.8185401</v>
      </c>
      <c r="X1412" s="1">
        <v>-73.1802404</v>
      </c>
      <c r="Y1412" s="1" t="s">
        <v>5662</v>
      </c>
      <c r="Z1412" s="1"/>
      <c r="AA1412" s="1" t="s">
        <v>40</v>
      </c>
      <c r="AB1412" s="1" t="s">
        <v>797</v>
      </c>
      <c r="AC1412" s="1">
        <v>5201.0</v>
      </c>
    </row>
    <row r="1413">
      <c r="A1413" s="1" t="str">
        <f>"0007PZ"</f>
        <v>0007PZ</v>
      </c>
      <c r="B1413" s="1" t="s">
        <v>5663</v>
      </c>
      <c r="C1413" s="1" t="s">
        <v>5664</v>
      </c>
      <c r="D1413" s="1" t="str">
        <f>"8028871576"</f>
        <v>8028871576</v>
      </c>
      <c r="E1413" s="1">
        <v>4002.0</v>
      </c>
      <c r="F1413" s="1" t="s">
        <v>117</v>
      </c>
      <c r="G1413" s="1" t="s">
        <v>5665</v>
      </c>
      <c r="H1413" s="1">
        <v>3.0</v>
      </c>
      <c r="I1413" s="2">
        <v>1.0</v>
      </c>
      <c r="J1413" s="2">
        <v>1.0</v>
      </c>
      <c r="K1413" s="2">
        <v>0.0</v>
      </c>
      <c r="L1413" s="1"/>
      <c r="M1413" s="1" t="s">
        <v>5666</v>
      </c>
      <c r="N1413" s="1" t="s">
        <v>161</v>
      </c>
      <c r="O1413" s="1" t="s">
        <v>3407</v>
      </c>
      <c r="P1413" s="1" t="s">
        <v>5667</v>
      </c>
      <c r="Q1413" s="3">
        <v>36892.0</v>
      </c>
      <c r="R1413" s="1"/>
      <c r="S1413" s="1"/>
      <c r="T1413" s="1" t="s">
        <v>37</v>
      </c>
      <c r="U1413" s="1"/>
      <c r="V1413" s="1" t="s">
        <v>38</v>
      </c>
      <c r="W1413" s="1">
        <v>44.1512249</v>
      </c>
      <c r="X1413" s="1">
        <v>-73.2451049999999</v>
      </c>
      <c r="Y1413" s="1" t="s">
        <v>5668</v>
      </c>
      <c r="Z1413" s="1"/>
      <c r="AA1413" s="1" t="s">
        <v>40</v>
      </c>
      <c r="AB1413" s="1" t="s">
        <v>3410</v>
      </c>
      <c r="AC1413" s="1">
        <v>5491.0</v>
      </c>
    </row>
    <row r="1414">
      <c r="A1414" s="1" t="str">
        <f>"000767"</f>
        <v>000767</v>
      </c>
      <c r="B1414" s="1" t="s">
        <v>5669</v>
      </c>
      <c r="C1414" s="1" t="s">
        <v>5670</v>
      </c>
      <c r="D1414" s="1" t="str">
        <f>"8024428718"</f>
        <v>8024428718</v>
      </c>
      <c r="E1414" s="1">
        <v>317.0</v>
      </c>
      <c r="F1414" s="1" t="s">
        <v>44</v>
      </c>
      <c r="G1414" s="1" t="s">
        <v>5671</v>
      </c>
      <c r="H1414" s="1"/>
      <c r="I1414" s="1"/>
      <c r="J1414" s="1"/>
      <c r="K1414" s="1"/>
      <c r="L1414" s="1"/>
      <c r="M1414" s="1" t="s">
        <v>72</v>
      </c>
      <c r="N1414" s="1" t="s">
        <v>414</v>
      </c>
      <c r="O1414" s="1" t="s">
        <v>1160</v>
      </c>
      <c r="P1414" s="1"/>
      <c r="Q1414" s="3">
        <v>36892.0</v>
      </c>
      <c r="R1414" s="1"/>
      <c r="S1414" s="1"/>
      <c r="T1414" s="1" t="s">
        <v>37</v>
      </c>
      <c r="U1414" s="1"/>
      <c r="V1414" s="1" t="s">
        <v>38</v>
      </c>
      <c r="W1414" s="1"/>
      <c r="X1414" s="1"/>
      <c r="Y1414" s="1" t="s">
        <v>49</v>
      </c>
      <c r="Z1414" s="1"/>
      <c r="AA1414" s="1" t="s">
        <v>40</v>
      </c>
      <c r="AB1414" s="1" t="s">
        <v>1161</v>
      </c>
      <c r="AC1414" s="1"/>
    </row>
    <row r="1415">
      <c r="A1415" s="1" t="str">
        <f>"000766"</f>
        <v>000766</v>
      </c>
      <c r="B1415" s="1" t="s">
        <v>5672</v>
      </c>
      <c r="C1415" s="1" t="s">
        <v>5673</v>
      </c>
      <c r="D1415" s="1" t="str">
        <f>"8024426723"</f>
        <v>8024426723</v>
      </c>
      <c r="E1415" s="1">
        <v>316.0</v>
      </c>
      <c r="F1415" s="1" t="s">
        <v>44</v>
      </c>
      <c r="G1415" s="1" t="s">
        <v>5674</v>
      </c>
      <c r="H1415" s="1">
        <v>3.0</v>
      </c>
      <c r="I1415" s="1"/>
      <c r="J1415" s="1"/>
      <c r="K1415" s="1"/>
      <c r="L1415" s="1"/>
      <c r="M1415" s="1" t="s">
        <v>5675</v>
      </c>
      <c r="N1415" s="1" t="s">
        <v>414</v>
      </c>
      <c r="O1415" s="1" t="s">
        <v>1160</v>
      </c>
      <c r="P1415" s="1"/>
      <c r="Q1415" s="3">
        <v>36892.0</v>
      </c>
      <c r="R1415" s="1"/>
      <c r="S1415" s="3">
        <v>32331.0</v>
      </c>
      <c r="T1415" s="1" t="s">
        <v>37</v>
      </c>
      <c r="U1415" s="1"/>
      <c r="V1415" s="1" t="s">
        <v>38</v>
      </c>
      <c r="W1415" s="1"/>
      <c r="X1415" s="1"/>
      <c r="Y1415" s="1" t="s">
        <v>49</v>
      </c>
      <c r="Z1415" s="1"/>
      <c r="AA1415" s="1" t="s">
        <v>40</v>
      </c>
      <c r="AB1415" s="1" t="s">
        <v>1161</v>
      </c>
      <c r="AC1415" s="1"/>
    </row>
    <row r="1416">
      <c r="A1416" s="1" t="str">
        <f>"0008NZ"</f>
        <v>0008NZ</v>
      </c>
      <c r="B1416" s="1" t="s">
        <v>5676</v>
      </c>
      <c r="C1416" s="1" t="s">
        <v>5677</v>
      </c>
      <c r="D1416" s="1" t="str">
        <f>"8023682709"</f>
        <v>8023682709</v>
      </c>
      <c r="E1416" s="1">
        <v>3210.0</v>
      </c>
      <c r="F1416" s="1" t="s">
        <v>44</v>
      </c>
      <c r="G1416" s="1" t="s">
        <v>5678</v>
      </c>
      <c r="H1416" s="1"/>
      <c r="I1416" s="1"/>
      <c r="J1416" s="1"/>
      <c r="K1416" s="1"/>
      <c r="L1416" s="1"/>
      <c r="M1416" s="1" t="s">
        <v>72</v>
      </c>
      <c r="N1416" s="1" t="s">
        <v>66</v>
      </c>
      <c r="O1416" s="1" t="s">
        <v>5679</v>
      </c>
      <c r="P1416" s="1"/>
      <c r="Q1416" s="3">
        <v>36892.0</v>
      </c>
      <c r="R1416" s="1"/>
      <c r="S1416" s="1"/>
      <c r="T1416" s="1" t="s">
        <v>37</v>
      </c>
      <c r="U1416" s="1"/>
      <c r="V1416" s="1" t="s">
        <v>38</v>
      </c>
      <c r="W1416" s="1"/>
      <c r="X1416" s="1"/>
      <c r="Y1416" s="1" t="s">
        <v>49</v>
      </c>
      <c r="Z1416" s="1"/>
      <c r="AA1416" s="1" t="s">
        <v>40</v>
      </c>
      <c r="AB1416" s="1" t="s">
        <v>5680</v>
      </c>
      <c r="AC1416" s="1"/>
    </row>
    <row r="1417">
      <c r="A1417" s="1" t="str">
        <f>"0007WA"</f>
        <v>0007WA</v>
      </c>
      <c r="B1417" s="1" t="s">
        <v>157</v>
      </c>
      <c r="C1417" s="1" t="s">
        <v>158</v>
      </c>
      <c r="D1417" s="1" t="str">
        <f>"8029482057"</f>
        <v>8029482057</v>
      </c>
      <c r="E1417" s="1">
        <v>1217.0</v>
      </c>
      <c r="F1417" s="1" t="s">
        <v>31</v>
      </c>
      <c r="G1417" s="1" t="s">
        <v>5681</v>
      </c>
      <c r="H1417" s="1">
        <v>23.0</v>
      </c>
      <c r="I1417" s="1"/>
      <c r="J1417" s="1"/>
      <c r="K1417" s="1"/>
      <c r="L1417" s="1"/>
      <c r="M1417" s="1" t="s">
        <v>5682</v>
      </c>
      <c r="N1417" s="1" t="s">
        <v>161</v>
      </c>
      <c r="O1417" s="1" t="s">
        <v>162</v>
      </c>
      <c r="P1417" s="1" t="s">
        <v>5683</v>
      </c>
      <c r="Q1417" s="3">
        <v>36892.0</v>
      </c>
      <c r="R1417" s="1"/>
      <c r="S1417" s="3">
        <v>41932.0</v>
      </c>
      <c r="T1417" s="1" t="s">
        <v>164</v>
      </c>
      <c r="U1417" s="1"/>
      <c r="V1417" s="1" t="s">
        <v>38</v>
      </c>
      <c r="W1417" s="1">
        <v>43.9820614980364</v>
      </c>
      <c r="X1417" s="1">
        <v>-73.25288772583</v>
      </c>
      <c r="Y1417" s="1" t="s">
        <v>3011</v>
      </c>
      <c r="Z1417" s="1"/>
      <c r="AA1417" s="1" t="s">
        <v>40</v>
      </c>
      <c r="AB1417" s="1" t="s">
        <v>166</v>
      </c>
      <c r="AC1417" s="1">
        <v>0.0</v>
      </c>
    </row>
    <row r="1418">
      <c r="A1418" s="1" t="str">
        <f>"00076H"</f>
        <v>00076H</v>
      </c>
      <c r="B1418" s="1" t="s">
        <v>5684</v>
      </c>
      <c r="C1418" s="1" t="s">
        <v>5685</v>
      </c>
      <c r="D1418" s="1" t="str">
        <f>"8024473618"</f>
        <v>8024473618</v>
      </c>
      <c r="E1418" s="1">
        <v>329.0</v>
      </c>
      <c r="F1418" s="1" t="s">
        <v>44</v>
      </c>
      <c r="G1418" s="1" t="s">
        <v>5686</v>
      </c>
      <c r="H1418" s="1"/>
      <c r="I1418" s="1"/>
      <c r="J1418" s="1"/>
      <c r="K1418" s="1"/>
      <c r="L1418" s="1"/>
      <c r="M1418" s="1" t="s">
        <v>5687</v>
      </c>
      <c r="N1418" s="1" t="s">
        <v>414</v>
      </c>
      <c r="O1418" s="1" t="s">
        <v>720</v>
      </c>
      <c r="P1418" s="1"/>
      <c r="Q1418" s="3">
        <v>36892.0</v>
      </c>
      <c r="R1418" s="1"/>
      <c r="S1418" s="1"/>
      <c r="T1418" s="1" t="s">
        <v>37</v>
      </c>
      <c r="U1418" s="1"/>
      <c r="V1418" s="1" t="s">
        <v>38</v>
      </c>
      <c r="W1418" s="1"/>
      <c r="X1418" s="1"/>
      <c r="Y1418" s="1" t="s">
        <v>49</v>
      </c>
      <c r="Z1418" s="1"/>
      <c r="AA1418" s="1" t="s">
        <v>40</v>
      </c>
      <c r="AB1418" s="1" t="s">
        <v>414</v>
      </c>
      <c r="AC1418" s="1"/>
    </row>
    <row r="1419">
      <c r="A1419" s="1" t="str">
        <f>"0008CP"</f>
        <v>0008CP</v>
      </c>
      <c r="B1419" s="1" t="s">
        <v>5688</v>
      </c>
      <c r="C1419" s="1" t="s">
        <v>5689</v>
      </c>
      <c r="D1419" s="1" t="str">
        <f>"8024224076"</f>
        <v>8024224076</v>
      </c>
      <c r="E1419" s="1">
        <v>3380.0</v>
      </c>
      <c r="F1419" s="1" t="s">
        <v>44</v>
      </c>
      <c r="G1419" s="1" t="s">
        <v>5690</v>
      </c>
      <c r="H1419" s="1">
        <v>2.0</v>
      </c>
      <c r="I1419" s="1"/>
      <c r="J1419" s="1"/>
      <c r="K1419" s="1"/>
      <c r="L1419" s="1"/>
      <c r="M1419" s="1" t="s">
        <v>72</v>
      </c>
      <c r="N1419" s="1" t="s">
        <v>78</v>
      </c>
      <c r="O1419" s="1" t="s">
        <v>238</v>
      </c>
      <c r="P1419" s="1"/>
      <c r="Q1419" s="3">
        <v>36892.0</v>
      </c>
      <c r="R1419" s="1"/>
      <c r="S1419" s="3">
        <v>39205.0</v>
      </c>
      <c r="T1419" s="1" t="s">
        <v>37</v>
      </c>
      <c r="U1419" s="1"/>
      <c r="V1419" s="1" t="s">
        <v>38</v>
      </c>
      <c r="W1419" s="1"/>
      <c r="X1419" s="1"/>
      <c r="Y1419" s="1" t="s">
        <v>49</v>
      </c>
      <c r="Z1419" s="1"/>
      <c r="AA1419" s="1" t="s">
        <v>40</v>
      </c>
      <c r="AB1419" s="1" t="s">
        <v>5691</v>
      </c>
      <c r="AC1419" s="1"/>
    </row>
    <row r="1420">
      <c r="A1420" s="1" t="str">
        <f>"00090C"</f>
        <v>00090C</v>
      </c>
      <c r="B1420" s="1" t="s">
        <v>5033</v>
      </c>
      <c r="C1420" s="1" t="s">
        <v>5034</v>
      </c>
      <c r="D1420" s="1" t="str">
        <f>"8028851599"</f>
        <v>8028851599</v>
      </c>
      <c r="E1420" s="1">
        <v>3567.0</v>
      </c>
      <c r="F1420" s="1" t="s">
        <v>44</v>
      </c>
      <c r="G1420" s="1" t="s">
        <v>5692</v>
      </c>
      <c r="H1420" s="1">
        <v>1.0</v>
      </c>
      <c r="I1420" s="1"/>
      <c r="J1420" s="1"/>
      <c r="K1420" s="1"/>
      <c r="L1420" s="1"/>
      <c r="M1420" s="1" t="s">
        <v>72</v>
      </c>
      <c r="N1420" s="1" t="s">
        <v>34</v>
      </c>
      <c r="O1420" s="1" t="s">
        <v>642</v>
      </c>
      <c r="P1420" s="1"/>
      <c r="Q1420" s="3">
        <v>36892.0</v>
      </c>
      <c r="R1420" s="1"/>
      <c r="S1420" s="3">
        <v>39287.0</v>
      </c>
      <c r="T1420" s="1" t="s">
        <v>37</v>
      </c>
      <c r="U1420" s="1"/>
      <c r="V1420" s="1" t="s">
        <v>38</v>
      </c>
      <c r="W1420" s="1">
        <v>43.29137</v>
      </c>
      <c r="X1420" s="1">
        <v>-72.467758</v>
      </c>
      <c r="Y1420" s="1" t="s">
        <v>5693</v>
      </c>
      <c r="Z1420" s="1"/>
      <c r="AA1420" s="1" t="s">
        <v>40</v>
      </c>
      <c r="AB1420" s="1" t="s">
        <v>643</v>
      </c>
      <c r="AC1420" s="1">
        <v>5156.0</v>
      </c>
    </row>
    <row r="1421">
      <c r="A1421" s="1" t="str">
        <f>"0007BC"</f>
        <v>0007BC</v>
      </c>
      <c r="B1421" s="1" t="s">
        <v>5694</v>
      </c>
      <c r="C1421" s="1" t="s">
        <v>5695</v>
      </c>
      <c r="D1421" s="1" t="str">
        <f>"8025271908"</f>
        <v>8025271908</v>
      </c>
      <c r="E1421" s="1">
        <v>3680.0</v>
      </c>
      <c r="F1421" s="1" t="s">
        <v>44</v>
      </c>
      <c r="G1421" s="1" t="s">
        <v>5696</v>
      </c>
      <c r="H1421" s="1">
        <v>4.0</v>
      </c>
      <c r="I1421" s="1"/>
      <c r="J1421" s="1"/>
      <c r="K1421" s="1"/>
      <c r="L1421" s="1"/>
      <c r="M1421" s="1" t="s">
        <v>33</v>
      </c>
      <c r="N1421" s="1" t="s">
        <v>57</v>
      </c>
      <c r="O1421" s="1" t="s">
        <v>256</v>
      </c>
      <c r="P1421" s="1" t="s">
        <v>36</v>
      </c>
      <c r="Q1421" s="3">
        <v>36892.0</v>
      </c>
      <c r="R1421" s="1"/>
      <c r="S1421" s="3">
        <v>39623.0</v>
      </c>
      <c r="T1421" s="1" t="s">
        <v>37</v>
      </c>
      <c r="U1421" s="1"/>
      <c r="V1421" s="1" t="s">
        <v>38</v>
      </c>
      <c r="W1421" s="1">
        <v>44.69692</v>
      </c>
      <c r="X1421" s="1">
        <v>-73.12245</v>
      </c>
      <c r="Y1421" s="1" t="s">
        <v>5697</v>
      </c>
      <c r="Z1421" s="1"/>
      <c r="AA1421" s="1" t="s">
        <v>40</v>
      </c>
      <c r="AB1421" s="1" t="s">
        <v>257</v>
      </c>
      <c r="AC1421" s="1">
        <v>5468.0</v>
      </c>
    </row>
    <row r="1422">
      <c r="A1422" s="1" t="str">
        <f>"0008F1"</f>
        <v>0008F1</v>
      </c>
      <c r="B1422" s="1" t="s">
        <v>5698</v>
      </c>
      <c r="C1422" s="1" t="s">
        <v>5699</v>
      </c>
      <c r="D1422" s="1"/>
      <c r="E1422" s="1">
        <v>3535.0</v>
      </c>
      <c r="F1422" s="1" t="s">
        <v>117</v>
      </c>
      <c r="G1422" s="1" t="s">
        <v>5700</v>
      </c>
      <c r="H1422" s="1">
        <v>1.0</v>
      </c>
      <c r="I1422" s="2">
        <v>2.0</v>
      </c>
      <c r="J1422" s="2" t="s">
        <v>119</v>
      </c>
      <c r="K1422" s="2">
        <v>0.0</v>
      </c>
      <c r="L1422" s="1"/>
      <c r="M1422" s="1" t="s">
        <v>5701</v>
      </c>
      <c r="N1422" s="1" t="s">
        <v>57</v>
      </c>
      <c r="O1422" s="1" t="s">
        <v>175</v>
      </c>
      <c r="P1422" s="1" t="s">
        <v>5702</v>
      </c>
      <c r="Q1422" s="3">
        <v>36892.0</v>
      </c>
      <c r="R1422" s="1"/>
      <c r="S1422" s="3">
        <v>38189.0</v>
      </c>
      <c r="T1422" s="1" t="s">
        <v>37</v>
      </c>
      <c r="U1422" s="1"/>
      <c r="V1422" s="1" t="s">
        <v>38</v>
      </c>
      <c r="W1422" s="1">
        <v>44.4715409999999</v>
      </c>
      <c r="X1422" s="1">
        <v>-73.2016909999999</v>
      </c>
      <c r="Y1422" s="1" t="s">
        <v>5703</v>
      </c>
      <c r="Z1422" s="1"/>
      <c r="AA1422" s="1" t="s">
        <v>40</v>
      </c>
      <c r="AB1422" s="1" t="s">
        <v>176</v>
      </c>
      <c r="AC1422" s="1">
        <v>5401.0</v>
      </c>
    </row>
    <row r="1423">
      <c r="A1423" s="1" t="str">
        <f>"00075Z"</f>
        <v>00075Z</v>
      </c>
      <c r="B1423" s="1" t="s">
        <v>5704</v>
      </c>
      <c r="C1423" s="1" t="s">
        <v>5705</v>
      </c>
      <c r="D1423" s="1"/>
      <c r="E1423" s="1">
        <v>306.0</v>
      </c>
      <c r="F1423" s="1" t="s">
        <v>44</v>
      </c>
      <c r="G1423" s="1" t="s">
        <v>5706</v>
      </c>
      <c r="H1423" s="1"/>
      <c r="I1423" s="1"/>
      <c r="J1423" s="1"/>
      <c r="K1423" s="1"/>
      <c r="L1423" s="1"/>
      <c r="M1423" s="1" t="s">
        <v>72</v>
      </c>
      <c r="N1423" s="1" t="s">
        <v>414</v>
      </c>
      <c r="O1423" s="1" t="s">
        <v>2004</v>
      </c>
      <c r="P1423" s="1"/>
      <c r="Q1423" s="3">
        <v>36892.0</v>
      </c>
      <c r="R1423" s="1"/>
      <c r="S1423" s="1"/>
      <c r="T1423" s="1" t="s">
        <v>37</v>
      </c>
      <c r="U1423" s="1"/>
      <c r="V1423" s="1" t="s">
        <v>38</v>
      </c>
      <c r="W1423" s="1"/>
      <c r="X1423" s="1"/>
      <c r="Y1423" s="1" t="s">
        <v>49</v>
      </c>
      <c r="Z1423" s="1"/>
      <c r="AA1423" s="1" t="s">
        <v>40</v>
      </c>
      <c r="AB1423" s="1" t="s">
        <v>2005</v>
      </c>
      <c r="AC1423" s="1"/>
    </row>
    <row r="1424">
      <c r="A1424" s="1" t="str">
        <f>"000709"</f>
        <v>000709</v>
      </c>
      <c r="B1424" s="1" t="s">
        <v>5707</v>
      </c>
      <c r="C1424" s="1" t="s">
        <v>5708</v>
      </c>
      <c r="D1424" s="1" t="str">
        <f>"8024962365"</f>
        <v>8024962365</v>
      </c>
      <c r="E1424" s="1">
        <v>3005.0</v>
      </c>
      <c r="F1424" s="1" t="s">
        <v>44</v>
      </c>
      <c r="G1424" s="1" t="s">
        <v>5709</v>
      </c>
      <c r="H1424" s="1">
        <v>7.0</v>
      </c>
      <c r="I1424" s="1"/>
      <c r="J1424" s="1"/>
      <c r="K1424" s="1"/>
      <c r="L1424" s="1"/>
      <c r="M1424" s="1" t="s">
        <v>72</v>
      </c>
      <c r="N1424" s="1" t="s">
        <v>135</v>
      </c>
      <c r="O1424" s="1" t="s">
        <v>440</v>
      </c>
      <c r="P1424" s="1"/>
      <c r="Q1424" s="3">
        <v>36892.0</v>
      </c>
      <c r="R1424" s="1"/>
      <c r="S1424" s="3">
        <v>37419.0</v>
      </c>
      <c r="T1424" s="1" t="s">
        <v>37</v>
      </c>
      <c r="U1424" s="1"/>
      <c r="V1424" s="1" t="s">
        <v>38</v>
      </c>
      <c r="W1424" s="1"/>
      <c r="X1424" s="1"/>
      <c r="Y1424" s="1" t="s">
        <v>49</v>
      </c>
      <c r="Z1424" s="1"/>
      <c r="AA1424" s="1" t="s">
        <v>40</v>
      </c>
      <c r="AB1424" s="1" t="s">
        <v>441</v>
      </c>
      <c r="AC1424" s="1"/>
    </row>
    <row r="1425">
      <c r="A1425" s="1" t="str">
        <f>"00075X"</f>
        <v>00075X</v>
      </c>
      <c r="B1425" s="1" t="s">
        <v>5710</v>
      </c>
      <c r="C1425" s="1" t="s">
        <v>5711</v>
      </c>
      <c r="D1425" s="1" t="str">
        <f>"8025785758"</f>
        <v>8025785758</v>
      </c>
      <c r="E1425" s="1">
        <v>3585.0</v>
      </c>
      <c r="F1425" s="1" t="s">
        <v>44</v>
      </c>
      <c r="G1425" s="1" t="s">
        <v>5712</v>
      </c>
      <c r="H1425" s="1"/>
      <c r="I1425" s="1"/>
      <c r="J1425" s="1"/>
      <c r="K1425" s="1"/>
      <c r="L1425" s="1"/>
      <c r="M1425" s="1" t="s">
        <v>5713</v>
      </c>
      <c r="N1425" s="1" t="s">
        <v>57</v>
      </c>
      <c r="O1425" s="1" t="s">
        <v>1633</v>
      </c>
      <c r="P1425" s="1"/>
      <c r="Q1425" s="3">
        <v>36892.0</v>
      </c>
      <c r="R1425" s="1"/>
      <c r="S1425" s="1"/>
      <c r="T1425" s="1" t="s">
        <v>37</v>
      </c>
      <c r="U1425" s="1"/>
      <c r="V1425" s="1" t="s">
        <v>38</v>
      </c>
      <c r="W1425" s="1"/>
      <c r="X1425" s="1"/>
      <c r="Y1425" s="1" t="s">
        <v>49</v>
      </c>
      <c r="Z1425" s="1"/>
      <c r="AA1425" s="1" t="s">
        <v>40</v>
      </c>
      <c r="AB1425" s="1" t="s">
        <v>1634</v>
      </c>
      <c r="AC1425" s="1"/>
    </row>
    <row r="1426">
      <c r="A1426" s="1" t="str">
        <f>"00075W"</f>
        <v>00075W</v>
      </c>
      <c r="B1426" s="1" t="s">
        <v>5714</v>
      </c>
      <c r="C1426" s="1" t="s">
        <v>5715</v>
      </c>
      <c r="D1426" s="1" t="str">
        <f>"8028235547"</f>
        <v>8028235547</v>
      </c>
      <c r="E1426" s="1">
        <v>302.0</v>
      </c>
      <c r="F1426" s="1" t="s">
        <v>44</v>
      </c>
      <c r="G1426" s="1" t="s">
        <v>5716</v>
      </c>
      <c r="H1426" s="1"/>
      <c r="I1426" s="1"/>
      <c r="J1426" s="1"/>
      <c r="K1426" s="1"/>
      <c r="L1426" s="1"/>
      <c r="M1426" s="1" t="s">
        <v>72</v>
      </c>
      <c r="N1426" s="1" t="s">
        <v>414</v>
      </c>
      <c r="O1426" s="1" t="s">
        <v>794</v>
      </c>
      <c r="P1426" s="1"/>
      <c r="Q1426" s="3">
        <v>36892.0</v>
      </c>
      <c r="R1426" s="1"/>
      <c r="S1426" s="1"/>
      <c r="T1426" s="1" t="s">
        <v>37</v>
      </c>
      <c r="U1426" s="1"/>
      <c r="V1426" s="1" t="s">
        <v>38</v>
      </c>
      <c r="W1426" s="1"/>
      <c r="X1426" s="1"/>
      <c r="Y1426" s="1" t="s">
        <v>49</v>
      </c>
      <c r="Z1426" s="1"/>
      <c r="AA1426" s="1" t="s">
        <v>40</v>
      </c>
      <c r="AB1426" s="1" t="s">
        <v>797</v>
      </c>
      <c r="AC1426" s="1"/>
    </row>
    <row r="1427">
      <c r="A1427" s="1" t="str">
        <f>"00075V"</f>
        <v>00075V</v>
      </c>
      <c r="B1427" s="1" t="s">
        <v>5717</v>
      </c>
      <c r="C1427" s="1" t="s">
        <v>5718</v>
      </c>
      <c r="D1427" s="1" t="str">
        <f>"8024344160"</f>
        <v>8024344160</v>
      </c>
      <c r="E1427" s="1">
        <v>2392.0</v>
      </c>
      <c r="F1427" s="1" t="s">
        <v>44</v>
      </c>
      <c r="G1427" s="1" t="s">
        <v>5719</v>
      </c>
      <c r="H1427" s="1">
        <v>1.0</v>
      </c>
      <c r="I1427" s="1"/>
      <c r="J1427" s="1"/>
      <c r="K1427" s="1"/>
      <c r="L1427" s="1"/>
      <c r="M1427" s="1" t="s">
        <v>72</v>
      </c>
      <c r="N1427" s="1" t="s">
        <v>57</v>
      </c>
      <c r="O1427" s="1" t="s">
        <v>201</v>
      </c>
      <c r="P1427" s="1"/>
      <c r="Q1427" s="3">
        <v>36892.0</v>
      </c>
      <c r="R1427" s="1"/>
      <c r="S1427" s="3">
        <v>32394.0</v>
      </c>
      <c r="T1427" s="1" t="s">
        <v>37</v>
      </c>
      <c r="U1427" s="1"/>
      <c r="V1427" s="1" t="s">
        <v>38</v>
      </c>
      <c r="W1427" s="1"/>
      <c r="X1427" s="1"/>
      <c r="Y1427" s="1" t="s">
        <v>49</v>
      </c>
      <c r="Z1427" s="1"/>
      <c r="AA1427" s="1" t="s">
        <v>40</v>
      </c>
      <c r="AB1427" s="1" t="s">
        <v>202</v>
      </c>
      <c r="AC1427" s="1"/>
    </row>
    <row r="1428">
      <c r="A1428" s="1" t="str">
        <f>"00075P"</f>
        <v>00075P</v>
      </c>
      <c r="B1428" s="1" t="s">
        <v>5720</v>
      </c>
      <c r="C1428" s="1" t="s">
        <v>5721</v>
      </c>
      <c r="D1428" s="1" t="str">
        <f>"8024362521"</f>
        <v>8024362521</v>
      </c>
      <c r="E1428" s="1">
        <v>3495.0</v>
      </c>
      <c r="F1428" s="1" t="s">
        <v>44</v>
      </c>
      <c r="G1428" s="1" t="s">
        <v>5722</v>
      </c>
      <c r="H1428" s="1">
        <v>2.0</v>
      </c>
      <c r="I1428" s="1"/>
      <c r="J1428" s="1"/>
      <c r="K1428" s="1"/>
      <c r="L1428" s="1"/>
      <c r="M1428" s="1" t="s">
        <v>72</v>
      </c>
      <c r="N1428" s="1" t="s">
        <v>34</v>
      </c>
      <c r="O1428" s="1" t="s">
        <v>953</v>
      </c>
      <c r="P1428" s="1"/>
      <c r="Q1428" s="3">
        <v>36892.0</v>
      </c>
      <c r="R1428" s="1"/>
      <c r="S1428" s="3">
        <v>37718.0</v>
      </c>
      <c r="T1428" s="1" t="s">
        <v>37</v>
      </c>
      <c r="U1428" s="1"/>
      <c r="V1428" s="1" t="s">
        <v>38</v>
      </c>
      <c r="W1428" s="1"/>
      <c r="X1428" s="1"/>
      <c r="Y1428" s="1" t="s">
        <v>49</v>
      </c>
      <c r="Z1428" s="1"/>
      <c r="AA1428" s="1" t="s">
        <v>40</v>
      </c>
      <c r="AB1428" s="1" t="s">
        <v>954</v>
      </c>
      <c r="AC1428" s="1"/>
    </row>
    <row r="1429">
      <c r="A1429" s="1" t="str">
        <f>"00075M"</f>
        <v>00075M</v>
      </c>
      <c r="B1429" s="1" t="s">
        <v>5723</v>
      </c>
      <c r="C1429" s="1" t="s">
        <v>5724</v>
      </c>
      <c r="D1429" s="1" t="str">
        <f>"4136646473"</f>
        <v>4136646473</v>
      </c>
      <c r="E1429" s="1">
        <v>295.0</v>
      </c>
      <c r="F1429" s="1" t="s">
        <v>44</v>
      </c>
      <c r="G1429" s="1" t="s">
        <v>5725</v>
      </c>
      <c r="H1429" s="1">
        <v>1.0</v>
      </c>
      <c r="I1429" s="1"/>
      <c r="J1429" s="1"/>
      <c r="K1429" s="1"/>
      <c r="L1429" s="1"/>
      <c r="M1429" s="1" t="s">
        <v>5726</v>
      </c>
      <c r="N1429" s="1" t="s">
        <v>414</v>
      </c>
      <c r="O1429" s="1" t="s">
        <v>794</v>
      </c>
      <c r="P1429" s="1"/>
      <c r="Q1429" s="3">
        <v>36892.0</v>
      </c>
      <c r="R1429" s="1"/>
      <c r="S1429" s="3">
        <v>37943.0</v>
      </c>
      <c r="T1429" s="1" t="s">
        <v>37</v>
      </c>
      <c r="U1429" s="1"/>
      <c r="V1429" s="1" t="s">
        <v>38</v>
      </c>
      <c r="W1429" s="1"/>
      <c r="X1429" s="1"/>
      <c r="Y1429" s="1" t="s">
        <v>49</v>
      </c>
      <c r="Z1429" s="1"/>
      <c r="AA1429" s="1" t="s">
        <v>40</v>
      </c>
      <c r="AB1429" s="1" t="s">
        <v>797</v>
      </c>
      <c r="AC1429" s="1"/>
    </row>
    <row r="1430">
      <c r="A1430" s="1" t="str">
        <f>"00075K"</f>
        <v>00075K</v>
      </c>
      <c r="B1430" s="1" t="s">
        <v>5727</v>
      </c>
      <c r="C1430" s="1" t="s">
        <v>5728</v>
      </c>
      <c r="D1430" s="1"/>
      <c r="E1430" s="1">
        <v>294.0</v>
      </c>
      <c r="F1430" s="1" t="s">
        <v>44</v>
      </c>
      <c r="G1430" s="1" t="s">
        <v>5729</v>
      </c>
      <c r="H1430" s="1">
        <v>1.0</v>
      </c>
      <c r="I1430" s="1"/>
      <c r="J1430" s="1"/>
      <c r="K1430" s="1"/>
      <c r="L1430" s="1"/>
      <c r="M1430" s="1" t="s">
        <v>5730</v>
      </c>
      <c r="N1430" s="1" t="s">
        <v>414</v>
      </c>
      <c r="O1430" s="1" t="s">
        <v>660</v>
      </c>
      <c r="P1430" s="1"/>
      <c r="Q1430" s="3">
        <v>36892.0</v>
      </c>
      <c r="R1430" s="1"/>
      <c r="S1430" s="3">
        <v>35313.0</v>
      </c>
      <c r="T1430" s="1" t="s">
        <v>37</v>
      </c>
      <c r="U1430" s="1"/>
      <c r="V1430" s="1" t="s">
        <v>38</v>
      </c>
      <c r="W1430" s="1"/>
      <c r="X1430" s="1"/>
      <c r="Y1430" s="1" t="s">
        <v>49</v>
      </c>
      <c r="Z1430" s="1"/>
      <c r="AA1430" s="1" t="s">
        <v>40</v>
      </c>
      <c r="AB1430" s="1" t="s">
        <v>661</v>
      </c>
      <c r="AC1430" s="1"/>
    </row>
    <row r="1431">
      <c r="A1431" s="1" t="str">
        <f>"00075J"</f>
        <v>00075J</v>
      </c>
      <c r="B1431" s="1" t="s">
        <v>5731</v>
      </c>
      <c r="C1431" s="1" t="s">
        <v>5732</v>
      </c>
      <c r="D1431" s="1" t="str">
        <f>"8028245022"</f>
        <v>8028245022</v>
      </c>
      <c r="E1431" s="1">
        <v>293.0</v>
      </c>
      <c r="F1431" s="1" t="s">
        <v>44</v>
      </c>
      <c r="G1431" s="1" t="s">
        <v>5733</v>
      </c>
      <c r="H1431" s="1">
        <v>1.0</v>
      </c>
      <c r="I1431" s="1"/>
      <c r="J1431" s="1"/>
      <c r="K1431" s="1"/>
      <c r="L1431" s="1"/>
      <c r="M1431" s="1" t="s">
        <v>5734</v>
      </c>
      <c r="N1431" s="1" t="s">
        <v>414</v>
      </c>
      <c r="O1431" s="1" t="s">
        <v>660</v>
      </c>
      <c r="P1431" s="1"/>
      <c r="Q1431" s="3">
        <v>36892.0</v>
      </c>
      <c r="R1431" s="1"/>
      <c r="S1431" s="3">
        <v>35313.0</v>
      </c>
      <c r="T1431" s="1" t="s">
        <v>37</v>
      </c>
      <c r="U1431" s="1"/>
      <c r="V1431" s="1" t="s">
        <v>38</v>
      </c>
      <c r="W1431" s="1"/>
      <c r="X1431" s="1"/>
      <c r="Y1431" s="1" t="s">
        <v>49</v>
      </c>
      <c r="Z1431" s="1"/>
      <c r="AA1431" s="1" t="s">
        <v>40</v>
      </c>
      <c r="AB1431" s="1" t="s">
        <v>661</v>
      </c>
      <c r="AC1431" s="1"/>
    </row>
    <row r="1432">
      <c r="A1432" s="1" t="str">
        <f>"00075H"</f>
        <v>00075H</v>
      </c>
      <c r="B1432" s="1" t="s">
        <v>5735</v>
      </c>
      <c r="C1432" s="1" t="s">
        <v>5736</v>
      </c>
      <c r="D1432" s="1" t="str">
        <f>"8028235249"</f>
        <v>8028235249</v>
      </c>
      <c r="E1432" s="1">
        <v>292.0</v>
      </c>
      <c r="F1432" s="1" t="s">
        <v>44</v>
      </c>
      <c r="G1432" s="1" t="s">
        <v>5737</v>
      </c>
      <c r="H1432" s="1"/>
      <c r="I1432" s="1"/>
      <c r="J1432" s="1"/>
      <c r="K1432" s="1"/>
      <c r="L1432" s="1"/>
      <c r="M1432" s="1" t="s">
        <v>5738</v>
      </c>
      <c r="N1432" s="1" t="s">
        <v>414</v>
      </c>
      <c r="O1432" s="1" t="s">
        <v>794</v>
      </c>
      <c r="P1432" s="1"/>
      <c r="Q1432" s="3">
        <v>36892.0</v>
      </c>
      <c r="R1432" s="1"/>
      <c r="S1432" s="1"/>
      <c r="T1432" s="1" t="s">
        <v>37</v>
      </c>
      <c r="U1432" s="1"/>
      <c r="V1432" s="1" t="s">
        <v>38</v>
      </c>
      <c r="W1432" s="1"/>
      <c r="X1432" s="1"/>
      <c r="Y1432" s="1" t="s">
        <v>49</v>
      </c>
      <c r="Z1432" s="1"/>
      <c r="AA1432" s="1" t="s">
        <v>40</v>
      </c>
      <c r="AB1432" s="1" t="s">
        <v>797</v>
      </c>
      <c r="AC1432" s="1"/>
    </row>
    <row r="1433">
      <c r="A1433" s="1" t="str">
        <f>"00075G"</f>
        <v>00075G</v>
      </c>
      <c r="B1433" s="1" t="s">
        <v>4701</v>
      </c>
      <c r="C1433" s="1" t="s">
        <v>4702</v>
      </c>
      <c r="D1433" s="1" t="str">
        <f>"8024473781"</f>
        <v>8024473781</v>
      </c>
      <c r="E1433" s="1">
        <v>291.0</v>
      </c>
      <c r="F1433" s="1" t="s">
        <v>44</v>
      </c>
      <c r="G1433" s="1" t="s">
        <v>5739</v>
      </c>
      <c r="H1433" s="1">
        <v>5.0</v>
      </c>
      <c r="I1433" s="1"/>
      <c r="J1433" s="1"/>
      <c r="K1433" s="1"/>
      <c r="L1433" s="1"/>
      <c r="M1433" s="1" t="s">
        <v>4704</v>
      </c>
      <c r="N1433" s="1" t="s">
        <v>414</v>
      </c>
      <c r="O1433" s="1" t="s">
        <v>1160</v>
      </c>
      <c r="P1433" s="1"/>
      <c r="Q1433" s="3">
        <v>36892.0</v>
      </c>
      <c r="R1433" s="1"/>
      <c r="S1433" s="3">
        <v>38546.0</v>
      </c>
      <c r="T1433" s="1" t="s">
        <v>37</v>
      </c>
      <c r="U1433" s="1"/>
      <c r="V1433" s="1" t="s">
        <v>38</v>
      </c>
      <c r="W1433" s="1"/>
      <c r="X1433" s="1"/>
      <c r="Y1433" s="1" t="s">
        <v>49</v>
      </c>
      <c r="Z1433" s="1"/>
      <c r="AA1433" s="1" t="s">
        <v>40</v>
      </c>
      <c r="AB1433" s="1" t="s">
        <v>1161</v>
      </c>
      <c r="AC1433" s="1"/>
    </row>
    <row r="1434">
      <c r="A1434" s="1" t="str">
        <f>"00074D"</f>
        <v>00074D</v>
      </c>
      <c r="B1434" s="1" t="s">
        <v>5740</v>
      </c>
      <c r="C1434" s="1" t="s">
        <v>5741</v>
      </c>
      <c r="D1434" s="1"/>
      <c r="E1434" s="1">
        <v>2442.0</v>
      </c>
      <c r="F1434" s="1" t="s">
        <v>44</v>
      </c>
      <c r="G1434" s="1" t="s">
        <v>5742</v>
      </c>
      <c r="H1434" s="1"/>
      <c r="I1434" s="1"/>
      <c r="J1434" s="1"/>
      <c r="K1434" s="1"/>
      <c r="L1434" s="1"/>
      <c r="M1434" s="1" t="s">
        <v>5743</v>
      </c>
      <c r="N1434" s="1" t="s">
        <v>34</v>
      </c>
      <c r="O1434" s="1" t="s">
        <v>1277</v>
      </c>
      <c r="P1434" s="1"/>
      <c r="Q1434" s="3">
        <v>36892.0</v>
      </c>
      <c r="R1434" s="1"/>
      <c r="S1434" s="1"/>
      <c r="T1434" s="1" t="s">
        <v>37</v>
      </c>
      <c r="U1434" s="1"/>
      <c r="V1434" s="1" t="s">
        <v>38</v>
      </c>
      <c r="W1434" s="1"/>
      <c r="X1434" s="1"/>
      <c r="Y1434" s="1" t="s">
        <v>49</v>
      </c>
      <c r="Z1434" s="1"/>
      <c r="AA1434" s="1" t="s">
        <v>40</v>
      </c>
      <c r="AB1434" s="1" t="s">
        <v>1278</v>
      </c>
      <c r="AC1434" s="1"/>
    </row>
    <row r="1435">
      <c r="A1435" s="1" t="str">
        <f>"00074A"</f>
        <v>00074A</v>
      </c>
      <c r="B1435" s="1" t="s">
        <v>5744</v>
      </c>
      <c r="C1435" s="1" t="s">
        <v>5745</v>
      </c>
      <c r="D1435" s="1" t="str">
        <f>"8024923653"</f>
        <v>8024923653</v>
      </c>
      <c r="E1435" s="1">
        <v>3038.0</v>
      </c>
      <c r="F1435" s="1" t="s">
        <v>117</v>
      </c>
      <c r="G1435" s="1" t="s">
        <v>5746</v>
      </c>
      <c r="H1435" s="1">
        <v>1.0</v>
      </c>
      <c r="I1435" s="2">
        <v>1.0</v>
      </c>
      <c r="J1435" s="2">
        <v>1.0</v>
      </c>
      <c r="K1435" s="2" t="s">
        <v>119</v>
      </c>
      <c r="L1435" s="1"/>
      <c r="M1435" s="1" t="s">
        <v>5747</v>
      </c>
      <c r="N1435" s="1" t="s">
        <v>78</v>
      </c>
      <c r="O1435" s="1" t="s">
        <v>1303</v>
      </c>
      <c r="P1435" s="1" t="s">
        <v>5748</v>
      </c>
      <c r="Q1435" s="3">
        <v>36892.0</v>
      </c>
      <c r="R1435" s="1"/>
      <c r="S1435" s="3">
        <v>39689.0</v>
      </c>
      <c r="T1435" s="1" t="s">
        <v>37</v>
      </c>
      <c r="U1435" s="1"/>
      <c r="V1435" s="1" t="s">
        <v>38</v>
      </c>
      <c r="W1435" s="1">
        <v>43.4823872458473</v>
      </c>
      <c r="X1435" s="1">
        <v>-72.9031893610954</v>
      </c>
      <c r="Y1435" s="1" t="s">
        <v>5749</v>
      </c>
      <c r="Z1435" s="1"/>
      <c r="AA1435" s="1" t="s">
        <v>40</v>
      </c>
      <c r="AB1435" s="1" t="s">
        <v>1304</v>
      </c>
      <c r="AC1435" s="1">
        <v>5738.0</v>
      </c>
    </row>
    <row r="1436">
      <c r="A1436" s="1" t="str">
        <f>"000745"</f>
        <v>000745</v>
      </c>
      <c r="B1436" s="1" t="s">
        <v>5750</v>
      </c>
      <c r="C1436" s="1" t="s">
        <v>5751</v>
      </c>
      <c r="D1436" s="1" t="str">
        <f>"8028754916"</f>
        <v>8028754916</v>
      </c>
      <c r="E1436" s="1">
        <v>3681.0</v>
      </c>
      <c r="F1436" s="1" t="s">
        <v>44</v>
      </c>
      <c r="G1436" s="1" t="s">
        <v>5752</v>
      </c>
      <c r="H1436" s="1">
        <v>3.0</v>
      </c>
      <c r="I1436" s="1"/>
      <c r="J1436" s="1"/>
      <c r="K1436" s="1"/>
      <c r="L1436" s="1"/>
      <c r="M1436" s="1" t="s">
        <v>72</v>
      </c>
      <c r="N1436" s="1" t="s">
        <v>34</v>
      </c>
      <c r="O1436" s="1" t="s">
        <v>565</v>
      </c>
      <c r="P1436" s="1"/>
      <c r="Q1436" s="3">
        <v>36892.0</v>
      </c>
      <c r="R1436" s="1"/>
      <c r="S1436" s="3">
        <v>39289.0</v>
      </c>
      <c r="T1436" s="1" t="s">
        <v>37</v>
      </c>
      <c r="U1436" s="1"/>
      <c r="V1436" s="1" t="s">
        <v>38</v>
      </c>
      <c r="W1436" s="1"/>
      <c r="X1436" s="1"/>
      <c r="Y1436" s="1" t="s">
        <v>49</v>
      </c>
      <c r="Z1436" s="1"/>
      <c r="AA1436" s="1" t="s">
        <v>40</v>
      </c>
      <c r="AB1436" s="1" t="s">
        <v>566</v>
      </c>
      <c r="AC1436" s="1"/>
    </row>
    <row r="1437">
      <c r="A1437" s="1" t="str">
        <f>"00075B"</f>
        <v>00075B</v>
      </c>
      <c r="B1437" s="1" t="s">
        <v>5753</v>
      </c>
      <c r="C1437" s="1" t="s">
        <v>5754</v>
      </c>
      <c r="D1437" s="1"/>
      <c r="E1437" s="1">
        <v>286.0</v>
      </c>
      <c r="F1437" s="1" t="s">
        <v>44</v>
      </c>
      <c r="G1437" s="1" t="s">
        <v>5755</v>
      </c>
      <c r="H1437" s="1">
        <v>2.0</v>
      </c>
      <c r="I1437" s="1"/>
      <c r="J1437" s="1"/>
      <c r="K1437" s="1"/>
      <c r="L1437" s="1"/>
      <c r="M1437" s="1" t="s">
        <v>5756</v>
      </c>
      <c r="N1437" s="1" t="s">
        <v>414</v>
      </c>
      <c r="O1437" s="1" t="s">
        <v>720</v>
      </c>
      <c r="P1437" s="1"/>
      <c r="Q1437" s="3">
        <v>36892.0</v>
      </c>
      <c r="R1437" s="1"/>
      <c r="S1437" s="3">
        <v>32330.0</v>
      </c>
      <c r="T1437" s="1" t="s">
        <v>37</v>
      </c>
      <c r="U1437" s="1"/>
      <c r="V1437" s="1" t="s">
        <v>38</v>
      </c>
      <c r="W1437" s="1"/>
      <c r="X1437" s="1"/>
      <c r="Y1437" s="1" t="s">
        <v>49</v>
      </c>
      <c r="Z1437" s="1"/>
      <c r="AA1437" s="1" t="s">
        <v>40</v>
      </c>
      <c r="AB1437" s="1" t="s">
        <v>414</v>
      </c>
      <c r="AC1437" s="1"/>
    </row>
    <row r="1438">
      <c r="A1438" s="1" t="str">
        <f>"00075D"</f>
        <v>00075D</v>
      </c>
      <c r="B1438" s="1" t="s">
        <v>5757</v>
      </c>
      <c r="C1438" s="1" t="s">
        <v>5758</v>
      </c>
      <c r="D1438" s="1" t="str">
        <f>"8027289402"</f>
        <v>8027289402</v>
      </c>
      <c r="E1438" s="1">
        <v>3039.0</v>
      </c>
      <c r="F1438" s="1" t="s">
        <v>44</v>
      </c>
      <c r="G1438" s="1" t="s">
        <v>5759</v>
      </c>
      <c r="H1438" s="1"/>
      <c r="I1438" s="1"/>
      <c r="J1438" s="1"/>
      <c r="K1438" s="1"/>
      <c r="L1438" s="1"/>
      <c r="M1438" s="1" t="s">
        <v>72</v>
      </c>
      <c r="N1438" s="1" t="s">
        <v>142</v>
      </c>
      <c r="O1438" s="1" t="s">
        <v>474</v>
      </c>
      <c r="P1438" s="1"/>
      <c r="Q1438" s="3">
        <v>36892.0</v>
      </c>
      <c r="R1438" s="1"/>
      <c r="S1438" s="1"/>
      <c r="T1438" s="1" t="s">
        <v>37</v>
      </c>
      <c r="U1438" s="1"/>
      <c r="V1438" s="1" t="s">
        <v>38</v>
      </c>
      <c r="W1438" s="1"/>
      <c r="X1438" s="1"/>
      <c r="Y1438" s="1" t="s">
        <v>49</v>
      </c>
      <c r="Z1438" s="1"/>
      <c r="AA1438" s="1" t="s">
        <v>40</v>
      </c>
      <c r="AB1438" s="1" t="s">
        <v>475</v>
      </c>
      <c r="AC1438" s="1"/>
    </row>
    <row r="1439">
      <c r="A1439" s="1" t="str">
        <f>"00073K"</f>
        <v>00073K</v>
      </c>
      <c r="B1439" s="1" t="s">
        <v>5760</v>
      </c>
      <c r="C1439" s="1" t="s">
        <v>5761</v>
      </c>
      <c r="D1439" s="1" t="str">
        <f>"8026265993"</f>
        <v>8026265993</v>
      </c>
      <c r="E1439" s="1">
        <v>2831.0</v>
      </c>
      <c r="F1439" s="1" t="s">
        <v>44</v>
      </c>
      <c r="G1439" s="1" t="s">
        <v>5762</v>
      </c>
      <c r="H1439" s="1"/>
      <c r="I1439" s="1"/>
      <c r="J1439" s="1"/>
      <c r="K1439" s="1"/>
      <c r="L1439" s="1"/>
      <c r="M1439" s="1" t="s">
        <v>72</v>
      </c>
      <c r="N1439" s="1" t="s">
        <v>128</v>
      </c>
      <c r="O1439" s="1" t="s">
        <v>1433</v>
      </c>
      <c r="P1439" s="1"/>
      <c r="Q1439" s="3">
        <v>36892.0</v>
      </c>
      <c r="R1439" s="1"/>
      <c r="S1439" s="1"/>
      <c r="T1439" s="1" t="s">
        <v>37</v>
      </c>
      <c r="U1439" s="1"/>
      <c r="V1439" s="1" t="s">
        <v>38</v>
      </c>
      <c r="W1439" s="1"/>
      <c r="X1439" s="1"/>
      <c r="Y1439" s="1" t="s">
        <v>49</v>
      </c>
      <c r="Z1439" s="1"/>
      <c r="AA1439" s="1" t="s">
        <v>40</v>
      </c>
      <c r="AB1439" s="1" t="s">
        <v>1434</v>
      </c>
      <c r="AC1439" s="1"/>
    </row>
    <row r="1440">
      <c r="A1440" s="1" t="str">
        <f>"0007NC"</f>
        <v>0007NC</v>
      </c>
      <c r="B1440" s="1" t="s">
        <v>5763</v>
      </c>
      <c r="C1440" s="1" t="s">
        <v>5764</v>
      </c>
      <c r="D1440" s="1" t="str">
        <f>"8024639396"</f>
        <v>8024639396</v>
      </c>
      <c r="E1440" s="1">
        <v>3043.0</v>
      </c>
      <c r="F1440" s="1" t="s">
        <v>44</v>
      </c>
      <c r="G1440" s="1" t="s">
        <v>5765</v>
      </c>
      <c r="H1440" s="1">
        <v>2.0</v>
      </c>
      <c r="I1440" s="1"/>
      <c r="J1440" s="1"/>
      <c r="K1440" s="1"/>
      <c r="L1440" s="1"/>
      <c r="M1440" s="1" t="s">
        <v>72</v>
      </c>
      <c r="N1440" s="1" t="s">
        <v>66</v>
      </c>
      <c r="O1440" s="1" t="s">
        <v>113</v>
      </c>
      <c r="P1440" s="1"/>
      <c r="Q1440" s="3">
        <v>36892.0</v>
      </c>
      <c r="R1440" s="1"/>
      <c r="S1440" s="3">
        <v>36794.0</v>
      </c>
      <c r="T1440" s="1" t="s">
        <v>37</v>
      </c>
      <c r="U1440" s="1"/>
      <c r="V1440" s="1" t="s">
        <v>38</v>
      </c>
      <c r="W1440" s="1"/>
      <c r="X1440" s="1"/>
      <c r="Y1440" s="1" t="s">
        <v>49</v>
      </c>
      <c r="Z1440" s="1"/>
      <c r="AA1440" s="1" t="s">
        <v>40</v>
      </c>
      <c r="AB1440" s="1" t="s">
        <v>114</v>
      </c>
      <c r="AC1440" s="1"/>
    </row>
    <row r="1441">
      <c r="A1441" s="1" t="str">
        <f>"000757"</f>
        <v>000757</v>
      </c>
      <c r="B1441" s="1" t="s">
        <v>5766</v>
      </c>
      <c r="C1441" s="1" t="s">
        <v>5767</v>
      </c>
      <c r="D1441" s="1" t="str">
        <f>"8024536384"</f>
        <v>8024536384</v>
      </c>
      <c r="E1441" s="1">
        <v>4059.0</v>
      </c>
      <c r="F1441" s="1" t="s">
        <v>44</v>
      </c>
      <c r="G1441" s="1" t="s">
        <v>5768</v>
      </c>
      <c r="H1441" s="1">
        <v>4.0</v>
      </c>
      <c r="I1441" s="2" t="s">
        <v>119</v>
      </c>
      <c r="J1441" s="2" t="s">
        <v>119</v>
      </c>
      <c r="K1441" s="2" t="s">
        <v>119</v>
      </c>
      <c r="L1441" s="1"/>
      <c r="M1441" s="1" t="s">
        <v>33</v>
      </c>
      <c r="N1441" s="1" t="s">
        <v>161</v>
      </c>
      <c r="O1441" s="1" t="s">
        <v>571</v>
      </c>
      <c r="P1441" s="1" t="s">
        <v>36</v>
      </c>
      <c r="Q1441" s="3">
        <v>36892.0</v>
      </c>
      <c r="R1441" s="1"/>
      <c r="S1441" s="1"/>
      <c r="T1441" s="1" t="s">
        <v>37</v>
      </c>
      <c r="U1441" s="1"/>
      <c r="V1441" s="1" t="s">
        <v>38</v>
      </c>
      <c r="W1441" s="1">
        <v>44.110764</v>
      </c>
      <c r="X1441" s="1">
        <v>-73.003815</v>
      </c>
      <c r="Y1441" s="1" t="s">
        <v>5769</v>
      </c>
      <c r="Z1441" s="1"/>
      <c r="AA1441" s="1" t="s">
        <v>40</v>
      </c>
      <c r="AB1441" s="1" t="s">
        <v>573</v>
      </c>
      <c r="AC1441" s="1">
        <v>5443.0</v>
      </c>
    </row>
    <row r="1442">
      <c r="A1442" s="1" t="str">
        <f>"0008ZC"</f>
        <v>0008ZC</v>
      </c>
      <c r="B1442" s="1" t="s">
        <v>5770</v>
      </c>
      <c r="C1442" s="1" t="s">
        <v>5771</v>
      </c>
      <c r="D1442" s="1"/>
      <c r="E1442" s="1">
        <v>3536.0</v>
      </c>
      <c r="F1442" s="1" t="s">
        <v>117</v>
      </c>
      <c r="G1442" s="1" t="s">
        <v>5772</v>
      </c>
      <c r="H1442" s="1">
        <v>6.0</v>
      </c>
      <c r="I1442" s="2" t="s">
        <v>119</v>
      </c>
      <c r="J1442" s="2">
        <v>1.0</v>
      </c>
      <c r="K1442" s="2" t="s">
        <v>119</v>
      </c>
      <c r="L1442" s="1"/>
      <c r="M1442" s="1" t="s">
        <v>5773</v>
      </c>
      <c r="N1442" s="1" t="s">
        <v>47</v>
      </c>
      <c r="O1442" s="1" t="s">
        <v>2753</v>
      </c>
      <c r="P1442" s="1" t="s">
        <v>5774</v>
      </c>
      <c r="Q1442" s="3">
        <v>36892.0</v>
      </c>
      <c r="R1442" s="1"/>
      <c r="S1442" s="3">
        <v>40683.0</v>
      </c>
      <c r="T1442" s="1" t="s">
        <v>37</v>
      </c>
      <c r="U1442" s="1"/>
      <c r="V1442" s="1" t="s">
        <v>38</v>
      </c>
      <c r="W1442" s="1">
        <v>44.7885931950536</v>
      </c>
      <c r="X1442" s="1">
        <v>-73.1355518102645</v>
      </c>
      <c r="Y1442" s="1" t="s">
        <v>5775</v>
      </c>
      <c r="Z1442" s="1"/>
      <c r="AA1442" s="1" t="s">
        <v>40</v>
      </c>
      <c r="AB1442" s="1" t="s">
        <v>5776</v>
      </c>
      <c r="AC1442" s="1">
        <v>5478.0</v>
      </c>
    </row>
    <row r="1443">
      <c r="A1443" s="1" t="str">
        <f>"000756"</f>
        <v>000756</v>
      </c>
      <c r="B1443" s="1" t="s">
        <v>5777</v>
      </c>
      <c r="C1443" s="1" t="s">
        <v>5778</v>
      </c>
      <c r="D1443" s="1" t="str">
        <f>"8023623127"</f>
        <v>8023623127</v>
      </c>
      <c r="E1443" s="1">
        <v>277.0</v>
      </c>
      <c r="F1443" s="1" t="s">
        <v>44</v>
      </c>
      <c r="G1443" s="1" t="s">
        <v>5779</v>
      </c>
      <c r="H1443" s="1">
        <v>5.0</v>
      </c>
      <c r="I1443" s="1"/>
      <c r="J1443" s="1"/>
      <c r="K1443" s="1"/>
      <c r="L1443" s="1"/>
      <c r="M1443" s="1" t="s">
        <v>5780</v>
      </c>
      <c r="N1443" s="1" t="s">
        <v>414</v>
      </c>
      <c r="O1443" s="1" t="s">
        <v>2880</v>
      </c>
      <c r="P1443" s="1"/>
      <c r="Q1443" s="3">
        <v>36892.0</v>
      </c>
      <c r="R1443" s="1"/>
      <c r="S1443" s="3">
        <v>32686.0</v>
      </c>
      <c r="T1443" s="1" t="s">
        <v>37</v>
      </c>
      <c r="U1443" s="1"/>
      <c r="V1443" s="1" t="s">
        <v>38</v>
      </c>
      <c r="W1443" s="1"/>
      <c r="X1443" s="1"/>
      <c r="Y1443" s="1" t="s">
        <v>49</v>
      </c>
      <c r="Z1443" s="1"/>
      <c r="AA1443" s="1" t="s">
        <v>40</v>
      </c>
      <c r="AB1443" s="1" t="s">
        <v>2881</v>
      </c>
      <c r="AC1443" s="1"/>
    </row>
    <row r="1444">
      <c r="A1444" s="1" t="str">
        <f>"000755"</f>
        <v>000755</v>
      </c>
      <c r="B1444" s="1" t="s">
        <v>5781</v>
      </c>
      <c r="C1444" s="1" t="s">
        <v>5782</v>
      </c>
      <c r="D1444" s="1" t="str">
        <f>"8023622040"</f>
        <v>8023622040</v>
      </c>
      <c r="E1444" s="1">
        <v>275.0</v>
      </c>
      <c r="F1444" s="1" t="s">
        <v>44</v>
      </c>
      <c r="G1444" s="1" t="s">
        <v>5783</v>
      </c>
      <c r="H1444" s="1">
        <v>0.0</v>
      </c>
      <c r="I1444" s="1"/>
      <c r="J1444" s="1"/>
      <c r="K1444" s="1"/>
      <c r="L1444" s="1"/>
      <c r="M1444" s="1" t="s">
        <v>5784</v>
      </c>
      <c r="N1444" s="1" t="s">
        <v>414</v>
      </c>
      <c r="O1444" s="1" t="s">
        <v>2880</v>
      </c>
      <c r="P1444" s="1"/>
      <c r="Q1444" s="3">
        <v>36892.0</v>
      </c>
      <c r="R1444" s="1"/>
      <c r="S1444" s="3">
        <v>35648.0</v>
      </c>
      <c r="T1444" s="1" t="s">
        <v>37</v>
      </c>
      <c r="U1444" s="1"/>
      <c r="V1444" s="1" t="s">
        <v>38</v>
      </c>
      <c r="W1444" s="1"/>
      <c r="X1444" s="1"/>
      <c r="Y1444" s="1" t="s">
        <v>49</v>
      </c>
      <c r="Z1444" s="1"/>
      <c r="AA1444" s="1" t="s">
        <v>40</v>
      </c>
      <c r="AB1444" s="1" t="s">
        <v>2881</v>
      </c>
      <c r="AC1444" s="1"/>
    </row>
    <row r="1445">
      <c r="A1445" s="1" t="str">
        <f>"0007HY"</f>
        <v>0007HY</v>
      </c>
      <c r="B1445" s="1" t="s">
        <v>896</v>
      </c>
      <c r="C1445" s="1" t="s">
        <v>897</v>
      </c>
      <c r="D1445" s="1" t="str">
        <f>"8028966060"</f>
        <v>8028966060</v>
      </c>
      <c r="E1445" s="1">
        <v>797.0</v>
      </c>
      <c r="F1445" s="1" t="s">
        <v>117</v>
      </c>
      <c r="G1445" s="1" t="s">
        <v>5785</v>
      </c>
      <c r="H1445" s="1">
        <v>0.0</v>
      </c>
      <c r="I1445" s="2" t="s">
        <v>119</v>
      </c>
      <c r="J1445" s="2" t="s">
        <v>119</v>
      </c>
      <c r="K1445" s="2" t="s">
        <v>119</v>
      </c>
      <c r="L1445" s="1"/>
      <c r="M1445" s="1" t="s">
        <v>5786</v>
      </c>
      <c r="N1445" s="1" t="s">
        <v>414</v>
      </c>
      <c r="O1445" s="1" t="s">
        <v>2880</v>
      </c>
      <c r="P1445" s="1"/>
      <c r="Q1445" s="3">
        <v>36892.0</v>
      </c>
      <c r="R1445" s="1"/>
      <c r="S1445" s="3">
        <v>34922.0</v>
      </c>
      <c r="T1445" s="1" t="s">
        <v>37</v>
      </c>
      <c r="U1445" s="1"/>
      <c r="V1445" s="1" t="s">
        <v>38</v>
      </c>
      <c r="W1445" s="1"/>
      <c r="X1445" s="1"/>
      <c r="Y1445" s="1" t="s">
        <v>49</v>
      </c>
      <c r="Z1445" s="1"/>
      <c r="AA1445" s="1" t="s">
        <v>40</v>
      </c>
      <c r="AB1445" s="1" t="s">
        <v>2881</v>
      </c>
      <c r="AC1445" s="1">
        <v>5254.0</v>
      </c>
    </row>
    <row r="1446">
      <c r="A1446" s="1" t="str">
        <f>"000753"</f>
        <v>000753</v>
      </c>
      <c r="B1446" s="1" t="s">
        <v>5787</v>
      </c>
      <c r="C1446" s="1" t="s">
        <v>5788</v>
      </c>
      <c r="D1446" s="1" t="str">
        <f>"8023622672"</f>
        <v>8023622672</v>
      </c>
      <c r="E1446" s="1">
        <v>269.0</v>
      </c>
      <c r="F1446" s="1" t="s">
        <v>117</v>
      </c>
      <c r="G1446" s="1" t="s">
        <v>5789</v>
      </c>
      <c r="H1446" s="1">
        <v>1.0</v>
      </c>
      <c r="I1446" s="2">
        <v>3.0</v>
      </c>
      <c r="J1446" s="2">
        <v>2.0</v>
      </c>
      <c r="K1446" s="2" t="s">
        <v>119</v>
      </c>
      <c r="L1446" s="1"/>
      <c r="M1446" s="1" t="s">
        <v>5790</v>
      </c>
      <c r="N1446" s="1" t="s">
        <v>414</v>
      </c>
      <c r="O1446" s="1" t="s">
        <v>415</v>
      </c>
      <c r="P1446" s="1" t="s">
        <v>5791</v>
      </c>
      <c r="Q1446" s="3">
        <v>36892.0</v>
      </c>
      <c r="R1446" s="1"/>
      <c r="S1446" s="3">
        <v>33781.0</v>
      </c>
      <c r="T1446" s="1" t="s">
        <v>37</v>
      </c>
      <c r="U1446" s="1"/>
      <c r="V1446" s="1" t="s">
        <v>38</v>
      </c>
      <c r="W1446" s="1">
        <v>43.245277</v>
      </c>
      <c r="X1446" s="1">
        <v>-72.992928</v>
      </c>
      <c r="Y1446" s="1" t="s">
        <v>5792</v>
      </c>
      <c r="Z1446" s="1"/>
      <c r="AA1446" s="1" t="s">
        <v>40</v>
      </c>
      <c r="AB1446" s="1" t="s">
        <v>416</v>
      </c>
      <c r="AC1446" s="1">
        <v>5253.0</v>
      </c>
    </row>
    <row r="1447">
      <c r="A1447" s="1" t="str">
        <f>"000752"</f>
        <v>000752</v>
      </c>
      <c r="B1447" s="1" t="s">
        <v>5793</v>
      </c>
      <c r="C1447" s="1" t="s">
        <v>5794</v>
      </c>
      <c r="D1447" s="1" t="str">
        <f>"8023752736"</f>
        <v>8023752736</v>
      </c>
      <c r="E1447" s="1">
        <v>267.0</v>
      </c>
      <c r="F1447" s="1" t="s">
        <v>44</v>
      </c>
      <c r="G1447" s="1" t="s">
        <v>5795</v>
      </c>
      <c r="H1447" s="1">
        <v>1.0</v>
      </c>
      <c r="I1447" s="1"/>
      <c r="J1447" s="1"/>
      <c r="K1447" s="1"/>
      <c r="L1447" s="1"/>
      <c r="M1447" s="1" t="s">
        <v>5796</v>
      </c>
      <c r="N1447" s="1" t="s">
        <v>414</v>
      </c>
      <c r="O1447" s="1" t="s">
        <v>1390</v>
      </c>
      <c r="P1447" s="1"/>
      <c r="Q1447" s="3">
        <v>36892.0</v>
      </c>
      <c r="R1447" s="1"/>
      <c r="S1447" s="3">
        <v>38551.0</v>
      </c>
      <c r="T1447" s="1" t="s">
        <v>37</v>
      </c>
      <c r="U1447" s="1"/>
      <c r="V1447" s="1" t="s">
        <v>38</v>
      </c>
      <c r="W1447" s="1"/>
      <c r="X1447" s="1"/>
      <c r="Y1447" s="1" t="s">
        <v>49</v>
      </c>
      <c r="Z1447" s="1"/>
      <c r="AA1447" s="1" t="s">
        <v>40</v>
      </c>
      <c r="AB1447" s="1" t="s">
        <v>1391</v>
      </c>
      <c r="AC1447" s="1"/>
    </row>
    <row r="1448">
      <c r="A1448" s="1" t="str">
        <f>"000751"</f>
        <v>000751</v>
      </c>
      <c r="B1448" s="1" t="s">
        <v>5797</v>
      </c>
      <c r="C1448" s="1" t="s">
        <v>5798</v>
      </c>
      <c r="D1448" s="1" t="str">
        <f>"8024335834"</f>
        <v>8024335834</v>
      </c>
      <c r="E1448" s="1">
        <v>2907.0</v>
      </c>
      <c r="F1448" s="1" t="s">
        <v>31</v>
      </c>
      <c r="G1448" s="1" t="s">
        <v>5799</v>
      </c>
      <c r="H1448" s="1">
        <v>6.0</v>
      </c>
      <c r="I1448" s="1"/>
      <c r="J1448" s="1"/>
      <c r="K1448" s="1"/>
      <c r="L1448" s="1"/>
      <c r="M1448" s="1" t="s">
        <v>72</v>
      </c>
      <c r="N1448" s="1" t="s">
        <v>142</v>
      </c>
      <c r="O1448" s="1" t="s">
        <v>2253</v>
      </c>
      <c r="P1448" s="1" t="s">
        <v>5800</v>
      </c>
      <c r="Q1448" s="3">
        <v>36892.0</v>
      </c>
      <c r="R1448" s="1"/>
      <c r="S1448" s="3">
        <v>38608.0</v>
      </c>
      <c r="T1448" s="1" t="s">
        <v>37</v>
      </c>
      <c r="U1448" s="1"/>
      <c r="V1448" s="1" t="s">
        <v>38</v>
      </c>
      <c r="W1448" s="1">
        <v>44.094105</v>
      </c>
      <c r="X1448" s="1">
        <v>-72.4860229999999</v>
      </c>
      <c r="Y1448" s="1" t="s">
        <v>5801</v>
      </c>
      <c r="Z1448" s="1"/>
      <c r="AA1448" s="1" t="s">
        <v>40</v>
      </c>
      <c r="AB1448" s="1" t="s">
        <v>2254</v>
      </c>
      <c r="AC1448" s="1">
        <v>5679.0</v>
      </c>
    </row>
    <row r="1449">
      <c r="A1449" s="1" t="str">
        <f>"00079A"</f>
        <v>00079A</v>
      </c>
      <c r="B1449" s="1" t="s">
        <v>5802</v>
      </c>
      <c r="C1449" s="1" t="s">
        <v>5803</v>
      </c>
      <c r="D1449" s="1" t="str">
        <f>"8028245926"</f>
        <v>8028245926</v>
      </c>
      <c r="E1449" s="1">
        <v>2516.0</v>
      </c>
      <c r="F1449" s="1" t="s">
        <v>44</v>
      </c>
      <c r="G1449" s="1" t="s">
        <v>5804</v>
      </c>
      <c r="H1449" s="1">
        <v>2.0</v>
      </c>
      <c r="I1449" s="1"/>
      <c r="J1449" s="1"/>
      <c r="K1449" s="1"/>
      <c r="L1449" s="1"/>
      <c r="M1449" s="1" t="s">
        <v>1179</v>
      </c>
      <c r="N1449" s="1" t="s">
        <v>414</v>
      </c>
      <c r="O1449" s="1" t="s">
        <v>1166</v>
      </c>
      <c r="P1449" s="1"/>
      <c r="Q1449" s="3">
        <v>36892.0</v>
      </c>
      <c r="R1449" s="1"/>
      <c r="S1449" s="3">
        <v>32378.0</v>
      </c>
      <c r="T1449" s="1" t="s">
        <v>37</v>
      </c>
      <c r="U1449" s="1"/>
      <c r="V1449" s="1" t="s">
        <v>38</v>
      </c>
      <c r="W1449" s="1"/>
      <c r="X1449" s="1"/>
      <c r="Y1449" s="1" t="s">
        <v>49</v>
      </c>
      <c r="Z1449" s="1"/>
      <c r="AA1449" s="1" t="s">
        <v>40</v>
      </c>
      <c r="AB1449" s="1" t="s">
        <v>1167</v>
      </c>
      <c r="AC1449" s="1"/>
    </row>
    <row r="1450">
      <c r="A1450" s="1" t="str">
        <f>"00074Z"</f>
        <v>00074Z</v>
      </c>
      <c r="B1450" s="1" t="s">
        <v>5805</v>
      </c>
      <c r="C1450" s="1" t="s">
        <v>5806</v>
      </c>
      <c r="D1450" s="1" t="str">
        <f>"8028753157"</f>
        <v>8028753157</v>
      </c>
      <c r="E1450" s="1">
        <v>2514.0</v>
      </c>
      <c r="F1450" s="1" t="s">
        <v>44</v>
      </c>
      <c r="G1450" s="1" t="s">
        <v>5807</v>
      </c>
      <c r="H1450" s="1"/>
      <c r="I1450" s="1"/>
      <c r="J1450" s="1"/>
      <c r="K1450" s="1"/>
      <c r="L1450" s="1"/>
      <c r="M1450" s="1" t="s">
        <v>5808</v>
      </c>
      <c r="N1450" s="1" t="s">
        <v>34</v>
      </c>
      <c r="O1450" s="1" t="s">
        <v>5592</v>
      </c>
      <c r="P1450" s="1"/>
      <c r="Q1450" s="3">
        <v>36892.0</v>
      </c>
      <c r="R1450" s="1"/>
      <c r="S1450" s="1"/>
      <c r="T1450" s="1" t="s">
        <v>37</v>
      </c>
      <c r="U1450" s="1"/>
      <c r="V1450" s="1" t="s">
        <v>38</v>
      </c>
      <c r="W1450" s="1"/>
      <c r="X1450" s="1"/>
      <c r="Y1450" s="1" t="s">
        <v>49</v>
      </c>
      <c r="Z1450" s="1"/>
      <c r="AA1450" s="1" t="s">
        <v>40</v>
      </c>
      <c r="AB1450" s="1" t="s">
        <v>5595</v>
      </c>
      <c r="AC1450" s="1"/>
    </row>
    <row r="1451">
      <c r="A1451" s="1" t="str">
        <f>"00074Y"</f>
        <v>00074Y</v>
      </c>
      <c r="B1451" s="1" t="s">
        <v>5809</v>
      </c>
      <c r="C1451" s="1" t="s">
        <v>5810</v>
      </c>
      <c r="D1451" s="1" t="str">
        <f>"8027481517"</f>
        <v>8027481517</v>
      </c>
      <c r="E1451" s="1">
        <v>3653.0</v>
      </c>
      <c r="F1451" s="1" t="s">
        <v>44</v>
      </c>
      <c r="G1451" s="1" t="s">
        <v>5811</v>
      </c>
      <c r="H1451" s="1"/>
      <c r="I1451" s="1"/>
      <c r="J1451" s="1"/>
      <c r="K1451" s="1"/>
      <c r="L1451" s="1"/>
      <c r="M1451" s="1" t="s">
        <v>72</v>
      </c>
      <c r="N1451" s="1" t="s">
        <v>128</v>
      </c>
      <c r="O1451" s="1" t="s">
        <v>129</v>
      </c>
      <c r="P1451" s="1"/>
      <c r="Q1451" s="3">
        <v>36892.0</v>
      </c>
      <c r="R1451" s="1"/>
      <c r="S1451" s="1"/>
      <c r="T1451" s="1" t="s">
        <v>37</v>
      </c>
      <c r="U1451" s="1"/>
      <c r="V1451" s="1" t="s">
        <v>38</v>
      </c>
      <c r="W1451" s="1"/>
      <c r="X1451" s="1"/>
      <c r="Y1451" s="1" t="s">
        <v>49</v>
      </c>
      <c r="Z1451" s="1"/>
      <c r="AA1451" s="1" t="s">
        <v>40</v>
      </c>
      <c r="AB1451" s="1" t="s">
        <v>130</v>
      </c>
      <c r="AC1451" s="1"/>
    </row>
    <row r="1452">
      <c r="A1452" s="1" t="str">
        <f>"00074X"</f>
        <v>00074X</v>
      </c>
      <c r="B1452" s="1" t="s">
        <v>5812</v>
      </c>
      <c r="C1452" s="1" t="s">
        <v>5813</v>
      </c>
      <c r="D1452" s="1" t="str">
        <f>"8023624619"</f>
        <v>8023624619</v>
      </c>
      <c r="E1452" s="1">
        <v>261.0</v>
      </c>
      <c r="F1452" s="1" t="s">
        <v>44</v>
      </c>
      <c r="G1452" s="1" t="s">
        <v>5814</v>
      </c>
      <c r="H1452" s="1">
        <v>1.0</v>
      </c>
      <c r="I1452" s="1"/>
      <c r="J1452" s="1"/>
      <c r="K1452" s="1"/>
      <c r="L1452" s="1"/>
      <c r="M1452" s="1" t="s">
        <v>5815</v>
      </c>
      <c r="N1452" s="1" t="s">
        <v>414</v>
      </c>
      <c r="O1452" s="1" t="s">
        <v>2880</v>
      </c>
      <c r="P1452" s="1"/>
      <c r="Q1452" s="3">
        <v>36892.0</v>
      </c>
      <c r="R1452" s="1"/>
      <c r="S1452" s="3">
        <v>32686.0</v>
      </c>
      <c r="T1452" s="1" t="s">
        <v>37</v>
      </c>
      <c r="U1452" s="1"/>
      <c r="V1452" s="1" t="s">
        <v>38</v>
      </c>
      <c r="W1452" s="1"/>
      <c r="X1452" s="1"/>
      <c r="Y1452" s="1" t="s">
        <v>49</v>
      </c>
      <c r="Z1452" s="1"/>
      <c r="AA1452" s="1" t="s">
        <v>40</v>
      </c>
      <c r="AB1452" s="1" t="s">
        <v>2881</v>
      </c>
      <c r="AC1452" s="1"/>
    </row>
    <row r="1453">
      <c r="A1453" s="1" t="str">
        <f>"0008C7"</f>
        <v>0008C7</v>
      </c>
      <c r="B1453" s="1" t="s">
        <v>5816</v>
      </c>
      <c r="C1453" s="1" t="s">
        <v>5817</v>
      </c>
      <c r="D1453" s="1" t="str">
        <f>"8028972311"</f>
        <v>8028972311</v>
      </c>
      <c r="E1453" s="1">
        <v>2924.0</v>
      </c>
      <c r="F1453" s="1" t="s">
        <v>44</v>
      </c>
      <c r="G1453" s="1" t="s">
        <v>5818</v>
      </c>
      <c r="H1453" s="1">
        <v>4.0</v>
      </c>
      <c r="I1453" s="1"/>
      <c r="J1453" s="1"/>
      <c r="K1453" s="1"/>
      <c r="L1453" s="1"/>
      <c r="M1453" s="1" t="s">
        <v>5819</v>
      </c>
      <c r="N1453" s="1" t="s">
        <v>161</v>
      </c>
      <c r="O1453" s="1" t="s">
        <v>1053</v>
      </c>
      <c r="P1453" s="1"/>
      <c r="Q1453" s="3">
        <v>36892.0</v>
      </c>
      <c r="R1453" s="1"/>
      <c r="S1453" s="3">
        <v>37446.0</v>
      </c>
      <c r="T1453" s="1" t="s">
        <v>37</v>
      </c>
      <c r="U1453" s="1"/>
      <c r="V1453" s="1" t="s">
        <v>38</v>
      </c>
      <c r="W1453" s="1"/>
      <c r="X1453" s="1"/>
      <c r="Y1453" s="1" t="s">
        <v>49</v>
      </c>
      <c r="Z1453" s="1"/>
      <c r="AA1453" s="1" t="s">
        <v>40</v>
      </c>
      <c r="AB1453" s="1" t="s">
        <v>1054</v>
      </c>
      <c r="AC1453" s="1"/>
    </row>
    <row r="1454">
      <c r="A1454" s="1" t="str">
        <f>"00074V"</f>
        <v>00074V</v>
      </c>
      <c r="B1454" s="1" t="s">
        <v>5820</v>
      </c>
      <c r="C1454" s="1" t="s">
        <v>5821</v>
      </c>
      <c r="D1454" s="1" t="str">
        <f>"8023622517"</f>
        <v>8023622517</v>
      </c>
      <c r="E1454" s="1">
        <v>258.0</v>
      </c>
      <c r="F1454" s="1" t="s">
        <v>44</v>
      </c>
      <c r="G1454" s="1" t="s">
        <v>5822</v>
      </c>
      <c r="H1454" s="1">
        <v>1.0</v>
      </c>
      <c r="I1454" s="1"/>
      <c r="J1454" s="1"/>
      <c r="K1454" s="1"/>
      <c r="L1454" s="1"/>
      <c r="M1454" s="1" t="s">
        <v>33</v>
      </c>
      <c r="N1454" s="1" t="s">
        <v>414</v>
      </c>
      <c r="O1454" s="1" t="s">
        <v>415</v>
      </c>
      <c r="P1454" s="1"/>
      <c r="Q1454" s="3">
        <v>36892.0</v>
      </c>
      <c r="R1454" s="1"/>
      <c r="S1454" s="3">
        <v>35648.0</v>
      </c>
      <c r="T1454" s="1" t="s">
        <v>37</v>
      </c>
      <c r="U1454" s="1"/>
      <c r="V1454" s="1" t="s">
        <v>38</v>
      </c>
      <c r="W1454" s="1">
        <v>43.2229649999999</v>
      </c>
      <c r="X1454" s="1">
        <v>-73.072227</v>
      </c>
      <c r="Y1454" s="1" t="s">
        <v>5823</v>
      </c>
      <c r="Z1454" s="1"/>
      <c r="AA1454" s="1" t="s">
        <v>40</v>
      </c>
      <c r="AB1454" s="1" t="s">
        <v>416</v>
      </c>
      <c r="AC1454" s="1">
        <v>5251.0</v>
      </c>
    </row>
    <row r="1455">
      <c r="A1455" s="1" t="str">
        <f>"0007HY"</f>
        <v>0007HY</v>
      </c>
      <c r="B1455" s="1" t="s">
        <v>896</v>
      </c>
      <c r="C1455" s="1" t="s">
        <v>897</v>
      </c>
      <c r="D1455" s="1" t="str">
        <f>"8028966060"</f>
        <v>8028966060</v>
      </c>
      <c r="E1455" s="1">
        <v>797.0</v>
      </c>
      <c r="F1455" s="1" t="s">
        <v>117</v>
      </c>
      <c r="G1455" s="1" t="s">
        <v>5824</v>
      </c>
      <c r="H1455" s="1">
        <v>0.0</v>
      </c>
      <c r="I1455" s="2" t="s">
        <v>119</v>
      </c>
      <c r="J1455" s="2" t="s">
        <v>119</v>
      </c>
      <c r="K1455" s="2" t="s">
        <v>119</v>
      </c>
      <c r="L1455" s="1"/>
      <c r="M1455" s="1" t="s">
        <v>5825</v>
      </c>
      <c r="N1455" s="1" t="s">
        <v>78</v>
      </c>
      <c r="O1455" s="1" t="s">
        <v>434</v>
      </c>
      <c r="P1455" s="1"/>
      <c r="Q1455" s="3">
        <v>36892.0</v>
      </c>
      <c r="R1455" s="1"/>
      <c r="S1455" s="3">
        <v>32707.0</v>
      </c>
      <c r="T1455" s="1" t="s">
        <v>37</v>
      </c>
      <c r="U1455" s="1"/>
      <c r="V1455" s="1" t="s">
        <v>38</v>
      </c>
      <c r="W1455" s="1"/>
      <c r="X1455" s="1"/>
      <c r="Y1455" s="1" t="s">
        <v>49</v>
      </c>
      <c r="Z1455" s="1"/>
      <c r="AA1455" s="1" t="s">
        <v>40</v>
      </c>
      <c r="AB1455" s="1" t="s">
        <v>435</v>
      </c>
      <c r="AC1455" s="1">
        <v>5751.0</v>
      </c>
    </row>
    <row r="1456">
      <c r="A1456" s="1" t="str">
        <f>"00076Z"</f>
        <v>00076Z</v>
      </c>
      <c r="B1456" s="1" t="s">
        <v>5826</v>
      </c>
      <c r="C1456" s="1" t="s">
        <v>5827</v>
      </c>
      <c r="D1456" s="1" t="str">
        <f>"8024263965"</f>
        <v>8024263965</v>
      </c>
      <c r="E1456" s="1">
        <v>2921.0</v>
      </c>
      <c r="F1456" s="1" t="s">
        <v>44</v>
      </c>
      <c r="G1456" s="1" t="s">
        <v>5828</v>
      </c>
      <c r="H1456" s="1">
        <v>2.0</v>
      </c>
      <c r="I1456" s="1"/>
      <c r="J1456" s="1"/>
      <c r="K1456" s="1"/>
      <c r="L1456" s="1"/>
      <c r="M1456" s="1" t="s">
        <v>5829</v>
      </c>
      <c r="N1456" s="1" t="s">
        <v>135</v>
      </c>
      <c r="O1456" s="1" t="s">
        <v>1073</v>
      </c>
      <c r="P1456" s="1"/>
      <c r="Q1456" s="3">
        <v>36892.0</v>
      </c>
      <c r="R1456" s="1"/>
      <c r="S1456" s="3">
        <v>35688.0</v>
      </c>
      <c r="T1456" s="1" t="s">
        <v>37</v>
      </c>
      <c r="U1456" s="1"/>
      <c r="V1456" s="1" t="s">
        <v>38</v>
      </c>
      <c r="W1456" s="1"/>
      <c r="X1456" s="1"/>
      <c r="Y1456" s="1" t="s">
        <v>49</v>
      </c>
      <c r="Z1456" s="1"/>
      <c r="AA1456" s="1" t="s">
        <v>40</v>
      </c>
      <c r="AB1456" s="1" t="s">
        <v>1075</v>
      </c>
      <c r="AC1456" s="1"/>
    </row>
    <row r="1457">
      <c r="A1457" s="1" t="str">
        <f>"00074Q"</f>
        <v>00074Q</v>
      </c>
      <c r="B1457" s="1" t="s">
        <v>5830</v>
      </c>
      <c r="C1457" s="1" t="s">
        <v>5831</v>
      </c>
      <c r="D1457" s="1"/>
      <c r="E1457" s="1">
        <v>255.0</v>
      </c>
      <c r="F1457" s="1" t="s">
        <v>44</v>
      </c>
      <c r="G1457" s="1" t="s">
        <v>5832</v>
      </c>
      <c r="H1457" s="1">
        <v>6.0</v>
      </c>
      <c r="I1457" s="1"/>
      <c r="J1457" s="1"/>
      <c r="K1457" s="1"/>
      <c r="L1457" s="1"/>
      <c r="M1457" s="1" t="s">
        <v>5833</v>
      </c>
      <c r="N1457" s="1" t="s">
        <v>414</v>
      </c>
      <c r="O1457" s="1" t="s">
        <v>415</v>
      </c>
      <c r="P1457" s="1"/>
      <c r="Q1457" s="3">
        <v>36892.0</v>
      </c>
      <c r="R1457" s="1"/>
      <c r="S1457" s="3">
        <v>32695.0</v>
      </c>
      <c r="T1457" s="1" t="s">
        <v>37</v>
      </c>
      <c r="U1457" s="1"/>
      <c r="V1457" s="1" t="s">
        <v>38</v>
      </c>
      <c r="W1457" s="1"/>
      <c r="X1457" s="1"/>
      <c r="Y1457" s="1" t="s">
        <v>49</v>
      </c>
      <c r="Z1457" s="1"/>
      <c r="AA1457" s="1" t="s">
        <v>40</v>
      </c>
      <c r="AB1457" s="1" t="s">
        <v>416</v>
      </c>
      <c r="AC1457" s="1"/>
    </row>
    <row r="1458">
      <c r="A1458" s="1" t="str">
        <f>"0007BY"</f>
        <v>0007BY</v>
      </c>
      <c r="B1458" s="1" t="s">
        <v>5834</v>
      </c>
      <c r="C1458" s="1" t="s">
        <v>5835</v>
      </c>
      <c r="D1458" s="1" t="str">
        <f>"8028492807"</f>
        <v>8028492807</v>
      </c>
      <c r="E1458" s="1">
        <v>3145.0</v>
      </c>
      <c r="F1458" s="1" t="s">
        <v>44</v>
      </c>
      <c r="G1458" s="1" t="s">
        <v>5836</v>
      </c>
      <c r="H1458" s="1">
        <v>2.0</v>
      </c>
      <c r="I1458" s="1"/>
      <c r="J1458" s="1"/>
      <c r="K1458" s="1"/>
      <c r="L1458" s="1"/>
      <c r="M1458" s="1" t="s">
        <v>72</v>
      </c>
      <c r="N1458" s="1" t="s">
        <v>47</v>
      </c>
      <c r="O1458" s="1" t="s">
        <v>378</v>
      </c>
      <c r="P1458" s="1"/>
      <c r="Q1458" s="3">
        <v>36892.0</v>
      </c>
      <c r="R1458" s="1"/>
      <c r="S1458" s="3">
        <v>36382.0</v>
      </c>
      <c r="T1458" s="1" t="s">
        <v>37</v>
      </c>
      <c r="U1458" s="1"/>
      <c r="V1458" s="1" t="s">
        <v>38</v>
      </c>
      <c r="W1458" s="1">
        <v>44.666414</v>
      </c>
      <c r="X1458" s="1">
        <v>-73.011818</v>
      </c>
      <c r="Y1458" s="1" t="s">
        <v>5837</v>
      </c>
      <c r="Z1458" s="1"/>
      <c r="AA1458" s="1" t="s">
        <v>40</v>
      </c>
      <c r="AB1458" s="1" t="s">
        <v>381</v>
      </c>
      <c r="AC1458" s="1">
        <v>5454.0</v>
      </c>
    </row>
    <row r="1459">
      <c r="A1459" s="1" t="str">
        <f>"00074M"</f>
        <v>00074M</v>
      </c>
      <c r="B1459" s="1" t="s">
        <v>5838</v>
      </c>
      <c r="C1459" s="1" t="s">
        <v>5839</v>
      </c>
      <c r="D1459" s="1" t="str">
        <f>"8024478544"</f>
        <v>8024478544</v>
      </c>
      <c r="E1459" s="1">
        <v>3519.0</v>
      </c>
      <c r="F1459" s="1" t="s">
        <v>44</v>
      </c>
      <c r="G1459" s="1" t="s">
        <v>5840</v>
      </c>
      <c r="H1459" s="1">
        <v>13.0</v>
      </c>
      <c r="I1459" s="2" t="s">
        <v>119</v>
      </c>
      <c r="J1459" s="2" t="s">
        <v>119</v>
      </c>
      <c r="K1459" s="2" t="s">
        <v>119</v>
      </c>
      <c r="L1459" s="1"/>
      <c r="M1459" s="1" t="s">
        <v>72</v>
      </c>
      <c r="N1459" s="1" t="s">
        <v>414</v>
      </c>
      <c r="O1459" s="1" t="s">
        <v>720</v>
      </c>
      <c r="P1459" s="1" t="s">
        <v>36</v>
      </c>
      <c r="Q1459" s="3">
        <v>36892.0</v>
      </c>
      <c r="R1459" s="1"/>
      <c r="S1459" s="3">
        <v>40350.0</v>
      </c>
      <c r="T1459" s="1" t="s">
        <v>37</v>
      </c>
      <c r="U1459" s="1"/>
      <c r="V1459" s="1" t="s">
        <v>38</v>
      </c>
      <c r="W1459" s="1"/>
      <c r="X1459" s="1"/>
      <c r="Y1459" s="1" t="s">
        <v>49</v>
      </c>
      <c r="Z1459" s="1"/>
      <c r="AA1459" s="1" t="s">
        <v>40</v>
      </c>
      <c r="AB1459" s="1" t="s">
        <v>414</v>
      </c>
      <c r="AC1459" s="1"/>
    </row>
    <row r="1460">
      <c r="A1460" s="1" t="str">
        <f>"00074K"</f>
        <v>00074K</v>
      </c>
      <c r="B1460" s="1" t="s">
        <v>5841</v>
      </c>
      <c r="C1460" s="1" t="s">
        <v>5842</v>
      </c>
      <c r="D1460" s="1" t="str">
        <f>"8024426960"</f>
        <v>8024426960</v>
      </c>
      <c r="E1460" s="1">
        <v>251.0</v>
      </c>
      <c r="F1460" s="1" t="s">
        <v>44</v>
      </c>
      <c r="G1460" s="1" t="s">
        <v>5843</v>
      </c>
      <c r="H1460" s="1"/>
      <c r="I1460" s="1"/>
      <c r="J1460" s="1"/>
      <c r="K1460" s="1"/>
      <c r="L1460" s="1"/>
      <c r="M1460" s="1" t="s">
        <v>5844</v>
      </c>
      <c r="N1460" s="1" t="s">
        <v>414</v>
      </c>
      <c r="O1460" s="1" t="s">
        <v>5630</v>
      </c>
      <c r="P1460" s="1"/>
      <c r="Q1460" s="3">
        <v>36892.0</v>
      </c>
      <c r="R1460" s="1"/>
      <c r="S1460" s="1"/>
      <c r="T1460" s="1" t="s">
        <v>37</v>
      </c>
      <c r="U1460" s="1"/>
      <c r="V1460" s="1" t="s">
        <v>38</v>
      </c>
      <c r="W1460" s="1"/>
      <c r="X1460" s="1"/>
      <c r="Y1460" s="1" t="s">
        <v>49</v>
      </c>
      <c r="Z1460" s="1"/>
      <c r="AA1460" s="1" t="s">
        <v>40</v>
      </c>
      <c r="AB1460" s="1" t="s">
        <v>5631</v>
      </c>
      <c r="AC1460" s="1"/>
    </row>
    <row r="1461">
      <c r="A1461" s="1" t="str">
        <f>"00074J"</f>
        <v>00074J</v>
      </c>
      <c r="B1461" s="1" t="s">
        <v>5845</v>
      </c>
      <c r="C1461" s="1" t="s">
        <v>5846</v>
      </c>
      <c r="D1461" s="1" t="str">
        <f>"8024477927"</f>
        <v>8024477927</v>
      </c>
      <c r="E1461" s="1">
        <v>250.0</v>
      </c>
      <c r="F1461" s="1" t="s">
        <v>44</v>
      </c>
      <c r="G1461" s="1" t="s">
        <v>5847</v>
      </c>
      <c r="H1461" s="1"/>
      <c r="I1461" s="1"/>
      <c r="J1461" s="1"/>
      <c r="K1461" s="1"/>
      <c r="L1461" s="1"/>
      <c r="M1461" s="1" t="s">
        <v>5848</v>
      </c>
      <c r="N1461" s="1" t="s">
        <v>414</v>
      </c>
      <c r="O1461" s="1" t="s">
        <v>720</v>
      </c>
      <c r="P1461" s="1"/>
      <c r="Q1461" s="3">
        <v>36892.0</v>
      </c>
      <c r="R1461" s="1"/>
      <c r="S1461" s="1"/>
      <c r="T1461" s="1" t="s">
        <v>37</v>
      </c>
      <c r="U1461" s="1"/>
      <c r="V1461" s="1" t="s">
        <v>38</v>
      </c>
      <c r="W1461" s="1"/>
      <c r="X1461" s="1"/>
      <c r="Y1461" s="1" t="s">
        <v>49</v>
      </c>
      <c r="Z1461" s="1"/>
      <c r="AA1461" s="1" t="s">
        <v>40</v>
      </c>
      <c r="AB1461" s="1" t="s">
        <v>414</v>
      </c>
      <c r="AC1461" s="1"/>
    </row>
    <row r="1462">
      <c r="A1462" s="1" t="str">
        <f>"0008JH"</f>
        <v>0008JH</v>
      </c>
      <c r="B1462" s="1" t="s">
        <v>2000</v>
      </c>
      <c r="C1462" s="1" t="s">
        <v>2001</v>
      </c>
      <c r="D1462" s="1" t="str">
        <f>"8022874059"</f>
        <v>8022874059</v>
      </c>
      <c r="E1462" s="1">
        <v>2792.0</v>
      </c>
      <c r="F1462" s="1" t="s">
        <v>44</v>
      </c>
      <c r="G1462" s="1" t="s">
        <v>5849</v>
      </c>
      <c r="H1462" s="1">
        <v>30.0</v>
      </c>
      <c r="I1462" s="1"/>
      <c r="J1462" s="1"/>
      <c r="K1462" s="1"/>
      <c r="L1462" s="1"/>
      <c r="M1462" s="1" t="s">
        <v>5850</v>
      </c>
      <c r="N1462" s="1" t="s">
        <v>78</v>
      </c>
      <c r="O1462" s="1" t="s">
        <v>371</v>
      </c>
      <c r="P1462" s="1"/>
      <c r="Q1462" s="3">
        <v>36892.0</v>
      </c>
      <c r="R1462" s="1"/>
      <c r="S1462" s="3">
        <v>35922.0</v>
      </c>
      <c r="T1462" s="1" t="s">
        <v>37</v>
      </c>
      <c r="U1462" s="1"/>
      <c r="V1462" s="1" t="s">
        <v>38</v>
      </c>
      <c r="W1462" s="1"/>
      <c r="X1462" s="1"/>
      <c r="Y1462" s="1" t="s">
        <v>49</v>
      </c>
      <c r="Z1462" s="1"/>
      <c r="AA1462" s="1" t="s">
        <v>40</v>
      </c>
      <c r="AB1462" s="1" t="s">
        <v>374</v>
      </c>
      <c r="AC1462" s="1"/>
    </row>
    <row r="1463">
      <c r="A1463" s="1" t="str">
        <f>"0007NC"</f>
        <v>0007NC</v>
      </c>
      <c r="B1463" s="1" t="s">
        <v>5763</v>
      </c>
      <c r="C1463" s="1" t="s">
        <v>5764</v>
      </c>
      <c r="D1463" s="1" t="str">
        <f>"8024639396"</f>
        <v>8024639396</v>
      </c>
      <c r="E1463" s="1">
        <v>3043.0</v>
      </c>
      <c r="F1463" s="1" t="s">
        <v>44</v>
      </c>
      <c r="G1463" s="1" t="s">
        <v>5851</v>
      </c>
      <c r="H1463" s="1">
        <v>1.0</v>
      </c>
      <c r="I1463" s="1"/>
      <c r="J1463" s="1"/>
      <c r="K1463" s="1"/>
      <c r="L1463" s="1"/>
      <c r="M1463" s="1" t="s">
        <v>5852</v>
      </c>
      <c r="N1463" s="1" t="s">
        <v>66</v>
      </c>
      <c r="O1463" s="1" t="s">
        <v>113</v>
      </c>
      <c r="P1463" s="1"/>
      <c r="Q1463" s="3">
        <v>36892.0</v>
      </c>
      <c r="R1463" s="1"/>
      <c r="S1463" s="3">
        <v>36431.0</v>
      </c>
      <c r="T1463" s="1" t="s">
        <v>37</v>
      </c>
      <c r="U1463" s="1"/>
      <c r="V1463" s="1" t="s">
        <v>38</v>
      </c>
      <c r="W1463" s="1"/>
      <c r="X1463" s="1"/>
      <c r="Y1463" s="1" t="s">
        <v>49</v>
      </c>
      <c r="Z1463" s="1"/>
      <c r="AA1463" s="1" t="s">
        <v>40</v>
      </c>
      <c r="AB1463" s="1" t="s">
        <v>114</v>
      </c>
      <c r="AC1463" s="1"/>
    </row>
    <row r="1464">
      <c r="A1464" s="1" t="str">
        <f>"00074F"</f>
        <v>00074F</v>
      </c>
      <c r="B1464" s="1" t="s">
        <v>5853</v>
      </c>
      <c r="C1464" s="1" t="s">
        <v>5854</v>
      </c>
      <c r="D1464" s="1"/>
      <c r="E1464" s="1">
        <v>247.0</v>
      </c>
      <c r="F1464" s="1" t="s">
        <v>44</v>
      </c>
      <c r="G1464" s="1" t="s">
        <v>5855</v>
      </c>
      <c r="H1464" s="1"/>
      <c r="I1464" s="1"/>
      <c r="J1464" s="1"/>
      <c r="K1464" s="1"/>
      <c r="L1464" s="1"/>
      <c r="M1464" s="1" t="s">
        <v>5856</v>
      </c>
      <c r="N1464" s="1" t="s">
        <v>414</v>
      </c>
      <c r="O1464" s="1" t="s">
        <v>720</v>
      </c>
      <c r="P1464" s="1"/>
      <c r="Q1464" s="3">
        <v>36892.0</v>
      </c>
      <c r="R1464" s="1"/>
      <c r="S1464" s="1"/>
      <c r="T1464" s="1" t="s">
        <v>37</v>
      </c>
      <c r="U1464" s="1"/>
      <c r="V1464" s="1" t="s">
        <v>38</v>
      </c>
      <c r="W1464" s="1"/>
      <c r="X1464" s="1"/>
      <c r="Y1464" s="1" t="s">
        <v>49</v>
      </c>
      <c r="Z1464" s="1"/>
      <c r="AA1464" s="1" t="s">
        <v>40</v>
      </c>
      <c r="AB1464" s="1" t="s">
        <v>414</v>
      </c>
      <c r="AC1464" s="1"/>
    </row>
    <row r="1465">
      <c r="A1465" s="1" t="str">
        <f>"0007Q7"</f>
        <v>0007Q7</v>
      </c>
      <c r="B1465" s="1" t="s">
        <v>5857</v>
      </c>
      <c r="C1465" s="1" t="s">
        <v>5858</v>
      </c>
      <c r="D1465" s="1" t="str">
        <f>"8022910808"</f>
        <v>8022910808</v>
      </c>
      <c r="E1465" s="1">
        <v>3821.0</v>
      </c>
      <c r="F1465" s="1" t="s">
        <v>44</v>
      </c>
      <c r="G1465" s="1" t="s">
        <v>5859</v>
      </c>
      <c r="H1465" s="1">
        <v>2.0</v>
      </c>
      <c r="I1465" s="1"/>
      <c r="J1465" s="1"/>
      <c r="K1465" s="1"/>
      <c r="L1465" s="1"/>
      <c r="M1465" s="1" t="s">
        <v>72</v>
      </c>
      <c r="N1465" s="1" t="s">
        <v>142</v>
      </c>
      <c r="O1465" s="1" t="s">
        <v>143</v>
      </c>
      <c r="P1465" s="1"/>
      <c r="Q1465" s="3">
        <v>36892.0</v>
      </c>
      <c r="R1465" s="1"/>
      <c r="S1465" s="3">
        <v>39343.0</v>
      </c>
      <c r="T1465" s="1" t="s">
        <v>37</v>
      </c>
      <c r="U1465" s="1"/>
      <c r="V1465" s="1" t="s">
        <v>38</v>
      </c>
      <c r="W1465" s="1"/>
      <c r="X1465" s="1"/>
      <c r="Y1465" s="1" t="s">
        <v>49</v>
      </c>
      <c r="Z1465" s="1"/>
      <c r="AA1465" s="1" t="s">
        <v>40</v>
      </c>
      <c r="AB1465" s="1" t="s">
        <v>146</v>
      </c>
      <c r="AC1465" s="1"/>
    </row>
    <row r="1466">
      <c r="A1466" s="1" t="str">
        <f>"0007ZB"</f>
        <v>0007ZB</v>
      </c>
      <c r="B1466" s="1" t="s">
        <v>5860</v>
      </c>
      <c r="C1466" s="1" t="s">
        <v>5861</v>
      </c>
      <c r="D1466" s="1" t="str">
        <f>"8024470259"</f>
        <v>8024470259</v>
      </c>
      <c r="E1466" s="1">
        <v>2466.0</v>
      </c>
      <c r="F1466" s="1" t="s">
        <v>31</v>
      </c>
      <c r="G1466" s="1" t="s">
        <v>5862</v>
      </c>
      <c r="H1466" s="1">
        <v>1.0</v>
      </c>
      <c r="I1466" s="1"/>
      <c r="J1466" s="1"/>
      <c r="K1466" s="1"/>
      <c r="L1466" s="1"/>
      <c r="M1466" s="1" t="s">
        <v>33</v>
      </c>
      <c r="N1466" s="1" t="s">
        <v>414</v>
      </c>
      <c r="O1466" s="1" t="s">
        <v>1160</v>
      </c>
      <c r="P1466" s="1" t="s">
        <v>36</v>
      </c>
      <c r="Q1466" s="3">
        <v>36892.0</v>
      </c>
      <c r="R1466" s="1"/>
      <c r="S1466" s="3">
        <v>42613.0</v>
      </c>
      <c r="T1466" s="1" t="s">
        <v>37</v>
      </c>
      <c r="U1466" s="1"/>
      <c r="V1466" s="1" t="s">
        <v>38</v>
      </c>
      <c r="W1466" s="1">
        <v>42.9859355385967</v>
      </c>
      <c r="X1466" s="1">
        <v>-73.2681776583194</v>
      </c>
      <c r="Y1466" s="1" t="s">
        <v>5863</v>
      </c>
      <c r="Z1466" s="1"/>
      <c r="AA1466" s="1" t="s">
        <v>40</v>
      </c>
      <c r="AB1466" s="1" t="s">
        <v>1161</v>
      </c>
      <c r="AC1466" s="1">
        <v>5257.0</v>
      </c>
    </row>
    <row r="1467">
      <c r="A1467" s="1" t="str">
        <f>"0007QF"</f>
        <v>0007QF</v>
      </c>
      <c r="B1467" s="1" t="s">
        <v>5864</v>
      </c>
      <c r="C1467" s="1" t="s">
        <v>5865</v>
      </c>
      <c r="D1467" s="1"/>
      <c r="E1467" s="1">
        <v>2467.0</v>
      </c>
      <c r="F1467" s="1" t="s">
        <v>44</v>
      </c>
      <c r="G1467" s="1" t="s">
        <v>5866</v>
      </c>
      <c r="H1467" s="1">
        <v>1.0</v>
      </c>
      <c r="I1467" s="1"/>
      <c r="J1467" s="1"/>
      <c r="K1467" s="1"/>
      <c r="L1467" s="1"/>
      <c r="M1467" s="1" t="s">
        <v>5867</v>
      </c>
      <c r="N1467" s="1" t="s">
        <v>94</v>
      </c>
      <c r="O1467" s="1" t="s">
        <v>637</v>
      </c>
      <c r="P1467" s="1"/>
      <c r="Q1467" s="3">
        <v>36892.0</v>
      </c>
      <c r="R1467" s="1"/>
      <c r="S1467" s="3">
        <v>32287.0</v>
      </c>
      <c r="T1467" s="1" t="s">
        <v>37</v>
      </c>
      <c r="U1467" s="1"/>
      <c r="V1467" s="1" t="s">
        <v>38</v>
      </c>
      <c r="W1467" s="1"/>
      <c r="X1467" s="1"/>
      <c r="Y1467" s="1" t="s">
        <v>49</v>
      </c>
      <c r="Z1467" s="1"/>
      <c r="AA1467" s="1" t="s">
        <v>40</v>
      </c>
      <c r="AB1467" s="1" t="s">
        <v>637</v>
      </c>
      <c r="AC1467" s="1"/>
    </row>
    <row r="1468">
      <c r="A1468" s="1" t="str">
        <f>"00085K"</f>
        <v>00085K</v>
      </c>
      <c r="B1468" s="1" t="s">
        <v>5868</v>
      </c>
      <c r="C1468" s="1" t="s">
        <v>5869</v>
      </c>
      <c r="D1468" s="1" t="str">
        <f>"8024362868"</f>
        <v>8024362868</v>
      </c>
      <c r="E1468" s="1">
        <v>2468.0</v>
      </c>
      <c r="F1468" s="1" t="s">
        <v>44</v>
      </c>
      <c r="G1468" s="1" t="s">
        <v>5870</v>
      </c>
      <c r="H1468" s="1">
        <v>2.0</v>
      </c>
      <c r="I1468" s="1"/>
      <c r="J1468" s="1"/>
      <c r="K1468" s="1"/>
      <c r="L1468" s="1"/>
      <c r="M1468" s="1" t="s">
        <v>5871</v>
      </c>
      <c r="N1468" s="1" t="s">
        <v>34</v>
      </c>
      <c r="O1468" s="1" t="s">
        <v>85</v>
      </c>
      <c r="P1468" s="1"/>
      <c r="Q1468" s="3">
        <v>36892.0</v>
      </c>
      <c r="R1468" s="1"/>
      <c r="S1468" s="3">
        <v>32956.0</v>
      </c>
      <c r="T1468" s="1" t="s">
        <v>37</v>
      </c>
      <c r="U1468" s="1"/>
      <c r="V1468" s="1" t="s">
        <v>38</v>
      </c>
      <c r="W1468" s="1"/>
      <c r="X1468" s="1"/>
      <c r="Y1468" s="1" t="s">
        <v>49</v>
      </c>
      <c r="Z1468" s="1"/>
      <c r="AA1468" s="1" t="s">
        <v>40</v>
      </c>
      <c r="AB1468" s="1" t="s">
        <v>86</v>
      </c>
      <c r="AC1468" s="1"/>
    </row>
    <row r="1469">
      <c r="A1469" s="1" t="str">
        <f>"0007WQ"</f>
        <v>0007WQ</v>
      </c>
      <c r="B1469" s="1" t="s">
        <v>288</v>
      </c>
      <c r="C1469" s="1" t="s">
        <v>289</v>
      </c>
      <c r="D1469" s="1" t="str">
        <f>"8026333020"</f>
        <v>8026333020</v>
      </c>
      <c r="E1469" s="1">
        <v>3627.0</v>
      </c>
      <c r="F1469" s="1" t="s">
        <v>44</v>
      </c>
      <c r="G1469" s="1" t="s">
        <v>5872</v>
      </c>
      <c r="H1469" s="1"/>
      <c r="I1469" s="1"/>
      <c r="J1469" s="1"/>
      <c r="K1469" s="1"/>
      <c r="L1469" s="1"/>
      <c r="M1469" s="1" t="s">
        <v>5873</v>
      </c>
      <c r="N1469" s="1" t="s">
        <v>128</v>
      </c>
      <c r="O1469" s="1" t="s">
        <v>1048</v>
      </c>
      <c r="P1469" s="1"/>
      <c r="Q1469" s="3">
        <v>36892.0</v>
      </c>
      <c r="R1469" s="1"/>
      <c r="S1469" s="1"/>
      <c r="T1469" s="1" t="s">
        <v>37</v>
      </c>
      <c r="U1469" s="1"/>
      <c r="V1469" s="1" t="s">
        <v>38</v>
      </c>
      <c r="W1469" s="1"/>
      <c r="X1469" s="1"/>
      <c r="Y1469" s="1" t="s">
        <v>49</v>
      </c>
      <c r="Z1469" s="1"/>
      <c r="AA1469" s="1" t="s">
        <v>40</v>
      </c>
      <c r="AB1469" s="1" t="s">
        <v>1049</v>
      </c>
      <c r="AC1469" s="1"/>
    </row>
    <row r="1470">
      <c r="A1470" s="1" t="str">
        <f>"0008HW"</f>
        <v>0008HW</v>
      </c>
      <c r="B1470" s="1" t="s">
        <v>5874</v>
      </c>
      <c r="C1470" s="1" t="s">
        <v>5875</v>
      </c>
      <c r="D1470" s="1" t="str">
        <f>"8022445340"</f>
        <v>8022445340</v>
      </c>
      <c r="E1470" s="1">
        <v>3628.0</v>
      </c>
      <c r="F1470" s="1" t="s">
        <v>44</v>
      </c>
      <c r="G1470" s="1" t="s">
        <v>5876</v>
      </c>
      <c r="H1470" s="1">
        <v>3.0</v>
      </c>
      <c r="I1470" s="1"/>
      <c r="J1470" s="1"/>
      <c r="K1470" s="1"/>
      <c r="L1470" s="1"/>
      <c r="M1470" s="1" t="s">
        <v>72</v>
      </c>
      <c r="N1470" s="1" t="s">
        <v>135</v>
      </c>
      <c r="O1470" s="1" t="s">
        <v>3300</v>
      </c>
      <c r="P1470" s="1"/>
      <c r="Q1470" s="3">
        <v>36892.0</v>
      </c>
      <c r="R1470" s="1"/>
      <c r="S1470" s="3">
        <v>39629.0</v>
      </c>
      <c r="T1470" s="1" t="s">
        <v>37</v>
      </c>
      <c r="U1470" s="1"/>
      <c r="V1470" s="1" t="s">
        <v>38</v>
      </c>
      <c r="W1470" s="1">
        <v>44.340809</v>
      </c>
      <c r="X1470" s="1">
        <v>-72.8359299999999</v>
      </c>
      <c r="Y1470" s="1" t="s">
        <v>5877</v>
      </c>
      <c r="Z1470" s="1"/>
      <c r="AA1470" s="1" t="s">
        <v>40</v>
      </c>
      <c r="AB1470" s="1" t="s">
        <v>3301</v>
      </c>
      <c r="AC1470" s="1">
        <v>5676.0</v>
      </c>
    </row>
    <row r="1471">
      <c r="A1471" s="1" t="str">
        <f>"00074H"</f>
        <v>00074H</v>
      </c>
      <c r="B1471" s="1" t="s">
        <v>5878</v>
      </c>
      <c r="C1471" s="1" t="s">
        <v>5879</v>
      </c>
      <c r="D1471" s="1" t="str">
        <f>"8024561990"</f>
        <v>8024561990</v>
      </c>
      <c r="E1471" s="1">
        <v>3037.0</v>
      </c>
      <c r="F1471" s="1" t="s">
        <v>44</v>
      </c>
      <c r="G1471" s="1" t="s">
        <v>5880</v>
      </c>
      <c r="H1471" s="1"/>
      <c r="I1471" s="1"/>
      <c r="J1471" s="1"/>
      <c r="K1471" s="1"/>
      <c r="L1471" s="1"/>
      <c r="M1471" s="1" t="s">
        <v>72</v>
      </c>
      <c r="N1471" s="1" t="s">
        <v>135</v>
      </c>
      <c r="O1471" s="1" t="s">
        <v>758</v>
      </c>
      <c r="P1471" s="1"/>
      <c r="Q1471" s="3">
        <v>36892.0</v>
      </c>
      <c r="R1471" s="1"/>
      <c r="S1471" s="1"/>
      <c r="T1471" s="1" t="s">
        <v>37</v>
      </c>
      <c r="U1471" s="1"/>
      <c r="V1471" s="1" t="s">
        <v>38</v>
      </c>
      <c r="W1471" s="1"/>
      <c r="X1471" s="1"/>
      <c r="Y1471" s="1" t="s">
        <v>49</v>
      </c>
      <c r="Z1471" s="1"/>
      <c r="AA1471" s="1" t="s">
        <v>40</v>
      </c>
      <c r="AB1471" s="1" t="s">
        <v>759</v>
      </c>
      <c r="AC1471" s="1"/>
    </row>
    <row r="1472">
      <c r="A1472" s="1" t="str">
        <f>"000749"</f>
        <v>000749</v>
      </c>
      <c r="B1472" s="1" t="s">
        <v>1819</v>
      </c>
      <c r="C1472" s="1" t="s">
        <v>1820</v>
      </c>
      <c r="D1472" s="1"/>
      <c r="E1472" s="1">
        <v>2523.0</v>
      </c>
      <c r="F1472" s="1" t="s">
        <v>44</v>
      </c>
      <c r="G1472" s="1" t="s">
        <v>5881</v>
      </c>
      <c r="H1472" s="1">
        <v>3.0</v>
      </c>
      <c r="I1472" s="1"/>
      <c r="J1472" s="1"/>
      <c r="K1472" s="1"/>
      <c r="L1472" s="1"/>
      <c r="M1472" s="1" t="s">
        <v>1179</v>
      </c>
      <c r="N1472" s="1" t="s">
        <v>135</v>
      </c>
      <c r="O1472" s="1" t="s">
        <v>136</v>
      </c>
      <c r="P1472" s="1"/>
      <c r="Q1472" s="3">
        <v>36892.0</v>
      </c>
      <c r="R1472" s="1"/>
      <c r="S1472" s="3">
        <v>32680.0</v>
      </c>
      <c r="T1472" s="1" t="s">
        <v>37</v>
      </c>
      <c r="U1472" s="1"/>
      <c r="V1472" s="1" t="s">
        <v>38</v>
      </c>
      <c r="W1472" s="1"/>
      <c r="X1472" s="1"/>
      <c r="Y1472" s="1" t="s">
        <v>49</v>
      </c>
      <c r="Z1472" s="1"/>
      <c r="AA1472" s="1" t="s">
        <v>40</v>
      </c>
      <c r="AB1472" s="1" t="s">
        <v>137</v>
      </c>
      <c r="AC1472" s="1"/>
    </row>
    <row r="1473">
      <c r="A1473" s="1" t="str">
        <f>"000748"</f>
        <v>000748</v>
      </c>
      <c r="B1473" s="1" t="s">
        <v>5882</v>
      </c>
      <c r="C1473" s="1" t="s">
        <v>5883</v>
      </c>
      <c r="D1473" s="1" t="str">
        <f>"8024472946"</f>
        <v>8024472946</v>
      </c>
      <c r="E1473" s="1">
        <v>240.0</v>
      </c>
      <c r="F1473" s="1" t="s">
        <v>44</v>
      </c>
      <c r="G1473" s="1" t="s">
        <v>5884</v>
      </c>
      <c r="H1473" s="1">
        <v>7.0</v>
      </c>
      <c r="I1473" s="1"/>
      <c r="J1473" s="1"/>
      <c r="K1473" s="1"/>
      <c r="L1473" s="1"/>
      <c r="M1473" s="1" t="s">
        <v>5885</v>
      </c>
      <c r="N1473" s="1" t="s">
        <v>414</v>
      </c>
      <c r="O1473" s="1" t="s">
        <v>720</v>
      </c>
      <c r="P1473" s="1"/>
      <c r="Q1473" s="3">
        <v>36892.0</v>
      </c>
      <c r="R1473" s="1"/>
      <c r="S1473" s="3">
        <v>32329.0</v>
      </c>
      <c r="T1473" s="1" t="s">
        <v>37</v>
      </c>
      <c r="U1473" s="1"/>
      <c r="V1473" s="1" t="s">
        <v>38</v>
      </c>
      <c r="W1473" s="1"/>
      <c r="X1473" s="1"/>
      <c r="Y1473" s="1" t="s">
        <v>49</v>
      </c>
      <c r="Z1473" s="1"/>
      <c r="AA1473" s="1" t="s">
        <v>40</v>
      </c>
      <c r="AB1473" s="1" t="s">
        <v>414</v>
      </c>
      <c r="AC1473" s="1"/>
    </row>
    <row r="1474">
      <c r="A1474" s="1" t="str">
        <f>"000747"</f>
        <v>000747</v>
      </c>
      <c r="B1474" s="1" t="s">
        <v>5886</v>
      </c>
      <c r="C1474" s="1" t="s">
        <v>5887</v>
      </c>
      <c r="D1474" s="1" t="str">
        <f>"8024429350"</f>
        <v>8024429350</v>
      </c>
      <c r="E1474" s="1">
        <v>239.0</v>
      </c>
      <c r="F1474" s="1" t="s">
        <v>44</v>
      </c>
      <c r="G1474" s="1" t="s">
        <v>5888</v>
      </c>
      <c r="H1474" s="1"/>
      <c r="I1474" s="1"/>
      <c r="J1474" s="1"/>
      <c r="K1474" s="1"/>
      <c r="L1474" s="1"/>
      <c r="M1474" s="1" t="s">
        <v>5889</v>
      </c>
      <c r="N1474" s="1" t="s">
        <v>414</v>
      </c>
      <c r="O1474" s="1" t="s">
        <v>720</v>
      </c>
      <c r="P1474" s="1"/>
      <c r="Q1474" s="3">
        <v>36892.0</v>
      </c>
      <c r="R1474" s="1"/>
      <c r="S1474" s="1"/>
      <c r="T1474" s="1" t="s">
        <v>37</v>
      </c>
      <c r="U1474" s="1"/>
      <c r="V1474" s="1" t="s">
        <v>38</v>
      </c>
      <c r="W1474" s="1"/>
      <c r="X1474" s="1"/>
      <c r="Y1474" s="1" t="s">
        <v>49</v>
      </c>
      <c r="Z1474" s="1"/>
      <c r="AA1474" s="1" t="s">
        <v>40</v>
      </c>
      <c r="AB1474" s="1" t="s">
        <v>414</v>
      </c>
      <c r="AC1474" s="1"/>
    </row>
    <row r="1475">
      <c r="A1475" s="1" t="str">
        <f>"0007BD"</f>
        <v>0007BD</v>
      </c>
      <c r="B1475" s="1" t="s">
        <v>5890</v>
      </c>
      <c r="C1475" s="1" t="s">
        <v>5891</v>
      </c>
      <c r="D1475" s="1" t="str">
        <f>"8023875150"</f>
        <v>8023875150</v>
      </c>
      <c r="E1475" s="1">
        <v>2441.0</v>
      </c>
      <c r="F1475" s="1" t="s">
        <v>117</v>
      </c>
      <c r="G1475" s="1" t="s">
        <v>5892</v>
      </c>
      <c r="H1475" s="1">
        <v>8.0</v>
      </c>
      <c r="I1475" s="2" t="s">
        <v>119</v>
      </c>
      <c r="J1475" s="2">
        <v>6.0</v>
      </c>
      <c r="K1475" s="2" t="s">
        <v>119</v>
      </c>
      <c r="L1475" s="2" t="s">
        <v>5893</v>
      </c>
      <c r="M1475" s="1" t="s">
        <v>72</v>
      </c>
      <c r="N1475" s="1" t="s">
        <v>66</v>
      </c>
      <c r="O1475" s="1" t="s">
        <v>113</v>
      </c>
      <c r="P1475" s="1" t="s">
        <v>845</v>
      </c>
      <c r="Q1475" s="3">
        <v>36892.0</v>
      </c>
      <c r="R1475" s="1"/>
      <c r="S1475" s="3">
        <v>37931.0</v>
      </c>
      <c r="T1475" s="1" t="s">
        <v>37</v>
      </c>
      <c r="U1475" s="1"/>
      <c r="V1475" s="1" t="s">
        <v>38</v>
      </c>
      <c r="W1475" s="1">
        <v>43.052677</v>
      </c>
      <c r="X1475" s="1">
        <v>-72.5260539999999</v>
      </c>
      <c r="Y1475" s="1" t="s">
        <v>5894</v>
      </c>
      <c r="Z1475" s="1"/>
      <c r="AA1475" s="1" t="s">
        <v>40</v>
      </c>
      <c r="AB1475" s="1" t="s">
        <v>594</v>
      </c>
      <c r="AC1475" s="1">
        <v>5346.0</v>
      </c>
    </row>
    <row r="1476">
      <c r="A1476" s="1" t="str">
        <f>"0008B1"</f>
        <v>0008B1</v>
      </c>
      <c r="B1476" s="1" t="s">
        <v>5895</v>
      </c>
      <c r="C1476" s="1" t="s">
        <v>5896</v>
      </c>
      <c r="D1476" s="1" t="str">
        <f>"8023701148"</f>
        <v>8023701148</v>
      </c>
      <c r="E1476" s="1">
        <v>3734.0</v>
      </c>
      <c r="F1476" s="1" t="s">
        <v>117</v>
      </c>
      <c r="G1476" s="1" t="s">
        <v>5897</v>
      </c>
      <c r="H1476" s="1">
        <v>0.0</v>
      </c>
      <c r="I1476" s="2">
        <v>1.0</v>
      </c>
      <c r="J1476" s="2" t="s">
        <v>119</v>
      </c>
      <c r="K1476" s="2" t="s">
        <v>119</v>
      </c>
      <c r="L1476" s="1"/>
      <c r="M1476" s="1" t="s">
        <v>5898</v>
      </c>
      <c r="N1476" s="1" t="s">
        <v>161</v>
      </c>
      <c r="O1476" s="1" t="s">
        <v>3580</v>
      </c>
      <c r="P1476" s="1" t="s">
        <v>5899</v>
      </c>
      <c r="Q1476" s="3">
        <v>36892.0</v>
      </c>
      <c r="R1476" s="1"/>
      <c r="S1476" s="1"/>
      <c r="T1476" s="1" t="s">
        <v>37</v>
      </c>
      <c r="U1476" s="1"/>
      <c r="V1476" s="1" t="s">
        <v>38</v>
      </c>
      <c r="W1476" s="1">
        <v>44.156559</v>
      </c>
      <c r="X1476" s="1">
        <v>-73.2441099999999</v>
      </c>
      <c r="Y1476" s="1" t="s">
        <v>5900</v>
      </c>
      <c r="Z1476" s="1"/>
      <c r="AA1476" s="1" t="s">
        <v>40</v>
      </c>
      <c r="AB1476" s="1" t="s">
        <v>3581</v>
      </c>
      <c r="AC1476" s="1">
        <v>5491.0</v>
      </c>
    </row>
    <row r="1477">
      <c r="A1477" s="1" t="str">
        <f>"000712"</f>
        <v>000712</v>
      </c>
      <c r="B1477" s="1" t="s">
        <v>5901</v>
      </c>
      <c r="C1477" s="1" t="s">
        <v>5902</v>
      </c>
      <c r="D1477" s="1" t="str">
        <f>"8027963786"</f>
        <v>8027963786</v>
      </c>
      <c r="E1477" s="1">
        <v>3705.0</v>
      </c>
      <c r="F1477" s="1" t="s">
        <v>44</v>
      </c>
      <c r="G1477" s="1" t="s">
        <v>5903</v>
      </c>
      <c r="H1477" s="1">
        <v>5.0</v>
      </c>
      <c r="I1477" s="1"/>
      <c r="J1477" s="1"/>
      <c r="K1477" s="1"/>
      <c r="L1477" s="1"/>
      <c r="M1477" s="1" t="s">
        <v>72</v>
      </c>
      <c r="N1477" s="1" t="s">
        <v>107</v>
      </c>
      <c r="O1477" s="1" t="s">
        <v>2016</v>
      </c>
      <c r="P1477" s="1"/>
      <c r="Q1477" s="3">
        <v>36892.0</v>
      </c>
      <c r="R1477" s="1"/>
      <c r="S1477" s="3">
        <v>39597.0</v>
      </c>
      <c r="T1477" s="1" t="s">
        <v>37</v>
      </c>
      <c r="U1477" s="1"/>
      <c r="V1477" s="1" t="s">
        <v>38</v>
      </c>
      <c r="W1477" s="1"/>
      <c r="X1477" s="1"/>
      <c r="Y1477" s="1" t="s">
        <v>49</v>
      </c>
      <c r="Z1477" s="1"/>
      <c r="AA1477" s="1" t="s">
        <v>40</v>
      </c>
      <c r="AB1477" s="1" t="s">
        <v>2019</v>
      </c>
      <c r="AC1477" s="1"/>
    </row>
    <row r="1478">
      <c r="A1478" s="1" t="str">
        <f>"000744"</f>
        <v>000744</v>
      </c>
      <c r="B1478" s="1" t="s">
        <v>5904</v>
      </c>
      <c r="C1478" s="1" t="s">
        <v>5905</v>
      </c>
      <c r="D1478" s="1" t="str">
        <f>"8029337544"</f>
        <v>8029337544</v>
      </c>
      <c r="E1478" s="1">
        <v>2866.0</v>
      </c>
      <c r="F1478" s="1" t="s">
        <v>44</v>
      </c>
      <c r="G1478" s="1" t="s">
        <v>5906</v>
      </c>
      <c r="H1478" s="1"/>
      <c r="I1478" s="1"/>
      <c r="J1478" s="1"/>
      <c r="K1478" s="1"/>
      <c r="L1478" s="1"/>
      <c r="M1478" s="1" t="s">
        <v>33</v>
      </c>
      <c r="N1478" s="1" t="s">
        <v>47</v>
      </c>
      <c r="O1478" s="1" t="s">
        <v>264</v>
      </c>
      <c r="P1478" s="1"/>
      <c r="Q1478" s="3">
        <v>36892.0</v>
      </c>
      <c r="R1478" s="1"/>
      <c r="S1478" s="1"/>
      <c r="T1478" s="1" t="s">
        <v>37</v>
      </c>
      <c r="U1478" s="1"/>
      <c r="V1478" s="1" t="s">
        <v>38</v>
      </c>
      <c r="W1478" s="1"/>
      <c r="X1478" s="1"/>
      <c r="Y1478" s="1" t="s">
        <v>49</v>
      </c>
      <c r="Z1478" s="1"/>
      <c r="AA1478" s="1" t="s">
        <v>40</v>
      </c>
      <c r="AB1478" s="1" t="s">
        <v>498</v>
      </c>
      <c r="AC1478" s="1"/>
    </row>
    <row r="1479">
      <c r="A1479" s="1" t="str">
        <f>"0008WN"</f>
        <v>0008WN</v>
      </c>
      <c r="B1479" s="1" t="s">
        <v>5907</v>
      </c>
      <c r="C1479" s="1" t="s">
        <v>5908</v>
      </c>
      <c r="D1479" s="1" t="str">
        <f>"8026266048"</f>
        <v>8026266048</v>
      </c>
      <c r="E1479" s="1">
        <v>3399.0</v>
      </c>
      <c r="F1479" s="1" t="s">
        <v>44</v>
      </c>
      <c r="G1479" s="1" t="s">
        <v>5909</v>
      </c>
      <c r="H1479" s="1">
        <v>0.0</v>
      </c>
      <c r="I1479" s="1"/>
      <c r="J1479" s="1"/>
      <c r="K1479" s="1"/>
      <c r="L1479" s="1"/>
      <c r="M1479" s="1" t="s">
        <v>72</v>
      </c>
      <c r="N1479" s="1" t="s">
        <v>128</v>
      </c>
      <c r="O1479" s="1" t="s">
        <v>337</v>
      </c>
      <c r="P1479" s="1"/>
      <c r="Q1479" s="3">
        <v>36892.0</v>
      </c>
      <c r="R1479" s="1"/>
      <c r="S1479" s="1"/>
      <c r="T1479" s="1" t="s">
        <v>37</v>
      </c>
      <c r="U1479" s="1"/>
      <c r="V1479" s="1" t="s">
        <v>38</v>
      </c>
      <c r="W1479" s="1">
        <v>44.528759</v>
      </c>
      <c r="X1479" s="1">
        <v>-71.954338</v>
      </c>
      <c r="Y1479" s="1" t="s">
        <v>5910</v>
      </c>
      <c r="Z1479" s="1"/>
      <c r="AA1479" s="1" t="s">
        <v>40</v>
      </c>
      <c r="AB1479" s="1" t="s">
        <v>338</v>
      </c>
      <c r="AC1479" s="1">
        <v>5851.0</v>
      </c>
    </row>
    <row r="1480">
      <c r="A1480" s="1" t="str">
        <f>"0008CY"</f>
        <v>0008CY</v>
      </c>
      <c r="B1480" s="1" t="s">
        <v>5911</v>
      </c>
      <c r="C1480" s="1" t="s">
        <v>5912</v>
      </c>
      <c r="D1480" s="1" t="str">
        <f>"8022287363"</f>
        <v>8022287363</v>
      </c>
      <c r="E1480" s="1">
        <v>3366.0</v>
      </c>
      <c r="F1480" s="1" t="s">
        <v>44</v>
      </c>
      <c r="G1480" s="1" t="s">
        <v>5913</v>
      </c>
      <c r="H1480" s="1"/>
      <c r="I1480" s="1"/>
      <c r="J1480" s="1"/>
      <c r="K1480" s="1"/>
      <c r="L1480" s="1"/>
      <c r="M1480" s="1" t="s">
        <v>72</v>
      </c>
      <c r="N1480" s="1" t="s">
        <v>34</v>
      </c>
      <c r="O1480" s="1" t="s">
        <v>958</v>
      </c>
      <c r="P1480" s="1"/>
      <c r="Q1480" s="3">
        <v>36892.0</v>
      </c>
      <c r="R1480" s="1"/>
      <c r="S1480" s="1"/>
      <c r="T1480" s="1" t="s">
        <v>37</v>
      </c>
      <c r="U1480" s="1"/>
      <c r="V1480" s="1" t="s">
        <v>38</v>
      </c>
      <c r="W1480" s="1"/>
      <c r="X1480" s="1"/>
      <c r="Y1480" s="1" t="s">
        <v>49</v>
      </c>
      <c r="Z1480" s="1"/>
      <c r="AA1480" s="1" t="s">
        <v>40</v>
      </c>
      <c r="AB1480" s="1" t="s">
        <v>959</v>
      </c>
      <c r="AC1480" s="1"/>
    </row>
    <row r="1481">
      <c r="A1481" s="1" t="str">
        <f>"000942"</f>
        <v>000942</v>
      </c>
      <c r="B1481" s="1" t="s">
        <v>5914</v>
      </c>
      <c r="C1481" s="1" t="s">
        <v>5915</v>
      </c>
      <c r="D1481" s="1" t="str">
        <f>"8023654181"</f>
        <v>8023654181</v>
      </c>
      <c r="E1481" s="1">
        <v>3843.0</v>
      </c>
      <c r="F1481" s="1" t="s">
        <v>117</v>
      </c>
      <c r="G1481" s="1" t="s">
        <v>5916</v>
      </c>
      <c r="H1481" s="1">
        <v>2.0</v>
      </c>
      <c r="I1481" s="2">
        <v>1.0</v>
      </c>
      <c r="J1481" s="2">
        <v>1.0</v>
      </c>
      <c r="K1481" s="2" t="s">
        <v>119</v>
      </c>
      <c r="L1481" s="1"/>
      <c r="M1481" s="1" t="s">
        <v>5917</v>
      </c>
      <c r="N1481" s="1" t="s">
        <v>66</v>
      </c>
      <c r="O1481" s="1" t="s">
        <v>389</v>
      </c>
      <c r="P1481" s="1" t="s">
        <v>5918</v>
      </c>
      <c r="Q1481" s="3">
        <v>36892.0</v>
      </c>
      <c r="R1481" s="1"/>
      <c r="S1481" s="1"/>
      <c r="T1481" s="1" t="s">
        <v>37</v>
      </c>
      <c r="U1481" s="1"/>
      <c r="V1481" s="1" t="s">
        <v>38</v>
      </c>
      <c r="W1481" s="1">
        <v>43.0002629</v>
      </c>
      <c r="X1481" s="1">
        <v>-72.6861189999999</v>
      </c>
      <c r="Y1481" s="1" t="s">
        <v>5919</v>
      </c>
      <c r="Z1481" s="1"/>
      <c r="AA1481" s="1" t="s">
        <v>40</v>
      </c>
      <c r="AB1481" s="1" t="s">
        <v>390</v>
      </c>
      <c r="AC1481" s="1">
        <v>5345.0</v>
      </c>
    </row>
    <row r="1482">
      <c r="A1482" s="1" t="str">
        <f>"0007MP"</f>
        <v>0007MP</v>
      </c>
      <c r="B1482" s="1" t="s">
        <v>5920</v>
      </c>
      <c r="C1482" s="1" t="s">
        <v>5921</v>
      </c>
      <c r="D1482" s="1" t="str">
        <f>"8028791643"</f>
        <v>8028791643</v>
      </c>
      <c r="E1482" s="1">
        <v>3708.0</v>
      </c>
      <c r="F1482" s="1" t="s">
        <v>44</v>
      </c>
      <c r="G1482" s="1" t="s">
        <v>5922</v>
      </c>
      <c r="H1482" s="1">
        <v>1.0</v>
      </c>
      <c r="I1482" s="1"/>
      <c r="J1482" s="1"/>
      <c r="K1482" s="1"/>
      <c r="L1482" s="1"/>
      <c r="M1482" s="1" t="s">
        <v>72</v>
      </c>
      <c r="N1482" s="1" t="s">
        <v>57</v>
      </c>
      <c r="O1482" s="1" t="s">
        <v>2092</v>
      </c>
      <c r="P1482" s="1"/>
      <c r="Q1482" s="3">
        <v>36892.0</v>
      </c>
      <c r="R1482" s="1"/>
      <c r="S1482" s="3">
        <v>39275.0</v>
      </c>
      <c r="T1482" s="1" t="s">
        <v>37</v>
      </c>
      <c r="U1482" s="1"/>
      <c r="V1482" s="1" t="s">
        <v>38</v>
      </c>
      <c r="W1482" s="1"/>
      <c r="X1482" s="1"/>
      <c r="Y1482" s="1" t="s">
        <v>49</v>
      </c>
      <c r="Z1482" s="1"/>
      <c r="AA1482" s="1" t="s">
        <v>40</v>
      </c>
      <c r="AB1482" s="1" t="s">
        <v>2093</v>
      </c>
      <c r="AC1482" s="1"/>
    </row>
    <row r="1483">
      <c r="A1483" s="1" t="str">
        <f>"00073Y"</f>
        <v>00073Y</v>
      </c>
      <c r="B1483" s="1" t="s">
        <v>5923</v>
      </c>
      <c r="C1483" s="1" t="s">
        <v>5924</v>
      </c>
      <c r="D1483" s="1" t="str">
        <f>"8024477775"</f>
        <v>8024477775</v>
      </c>
      <c r="E1483" s="1">
        <v>227.0</v>
      </c>
      <c r="F1483" s="1" t="s">
        <v>44</v>
      </c>
      <c r="G1483" s="1" t="s">
        <v>5925</v>
      </c>
      <c r="H1483" s="1"/>
      <c r="I1483" s="1"/>
      <c r="J1483" s="1"/>
      <c r="K1483" s="1"/>
      <c r="L1483" s="1"/>
      <c r="M1483" s="1" t="s">
        <v>72</v>
      </c>
      <c r="N1483" s="1" t="s">
        <v>414</v>
      </c>
      <c r="O1483" s="1" t="s">
        <v>720</v>
      </c>
      <c r="P1483" s="1"/>
      <c r="Q1483" s="3">
        <v>36892.0</v>
      </c>
      <c r="R1483" s="1"/>
      <c r="S1483" s="1"/>
      <c r="T1483" s="1" t="s">
        <v>37</v>
      </c>
      <c r="U1483" s="1"/>
      <c r="V1483" s="1" t="s">
        <v>38</v>
      </c>
      <c r="W1483" s="1"/>
      <c r="X1483" s="1"/>
      <c r="Y1483" s="1" t="s">
        <v>49</v>
      </c>
      <c r="Z1483" s="1"/>
      <c r="AA1483" s="1" t="s">
        <v>40</v>
      </c>
      <c r="AB1483" s="1" t="s">
        <v>414</v>
      </c>
      <c r="AC1483" s="1"/>
    </row>
    <row r="1484">
      <c r="A1484" s="1" t="str">
        <f>"000863"</f>
        <v>000863</v>
      </c>
      <c r="B1484" s="1" t="s">
        <v>5926</v>
      </c>
      <c r="C1484" s="1" t="s">
        <v>5927</v>
      </c>
      <c r="D1484" s="1" t="str">
        <f>"8022763702"</f>
        <v>8022763702</v>
      </c>
      <c r="E1484" s="1">
        <v>3710.0</v>
      </c>
      <c r="F1484" s="1" t="s">
        <v>44</v>
      </c>
      <c r="G1484" s="1" t="s">
        <v>5928</v>
      </c>
      <c r="H1484" s="1">
        <v>0.0</v>
      </c>
      <c r="I1484" s="1"/>
      <c r="J1484" s="1"/>
      <c r="K1484" s="1"/>
      <c r="L1484" s="1"/>
      <c r="M1484" s="1" t="s">
        <v>72</v>
      </c>
      <c r="N1484" s="1" t="s">
        <v>142</v>
      </c>
      <c r="O1484" s="1" t="s">
        <v>353</v>
      </c>
      <c r="P1484" s="1"/>
      <c r="Q1484" s="3">
        <v>36892.0</v>
      </c>
      <c r="R1484" s="1"/>
      <c r="S1484" s="3">
        <v>39702.0</v>
      </c>
      <c r="T1484" s="1" t="s">
        <v>37</v>
      </c>
      <c r="U1484" s="1"/>
      <c r="V1484" s="1" t="s">
        <v>38</v>
      </c>
      <c r="W1484" s="1"/>
      <c r="X1484" s="1"/>
      <c r="Y1484" s="1" t="s">
        <v>49</v>
      </c>
      <c r="Z1484" s="1"/>
      <c r="AA1484" s="1" t="s">
        <v>40</v>
      </c>
      <c r="AB1484" s="1" t="s">
        <v>355</v>
      </c>
      <c r="AC1484" s="1"/>
    </row>
    <row r="1485">
      <c r="A1485" s="1" t="str">
        <f>"00075N"</f>
        <v>00075N</v>
      </c>
      <c r="B1485" s="1" t="s">
        <v>5929</v>
      </c>
      <c r="C1485" s="1" t="s">
        <v>5930</v>
      </c>
      <c r="D1485" s="1" t="str">
        <f>"8024331603"</f>
        <v>8024331603</v>
      </c>
      <c r="E1485" s="1">
        <v>3091.0</v>
      </c>
      <c r="F1485" s="1" t="s">
        <v>117</v>
      </c>
      <c r="G1485" s="1" t="s">
        <v>5931</v>
      </c>
      <c r="H1485" s="1">
        <v>2.0</v>
      </c>
      <c r="I1485" s="2">
        <v>2.0</v>
      </c>
      <c r="J1485" s="2" t="s">
        <v>119</v>
      </c>
      <c r="K1485" s="2" t="s">
        <v>119</v>
      </c>
      <c r="L1485" s="1"/>
      <c r="M1485" s="1" t="s">
        <v>5932</v>
      </c>
      <c r="N1485" s="1" t="s">
        <v>142</v>
      </c>
      <c r="O1485" s="1" t="s">
        <v>2253</v>
      </c>
      <c r="P1485" s="1" t="s">
        <v>5933</v>
      </c>
      <c r="Q1485" s="3">
        <v>36892.0</v>
      </c>
      <c r="R1485" s="1"/>
      <c r="S1485" s="3">
        <v>38608.0</v>
      </c>
      <c r="T1485" s="1" t="s">
        <v>37</v>
      </c>
      <c r="U1485" s="1"/>
      <c r="V1485" s="1" t="s">
        <v>38</v>
      </c>
      <c r="W1485" s="1">
        <v>44.0584512</v>
      </c>
      <c r="X1485" s="1">
        <v>-72.5034698</v>
      </c>
      <c r="Y1485" s="1" t="s">
        <v>5934</v>
      </c>
      <c r="Z1485" s="1"/>
      <c r="AA1485" s="1" t="s">
        <v>40</v>
      </c>
      <c r="AB1485" s="1" t="s">
        <v>2254</v>
      </c>
      <c r="AC1485" s="1">
        <v>5679.0</v>
      </c>
    </row>
    <row r="1486">
      <c r="A1486" s="1" t="str">
        <f t="shared" ref="A1486:A1487" si="89">"00073V"</f>
        <v>00073V</v>
      </c>
      <c r="B1486" s="1" t="s">
        <v>5935</v>
      </c>
      <c r="C1486" s="1" t="s">
        <v>5936</v>
      </c>
      <c r="D1486" s="1" t="str">
        <f t="shared" ref="D1486:D1487" si="90">"8024425301"</f>
        <v>8024425301</v>
      </c>
      <c r="E1486" s="1">
        <v>224.0</v>
      </c>
      <c r="F1486" s="1" t="s">
        <v>44</v>
      </c>
      <c r="G1486" s="1" t="s">
        <v>5937</v>
      </c>
      <c r="H1486" s="1">
        <v>3.0</v>
      </c>
      <c r="I1486" s="1"/>
      <c r="J1486" s="1"/>
      <c r="K1486" s="1"/>
      <c r="L1486" s="1"/>
      <c r="M1486" s="1" t="s">
        <v>72</v>
      </c>
      <c r="N1486" s="1" t="s">
        <v>414</v>
      </c>
      <c r="O1486" s="1" t="s">
        <v>794</v>
      </c>
      <c r="P1486" s="1"/>
      <c r="Q1486" s="3">
        <v>36892.0</v>
      </c>
      <c r="R1486" s="1"/>
      <c r="S1486" s="3">
        <v>32696.0</v>
      </c>
      <c r="T1486" s="1" t="s">
        <v>37</v>
      </c>
      <c r="U1486" s="1"/>
      <c r="V1486" s="1" t="s">
        <v>38</v>
      </c>
      <c r="W1486" s="1"/>
      <c r="X1486" s="1"/>
      <c r="Y1486" s="1" t="s">
        <v>49</v>
      </c>
      <c r="Z1486" s="1"/>
      <c r="AA1486" s="1" t="s">
        <v>40</v>
      </c>
      <c r="AB1486" s="1" t="s">
        <v>797</v>
      </c>
      <c r="AC1486" s="1"/>
    </row>
    <row r="1487">
      <c r="A1487" s="1" t="str">
        <f t="shared" si="89"/>
        <v>00073V</v>
      </c>
      <c r="B1487" s="1" t="s">
        <v>5935</v>
      </c>
      <c r="C1487" s="1" t="s">
        <v>5936</v>
      </c>
      <c r="D1487" s="1" t="str">
        <f t="shared" si="90"/>
        <v>8024425301</v>
      </c>
      <c r="E1487" s="1">
        <v>224.0</v>
      </c>
      <c r="F1487" s="1" t="s">
        <v>44</v>
      </c>
      <c r="G1487" s="1" t="s">
        <v>5938</v>
      </c>
      <c r="H1487" s="1">
        <v>15.0</v>
      </c>
      <c r="I1487" s="1"/>
      <c r="J1487" s="1"/>
      <c r="K1487" s="1"/>
      <c r="L1487" s="1"/>
      <c r="M1487" s="1" t="s">
        <v>5939</v>
      </c>
      <c r="N1487" s="1" t="s">
        <v>414</v>
      </c>
      <c r="O1487" s="1" t="s">
        <v>720</v>
      </c>
      <c r="P1487" s="1"/>
      <c r="Q1487" s="3">
        <v>36892.0</v>
      </c>
      <c r="R1487" s="1"/>
      <c r="S1487" s="3">
        <v>32685.0</v>
      </c>
      <c r="T1487" s="1" t="s">
        <v>37</v>
      </c>
      <c r="U1487" s="1"/>
      <c r="V1487" s="1" t="s">
        <v>38</v>
      </c>
      <c r="W1487" s="1"/>
      <c r="X1487" s="1"/>
      <c r="Y1487" s="1" t="s">
        <v>49</v>
      </c>
      <c r="Z1487" s="1"/>
      <c r="AA1487" s="1" t="s">
        <v>40</v>
      </c>
      <c r="AB1487" s="1" t="s">
        <v>414</v>
      </c>
      <c r="AC1487" s="1"/>
    </row>
    <row r="1488">
      <c r="A1488" s="1" t="str">
        <f>"0008NY"</f>
        <v>0008NY</v>
      </c>
      <c r="B1488" s="1" t="s">
        <v>1540</v>
      </c>
      <c r="C1488" s="1" t="s">
        <v>1541</v>
      </c>
      <c r="D1488" s="1" t="str">
        <f>"8028931310"</f>
        <v>8028931310</v>
      </c>
      <c r="E1488" s="1">
        <v>3209.0</v>
      </c>
      <c r="F1488" s="1" t="s">
        <v>44</v>
      </c>
      <c r="G1488" s="1" t="s">
        <v>5940</v>
      </c>
      <c r="H1488" s="1"/>
      <c r="I1488" s="1"/>
      <c r="J1488" s="1"/>
      <c r="K1488" s="1"/>
      <c r="L1488" s="1"/>
      <c r="M1488" s="1" t="s">
        <v>5941</v>
      </c>
      <c r="N1488" s="1" t="s">
        <v>57</v>
      </c>
      <c r="O1488" s="1" t="s">
        <v>256</v>
      </c>
      <c r="P1488" s="1"/>
      <c r="Q1488" s="3">
        <v>36892.0</v>
      </c>
      <c r="R1488" s="1"/>
      <c r="S1488" s="1"/>
      <c r="T1488" s="1" t="s">
        <v>37</v>
      </c>
      <c r="U1488" s="1"/>
      <c r="V1488" s="1" t="s">
        <v>38</v>
      </c>
      <c r="W1488" s="1"/>
      <c r="X1488" s="1"/>
      <c r="Y1488" s="1" t="s">
        <v>49</v>
      </c>
      <c r="Z1488" s="1"/>
      <c r="AA1488" s="1" t="s">
        <v>40</v>
      </c>
      <c r="AB1488" s="1" t="s">
        <v>257</v>
      </c>
      <c r="AC1488" s="1"/>
    </row>
    <row r="1489">
      <c r="A1489" s="1" t="str">
        <f>"00073X"</f>
        <v>00073X</v>
      </c>
      <c r="B1489" s="1" t="s">
        <v>5942</v>
      </c>
      <c r="C1489" s="1" t="s">
        <v>5943</v>
      </c>
      <c r="D1489" s="1"/>
      <c r="E1489" s="1">
        <v>2444.0</v>
      </c>
      <c r="F1489" s="1" t="s">
        <v>44</v>
      </c>
      <c r="G1489" s="1" t="s">
        <v>5944</v>
      </c>
      <c r="H1489" s="1"/>
      <c r="I1489" s="1"/>
      <c r="J1489" s="1"/>
      <c r="K1489" s="1"/>
      <c r="L1489" s="1"/>
      <c r="M1489" s="1" t="s">
        <v>72</v>
      </c>
      <c r="N1489" s="1" t="s">
        <v>34</v>
      </c>
      <c r="O1489" s="1" t="s">
        <v>1469</v>
      </c>
      <c r="P1489" s="1"/>
      <c r="Q1489" s="3">
        <v>36892.0</v>
      </c>
      <c r="R1489" s="1"/>
      <c r="S1489" s="1"/>
      <c r="T1489" s="1" t="s">
        <v>37</v>
      </c>
      <c r="U1489" s="1"/>
      <c r="V1489" s="1" t="s">
        <v>38</v>
      </c>
      <c r="W1489" s="1"/>
      <c r="X1489" s="1"/>
      <c r="Y1489" s="1" t="s">
        <v>49</v>
      </c>
      <c r="Z1489" s="1"/>
      <c r="AA1489" s="1" t="s">
        <v>40</v>
      </c>
      <c r="AB1489" s="1" t="s">
        <v>1471</v>
      </c>
      <c r="AC1489" s="1"/>
    </row>
    <row r="1490">
      <c r="A1490" s="1" t="str">
        <f>"0007C6"</f>
        <v>0007C6</v>
      </c>
      <c r="B1490" s="1" t="s">
        <v>5945</v>
      </c>
      <c r="C1490" s="1" t="s">
        <v>5946</v>
      </c>
      <c r="D1490" s="1" t="str">
        <f>"8028862563"</f>
        <v>8028862563</v>
      </c>
      <c r="E1490" s="1">
        <v>609.0</v>
      </c>
      <c r="F1490" s="1" t="s">
        <v>44</v>
      </c>
      <c r="G1490" s="1" t="s">
        <v>5947</v>
      </c>
      <c r="H1490" s="1">
        <v>5.0</v>
      </c>
      <c r="I1490" s="1"/>
      <c r="J1490" s="1"/>
      <c r="K1490" s="1"/>
      <c r="L1490" s="1"/>
      <c r="M1490" s="1" t="s">
        <v>72</v>
      </c>
      <c r="N1490" s="1" t="s">
        <v>34</v>
      </c>
      <c r="O1490" s="1" t="s">
        <v>642</v>
      </c>
      <c r="P1490" s="1"/>
      <c r="Q1490" s="3">
        <v>36892.0</v>
      </c>
      <c r="R1490" s="1"/>
      <c r="S1490" s="3">
        <v>37153.0</v>
      </c>
      <c r="T1490" s="1" t="s">
        <v>37</v>
      </c>
      <c r="U1490" s="1"/>
      <c r="V1490" s="1" t="s">
        <v>38</v>
      </c>
      <c r="W1490" s="1"/>
      <c r="X1490" s="1"/>
      <c r="Y1490" s="1" t="s">
        <v>49</v>
      </c>
      <c r="Z1490" s="1"/>
      <c r="AA1490" s="1" t="s">
        <v>40</v>
      </c>
      <c r="AB1490" s="1" t="s">
        <v>643</v>
      </c>
      <c r="AC1490" s="1"/>
    </row>
    <row r="1491">
      <c r="A1491" s="1" t="str">
        <f>"0007ZQ"</f>
        <v>0007ZQ</v>
      </c>
      <c r="B1491" s="1" t="s">
        <v>1064</v>
      </c>
      <c r="C1491" s="1" t="s">
        <v>1065</v>
      </c>
      <c r="D1491" s="1" t="str">
        <f>"8022256051"</f>
        <v>8022256051</v>
      </c>
      <c r="E1491" s="1">
        <v>1395.0</v>
      </c>
      <c r="F1491" s="1" t="s">
        <v>117</v>
      </c>
      <c r="G1491" s="1" t="s">
        <v>5948</v>
      </c>
      <c r="H1491" s="1">
        <v>12.0</v>
      </c>
      <c r="I1491" s="2" t="s">
        <v>119</v>
      </c>
      <c r="J1491" s="2" t="s">
        <v>119</v>
      </c>
      <c r="K1491" s="2" t="s">
        <v>119</v>
      </c>
      <c r="L1491" s="1"/>
      <c r="M1491" s="1" t="s">
        <v>2741</v>
      </c>
      <c r="N1491" s="1" t="s">
        <v>57</v>
      </c>
      <c r="O1491" s="1" t="s">
        <v>175</v>
      </c>
      <c r="P1491" s="1" t="s">
        <v>5949</v>
      </c>
      <c r="Q1491" s="3">
        <v>36892.0</v>
      </c>
      <c r="R1491" s="1"/>
      <c r="S1491" s="3">
        <v>42889.0</v>
      </c>
      <c r="T1491" s="1" t="s">
        <v>37</v>
      </c>
      <c r="U1491" s="1"/>
      <c r="V1491" s="1" t="s">
        <v>38</v>
      </c>
      <c r="W1491" s="1">
        <v>44.5007230807266</v>
      </c>
      <c r="X1491" s="1">
        <v>-73.2101225852966</v>
      </c>
      <c r="Y1491" s="1" t="s">
        <v>174</v>
      </c>
      <c r="Z1491" s="1"/>
      <c r="AA1491" s="1" t="s">
        <v>40</v>
      </c>
      <c r="AB1491" s="1" t="s">
        <v>176</v>
      </c>
      <c r="AC1491" s="1">
        <v>5401.0</v>
      </c>
    </row>
    <row r="1492">
      <c r="A1492" s="1" t="str">
        <f>"00088C"</f>
        <v>00088C</v>
      </c>
      <c r="B1492" s="1" t="s">
        <v>5950</v>
      </c>
      <c r="C1492" s="1" t="s">
        <v>5951</v>
      </c>
      <c r="D1492" s="1" t="str">
        <f>"8028487488"</f>
        <v>8028487488</v>
      </c>
      <c r="E1492" s="1">
        <v>2966.0</v>
      </c>
      <c r="F1492" s="1" t="s">
        <v>44</v>
      </c>
      <c r="G1492" s="1" t="s">
        <v>5952</v>
      </c>
      <c r="H1492" s="1">
        <v>8.0</v>
      </c>
      <c r="I1492" s="1"/>
      <c r="J1492" s="1"/>
      <c r="K1492" s="1"/>
      <c r="L1492" s="1"/>
      <c r="M1492" s="1" t="s">
        <v>72</v>
      </c>
      <c r="N1492" s="1" t="s">
        <v>47</v>
      </c>
      <c r="O1492" s="1" t="s">
        <v>980</v>
      </c>
      <c r="P1492" s="1"/>
      <c r="Q1492" s="3">
        <v>36892.0</v>
      </c>
      <c r="R1492" s="1"/>
      <c r="S1492" s="3">
        <v>35284.0</v>
      </c>
      <c r="T1492" s="1" t="s">
        <v>37</v>
      </c>
      <c r="U1492" s="1"/>
      <c r="V1492" s="1" t="s">
        <v>38</v>
      </c>
      <c r="W1492" s="1"/>
      <c r="X1492" s="1"/>
      <c r="Y1492" s="1" t="s">
        <v>49</v>
      </c>
      <c r="Z1492" s="1"/>
      <c r="AA1492" s="1" t="s">
        <v>40</v>
      </c>
      <c r="AB1492" s="1" t="s">
        <v>981</v>
      </c>
      <c r="AC1492" s="1"/>
    </row>
    <row r="1493">
      <c r="A1493" s="1" t="str">
        <f>"0008A5"</f>
        <v>0008A5</v>
      </c>
      <c r="B1493" s="1" t="s">
        <v>5953</v>
      </c>
      <c r="C1493" s="1" t="s">
        <v>5954</v>
      </c>
      <c r="D1493" s="1" t="str">
        <f>"8029859028"</f>
        <v>8029859028</v>
      </c>
      <c r="E1493" s="1">
        <v>2478.0</v>
      </c>
      <c r="F1493" s="1" t="s">
        <v>117</v>
      </c>
      <c r="G1493" s="1" t="s">
        <v>5955</v>
      </c>
      <c r="H1493" s="1">
        <v>6.0</v>
      </c>
      <c r="I1493" s="2">
        <v>2.0</v>
      </c>
      <c r="J1493" s="2">
        <v>1.0</v>
      </c>
      <c r="K1493" s="2" t="s">
        <v>119</v>
      </c>
      <c r="L1493" s="1"/>
      <c r="M1493" s="1" t="s">
        <v>5956</v>
      </c>
      <c r="N1493" s="1" t="s">
        <v>57</v>
      </c>
      <c r="O1493" s="1" t="s">
        <v>238</v>
      </c>
      <c r="P1493" s="1" t="s">
        <v>1263</v>
      </c>
      <c r="Q1493" s="3">
        <v>36892.0</v>
      </c>
      <c r="R1493" s="1"/>
      <c r="S1493" s="3">
        <v>38460.0</v>
      </c>
      <c r="T1493" s="1" t="s">
        <v>37</v>
      </c>
      <c r="U1493" s="1"/>
      <c r="V1493" s="1" t="s">
        <v>38</v>
      </c>
      <c r="W1493" s="1">
        <v>44.3880485814661</v>
      </c>
      <c r="X1493" s="1">
        <v>-73.2575118541717</v>
      </c>
      <c r="Y1493" s="1" t="s">
        <v>5957</v>
      </c>
      <c r="Z1493" s="1"/>
      <c r="AA1493" s="1" t="s">
        <v>40</v>
      </c>
      <c r="AB1493" s="1" t="s">
        <v>239</v>
      </c>
      <c r="AC1493" s="1">
        <v>5482.0</v>
      </c>
    </row>
    <row r="1494">
      <c r="A1494" s="1" t="str">
        <f>"0008MW"</f>
        <v>0008MW</v>
      </c>
      <c r="B1494" s="1" t="s">
        <v>5958</v>
      </c>
      <c r="C1494" s="1" t="s">
        <v>5959</v>
      </c>
      <c r="D1494" s="1"/>
      <c r="E1494" s="1">
        <v>3155.0</v>
      </c>
      <c r="F1494" s="1" t="s">
        <v>44</v>
      </c>
      <c r="G1494" s="1" t="s">
        <v>5960</v>
      </c>
      <c r="H1494" s="1">
        <v>4.0</v>
      </c>
      <c r="I1494" s="1"/>
      <c r="J1494" s="1"/>
      <c r="K1494" s="1"/>
      <c r="L1494" s="1"/>
      <c r="M1494" s="1" t="s">
        <v>72</v>
      </c>
      <c r="N1494" s="1" t="s">
        <v>66</v>
      </c>
      <c r="O1494" s="1" t="s">
        <v>593</v>
      </c>
      <c r="P1494" s="1"/>
      <c r="Q1494" s="3">
        <v>36892.0</v>
      </c>
      <c r="R1494" s="1"/>
      <c r="S1494" s="3">
        <v>36334.0</v>
      </c>
      <c r="T1494" s="1" t="s">
        <v>37</v>
      </c>
      <c r="U1494" s="1"/>
      <c r="V1494" s="1" t="s">
        <v>38</v>
      </c>
      <c r="W1494" s="1"/>
      <c r="X1494" s="1"/>
      <c r="Y1494" s="1" t="s">
        <v>49</v>
      </c>
      <c r="Z1494" s="1"/>
      <c r="AA1494" s="1" t="s">
        <v>40</v>
      </c>
      <c r="AB1494" s="1" t="s">
        <v>594</v>
      </c>
      <c r="AC1494" s="1"/>
    </row>
    <row r="1495">
      <c r="A1495" s="1" t="str">
        <f>"0007QK"</f>
        <v>0007QK</v>
      </c>
      <c r="B1495" s="1" t="s">
        <v>1383</v>
      </c>
      <c r="C1495" s="1" t="s">
        <v>1384</v>
      </c>
      <c r="D1495" s="1" t="str">
        <f>"8022288105"</f>
        <v>8022288105</v>
      </c>
      <c r="E1495" s="1">
        <v>2869.0</v>
      </c>
      <c r="F1495" s="1" t="s">
        <v>117</v>
      </c>
      <c r="G1495" s="1" t="s">
        <v>5961</v>
      </c>
      <c r="H1495" s="1">
        <v>0.0</v>
      </c>
      <c r="I1495" s="2" t="s">
        <v>119</v>
      </c>
      <c r="J1495" s="2" t="s">
        <v>119</v>
      </c>
      <c r="K1495" s="2" t="s">
        <v>119</v>
      </c>
      <c r="L1495" s="1"/>
      <c r="M1495" s="1" t="s">
        <v>5962</v>
      </c>
      <c r="N1495" s="1" t="s">
        <v>34</v>
      </c>
      <c r="O1495" s="1" t="s">
        <v>1237</v>
      </c>
      <c r="P1495" s="1"/>
      <c r="Q1495" s="3">
        <v>36892.0</v>
      </c>
      <c r="R1495" s="3">
        <v>42156.0</v>
      </c>
      <c r="S1495" s="3">
        <v>34947.0</v>
      </c>
      <c r="T1495" s="1" t="s">
        <v>37</v>
      </c>
      <c r="U1495" s="1"/>
      <c r="V1495" s="1" t="s">
        <v>38</v>
      </c>
      <c r="W1495" s="1"/>
      <c r="X1495" s="1"/>
      <c r="Y1495" s="1" t="s">
        <v>49</v>
      </c>
      <c r="Z1495" s="1"/>
      <c r="AA1495" s="1" t="s">
        <v>40</v>
      </c>
      <c r="AB1495" s="1" t="s">
        <v>1238</v>
      </c>
      <c r="AC1495" s="1">
        <v>5149.0</v>
      </c>
    </row>
    <row r="1496">
      <c r="A1496" s="1" t="str">
        <f>"0007BH"</f>
        <v>0007BH</v>
      </c>
      <c r="B1496" s="1" t="s">
        <v>5963</v>
      </c>
      <c r="C1496" s="1" t="s">
        <v>5964</v>
      </c>
      <c r="D1496" s="1" t="str">
        <f>"8022479249"</f>
        <v>8022479249</v>
      </c>
      <c r="E1496" s="1">
        <v>3349.0</v>
      </c>
      <c r="F1496" s="1" t="s">
        <v>44</v>
      </c>
      <c r="G1496" s="1" t="s">
        <v>5965</v>
      </c>
      <c r="H1496" s="1">
        <v>2.0</v>
      </c>
      <c r="I1496" s="1"/>
      <c r="J1496" s="1"/>
      <c r="K1496" s="1"/>
      <c r="L1496" s="1"/>
      <c r="M1496" s="1" t="s">
        <v>72</v>
      </c>
      <c r="N1496" s="1" t="s">
        <v>161</v>
      </c>
      <c r="O1496" s="1" t="s">
        <v>1501</v>
      </c>
      <c r="P1496" s="1"/>
      <c r="Q1496" s="3">
        <v>36892.0</v>
      </c>
      <c r="R1496" s="1"/>
      <c r="S1496" s="3">
        <v>39248.0</v>
      </c>
      <c r="T1496" s="1" t="s">
        <v>37</v>
      </c>
      <c r="U1496" s="1"/>
      <c r="V1496" s="1" t="s">
        <v>38</v>
      </c>
      <c r="W1496" s="1"/>
      <c r="X1496" s="1"/>
      <c r="Y1496" s="1" t="s">
        <v>49</v>
      </c>
      <c r="Z1496" s="1"/>
      <c r="AA1496" s="1" t="s">
        <v>40</v>
      </c>
      <c r="AB1496" s="1" t="s">
        <v>1504</v>
      </c>
      <c r="AC1496" s="1"/>
    </row>
    <row r="1497">
      <c r="A1497" s="1" t="str">
        <f>"00073G"</f>
        <v>00073G</v>
      </c>
      <c r="B1497" s="1" t="s">
        <v>5966</v>
      </c>
      <c r="C1497" s="1" t="s">
        <v>5967</v>
      </c>
      <c r="D1497" s="1"/>
      <c r="E1497" s="1">
        <v>213.0</v>
      </c>
      <c r="F1497" s="1" t="s">
        <v>44</v>
      </c>
      <c r="G1497" s="1" t="s">
        <v>5968</v>
      </c>
      <c r="H1497" s="1"/>
      <c r="I1497" s="1"/>
      <c r="J1497" s="1"/>
      <c r="K1497" s="1"/>
      <c r="L1497" s="1"/>
      <c r="M1497" s="1" t="s">
        <v>5969</v>
      </c>
      <c r="N1497" s="1" t="s">
        <v>414</v>
      </c>
      <c r="O1497" s="1" t="s">
        <v>5630</v>
      </c>
      <c r="P1497" s="1"/>
      <c r="Q1497" s="3">
        <v>36892.0</v>
      </c>
      <c r="R1497" s="1"/>
      <c r="S1497" s="1"/>
      <c r="T1497" s="1" t="s">
        <v>37</v>
      </c>
      <c r="U1497" s="1"/>
      <c r="V1497" s="1" t="s">
        <v>38</v>
      </c>
      <c r="W1497" s="1"/>
      <c r="X1497" s="1"/>
      <c r="Y1497" s="1" t="s">
        <v>49</v>
      </c>
      <c r="Z1497" s="1"/>
      <c r="AA1497" s="1" t="s">
        <v>40</v>
      </c>
      <c r="AB1497" s="1" t="s">
        <v>5631</v>
      </c>
      <c r="AC1497" s="1"/>
    </row>
    <row r="1498">
      <c r="A1498" s="1" t="str">
        <f>"0007Z2"</f>
        <v>0007Z2</v>
      </c>
      <c r="B1498" s="1" t="s">
        <v>5970</v>
      </c>
      <c r="C1498" s="1" t="s">
        <v>5971</v>
      </c>
      <c r="D1498" s="1" t="str">
        <f>"8022291586"</f>
        <v>8022291586</v>
      </c>
      <c r="E1498" s="1">
        <v>3699.0</v>
      </c>
      <c r="F1498" s="1" t="s">
        <v>44</v>
      </c>
      <c r="G1498" s="1" t="s">
        <v>5972</v>
      </c>
      <c r="H1498" s="1">
        <v>1.0</v>
      </c>
      <c r="I1498" s="1"/>
      <c r="J1498" s="1"/>
      <c r="K1498" s="1"/>
      <c r="L1498" s="1"/>
      <c r="M1498" s="1" t="s">
        <v>72</v>
      </c>
      <c r="N1498" s="1" t="s">
        <v>135</v>
      </c>
      <c r="O1498" s="1" t="s">
        <v>3983</v>
      </c>
      <c r="P1498" s="1"/>
      <c r="Q1498" s="3">
        <v>36892.0</v>
      </c>
      <c r="R1498" s="1"/>
      <c r="S1498" s="1"/>
      <c r="T1498" s="1" t="s">
        <v>37</v>
      </c>
      <c r="U1498" s="1"/>
      <c r="V1498" s="1" t="s">
        <v>38</v>
      </c>
      <c r="W1498" s="1">
        <v>44.349476</v>
      </c>
      <c r="X1498" s="1">
        <v>-72.5574869999999</v>
      </c>
      <c r="Y1498" s="1" t="s">
        <v>5973</v>
      </c>
      <c r="Z1498" s="1"/>
      <c r="AA1498" s="1" t="s">
        <v>40</v>
      </c>
      <c r="AB1498" s="1" t="s">
        <v>3986</v>
      </c>
      <c r="AC1498" s="1">
        <v>5682.0</v>
      </c>
    </row>
    <row r="1499">
      <c r="A1499" s="1" t="str">
        <f>"0007WF"</f>
        <v>0007WF</v>
      </c>
      <c r="B1499" s="1" t="s">
        <v>5974</v>
      </c>
      <c r="C1499" s="1" t="s">
        <v>5975</v>
      </c>
      <c r="D1499" s="1" t="str">
        <f>"8024423170"</f>
        <v>8024423170</v>
      </c>
      <c r="E1499" s="1">
        <v>2382.0</v>
      </c>
      <c r="F1499" s="1" t="s">
        <v>44</v>
      </c>
      <c r="G1499" s="1" t="s">
        <v>5976</v>
      </c>
      <c r="H1499" s="1">
        <v>0.0</v>
      </c>
      <c r="I1499" s="1"/>
      <c r="J1499" s="1"/>
      <c r="K1499" s="1"/>
      <c r="L1499" s="1"/>
      <c r="M1499" s="1" t="s">
        <v>5977</v>
      </c>
      <c r="N1499" s="1" t="s">
        <v>414</v>
      </c>
      <c r="O1499" s="1" t="s">
        <v>720</v>
      </c>
      <c r="P1499" s="1"/>
      <c r="Q1499" s="3">
        <v>36892.0</v>
      </c>
      <c r="R1499" s="1"/>
      <c r="S1499" s="3">
        <v>32330.0</v>
      </c>
      <c r="T1499" s="1" t="s">
        <v>37</v>
      </c>
      <c r="U1499" s="1"/>
      <c r="V1499" s="1" t="s">
        <v>38</v>
      </c>
      <c r="W1499" s="1"/>
      <c r="X1499" s="1"/>
      <c r="Y1499" s="1" t="s">
        <v>49</v>
      </c>
      <c r="Z1499" s="1"/>
      <c r="AA1499" s="1" t="s">
        <v>40</v>
      </c>
      <c r="AB1499" s="1" t="s">
        <v>414</v>
      </c>
      <c r="AC1499" s="1"/>
    </row>
    <row r="1500">
      <c r="A1500" s="1" t="str">
        <f>"0008W1"</f>
        <v>0008W1</v>
      </c>
      <c r="B1500" s="1" t="s">
        <v>5978</v>
      </c>
      <c r="C1500" s="1" t="s">
        <v>5979</v>
      </c>
      <c r="D1500" s="1" t="str">
        <f>"8029332454"</f>
        <v>8029332454</v>
      </c>
      <c r="E1500" s="1">
        <v>3339.0</v>
      </c>
      <c r="F1500" s="1" t="s">
        <v>44</v>
      </c>
      <c r="G1500" s="1" t="s">
        <v>5980</v>
      </c>
      <c r="H1500" s="1">
        <v>35.0</v>
      </c>
      <c r="I1500" s="1"/>
      <c r="J1500" s="1"/>
      <c r="K1500" s="1"/>
      <c r="L1500" s="1"/>
      <c r="M1500" s="1" t="s">
        <v>72</v>
      </c>
      <c r="N1500" s="1" t="s">
        <v>47</v>
      </c>
      <c r="O1500" s="1" t="s">
        <v>980</v>
      </c>
      <c r="P1500" s="1"/>
      <c r="Q1500" s="3">
        <v>36892.0</v>
      </c>
      <c r="R1500" s="1"/>
      <c r="S1500" s="3">
        <v>38246.0</v>
      </c>
      <c r="T1500" s="1" t="s">
        <v>37</v>
      </c>
      <c r="U1500" s="1"/>
      <c r="V1500" s="1" t="s">
        <v>38</v>
      </c>
      <c r="W1500" s="1"/>
      <c r="X1500" s="1"/>
      <c r="Y1500" s="1" t="s">
        <v>49</v>
      </c>
      <c r="Z1500" s="1"/>
      <c r="AA1500" s="1" t="s">
        <v>40</v>
      </c>
      <c r="AB1500" s="1" t="s">
        <v>981</v>
      </c>
      <c r="AC1500" s="1"/>
    </row>
    <row r="1501">
      <c r="A1501" s="1" t="str">
        <f>"0008V7"</f>
        <v>0008V7</v>
      </c>
      <c r="B1501" s="1" t="s">
        <v>1309</v>
      </c>
      <c r="C1501" s="1" t="s">
        <v>1310</v>
      </c>
      <c r="D1501" s="1" t="str">
        <f>"8023334571"</f>
        <v>8023334571</v>
      </c>
      <c r="E1501" s="1">
        <v>3308.0</v>
      </c>
      <c r="F1501" s="1" t="s">
        <v>44</v>
      </c>
      <c r="G1501" s="1" t="s">
        <v>5981</v>
      </c>
      <c r="H1501" s="1"/>
      <c r="I1501" s="1"/>
      <c r="J1501" s="1"/>
      <c r="K1501" s="1"/>
      <c r="L1501" s="1"/>
      <c r="M1501" s="1" t="s">
        <v>5982</v>
      </c>
      <c r="N1501" s="1" t="s">
        <v>142</v>
      </c>
      <c r="O1501" s="1" t="s">
        <v>844</v>
      </c>
      <c r="P1501" s="1"/>
      <c r="Q1501" s="3">
        <v>36892.0</v>
      </c>
      <c r="R1501" s="1"/>
      <c r="S1501" s="1"/>
      <c r="T1501" s="1" t="s">
        <v>37</v>
      </c>
      <c r="U1501" s="1"/>
      <c r="V1501" s="1" t="s">
        <v>38</v>
      </c>
      <c r="W1501" s="1"/>
      <c r="X1501" s="1"/>
      <c r="Y1501" s="1" t="s">
        <v>49</v>
      </c>
      <c r="Z1501" s="1"/>
      <c r="AA1501" s="1" t="s">
        <v>40</v>
      </c>
      <c r="AB1501" s="1" t="s">
        <v>847</v>
      </c>
      <c r="AC1501" s="1"/>
    </row>
    <row r="1502">
      <c r="A1502" s="1" t="str">
        <f>"000739"</f>
        <v>000739</v>
      </c>
      <c r="B1502" s="1" t="s">
        <v>5983</v>
      </c>
      <c r="C1502" s="1" t="s">
        <v>5984</v>
      </c>
      <c r="D1502" s="1"/>
      <c r="E1502" s="1">
        <v>207.0</v>
      </c>
      <c r="F1502" s="1" t="s">
        <v>44</v>
      </c>
      <c r="G1502" s="1" t="s">
        <v>5985</v>
      </c>
      <c r="H1502" s="1"/>
      <c r="I1502" s="1"/>
      <c r="J1502" s="1"/>
      <c r="K1502" s="1"/>
      <c r="L1502" s="1"/>
      <c r="M1502" s="1" t="s">
        <v>72</v>
      </c>
      <c r="N1502" s="1" t="s">
        <v>78</v>
      </c>
      <c r="O1502" s="1" t="s">
        <v>434</v>
      </c>
      <c r="P1502" s="1"/>
      <c r="Q1502" s="3">
        <v>36892.0</v>
      </c>
      <c r="R1502" s="1"/>
      <c r="S1502" s="1"/>
      <c r="T1502" s="1" t="s">
        <v>37</v>
      </c>
      <c r="U1502" s="1"/>
      <c r="V1502" s="1" t="s">
        <v>38</v>
      </c>
      <c r="W1502" s="1"/>
      <c r="X1502" s="1"/>
      <c r="Y1502" s="1" t="s">
        <v>49</v>
      </c>
      <c r="Z1502" s="1"/>
      <c r="AA1502" s="1" t="s">
        <v>40</v>
      </c>
      <c r="AB1502" s="1" t="s">
        <v>435</v>
      </c>
      <c r="AC1502" s="1"/>
    </row>
    <row r="1503">
      <c r="A1503" s="1" t="str">
        <f t="shared" ref="A1503:A1504" si="91">"0007WA"</f>
        <v>0007WA</v>
      </c>
      <c r="B1503" s="1" t="s">
        <v>157</v>
      </c>
      <c r="C1503" s="1" t="s">
        <v>158</v>
      </c>
      <c r="D1503" s="1" t="str">
        <f t="shared" ref="D1503:D1504" si="92">"8029482057"</f>
        <v>8029482057</v>
      </c>
      <c r="E1503" s="1">
        <v>1217.0</v>
      </c>
      <c r="F1503" s="1" t="s">
        <v>31</v>
      </c>
      <c r="G1503" s="1" t="s">
        <v>5986</v>
      </c>
      <c r="H1503" s="1">
        <v>0.0</v>
      </c>
      <c r="I1503" s="1"/>
      <c r="J1503" s="1"/>
      <c r="K1503" s="1"/>
      <c r="L1503" s="1"/>
      <c r="M1503" s="1" t="s">
        <v>5987</v>
      </c>
      <c r="N1503" s="1" t="s">
        <v>78</v>
      </c>
      <c r="O1503" s="1" t="s">
        <v>2066</v>
      </c>
      <c r="P1503" s="1"/>
      <c r="Q1503" s="3">
        <v>36892.0</v>
      </c>
      <c r="R1503" s="3">
        <v>41990.49868055555</v>
      </c>
      <c r="S1503" s="3">
        <v>41773.0</v>
      </c>
      <c r="T1503" s="1" t="s">
        <v>37</v>
      </c>
      <c r="U1503" s="1"/>
      <c r="V1503" s="1" t="s">
        <v>38</v>
      </c>
      <c r="W1503" s="1"/>
      <c r="X1503" s="1"/>
      <c r="Y1503" s="1" t="s">
        <v>49</v>
      </c>
      <c r="Z1503" s="1"/>
      <c r="AA1503" s="1" t="s">
        <v>40</v>
      </c>
      <c r="AB1503" s="1" t="s">
        <v>2069</v>
      </c>
      <c r="AC1503" s="1">
        <v>5700.0</v>
      </c>
    </row>
    <row r="1504">
      <c r="A1504" s="1" t="str">
        <f t="shared" si="91"/>
        <v>0007WA</v>
      </c>
      <c r="B1504" s="1" t="s">
        <v>157</v>
      </c>
      <c r="C1504" s="1" t="s">
        <v>158</v>
      </c>
      <c r="D1504" s="1" t="str">
        <f t="shared" si="92"/>
        <v>8029482057</v>
      </c>
      <c r="E1504" s="1">
        <v>1217.0</v>
      </c>
      <c r="F1504" s="1" t="s">
        <v>31</v>
      </c>
      <c r="G1504" s="1" t="s">
        <v>5988</v>
      </c>
      <c r="H1504" s="1">
        <v>31.0</v>
      </c>
      <c r="I1504" s="1"/>
      <c r="J1504" s="1"/>
      <c r="K1504" s="1"/>
      <c r="L1504" s="1"/>
      <c r="M1504" s="1" t="s">
        <v>5989</v>
      </c>
      <c r="N1504" s="1" t="s">
        <v>161</v>
      </c>
      <c r="O1504" s="1" t="s">
        <v>531</v>
      </c>
      <c r="P1504" s="1" t="s">
        <v>5990</v>
      </c>
      <c r="Q1504" s="3">
        <v>36892.0</v>
      </c>
      <c r="R1504" s="1"/>
      <c r="S1504" s="3">
        <v>39374.0</v>
      </c>
      <c r="T1504" s="1" t="s">
        <v>164</v>
      </c>
      <c r="U1504" s="1"/>
      <c r="V1504" s="1" t="s">
        <v>38</v>
      </c>
      <c r="W1504" s="1">
        <v>43.8263037</v>
      </c>
      <c r="X1504" s="1">
        <v>-73.2603664</v>
      </c>
      <c r="Y1504" s="1" t="s">
        <v>5587</v>
      </c>
      <c r="Z1504" s="1"/>
      <c r="AA1504" s="1" t="s">
        <v>40</v>
      </c>
      <c r="AB1504" s="1" t="s">
        <v>532</v>
      </c>
      <c r="AC1504" s="1">
        <v>5760.0</v>
      </c>
    </row>
    <row r="1505">
      <c r="A1505" s="1" t="str">
        <f>"00079C"</f>
        <v>00079C</v>
      </c>
      <c r="B1505" s="1" t="s">
        <v>5368</v>
      </c>
      <c r="C1505" s="1" t="s">
        <v>5369</v>
      </c>
      <c r="D1505" s="1" t="str">
        <f>"8022956567"</f>
        <v>8022956567</v>
      </c>
      <c r="E1505" s="1">
        <v>472.0</v>
      </c>
      <c r="F1505" s="1" t="s">
        <v>44</v>
      </c>
      <c r="G1505" s="1" t="s">
        <v>5991</v>
      </c>
      <c r="H1505" s="1"/>
      <c r="I1505" s="1"/>
      <c r="J1505" s="1"/>
      <c r="K1505" s="1"/>
      <c r="L1505" s="1"/>
      <c r="M1505" s="1" t="s">
        <v>5992</v>
      </c>
      <c r="N1505" s="1" t="s">
        <v>34</v>
      </c>
      <c r="O1505" s="1" t="s">
        <v>85</v>
      </c>
      <c r="P1505" s="1"/>
      <c r="Q1505" s="3">
        <v>36892.0</v>
      </c>
      <c r="R1505" s="1"/>
      <c r="S1505" s="1"/>
      <c r="T1505" s="1" t="s">
        <v>37</v>
      </c>
      <c r="U1505" s="1"/>
      <c r="V1505" s="1" t="s">
        <v>38</v>
      </c>
      <c r="W1505" s="1"/>
      <c r="X1505" s="1"/>
      <c r="Y1505" s="1" t="s">
        <v>49</v>
      </c>
      <c r="Z1505" s="1"/>
      <c r="AA1505" s="1" t="s">
        <v>40</v>
      </c>
      <c r="AB1505" s="1" t="s">
        <v>86</v>
      </c>
      <c r="AC1505" s="1"/>
    </row>
    <row r="1506">
      <c r="A1506" s="1" t="str">
        <f>"00087P"</f>
        <v>00087P</v>
      </c>
      <c r="B1506" s="1" t="s">
        <v>5993</v>
      </c>
      <c r="C1506" s="1" t="s">
        <v>5994</v>
      </c>
      <c r="D1506" s="1" t="str">
        <f>"8025270369"</f>
        <v>8025270369</v>
      </c>
      <c r="E1506" s="1">
        <v>3072.0</v>
      </c>
      <c r="F1506" s="1" t="s">
        <v>31</v>
      </c>
      <c r="G1506" s="1" t="s">
        <v>5995</v>
      </c>
      <c r="H1506" s="1">
        <v>10.0</v>
      </c>
      <c r="I1506" s="1"/>
      <c r="J1506" s="1"/>
      <c r="K1506" s="1"/>
      <c r="L1506" s="1"/>
      <c r="M1506" s="1" t="s">
        <v>5996</v>
      </c>
      <c r="N1506" s="1" t="s">
        <v>47</v>
      </c>
      <c r="O1506" s="1" t="s">
        <v>582</v>
      </c>
      <c r="P1506" s="1" t="s">
        <v>5997</v>
      </c>
      <c r="Q1506" s="3">
        <v>36892.0</v>
      </c>
      <c r="R1506" s="1"/>
      <c r="S1506" s="3">
        <v>42143.0</v>
      </c>
      <c r="T1506" s="1" t="s">
        <v>37</v>
      </c>
      <c r="U1506" s="1"/>
      <c r="V1506" s="1" t="s">
        <v>38</v>
      </c>
      <c r="W1506" s="1">
        <v>44.7659931203547</v>
      </c>
      <c r="X1506" s="1">
        <v>-73.1560277938842</v>
      </c>
      <c r="Y1506" s="1" t="s">
        <v>5998</v>
      </c>
      <c r="Z1506" s="1"/>
      <c r="AA1506" s="1" t="s">
        <v>40</v>
      </c>
      <c r="AB1506" s="1" t="s">
        <v>583</v>
      </c>
      <c r="AC1506" s="1">
        <v>0.0</v>
      </c>
    </row>
    <row r="1507">
      <c r="A1507" s="1" t="str">
        <f>"0007WA"</f>
        <v>0007WA</v>
      </c>
      <c r="B1507" s="1" t="s">
        <v>157</v>
      </c>
      <c r="C1507" s="1" t="s">
        <v>158</v>
      </c>
      <c r="D1507" s="1" t="str">
        <f>"8029482057"</f>
        <v>8029482057</v>
      </c>
      <c r="E1507" s="1">
        <v>1217.0</v>
      </c>
      <c r="F1507" s="1" t="s">
        <v>31</v>
      </c>
      <c r="G1507" s="1" t="s">
        <v>5999</v>
      </c>
      <c r="H1507" s="1">
        <v>0.0</v>
      </c>
      <c r="I1507" s="1"/>
      <c r="J1507" s="1"/>
      <c r="K1507" s="1"/>
      <c r="L1507" s="1"/>
      <c r="M1507" s="1" t="s">
        <v>6000</v>
      </c>
      <c r="N1507" s="1" t="s">
        <v>78</v>
      </c>
      <c r="O1507" s="1" t="s">
        <v>426</v>
      </c>
      <c r="P1507" s="1" t="s">
        <v>6001</v>
      </c>
      <c r="Q1507" s="3">
        <v>36892.0</v>
      </c>
      <c r="R1507" s="1"/>
      <c r="S1507" s="3">
        <v>41914.0</v>
      </c>
      <c r="T1507" s="1" t="s">
        <v>164</v>
      </c>
      <c r="U1507" s="1"/>
      <c r="V1507" s="1" t="s">
        <v>38</v>
      </c>
      <c r="W1507" s="1">
        <v>43.72267</v>
      </c>
      <c r="X1507" s="1">
        <v>-73.2930999999999</v>
      </c>
      <c r="Y1507" s="1" t="s">
        <v>6002</v>
      </c>
      <c r="Z1507" s="1"/>
      <c r="AA1507" s="1" t="s">
        <v>40</v>
      </c>
      <c r="AB1507" s="1" t="s">
        <v>427</v>
      </c>
      <c r="AC1507" s="1">
        <v>0.0</v>
      </c>
    </row>
    <row r="1508">
      <c r="A1508" s="1" t="str">
        <f>"00075G"</f>
        <v>00075G</v>
      </c>
      <c r="B1508" s="1" t="s">
        <v>4701</v>
      </c>
      <c r="C1508" s="1" t="s">
        <v>4702</v>
      </c>
      <c r="D1508" s="1" t="str">
        <f>"8024473781"</f>
        <v>8024473781</v>
      </c>
      <c r="E1508" s="1">
        <v>291.0</v>
      </c>
      <c r="F1508" s="1" t="s">
        <v>44</v>
      </c>
      <c r="G1508" s="1" t="s">
        <v>6003</v>
      </c>
      <c r="H1508" s="1">
        <v>2.0</v>
      </c>
      <c r="I1508" s="1"/>
      <c r="J1508" s="1"/>
      <c r="K1508" s="1"/>
      <c r="L1508" s="1"/>
      <c r="M1508" s="1" t="s">
        <v>6004</v>
      </c>
      <c r="N1508" s="1" t="s">
        <v>414</v>
      </c>
      <c r="O1508" s="1" t="s">
        <v>1160</v>
      </c>
      <c r="P1508" s="1"/>
      <c r="Q1508" s="3">
        <v>36892.0</v>
      </c>
      <c r="R1508" s="1"/>
      <c r="S1508" s="3">
        <v>38971.0</v>
      </c>
      <c r="T1508" s="1" t="s">
        <v>37</v>
      </c>
      <c r="U1508" s="1"/>
      <c r="V1508" s="1" t="s">
        <v>38</v>
      </c>
      <c r="W1508" s="1"/>
      <c r="X1508" s="1"/>
      <c r="Y1508" s="1" t="s">
        <v>49</v>
      </c>
      <c r="Z1508" s="1"/>
      <c r="AA1508" s="1" t="s">
        <v>40</v>
      </c>
      <c r="AB1508" s="1" t="s">
        <v>1161</v>
      </c>
      <c r="AC1508" s="1"/>
    </row>
    <row r="1509">
      <c r="A1509" s="1" t="str">
        <f>"0007WA"</f>
        <v>0007WA</v>
      </c>
      <c r="B1509" s="1" t="s">
        <v>157</v>
      </c>
      <c r="C1509" s="1" t="s">
        <v>158</v>
      </c>
      <c r="D1509" s="1" t="str">
        <f>"8029482057"</f>
        <v>8029482057</v>
      </c>
      <c r="E1509" s="1">
        <v>1217.0</v>
      </c>
      <c r="F1509" s="1" t="s">
        <v>31</v>
      </c>
      <c r="G1509" s="1" t="s">
        <v>6005</v>
      </c>
      <c r="H1509" s="1">
        <v>27.0</v>
      </c>
      <c r="I1509" s="1"/>
      <c r="J1509" s="1"/>
      <c r="K1509" s="1"/>
      <c r="L1509" s="1"/>
      <c r="M1509" s="1" t="s">
        <v>6006</v>
      </c>
      <c r="N1509" s="1" t="s">
        <v>161</v>
      </c>
      <c r="O1509" s="1" t="s">
        <v>1053</v>
      </c>
      <c r="P1509" s="1" t="s">
        <v>6007</v>
      </c>
      <c r="Q1509" s="3">
        <v>36892.0</v>
      </c>
      <c r="R1509" s="1"/>
      <c r="S1509" s="3">
        <v>41115.0</v>
      </c>
      <c r="T1509" s="1" t="s">
        <v>37</v>
      </c>
      <c r="U1509" s="1"/>
      <c r="V1509" s="1" t="s">
        <v>38</v>
      </c>
      <c r="W1509" s="1"/>
      <c r="X1509" s="1"/>
      <c r="Y1509" s="1" t="s">
        <v>49</v>
      </c>
      <c r="Z1509" s="1"/>
      <c r="AA1509" s="1" t="s">
        <v>40</v>
      </c>
      <c r="AB1509" s="1" t="s">
        <v>1054</v>
      </c>
      <c r="AC1509" s="1">
        <v>0.0</v>
      </c>
    </row>
    <row r="1510">
      <c r="A1510" s="1" t="str">
        <f>"000732"</f>
        <v>000732</v>
      </c>
      <c r="B1510" s="1" t="s">
        <v>6008</v>
      </c>
      <c r="C1510" s="1" t="s">
        <v>6009</v>
      </c>
      <c r="D1510" s="1"/>
      <c r="E1510" s="1">
        <v>198.0</v>
      </c>
      <c r="F1510" s="1" t="s">
        <v>44</v>
      </c>
      <c r="G1510" s="1" t="s">
        <v>6010</v>
      </c>
      <c r="H1510" s="1">
        <v>9.0</v>
      </c>
      <c r="I1510" s="1"/>
      <c r="J1510" s="1"/>
      <c r="K1510" s="1"/>
      <c r="L1510" s="1"/>
      <c r="M1510" s="1" t="s">
        <v>72</v>
      </c>
      <c r="N1510" s="1" t="s">
        <v>78</v>
      </c>
      <c r="O1510" s="1" t="s">
        <v>6011</v>
      </c>
      <c r="P1510" s="1"/>
      <c r="Q1510" s="3">
        <v>36892.0</v>
      </c>
      <c r="R1510" s="1"/>
      <c r="S1510" s="3">
        <v>35628.0</v>
      </c>
      <c r="T1510" s="1" t="s">
        <v>37</v>
      </c>
      <c r="U1510" s="1"/>
      <c r="V1510" s="1" t="s">
        <v>38</v>
      </c>
      <c r="W1510" s="1"/>
      <c r="X1510" s="1"/>
      <c r="Y1510" s="1" t="s">
        <v>49</v>
      </c>
      <c r="Z1510" s="1"/>
      <c r="AA1510" s="1" t="s">
        <v>40</v>
      </c>
      <c r="AB1510" s="1" t="s">
        <v>6012</v>
      </c>
      <c r="AC1510" s="1"/>
    </row>
    <row r="1511">
      <c r="A1511" s="1" t="str">
        <f>"000731"</f>
        <v>000731</v>
      </c>
      <c r="B1511" s="1" t="s">
        <v>6013</v>
      </c>
      <c r="C1511" s="1" t="s">
        <v>6014</v>
      </c>
      <c r="D1511" s="1" t="str">
        <f>"8024382863"</f>
        <v>8024382863</v>
      </c>
      <c r="E1511" s="1">
        <v>195.0</v>
      </c>
      <c r="F1511" s="1" t="s">
        <v>44</v>
      </c>
      <c r="G1511" s="1" t="s">
        <v>6015</v>
      </c>
      <c r="H1511" s="1">
        <v>2.0</v>
      </c>
      <c r="I1511" s="1"/>
      <c r="J1511" s="1"/>
      <c r="K1511" s="1"/>
      <c r="L1511" s="1"/>
      <c r="M1511" s="1" t="s">
        <v>6016</v>
      </c>
      <c r="N1511" s="1" t="s">
        <v>78</v>
      </c>
      <c r="O1511" s="1" t="s">
        <v>6011</v>
      </c>
      <c r="P1511" s="1"/>
      <c r="Q1511" s="3">
        <v>36892.0</v>
      </c>
      <c r="R1511" s="1"/>
      <c r="S1511" s="3">
        <v>37428.0</v>
      </c>
      <c r="T1511" s="1" t="s">
        <v>37</v>
      </c>
      <c r="U1511" s="1"/>
      <c r="V1511" s="1" t="s">
        <v>38</v>
      </c>
      <c r="W1511" s="1"/>
      <c r="X1511" s="1"/>
      <c r="Y1511" s="1" t="s">
        <v>49</v>
      </c>
      <c r="Z1511" s="1"/>
      <c r="AA1511" s="1" t="s">
        <v>40</v>
      </c>
      <c r="AB1511" s="1" t="s">
        <v>6012</v>
      </c>
      <c r="AC1511" s="1"/>
    </row>
    <row r="1512">
      <c r="A1512" s="1" t="str">
        <f>"000730"</f>
        <v>000730</v>
      </c>
      <c r="B1512" s="1" t="s">
        <v>1767</v>
      </c>
      <c r="C1512" s="1" t="s">
        <v>1768</v>
      </c>
      <c r="D1512" s="1" t="str">
        <f>"8024462750"</f>
        <v>8024462750</v>
      </c>
      <c r="E1512" s="1">
        <v>194.0</v>
      </c>
      <c r="F1512" s="1" t="s">
        <v>44</v>
      </c>
      <c r="G1512" s="1" t="s">
        <v>6017</v>
      </c>
      <c r="H1512" s="1">
        <v>2.0</v>
      </c>
      <c r="I1512" s="1"/>
      <c r="J1512" s="1"/>
      <c r="K1512" s="1"/>
      <c r="L1512" s="1"/>
      <c r="M1512" s="1" t="s">
        <v>6018</v>
      </c>
      <c r="N1512" s="1" t="s">
        <v>78</v>
      </c>
      <c r="O1512" s="1" t="s">
        <v>4889</v>
      </c>
      <c r="P1512" s="1"/>
      <c r="Q1512" s="3">
        <v>36892.0</v>
      </c>
      <c r="R1512" s="1"/>
      <c r="S1512" s="3">
        <v>32363.0</v>
      </c>
      <c r="T1512" s="1" t="s">
        <v>37</v>
      </c>
      <c r="U1512" s="1"/>
      <c r="V1512" s="1" t="s">
        <v>38</v>
      </c>
      <c r="W1512" s="1"/>
      <c r="X1512" s="1"/>
      <c r="Y1512" s="1" t="s">
        <v>49</v>
      </c>
      <c r="Z1512" s="1"/>
      <c r="AA1512" s="1" t="s">
        <v>40</v>
      </c>
      <c r="AB1512" s="1" t="s">
        <v>4890</v>
      </c>
      <c r="AC1512" s="1"/>
    </row>
    <row r="1513">
      <c r="A1513" s="1" t="str">
        <f>"00072Z"</f>
        <v>00072Z</v>
      </c>
      <c r="B1513" s="1" t="s">
        <v>1128</v>
      </c>
      <c r="C1513" s="1" t="s">
        <v>1129</v>
      </c>
      <c r="D1513" s="1" t="str">
        <f>"8022592594"</f>
        <v>8022592594</v>
      </c>
      <c r="E1513" s="1">
        <v>193.0</v>
      </c>
      <c r="F1513" s="1" t="s">
        <v>44</v>
      </c>
      <c r="G1513" s="1" t="s">
        <v>6019</v>
      </c>
      <c r="H1513" s="1">
        <v>2.0</v>
      </c>
      <c r="I1513" s="1"/>
      <c r="J1513" s="1"/>
      <c r="K1513" s="1"/>
      <c r="L1513" s="1"/>
      <c r="M1513" s="1" t="s">
        <v>72</v>
      </c>
      <c r="N1513" s="1" t="s">
        <v>78</v>
      </c>
      <c r="O1513" s="1" t="s">
        <v>1124</v>
      </c>
      <c r="P1513" s="1"/>
      <c r="Q1513" s="3">
        <v>36892.0</v>
      </c>
      <c r="R1513" s="1"/>
      <c r="S1513" s="3">
        <v>36720.0</v>
      </c>
      <c r="T1513" s="1" t="s">
        <v>37</v>
      </c>
      <c r="U1513" s="1"/>
      <c r="V1513" s="1" t="s">
        <v>38</v>
      </c>
      <c r="W1513" s="1"/>
      <c r="X1513" s="1"/>
      <c r="Y1513" s="1" t="s">
        <v>49</v>
      </c>
      <c r="Z1513" s="1"/>
      <c r="AA1513" s="1" t="s">
        <v>40</v>
      </c>
      <c r="AB1513" s="1" t="s">
        <v>1127</v>
      </c>
      <c r="AC1513" s="1"/>
    </row>
    <row r="1514">
      <c r="A1514" s="1" t="str">
        <f>"00075G"</f>
        <v>00075G</v>
      </c>
      <c r="B1514" s="1" t="s">
        <v>4701</v>
      </c>
      <c r="C1514" s="1" t="s">
        <v>4702</v>
      </c>
      <c r="D1514" s="1" t="str">
        <f>"8024473781"</f>
        <v>8024473781</v>
      </c>
      <c r="E1514" s="1">
        <v>291.0</v>
      </c>
      <c r="F1514" s="1" t="s">
        <v>44</v>
      </c>
      <c r="G1514" s="1" t="s">
        <v>6020</v>
      </c>
      <c r="H1514" s="1">
        <v>5.0</v>
      </c>
      <c r="I1514" s="1"/>
      <c r="J1514" s="1"/>
      <c r="K1514" s="1"/>
      <c r="L1514" s="1"/>
      <c r="M1514" s="1" t="s">
        <v>6021</v>
      </c>
      <c r="N1514" s="1" t="s">
        <v>414</v>
      </c>
      <c r="O1514" s="1" t="s">
        <v>1160</v>
      </c>
      <c r="P1514" s="1"/>
      <c r="Q1514" s="3">
        <v>36892.0</v>
      </c>
      <c r="R1514" s="1"/>
      <c r="S1514" s="3">
        <v>38971.0</v>
      </c>
      <c r="T1514" s="1" t="s">
        <v>37</v>
      </c>
      <c r="U1514" s="1"/>
      <c r="V1514" s="1" t="s">
        <v>38</v>
      </c>
      <c r="W1514" s="1"/>
      <c r="X1514" s="1"/>
      <c r="Y1514" s="1" t="s">
        <v>49</v>
      </c>
      <c r="Z1514" s="1"/>
      <c r="AA1514" s="1" t="s">
        <v>40</v>
      </c>
      <c r="AB1514" s="1" t="s">
        <v>1161</v>
      </c>
      <c r="AC1514" s="1"/>
    </row>
    <row r="1515">
      <c r="A1515" s="1" t="str">
        <f>"00073B"</f>
        <v>00073B</v>
      </c>
      <c r="B1515" s="1" t="s">
        <v>6022</v>
      </c>
      <c r="C1515" s="1" t="s">
        <v>6023</v>
      </c>
      <c r="D1515" s="1" t="str">
        <f>"8029995825"</f>
        <v>8029995825</v>
      </c>
      <c r="E1515" s="1">
        <v>2582.0</v>
      </c>
      <c r="F1515" s="1" t="s">
        <v>117</v>
      </c>
      <c r="G1515" s="1" t="s">
        <v>6024</v>
      </c>
      <c r="H1515" s="1">
        <v>4.0</v>
      </c>
      <c r="I1515" s="2">
        <v>2.0</v>
      </c>
      <c r="J1515" s="2">
        <v>1.0</v>
      </c>
      <c r="K1515" s="2" t="s">
        <v>119</v>
      </c>
      <c r="L1515" s="1"/>
      <c r="M1515" s="1" t="s">
        <v>6025</v>
      </c>
      <c r="N1515" s="1" t="s">
        <v>57</v>
      </c>
      <c r="O1515" s="1" t="s">
        <v>509</v>
      </c>
      <c r="P1515" s="1" t="s">
        <v>6026</v>
      </c>
      <c r="Q1515" s="3">
        <v>36892.0</v>
      </c>
      <c r="R1515" s="1"/>
      <c r="S1515" s="1"/>
      <c r="T1515" s="1" t="s">
        <v>37</v>
      </c>
      <c r="U1515" s="1"/>
      <c r="V1515" s="1" t="s">
        <v>38</v>
      </c>
      <c r="W1515" s="1">
        <v>44.496091</v>
      </c>
      <c r="X1515" s="1">
        <v>-73.1175079999999</v>
      </c>
      <c r="Y1515" s="1" t="s">
        <v>6027</v>
      </c>
      <c r="Z1515" s="1"/>
      <c r="AA1515" s="1" t="s">
        <v>40</v>
      </c>
      <c r="AB1515" s="1" t="s">
        <v>3296</v>
      </c>
      <c r="AC1515" s="1" t="s">
        <v>6028</v>
      </c>
    </row>
    <row r="1516">
      <c r="A1516" s="1" t="str">
        <f>"00090H"</f>
        <v>00090H</v>
      </c>
      <c r="B1516" s="1" t="s">
        <v>2524</v>
      </c>
      <c r="C1516" s="1" t="s">
        <v>2525</v>
      </c>
      <c r="D1516" s="1" t="str">
        <f>"8024725008"</f>
        <v>8024725008</v>
      </c>
      <c r="E1516" s="1">
        <v>3572.0</v>
      </c>
      <c r="F1516" s="1" t="s">
        <v>44</v>
      </c>
      <c r="G1516" s="1" t="s">
        <v>6029</v>
      </c>
      <c r="H1516" s="1"/>
      <c r="I1516" s="1"/>
      <c r="J1516" s="1"/>
      <c r="K1516" s="1"/>
      <c r="L1516" s="1"/>
      <c r="M1516" s="1" t="s">
        <v>6030</v>
      </c>
      <c r="N1516" s="1" t="s">
        <v>128</v>
      </c>
      <c r="O1516" s="1" t="s">
        <v>1079</v>
      </c>
      <c r="P1516" s="1"/>
      <c r="Q1516" s="3">
        <v>36892.0</v>
      </c>
      <c r="R1516" s="1"/>
      <c r="S1516" s="1"/>
      <c r="T1516" s="1" t="s">
        <v>37</v>
      </c>
      <c r="U1516" s="1"/>
      <c r="V1516" s="1" t="s">
        <v>38</v>
      </c>
      <c r="W1516" s="1"/>
      <c r="X1516" s="1"/>
      <c r="Y1516" s="1" t="s">
        <v>49</v>
      </c>
      <c r="Z1516" s="1"/>
      <c r="AA1516" s="1" t="s">
        <v>40</v>
      </c>
      <c r="AB1516" s="1" t="s">
        <v>1080</v>
      </c>
      <c r="AC1516" s="1"/>
    </row>
    <row r="1517">
      <c r="A1517" s="1" t="str">
        <f>"00072W"</f>
        <v>00072W</v>
      </c>
      <c r="B1517" s="1" t="s">
        <v>6031</v>
      </c>
      <c r="C1517" s="1" t="s">
        <v>6032</v>
      </c>
      <c r="D1517" s="1"/>
      <c r="E1517" s="1">
        <v>186.0</v>
      </c>
      <c r="F1517" s="1" t="s">
        <v>44</v>
      </c>
      <c r="G1517" s="1" t="s">
        <v>6033</v>
      </c>
      <c r="H1517" s="1"/>
      <c r="I1517" s="1"/>
      <c r="J1517" s="1"/>
      <c r="K1517" s="1"/>
      <c r="L1517" s="1"/>
      <c r="M1517" s="1" t="s">
        <v>72</v>
      </c>
      <c r="N1517" s="1" t="s">
        <v>78</v>
      </c>
      <c r="O1517" s="1" t="s">
        <v>2872</v>
      </c>
      <c r="P1517" s="1"/>
      <c r="Q1517" s="3">
        <v>36892.0</v>
      </c>
      <c r="R1517" s="1"/>
      <c r="S1517" s="1"/>
      <c r="T1517" s="1" t="s">
        <v>37</v>
      </c>
      <c r="U1517" s="1"/>
      <c r="V1517" s="1" t="s">
        <v>38</v>
      </c>
      <c r="W1517" s="1"/>
      <c r="X1517" s="1"/>
      <c r="Y1517" s="1" t="s">
        <v>49</v>
      </c>
      <c r="Z1517" s="1"/>
      <c r="AA1517" s="1" t="s">
        <v>40</v>
      </c>
      <c r="AB1517" s="1" t="s">
        <v>2875</v>
      </c>
      <c r="AC1517" s="1"/>
    </row>
    <row r="1518">
      <c r="A1518" s="1" t="str">
        <f>"00072V"</f>
        <v>00072V</v>
      </c>
      <c r="B1518" s="1" t="s">
        <v>6034</v>
      </c>
      <c r="C1518" s="1" t="s">
        <v>6035</v>
      </c>
      <c r="D1518" s="1" t="str">
        <f>"8024223543"</f>
        <v>8024223543</v>
      </c>
      <c r="E1518" s="1">
        <v>3293.0</v>
      </c>
      <c r="F1518" s="1" t="s">
        <v>44</v>
      </c>
      <c r="G1518" s="1" t="s">
        <v>6036</v>
      </c>
      <c r="H1518" s="1">
        <v>2.0</v>
      </c>
      <c r="I1518" s="1"/>
      <c r="J1518" s="1"/>
      <c r="K1518" s="1"/>
      <c r="L1518" s="1"/>
      <c r="M1518" s="1" t="s">
        <v>72</v>
      </c>
      <c r="N1518" s="1" t="s">
        <v>78</v>
      </c>
      <c r="O1518" s="1" t="s">
        <v>238</v>
      </c>
      <c r="P1518" s="1"/>
      <c r="Q1518" s="3">
        <v>36892.0</v>
      </c>
      <c r="R1518" s="1"/>
      <c r="S1518" s="3">
        <v>37812.0</v>
      </c>
      <c r="T1518" s="1" t="s">
        <v>37</v>
      </c>
      <c r="U1518" s="1"/>
      <c r="V1518" s="1" t="s">
        <v>38</v>
      </c>
      <c r="W1518" s="1"/>
      <c r="X1518" s="1"/>
      <c r="Y1518" s="1" t="s">
        <v>49</v>
      </c>
      <c r="Z1518" s="1"/>
      <c r="AA1518" s="1" t="s">
        <v>40</v>
      </c>
      <c r="AB1518" s="1" t="s">
        <v>5691</v>
      </c>
      <c r="AC1518" s="1"/>
    </row>
    <row r="1519">
      <c r="A1519" s="1" t="str">
        <f>"00072Y"</f>
        <v>00072Y</v>
      </c>
      <c r="B1519" s="1" t="s">
        <v>6037</v>
      </c>
      <c r="C1519" s="1" t="s">
        <v>6038</v>
      </c>
      <c r="D1519" s="1" t="str">
        <f>"8025332156"</f>
        <v>8025332156</v>
      </c>
      <c r="E1519" s="1">
        <v>3093.0</v>
      </c>
      <c r="F1519" s="1" t="s">
        <v>44</v>
      </c>
      <c r="G1519" s="1" t="s">
        <v>6039</v>
      </c>
      <c r="H1519" s="1">
        <v>2.0</v>
      </c>
      <c r="I1519" s="1"/>
      <c r="J1519" s="1"/>
      <c r="K1519" s="1"/>
      <c r="L1519" s="1"/>
      <c r="M1519" s="1" t="s">
        <v>6040</v>
      </c>
      <c r="N1519" s="1" t="s">
        <v>128</v>
      </c>
      <c r="O1519" s="1" t="s">
        <v>1433</v>
      </c>
      <c r="P1519" s="1"/>
      <c r="Q1519" s="3">
        <v>36892.0</v>
      </c>
      <c r="R1519" s="1"/>
      <c r="S1519" s="3">
        <v>36404.0</v>
      </c>
      <c r="T1519" s="1" t="s">
        <v>37</v>
      </c>
      <c r="U1519" s="1"/>
      <c r="V1519" s="1" t="s">
        <v>38</v>
      </c>
      <c r="W1519" s="1"/>
      <c r="X1519" s="1"/>
      <c r="Y1519" s="1" t="s">
        <v>49</v>
      </c>
      <c r="Z1519" s="1"/>
      <c r="AA1519" s="1" t="s">
        <v>40</v>
      </c>
      <c r="AB1519" s="1" t="s">
        <v>1434</v>
      </c>
      <c r="AC1519" s="1"/>
    </row>
    <row r="1520">
      <c r="A1520" s="1" t="str">
        <f>"0007K0"</f>
        <v>0007K0</v>
      </c>
      <c r="B1520" s="1" t="s">
        <v>2767</v>
      </c>
      <c r="C1520" s="1" t="s">
        <v>2768</v>
      </c>
      <c r="D1520" s="1" t="str">
        <f>"8023887724"</f>
        <v>8023887724</v>
      </c>
      <c r="E1520" s="1">
        <v>851.0</v>
      </c>
      <c r="F1520" s="1" t="s">
        <v>117</v>
      </c>
      <c r="G1520" s="1" t="s">
        <v>6041</v>
      </c>
      <c r="H1520" s="1">
        <v>22.0</v>
      </c>
      <c r="I1520" s="2" t="s">
        <v>119</v>
      </c>
      <c r="J1520" s="2" t="s">
        <v>119</v>
      </c>
      <c r="K1520" s="2" t="s">
        <v>119</v>
      </c>
      <c r="L1520" s="1"/>
      <c r="M1520" s="1" t="s">
        <v>6042</v>
      </c>
      <c r="N1520" s="1" t="s">
        <v>57</v>
      </c>
      <c r="O1520" s="1" t="s">
        <v>1633</v>
      </c>
      <c r="P1520" s="1" t="s">
        <v>6043</v>
      </c>
      <c r="Q1520" s="3">
        <v>36892.0</v>
      </c>
      <c r="R1520" s="1"/>
      <c r="S1520" s="3">
        <v>38922.0</v>
      </c>
      <c r="T1520" s="1" t="s">
        <v>37</v>
      </c>
      <c r="U1520" s="1"/>
      <c r="V1520" s="1" t="s">
        <v>38</v>
      </c>
      <c r="W1520" s="1">
        <v>44.29491</v>
      </c>
      <c r="X1520" s="1">
        <v>-73.2599999999999</v>
      </c>
      <c r="Y1520" s="1" t="s">
        <v>6044</v>
      </c>
      <c r="Z1520" s="1"/>
      <c r="AA1520" s="1" t="s">
        <v>40</v>
      </c>
      <c r="AB1520" s="1" t="s">
        <v>1634</v>
      </c>
      <c r="AC1520" s="1">
        <v>5445.0</v>
      </c>
    </row>
    <row r="1521">
      <c r="A1521" s="1" t="str">
        <f>"00072P"</f>
        <v>00072P</v>
      </c>
      <c r="B1521" s="1" t="s">
        <v>6045</v>
      </c>
      <c r="C1521" s="1" t="s">
        <v>6046</v>
      </c>
      <c r="D1521" s="1" t="str">
        <f>"8024534433"</f>
        <v>8024534433</v>
      </c>
      <c r="E1521" s="1">
        <v>2977.0</v>
      </c>
      <c r="F1521" s="1" t="s">
        <v>44</v>
      </c>
      <c r="G1521" s="1" t="s">
        <v>6047</v>
      </c>
      <c r="H1521" s="1">
        <v>1.0</v>
      </c>
      <c r="I1521" s="1"/>
      <c r="J1521" s="1"/>
      <c r="K1521" s="1"/>
      <c r="L1521" s="1"/>
      <c r="M1521" s="1" t="s">
        <v>72</v>
      </c>
      <c r="N1521" s="1" t="s">
        <v>161</v>
      </c>
      <c r="O1521" s="1" t="s">
        <v>185</v>
      </c>
      <c r="P1521" s="1"/>
      <c r="Q1521" s="3">
        <v>36892.0</v>
      </c>
      <c r="R1521" s="1"/>
      <c r="S1521" s="3">
        <v>35460.0</v>
      </c>
      <c r="T1521" s="1" t="s">
        <v>37</v>
      </c>
      <c r="U1521" s="1"/>
      <c r="V1521" s="1" t="s">
        <v>38</v>
      </c>
      <c r="W1521" s="1"/>
      <c r="X1521" s="1"/>
      <c r="Y1521" s="1" t="s">
        <v>49</v>
      </c>
      <c r="Z1521" s="1"/>
      <c r="AA1521" s="1" t="s">
        <v>40</v>
      </c>
      <c r="AB1521" s="1" t="s">
        <v>186</v>
      </c>
      <c r="AC1521" s="1"/>
    </row>
    <row r="1522">
      <c r="A1522" s="1" t="str">
        <f>"0007XH"</f>
        <v>0007XH</v>
      </c>
      <c r="B1522" s="1" t="s">
        <v>6048</v>
      </c>
      <c r="C1522" s="1" t="s">
        <v>6049</v>
      </c>
      <c r="D1522" s="1" t="str">
        <f>"8029882945"</f>
        <v>8029882945</v>
      </c>
      <c r="E1522" s="1">
        <v>2879.0</v>
      </c>
      <c r="F1522" s="1" t="s">
        <v>44</v>
      </c>
      <c r="G1522" s="1" t="s">
        <v>6050</v>
      </c>
      <c r="H1522" s="1"/>
      <c r="I1522" s="1"/>
      <c r="J1522" s="1"/>
      <c r="K1522" s="1"/>
      <c r="L1522" s="1"/>
      <c r="M1522" s="1" t="s">
        <v>72</v>
      </c>
      <c r="N1522" s="1" t="s">
        <v>94</v>
      </c>
      <c r="O1522" s="1" t="s">
        <v>489</v>
      </c>
      <c r="P1522" s="1"/>
      <c r="Q1522" s="3">
        <v>36892.0</v>
      </c>
      <c r="R1522" s="1"/>
      <c r="S1522" s="1"/>
      <c r="T1522" s="1" t="s">
        <v>37</v>
      </c>
      <c r="U1522" s="1"/>
      <c r="V1522" s="1" t="s">
        <v>38</v>
      </c>
      <c r="W1522" s="1"/>
      <c r="X1522" s="1"/>
      <c r="Y1522" s="1" t="s">
        <v>49</v>
      </c>
      <c r="Z1522" s="1"/>
      <c r="AA1522" s="1" t="s">
        <v>40</v>
      </c>
      <c r="AB1522" s="1" t="s">
        <v>490</v>
      </c>
      <c r="AC1522" s="1"/>
    </row>
    <row r="1523">
      <c r="A1523" s="1" t="str">
        <f>"000779"</f>
        <v>000779</v>
      </c>
      <c r="B1523" s="1" t="s">
        <v>6051</v>
      </c>
      <c r="C1523" s="1" t="s">
        <v>6052</v>
      </c>
      <c r="D1523" s="1" t="str">
        <f>"8024623517"</f>
        <v>8024623517</v>
      </c>
      <c r="E1523" s="1">
        <v>3682.0</v>
      </c>
      <c r="F1523" s="1" t="s">
        <v>117</v>
      </c>
      <c r="G1523" s="1" t="s">
        <v>6053</v>
      </c>
      <c r="H1523" s="1">
        <v>0.0</v>
      </c>
      <c r="I1523" s="2">
        <v>3.0</v>
      </c>
      <c r="J1523" s="2" t="s">
        <v>119</v>
      </c>
      <c r="K1523" s="2" t="s">
        <v>119</v>
      </c>
      <c r="L1523" s="1"/>
      <c r="M1523" s="1" t="s">
        <v>6054</v>
      </c>
      <c r="N1523" s="1" t="s">
        <v>161</v>
      </c>
      <c r="O1523" s="1" t="s">
        <v>162</v>
      </c>
      <c r="P1523" s="1" t="s">
        <v>6055</v>
      </c>
      <c r="Q1523" s="3">
        <v>36892.0</v>
      </c>
      <c r="R1523" s="1"/>
      <c r="S1523" s="1"/>
      <c r="T1523" s="1" t="s">
        <v>37</v>
      </c>
      <c r="U1523" s="1"/>
      <c r="V1523" s="1" t="s">
        <v>38</v>
      </c>
      <c r="W1523" s="1">
        <v>43.9537349999999</v>
      </c>
      <c r="X1523" s="1">
        <v>-73.2505259</v>
      </c>
      <c r="Y1523" s="1" t="s">
        <v>6056</v>
      </c>
      <c r="Z1523" s="1"/>
      <c r="AA1523" s="1" t="s">
        <v>40</v>
      </c>
      <c r="AB1523" s="1" t="s">
        <v>166</v>
      </c>
      <c r="AC1523" s="1">
        <v>5753.0</v>
      </c>
    </row>
    <row r="1524">
      <c r="A1524" s="1" t="str">
        <f>"0007WA"</f>
        <v>0007WA</v>
      </c>
      <c r="B1524" s="1" t="s">
        <v>157</v>
      </c>
      <c r="C1524" s="1" t="s">
        <v>158</v>
      </c>
      <c r="D1524" s="1" t="str">
        <f>"8029482057"</f>
        <v>8029482057</v>
      </c>
      <c r="E1524" s="1">
        <v>1217.0</v>
      </c>
      <c r="F1524" s="1" t="s">
        <v>31</v>
      </c>
      <c r="G1524" s="1" t="s">
        <v>6057</v>
      </c>
      <c r="H1524" s="1">
        <v>46.0</v>
      </c>
      <c r="I1524" s="1"/>
      <c r="J1524" s="1"/>
      <c r="K1524" s="1"/>
      <c r="L1524" s="1"/>
      <c r="M1524" s="1" t="s">
        <v>6058</v>
      </c>
      <c r="N1524" s="1" t="s">
        <v>78</v>
      </c>
      <c r="O1524" s="1" t="s">
        <v>6059</v>
      </c>
      <c r="P1524" s="1" t="s">
        <v>6060</v>
      </c>
      <c r="Q1524" s="3">
        <v>36892.0</v>
      </c>
      <c r="R1524" s="1"/>
      <c r="S1524" s="3">
        <v>41914.0</v>
      </c>
      <c r="T1524" s="1" t="s">
        <v>164</v>
      </c>
      <c r="U1524" s="1"/>
      <c r="V1524" s="1" t="s">
        <v>38</v>
      </c>
      <c r="W1524" s="1">
        <v>43.833611</v>
      </c>
      <c r="X1524" s="1">
        <v>-73.199722</v>
      </c>
      <c r="Y1524" s="1" t="s">
        <v>6061</v>
      </c>
      <c r="Z1524" s="1"/>
      <c r="AA1524" s="1" t="s">
        <v>40</v>
      </c>
      <c r="AB1524" s="1" t="s">
        <v>6062</v>
      </c>
      <c r="AC1524" s="1">
        <v>5733.0</v>
      </c>
    </row>
    <row r="1525">
      <c r="A1525" s="1" t="str">
        <f>"00072J"</f>
        <v>00072J</v>
      </c>
      <c r="B1525" s="1" t="s">
        <v>6063</v>
      </c>
      <c r="C1525" s="1" t="s">
        <v>6064</v>
      </c>
      <c r="D1525" s="1" t="str">
        <f>"8027483887"</f>
        <v>8027483887</v>
      </c>
      <c r="E1525" s="1">
        <v>3623.0</v>
      </c>
      <c r="F1525" s="1" t="s">
        <v>44</v>
      </c>
      <c r="G1525" s="1" t="s">
        <v>6065</v>
      </c>
      <c r="H1525" s="1">
        <v>0.0</v>
      </c>
      <c r="I1525" s="1"/>
      <c r="J1525" s="1"/>
      <c r="K1525" s="1"/>
      <c r="L1525" s="1"/>
      <c r="M1525" s="1" t="s">
        <v>72</v>
      </c>
      <c r="N1525" s="1" t="s">
        <v>128</v>
      </c>
      <c r="O1525" s="1" t="s">
        <v>129</v>
      </c>
      <c r="P1525" s="1"/>
      <c r="Q1525" s="3">
        <v>36892.0</v>
      </c>
      <c r="R1525" s="1"/>
      <c r="S1525" s="1"/>
      <c r="T1525" s="1" t="s">
        <v>37</v>
      </c>
      <c r="U1525" s="1"/>
      <c r="V1525" s="1" t="s">
        <v>38</v>
      </c>
      <c r="W1525" s="1">
        <v>44.4082859</v>
      </c>
      <c r="X1525" s="1">
        <v>-72.0852039999999</v>
      </c>
      <c r="Y1525" s="1" t="s">
        <v>6066</v>
      </c>
      <c r="Z1525" s="1"/>
      <c r="AA1525" s="1" t="s">
        <v>40</v>
      </c>
      <c r="AB1525" s="1" t="s">
        <v>130</v>
      </c>
      <c r="AC1525" s="1">
        <v>5828.0</v>
      </c>
    </row>
    <row r="1526">
      <c r="A1526" s="1" t="str">
        <f>"00072H"</f>
        <v>00072H</v>
      </c>
      <c r="B1526" s="1" t="s">
        <v>6067</v>
      </c>
      <c r="C1526" s="1" t="s">
        <v>207</v>
      </c>
      <c r="D1526" s="1" t="str">
        <f>"8022962032"</f>
        <v>8022962032</v>
      </c>
      <c r="E1526" s="1">
        <v>3973.0</v>
      </c>
      <c r="F1526" s="1" t="s">
        <v>44</v>
      </c>
      <c r="G1526" s="1" t="s">
        <v>6068</v>
      </c>
      <c r="H1526" s="1">
        <v>1.0</v>
      </c>
      <c r="I1526" s="2">
        <v>1.0</v>
      </c>
      <c r="J1526" s="2">
        <v>1.0</v>
      </c>
      <c r="K1526" s="2" t="s">
        <v>119</v>
      </c>
      <c r="L1526" s="1"/>
      <c r="M1526" s="1" t="s">
        <v>72</v>
      </c>
      <c r="N1526" s="1" t="s">
        <v>34</v>
      </c>
      <c r="O1526" s="1" t="s">
        <v>85</v>
      </c>
      <c r="P1526" s="1" t="s">
        <v>6069</v>
      </c>
      <c r="Q1526" s="3">
        <v>36892.0</v>
      </c>
      <c r="R1526" s="1"/>
      <c r="S1526" s="1"/>
      <c r="T1526" s="1" t="s">
        <v>37</v>
      </c>
      <c r="U1526" s="1"/>
      <c r="V1526" s="1" t="s">
        <v>38</v>
      </c>
      <c r="W1526" s="1">
        <v>43.6203969</v>
      </c>
      <c r="X1526" s="1">
        <v>-72.40814</v>
      </c>
      <c r="Y1526" s="1" t="s">
        <v>209</v>
      </c>
      <c r="Z1526" s="1"/>
      <c r="AA1526" s="1" t="s">
        <v>40</v>
      </c>
      <c r="AB1526" s="1" t="s">
        <v>86</v>
      </c>
      <c r="AC1526" s="1">
        <v>5048.0</v>
      </c>
    </row>
    <row r="1527">
      <c r="A1527" s="1" t="str">
        <f>"00072G"</f>
        <v>00072G</v>
      </c>
      <c r="B1527" s="1" t="s">
        <v>6070</v>
      </c>
      <c r="C1527" s="1" t="s">
        <v>6071</v>
      </c>
      <c r="D1527" s="1" t="str">
        <f>"8026236328"</f>
        <v>8026236328</v>
      </c>
      <c r="E1527" s="1">
        <v>2955.0</v>
      </c>
      <c r="F1527" s="1" t="s">
        <v>44</v>
      </c>
      <c r="G1527" s="1" t="s">
        <v>6072</v>
      </c>
      <c r="H1527" s="1">
        <v>31.0</v>
      </c>
      <c r="I1527" s="1"/>
      <c r="J1527" s="1"/>
      <c r="K1527" s="1"/>
      <c r="L1527" s="1"/>
      <c r="M1527" s="1" t="s">
        <v>72</v>
      </c>
      <c r="N1527" s="1" t="s">
        <v>78</v>
      </c>
      <c r="O1527" s="1" t="s">
        <v>6059</v>
      </c>
      <c r="P1527" s="1"/>
      <c r="Q1527" s="3">
        <v>36892.0</v>
      </c>
      <c r="R1527" s="1"/>
      <c r="S1527" s="3">
        <v>39660.0</v>
      </c>
      <c r="T1527" s="1" t="s">
        <v>37</v>
      </c>
      <c r="U1527" s="1"/>
      <c r="V1527" s="1" t="s">
        <v>38</v>
      </c>
      <c r="W1527" s="1"/>
      <c r="X1527" s="1"/>
      <c r="Y1527" s="1" t="s">
        <v>49</v>
      </c>
      <c r="Z1527" s="1"/>
      <c r="AA1527" s="1" t="s">
        <v>40</v>
      </c>
      <c r="AB1527" s="1" t="s">
        <v>6062</v>
      </c>
      <c r="AC1527" s="1"/>
    </row>
    <row r="1528">
      <c r="A1528" s="1" t="str">
        <f>"00072F"</f>
        <v>00072F</v>
      </c>
      <c r="B1528" s="1" t="s">
        <v>6073</v>
      </c>
      <c r="C1528" s="1" t="s">
        <v>6074</v>
      </c>
      <c r="D1528" s="1"/>
      <c r="E1528" s="1">
        <v>170.0</v>
      </c>
      <c r="F1528" s="1" t="s">
        <v>44</v>
      </c>
      <c r="G1528" s="1" t="s">
        <v>6075</v>
      </c>
      <c r="H1528" s="1">
        <v>3.0</v>
      </c>
      <c r="I1528" s="1"/>
      <c r="J1528" s="1"/>
      <c r="K1528" s="1"/>
      <c r="L1528" s="1"/>
      <c r="M1528" s="1" t="s">
        <v>72</v>
      </c>
      <c r="N1528" s="1" t="s">
        <v>78</v>
      </c>
      <c r="O1528" s="1" t="s">
        <v>1124</v>
      </c>
      <c r="P1528" s="1"/>
      <c r="Q1528" s="3">
        <v>36892.0</v>
      </c>
      <c r="R1528" s="1"/>
      <c r="S1528" s="3">
        <v>32318.0</v>
      </c>
      <c r="T1528" s="1" t="s">
        <v>37</v>
      </c>
      <c r="U1528" s="1"/>
      <c r="V1528" s="1" t="s">
        <v>38</v>
      </c>
      <c r="W1528" s="1"/>
      <c r="X1528" s="1"/>
      <c r="Y1528" s="1" t="s">
        <v>49</v>
      </c>
      <c r="Z1528" s="1"/>
      <c r="AA1528" s="1" t="s">
        <v>40</v>
      </c>
      <c r="AB1528" s="1" t="s">
        <v>1127</v>
      </c>
      <c r="AC1528" s="1"/>
    </row>
    <row r="1529">
      <c r="A1529" s="1" t="str">
        <f t="shared" ref="A1529:A1530" si="93">"000704"</f>
        <v>000704</v>
      </c>
      <c r="B1529" s="1" t="s">
        <v>6076</v>
      </c>
      <c r="C1529" s="1" t="s">
        <v>6077</v>
      </c>
      <c r="D1529" s="1" t="str">
        <f t="shared" ref="D1529:D1530" si="94">"8027732554"</f>
        <v>8027732554</v>
      </c>
      <c r="E1529" s="1">
        <v>17.0</v>
      </c>
      <c r="F1529" s="1" t="s">
        <v>44</v>
      </c>
      <c r="G1529" s="1" t="s">
        <v>6078</v>
      </c>
      <c r="H1529" s="1">
        <v>2.0</v>
      </c>
      <c r="I1529" s="1"/>
      <c r="J1529" s="1"/>
      <c r="K1529" s="1"/>
      <c r="L1529" s="1"/>
      <c r="M1529" s="1" t="s">
        <v>6079</v>
      </c>
      <c r="N1529" s="1" t="s">
        <v>78</v>
      </c>
      <c r="O1529" s="1" t="s">
        <v>1303</v>
      </c>
      <c r="P1529" s="1"/>
      <c r="Q1529" s="3">
        <v>36892.0</v>
      </c>
      <c r="R1529" s="1"/>
      <c r="S1529" s="3">
        <v>32363.0</v>
      </c>
      <c r="T1529" s="1" t="s">
        <v>37</v>
      </c>
      <c r="U1529" s="1"/>
      <c r="V1529" s="1" t="s">
        <v>38</v>
      </c>
      <c r="W1529" s="1"/>
      <c r="X1529" s="1"/>
      <c r="Y1529" s="1" t="s">
        <v>49</v>
      </c>
      <c r="Z1529" s="1"/>
      <c r="AA1529" s="1" t="s">
        <v>40</v>
      </c>
      <c r="AB1529" s="1" t="s">
        <v>1304</v>
      </c>
      <c r="AC1529" s="1"/>
    </row>
    <row r="1530">
      <c r="A1530" s="1" t="str">
        <f t="shared" si="93"/>
        <v>000704</v>
      </c>
      <c r="B1530" s="1" t="s">
        <v>6076</v>
      </c>
      <c r="C1530" s="1" t="s">
        <v>6077</v>
      </c>
      <c r="D1530" s="1" t="str">
        <f t="shared" si="94"/>
        <v>8027732554</v>
      </c>
      <c r="E1530" s="1">
        <v>17.0</v>
      </c>
      <c r="F1530" s="1" t="s">
        <v>44</v>
      </c>
      <c r="G1530" s="1" t="s">
        <v>6080</v>
      </c>
      <c r="H1530" s="1">
        <v>4.0</v>
      </c>
      <c r="I1530" s="1"/>
      <c r="J1530" s="1"/>
      <c r="K1530" s="1"/>
      <c r="L1530" s="1"/>
      <c r="M1530" s="1" t="s">
        <v>6081</v>
      </c>
      <c r="N1530" s="1" t="s">
        <v>78</v>
      </c>
      <c r="O1530" s="1" t="s">
        <v>452</v>
      </c>
      <c r="P1530" s="1"/>
      <c r="Q1530" s="3">
        <v>36892.0</v>
      </c>
      <c r="R1530" s="1"/>
      <c r="S1530" s="3">
        <v>39337.0</v>
      </c>
      <c r="T1530" s="1" t="s">
        <v>37</v>
      </c>
      <c r="U1530" s="1"/>
      <c r="V1530" s="1" t="s">
        <v>38</v>
      </c>
      <c r="W1530" s="1"/>
      <c r="X1530" s="1"/>
      <c r="Y1530" s="1" t="s">
        <v>49</v>
      </c>
      <c r="Z1530" s="1"/>
      <c r="AA1530" s="1" t="s">
        <v>40</v>
      </c>
      <c r="AB1530" s="1" t="s">
        <v>452</v>
      </c>
      <c r="AC1530" s="1"/>
    </row>
    <row r="1531">
      <c r="A1531" s="1" t="str">
        <f>"00070D"</f>
        <v>00070D</v>
      </c>
      <c r="B1531" s="1" t="s">
        <v>527</v>
      </c>
      <c r="C1531" s="1" t="s">
        <v>528</v>
      </c>
      <c r="D1531" s="1" t="str">
        <f>"8024923458"</f>
        <v>8024923458</v>
      </c>
      <c r="E1531" s="1">
        <v>41.0</v>
      </c>
      <c r="F1531" s="1" t="s">
        <v>31</v>
      </c>
      <c r="G1531" s="1" t="s">
        <v>6082</v>
      </c>
      <c r="H1531" s="1">
        <v>23.0</v>
      </c>
      <c r="I1531" s="1"/>
      <c r="J1531" s="1"/>
      <c r="K1531" s="1"/>
      <c r="L1531" s="1"/>
      <c r="M1531" s="1" t="s">
        <v>6083</v>
      </c>
      <c r="N1531" s="1" t="s">
        <v>161</v>
      </c>
      <c r="O1531" s="1" t="s">
        <v>1053</v>
      </c>
      <c r="P1531" s="1"/>
      <c r="Q1531" s="3">
        <v>36892.0</v>
      </c>
      <c r="R1531" s="1"/>
      <c r="S1531" s="3">
        <v>42208.0</v>
      </c>
      <c r="T1531" s="1" t="s">
        <v>37</v>
      </c>
      <c r="U1531" s="1"/>
      <c r="V1531" s="1" t="s">
        <v>38</v>
      </c>
      <c r="W1531" s="1">
        <v>43.9145</v>
      </c>
      <c r="X1531" s="1">
        <v>-73.33632</v>
      </c>
      <c r="Y1531" s="1" t="s">
        <v>6084</v>
      </c>
      <c r="Z1531" s="1"/>
      <c r="AA1531" s="1" t="s">
        <v>40</v>
      </c>
      <c r="AB1531" s="1" t="s">
        <v>1054</v>
      </c>
      <c r="AC1531" s="1">
        <v>5770.0</v>
      </c>
    </row>
    <row r="1532">
      <c r="A1532" s="1" t="str">
        <f>"00070N"</f>
        <v>00070N</v>
      </c>
      <c r="B1532" s="1" t="s">
        <v>6085</v>
      </c>
      <c r="C1532" s="1" t="s">
        <v>6086</v>
      </c>
      <c r="D1532" s="1" t="str">
        <f>"8024965160"</f>
        <v>8024965160</v>
      </c>
      <c r="E1532" s="1">
        <v>3109.0</v>
      </c>
      <c r="F1532" s="1" t="s">
        <v>44</v>
      </c>
      <c r="G1532" s="1" t="s">
        <v>6087</v>
      </c>
      <c r="H1532" s="1">
        <v>1.0</v>
      </c>
      <c r="I1532" s="1"/>
      <c r="J1532" s="1"/>
      <c r="K1532" s="1"/>
      <c r="L1532" s="1"/>
      <c r="M1532" s="1" t="s">
        <v>72</v>
      </c>
      <c r="N1532" s="1" t="s">
        <v>135</v>
      </c>
      <c r="O1532" s="1" t="s">
        <v>2384</v>
      </c>
      <c r="P1532" s="1"/>
      <c r="Q1532" s="3">
        <v>36892.0</v>
      </c>
      <c r="R1532" s="1"/>
      <c r="S1532" s="3">
        <v>38567.0</v>
      </c>
      <c r="T1532" s="1" t="s">
        <v>37</v>
      </c>
      <c r="U1532" s="1"/>
      <c r="V1532" s="1" t="s">
        <v>38</v>
      </c>
      <c r="W1532" s="1"/>
      <c r="X1532" s="1"/>
      <c r="Y1532" s="1" t="s">
        <v>49</v>
      </c>
      <c r="Z1532" s="1"/>
      <c r="AA1532" s="1" t="s">
        <v>40</v>
      </c>
      <c r="AB1532" s="1" t="s">
        <v>2386</v>
      </c>
      <c r="AC1532" s="1"/>
    </row>
    <row r="1533">
      <c r="A1533" s="1" t="str">
        <f>"00072C"</f>
        <v>00072C</v>
      </c>
      <c r="B1533" s="1" t="s">
        <v>6088</v>
      </c>
      <c r="C1533" s="1" t="s">
        <v>6089</v>
      </c>
      <c r="D1533" s="1" t="str">
        <f>"8024462544"</f>
        <v>8024462544</v>
      </c>
      <c r="E1533" s="1">
        <v>164.0</v>
      </c>
      <c r="F1533" s="1" t="s">
        <v>44</v>
      </c>
      <c r="G1533" s="1" t="s">
        <v>6090</v>
      </c>
      <c r="H1533" s="1"/>
      <c r="I1533" s="1"/>
      <c r="J1533" s="1"/>
      <c r="K1533" s="1"/>
      <c r="L1533" s="1"/>
      <c r="M1533" s="1" t="s">
        <v>6091</v>
      </c>
      <c r="N1533" s="1" t="s">
        <v>78</v>
      </c>
      <c r="O1533" s="1" t="s">
        <v>251</v>
      </c>
      <c r="P1533" s="1"/>
      <c r="Q1533" s="3">
        <v>36892.0</v>
      </c>
      <c r="R1533" s="1"/>
      <c r="S1533" s="1"/>
      <c r="T1533" s="1" t="s">
        <v>37</v>
      </c>
      <c r="U1533" s="1"/>
      <c r="V1533" s="1" t="s">
        <v>38</v>
      </c>
      <c r="W1533" s="1"/>
      <c r="X1533" s="1"/>
      <c r="Y1533" s="1" t="s">
        <v>49</v>
      </c>
      <c r="Z1533" s="1"/>
      <c r="AA1533" s="1" t="s">
        <v>40</v>
      </c>
      <c r="AB1533" s="1" t="s">
        <v>252</v>
      </c>
      <c r="AC1533" s="1"/>
    </row>
    <row r="1534">
      <c r="A1534" s="1" t="str">
        <f>"00072B"</f>
        <v>00072B</v>
      </c>
      <c r="B1534" s="1" t="s">
        <v>6092</v>
      </c>
      <c r="C1534" s="1" t="s">
        <v>6093</v>
      </c>
      <c r="D1534" s="1"/>
      <c r="E1534" s="1">
        <v>162.0</v>
      </c>
      <c r="F1534" s="1" t="s">
        <v>44</v>
      </c>
      <c r="G1534" s="1" t="s">
        <v>6094</v>
      </c>
      <c r="H1534" s="1"/>
      <c r="I1534" s="1"/>
      <c r="J1534" s="1"/>
      <c r="K1534" s="1"/>
      <c r="L1534" s="1"/>
      <c r="M1534" s="1" t="s">
        <v>6095</v>
      </c>
      <c r="N1534" s="1" t="s">
        <v>78</v>
      </c>
      <c r="O1534" s="1" t="s">
        <v>702</v>
      </c>
      <c r="P1534" s="1"/>
      <c r="Q1534" s="3">
        <v>36892.0</v>
      </c>
      <c r="R1534" s="1"/>
      <c r="S1534" s="1"/>
      <c r="T1534" s="1" t="s">
        <v>37</v>
      </c>
      <c r="U1534" s="1"/>
      <c r="V1534" s="1" t="s">
        <v>38</v>
      </c>
      <c r="W1534" s="1"/>
      <c r="X1534" s="1"/>
      <c r="Y1534" s="1" t="s">
        <v>49</v>
      </c>
      <c r="Z1534" s="1"/>
      <c r="AA1534" s="1" t="s">
        <v>40</v>
      </c>
      <c r="AB1534" s="1" t="s">
        <v>702</v>
      </c>
      <c r="AC1534" s="1"/>
    </row>
    <row r="1535">
      <c r="A1535" s="1" t="str">
        <f>"00072A"</f>
        <v>00072A</v>
      </c>
      <c r="B1535" s="1" t="s">
        <v>6096</v>
      </c>
      <c r="C1535" s="1" t="s">
        <v>6097</v>
      </c>
      <c r="D1535" s="1" t="str">
        <f>"8023728363"</f>
        <v>8023728363</v>
      </c>
      <c r="E1535" s="1">
        <v>2837.0</v>
      </c>
      <c r="F1535" s="1" t="s">
        <v>44</v>
      </c>
      <c r="G1535" s="1" t="s">
        <v>6098</v>
      </c>
      <c r="H1535" s="1">
        <v>2.0</v>
      </c>
      <c r="I1535" s="1"/>
      <c r="J1535" s="1"/>
      <c r="K1535" s="1"/>
      <c r="L1535" s="1"/>
      <c r="M1535" s="1" t="s">
        <v>72</v>
      </c>
      <c r="N1535" s="1" t="s">
        <v>107</v>
      </c>
      <c r="O1535" s="1" t="s">
        <v>108</v>
      </c>
      <c r="P1535" s="1"/>
      <c r="Q1535" s="3">
        <v>36892.0</v>
      </c>
      <c r="R1535" s="1"/>
      <c r="S1535" s="3">
        <v>34869.0</v>
      </c>
      <c r="T1535" s="1" t="s">
        <v>37</v>
      </c>
      <c r="U1535" s="1"/>
      <c r="V1535" s="1" t="s">
        <v>38</v>
      </c>
      <c r="W1535" s="1"/>
      <c r="X1535" s="1"/>
      <c r="Y1535" s="1" t="s">
        <v>49</v>
      </c>
      <c r="Z1535" s="1"/>
      <c r="AA1535" s="1" t="s">
        <v>40</v>
      </c>
      <c r="AB1535" s="1" t="s">
        <v>107</v>
      </c>
      <c r="AC1535" s="1"/>
    </row>
    <row r="1536">
      <c r="A1536" s="1" t="str">
        <f>"000729"</f>
        <v>000729</v>
      </c>
      <c r="B1536" s="1" t="s">
        <v>6099</v>
      </c>
      <c r="C1536" s="1" t="s">
        <v>6100</v>
      </c>
      <c r="D1536" s="1"/>
      <c r="E1536" s="1">
        <v>157.0</v>
      </c>
      <c r="F1536" s="1" t="s">
        <v>44</v>
      </c>
      <c r="G1536" s="1" t="s">
        <v>6101</v>
      </c>
      <c r="H1536" s="1">
        <v>1.0</v>
      </c>
      <c r="I1536" s="1"/>
      <c r="J1536" s="1"/>
      <c r="K1536" s="1"/>
      <c r="L1536" s="1"/>
      <c r="M1536" s="1" t="s">
        <v>72</v>
      </c>
      <c r="N1536" s="1" t="s">
        <v>78</v>
      </c>
      <c r="O1536" s="1" t="s">
        <v>702</v>
      </c>
      <c r="P1536" s="1"/>
      <c r="Q1536" s="3">
        <v>36892.0</v>
      </c>
      <c r="R1536" s="1"/>
      <c r="S1536" s="3">
        <v>32321.0</v>
      </c>
      <c r="T1536" s="1" t="s">
        <v>37</v>
      </c>
      <c r="U1536" s="1"/>
      <c r="V1536" s="1" t="s">
        <v>38</v>
      </c>
      <c r="W1536" s="1"/>
      <c r="X1536" s="1"/>
      <c r="Y1536" s="1" t="s">
        <v>49</v>
      </c>
      <c r="Z1536" s="1"/>
      <c r="AA1536" s="1" t="s">
        <v>40</v>
      </c>
      <c r="AB1536" s="1" t="s">
        <v>702</v>
      </c>
      <c r="AC1536" s="1"/>
    </row>
    <row r="1537">
      <c r="A1537" s="1" t="str">
        <f>"000728"</f>
        <v>000728</v>
      </c>
      <c r="B1537" s="1" t="s">
        <v>6102</v>
      </c>
      <c r="C1537" s="1" t="s">
        <v>6103</v>
      </c>
      <c r="D1537" s="1" t="str">
        <f>"8027753361"</f>
        <v>8027753361</v>
      </c>
      <c r="E1537" s="1">
        <v>156.0</v>
      </c>
      <c r="F1537" s="1" t="s">
        <v>44</v>
      </c>
      <c r="G1537" s="1" t="s">
        <v>6104</v>
      </c>
      <c r="H1537" s="1">
        <v>4.0</v>
      </c>
      <c r="I1537" s="1"/>
      <c r="J1537" s="1"/>
      <c r="K1537" s="1"/>
      <c r="L1537" s="1"/>
      <c r="M1537" s="1" t="s">
        <v>6105</v>
      </c>
      <c r="N1537" s="1" t="s">
        <v>78</v>
      </c>
      <c r="O1537" s="1" t="s">
        <v>702</v>
      </c>
      <c r="P1537" s="1"/>
      <c r="Q1537" s="3">
        <v>36892.0</v>
      </c>
      <c r="R1537" s="1"/>
      <c r="S1537" s="3">
        <v>37817.0</v>
      </c>
      <c r="T1537" s="1" t="s">
        <v>37</v>
      </c>
      <c r="U1537" s="1"/>
      <c r="V1537" s="1" t="s">
        <v>38</v>
      </c>
      <c r="W1537" s="1"/>
      <c r="X1537" s="1"/>
      <c r="Y1537" s="1" t="s">
        <v>49</v>
      </c>
      <c r="Z1537" s="1"/>
      <c r="AA1537" s="1" t="s">
        <v>40</v>
      </c>
      <c r="AB1537" s="1" t="s">
        <v>702</v>
      </c>
      <c r="AC1537" s="1"/>
    </row>
    <row r="1538">
      <c r="A1538" s="1" t="str">
        <f>"000727"</f>
        <v>000727</v>
      </c>
      <c r="B1538" s="1" t="s">
        <v>6106</v>
      </c>
      <c r="C1538" s="1" t="s">
        <v>6107</v>
      </c>
      <c r="D1538" s="1"/>
      <c r="E1538" s="1">
        <v>151.0</v>
      </c>
      <c r="F1538" s="1" t="s">
        <v>44</v>
      </c>
      <c r="G1538" s="1" t="s">
        <v>6108</v>
      </c>
      <c r="H1538" s="1"/>
      <c r="I1538" s="1"/>
      <c r="J1538" s="1"/>
      <c r="K1538" s="1"/>
      <c r="L1538" s="1"/>
      <c r="M1538" s="1" t="s">
        <v>6109</v>
      </c>
      <c r="N1538" s="1" t="s">
        <v>78</v>
      </c>
      <c r="O1538" s="1" t="s">
        <v>702</v>
      </c>
      <c r="P1538" s="1"/>
      <c r="Q1538" s="3">
        <v>36892.0</v>
      </c>
      <c r="R1538" s="1"/>
      <c r="S1538" s="1"/>
      <c r="T1538" s="1" t="s">
        <v>37</v>
      </c>
      <c r="U1538" s="1"/>
      <c r="V1538" s="1" t="s">
        <v>38</v>
      </c>
      <c r="W1538" s="1"/>
      <c r="X1538" s="1"/>
      <c r="Y1538" s="1" t="s">
        <v>49</v>
      </c>
      <c r="Z1538" s="1"/>
      <c r="AA1538" s="1" t="s">
        <v>40</v>
      </c>
      <c r="AB1538" s="1" t="s">
        <v>702</v>
      </c>
      <c r="AC1538" s="1"/>
    </row>
    <row r="1539">
      <c r="A1539" s="1" t="str">
        <f>"00070B"</f>
        <v>00070B</v>
      </c>
      <c r="B1539" s="1" t="s">
        <v>6110</v>
      </c>
      <c r="C1539" s="1" t="s">
        <v>6111</v>
      </c>
      <c r="D1539" s="1" t="str">
        <f>"8027754734"</f>
        <v>8027754734</v>
      </c>
      <c r="E1539" s="1">
        <v>32.0</v>
      </c>
      <c r="F1539" s="1" t="s">
        <v>44</v>
      </c>
      <c r="G1539" s="1" t="s">
        <v>6112</v>
      </c>
      <c r="H1539" s="1">
        <v>3.0</v>
      </c>
      <c r="I1539" s="1"/>
      <c r="J1539" s="1"/>
      <c r="K1539" s="1"/>
      <c r="L1539" s="1"/>
      <c r="M1539" s="1" t="s">
        <v>72</v>
      </c>
      <c r="N1539" s="1" t="s">
        <v>78</v>
      </c>
      <c r="O1539" s="1" t="s">
        <v>702</v>
      </c>
      <c r="P1539" s="1"/>
      <c r="Q1539" s="3">
        <v>36892.0</v>
      </c>
      <c r="R1539" s="1"/>
      <c r="S1539" s="3">
        <v>32321.0</v>
      </c>
      <c r="T1539" s="1" t="s">
        <v>37</v>
      </c>
      <c r="U1539" s="1"/>
      <c r="V1539" s="1" t="s">
        <v>38</v>
      </c>
      <c r="W1539" s="1"/>
      <c r="X1539" s="1"/>
      <c r="Y1539" s="1" t="s">
        <v>49</v>
      </c>
      <c r="Z1539" s="1"/>
      <c r="AA1539" s="1" t="s">
        <v>40</v>
      </c>
      <c r="AB1539" s="1" t="s">
        <v>702</v>
      </c>
      <c r="AC1539" s="1"/>
    </row>
    <row r="1540">
      <c r="A1540" s="1" t="str">
        <f>"000726"</f>
        <v>000726</v>
      </c>
      <c r="B1540" s="1" t="s">
        <v>6113</v>
      </c>
      <c r="C1540" s="1" t="s">
        <v>6114</v>
      </c>
      <c r="D1540" s="1"/>
      <c r="E1540" s="1">
        <v>150.0</v>
      </c>
      <c r="F1540" s="1" t="s">
        <v>44</v>
      </c>
      <c r="G1540" s="1" t="s">
        <v>6115</v>
      </c>
      <c r="H1540" s="1"/>
      <c r="I1540" s="1"/>
      <c r="J1540" s="1"/>
      <c r="K1540" s="1"/>
      <c r="L1540" s="1"/>
      <c r="M1540" s="1" t="s">
        <v>72</v>
      </c>
      <c r="N1540" s="1" t="s">
        <v>78</v>
      </c>
      <c r="O1540" s="1" t="s">
        <v>452</v>
      </c>
      <c r="P1540" s="1"/>
      <c r="Q1540" s="3">
        <v>36892.0</v>
      </c>
      <c r="R1540" s="1"/>
      <c r="S1540" s="1"/>
      <c r="T1540" s="1" t="s">
        <v>37</v>
      </c>
      <c r="U1540" s="1"/>
      <c r="V1540" s="1" t="s">
        <v>38</v>
      </c>
      <c r="W1540" s="1"/>
      <c r="X1540" s="1"/>
      <c r="Y1540" s="1" t="s">
        <v>49</v>
      </c>
      <c r="Z1540" s="1"/>
      <c r="AA1540" s="1" t="s">
        <v>40</v>
      </c>
      <c r="AB1540" s="1" t="s">
        <v>452</v>
      </c>
      <c r="AC1540" s="1"/>
    </row>
    <row r="1541">
      <c r="A1541" s="1" t="str">
        <f>"0008JH"</f>
        <v>0008JH</v>
      </c>
      <c r="B1541" s="1" t="s">
        <v>2000</v>
      </c>
      <c r="C1541" s="1" t="s">
        <v>2001</v>
      </c>
      <c r="D1541" s="1" t="str">
        <f>"8022874059"</f>
        <v>8022874059</v>
      </c>
      <c r="E1541" s="1">
        <v>2792.0</v>
      </c>
      <c r="F1541" s="1" t="s">
        <v>44</v>
      </c>
      <c r="G1541" s="1" t="s">
        <v>6116</v>
      </c>
      <c r="H1541" s="1">
        <v>10.0</v>
      </c>
      <c r="I1541" s="1"/>
      <c r="J1541" s="1"/>
      <c r="K1541" s="1"/>
      <c r="L1541" s="1"/>
      <c r="M1541" s="1" t="s">
        <v>6117</v>
      </c>
      <c r="N1541" s="1" t="s">
        <v>78</v>
      </c>
      <c r="O1541" s="1" t="s">
        <v>371</v>
      </c>
      <c r="P1541" s="1"/>
      <c r="Q1541" s="3">
        <v>36892.0</v>
      </c>
      <c r="R1541" s="1"/>
      <c r="S1541" s="3">
        <v>36256.0</v>
      </c>
      <c r="T1541" s="1" t="s">
        <v>37</v>
      </c>
      <c r="U1541" s="1"/>
      <c r="V1541" s="1" t="s">
        <v>38</v>
      </c>
      <c r="W1541" s="1"/>
      <c r="X1541" s="1"/>
      <c r="Y1541" s="1" t="s">
        <v>49</v>
      </c>
      <c r="Z1541" s="1"/>
      <c r="AA1541" s="1" t="s">
        <v>40</v>
      </c>
      <c r="AB1541" s="1" t="s">
        <v>374</v>
      </c>
      <c r="AC1541" s="1"/>
    </row>
    <row r="1542">
      <c r="A1542" s="1" t="str">
        <f>"000772"</f>
        <v>000772</v>
      </c>
      <c r="B1542" s="1" t="s">
        <v>6118</v>
      </c>
      <c r="C1542" s="1" t="s">
        <v>6119</v>
      </c>
      <c r="D1542" s="1" t="str">
        <f>"8028783096"</f>
        <v>8028783096</v>
      </c>
      <c r="E1542" s="1">
        <v>3229.0</v>
      </c>
      <c r="F1542" s="1" t="s">
        <v>117</v>
      </c>
      <c r="G1542" s="1" t="s">
        <v>6120</v>
      </c>
      <c r="H1542" s="1">
        <v>1.0</v>
      </c>
      <c r="I1542" s="2">
        <v>1.0</v>
      </c>
      <c r="J1542" s="2">
        <v>1.0</v>
      </c>
      <c r="K1542" s="2" t="s">
        <v>119</v>
      </c>
      <c r="L1542" s="1"/>
      <c r="M1542" s="1" t="s">
        <v>6121</v>
      </c>
      <c r="N1542" s="1" t="s">
        <v>57</v>
      </c>
      <c r="O1542" s="1" t="s">
        <v>155</v>
      </c>
      <c r="P1542" s="1" t="s">
        <v>6122</v>
      </c>
      <c r="Q1542" s="3">
        <v>36892.0</v>
      </c>
      <c r="R1542" s="1"/>
      <c r="S1542" s="1"/>
      <c r="T1542" s="1" t="s">
        <v>37</v>
      </c>
      <c r="U1542" s="1"/>
      <c r="V1542" s="1" t="s">
        <v>38</v>
      </c>
      <c r="W1542" s="1">
        <v>44.564779</v>
      </c>
      <c r="X1542" s="1">
        <v>-72.9997339999999</v>
      </c>
      <c r="Y1542" s="1" t="s">
        <v>6123</v>
      </c>
      <c r="Z1542" s="1"/>
      <c r="AA1542" s="1" t="s">
        <v>40</v>
      </c>
      <c r="AB1542" s="1" t="s">
        <v>156</v>
      </c>
      <c r="AC1542" s="1">
        <v>5494.0</v>
      </c>
    </row>
    <row r="1543">
      <c r="A1543" s="1" t="str">
        <f>"000723"</f>
        <v>000723</v>
      </c>
      <c r="B1543" s="1" t="s">
        <v>4034</v>
      </c>
      <c r="C1543" s="1" t="s">
        <v>4035</v>
      </c>
      <c r="D1543" s="1" t="str">
        <f>"8024462072"</f>
        <v>8024462072</v>
      </c>
      <c r="E1543" s="1">
        <v>142.0</v>
      </c>
      <c r="F1543" s="1" t="s">
        <v>44</v>
      </c>
      <c r="G1543" s="1" t="s">
        <v>6124</v>
      </c>
      <c r="H1543" s="1">
        <v>1.0</v>
      </c>
      <c r="I1543" s="1"/>
      <c r="J1543" s="1"/>
      <c r="K1543" s="1"/>
      <c r="L1543" s="1"/>
      <c r="M1543" s="1" t="s">
        <v>6125</v>
      </c>
      <c r="N1543" s="1" t="s">
        <v>78</v>
      </c>
      <c r="O1543" s="1" t="s">
        <v>1124</v>
      </c>
      <c r="P1543" s="1"/>
      <c r="Q1543" s="3">
        <v>36892.0</v>
      </c>
      <c r="R1543" s="1"/>
      <c r="S1543" s="3">
        <v>32363.0</v>
      </c>
      <c r="T1543" s="1" t="s">
        <v>37</v>
      </c>
      <c r="U1543" s="1"/>
      <c r="V1543" s="1" t="s">
        <v>38</v>
      </c>
      <c r="W1543" s="1"/>
      <c r="X1543" s="1"/>
      <c r="Y1543" s="1" t="s">
        <v>49</v>
      </c>
      <c r="Z1543" s="1"/>
      <c r="AA1543" s="1" t="s">
        <v>40</v>
      </c>
      <c r="AB1543" s="1" t="s">
        <v>1127</v>
      </c>
      <c r="AC1543" s="1"/>
    </row>
    <row r="1544">
      <c r="A1544" s="1" t="str">
        <f>"0007N1"</f>
        <v>0007N1</v>
      </c>
      <c r="B1544" s="1" t="s">
        <v>6126</v>
      </c>
      <c r="C1544" s="1" t="s">
        <v>6127</v>
      </c>
      <c r="D1544" s="1" t="str">
        <f>"8024856888"</f>
        <v>8024856888</v>
      </c>
      <c r="E1544" s="1">
        <v>3723.0</v>
      </c>
      <c r="F1544" s="1" t="s">
        <v>117</v>
      </c>
      <c r="G1544" s="1" t="s">
        <v>6128</v>
      </c>
      <c r="H1544" s="1">
        <v>4.0</v>
      </c>
      <c r="I1544" s="2" t="s">
        <v>119</v>
      </c>
      <c r="J1544" s="2">
        <v>6.0</v>
      </c>
      <c r="K1544" s="2" t="s">
        <v>119</v>
      </c>
      <c r="L1544" s="1"/>
      <c r="M1544" s="1" t="s">
        <v>6129</v>
      </c>
      <c r="N1544" s="1" t="s">
        <v>135</v>
      </c>
      <c r="O1544" s="1" t="s">
        <v>136</v>
      </c>
      <c r="P1544" s="1" t="s">
        <v>6130</v>
      </c>
      <c r="Q1544" s="3">
        <v>36892.0</v>
      </c>
      <c r="R1544" s="1"/>
      <c r="S1544" s="3">
        <v>39729.0</v>
      </c>
      <c r="T1544" s="1" t="s">
        <v>37</v>
      </c>
      <c r="U1544" s="1"/>
      <c r="V1544" s="1" t="s">
        <v>38</v>
      </c>
      <c r="W1544" s="1">
        <v>44.1932833</v>
      </c>
      <c r="X1544" s="1">
        <v>-72.6468019</v>
      </c>
      <c r="Y1544" s="1" t="s">
        <v>6131</v>
      </c>
      <c r="Z1544" s="1"/>
      <c r="AA1544" s="1" t="s">
        <v>40</v>
      </c>
      <c r="AB1544" s="1" t="s">
        <v>137</v>
      </c>
      <c r="AC1544" s="1">
        <v>5663.0</v>
      </c>
    </row>
    <row r="1545">
      <c r="A1545" s="1" t="str">
        <f>"000721"</f>
        <v>000721</v>
      </c>
      <c r="B1545" s="1" t="s">
        <v>6132</v>
      </c>
      <c r="C1545" s="1" t="s">
        <v>6133</v>
      </c>
      <c r="D1545" s="1" t="str">
        <f>"8022879454"</f>
        <v>8022879454</v>
      </c>
      <c r="E1545" s="1">
        <v>140.0</v>
      </c>
      <c r="F1545" s="1" t="s">
        <v>44</v>
      </c>
      <c r="G1545" s="1" t="s">
        <v>6134</v>
      </c>
      <c r="H1545" s="1">
        <v>1.0</v>
      </c>
      <c r="I1545" s="1"/>
      <c r="J1545" s="1"/>
      <c r="K1545" s="1"/>
      <c r="L1545" s="1"/>
      <c r="M1545" s="1" t="s">
        <v>72</v>
      </c>
      <c r="N1545" s="1" t="s">
        <v>78</v>
      </c>
      <c r="O1545" s="1" t="s">
        <v>615</v>
      </c>
      <c r="P1545" s="1"/>
      <c r="Q1545" s="3">
        <v>36892.0</v>
      </c>
      <c r="R1545" s="1"/>
      <c r="S1545" s="3">
        <v>32308.0</v>
      </c>
      <c r="T1545" s="1" t="s">
        <v>37</v>
      </c>
      <c r="U1545" s="1"/>
      <c r="V1545" s="1" t="s">
        <v>38</v>
      </c>
      <c r="W1545" s="1"/>
      <c r="X1545" s="1"/>
      <c r="Y1545" s="1" t="s">
        <v>49</v>
      </c>
      <c r="Z1545" s="1"/>
      <c r="AA1545" s="1" t="s">
        <v>40</v>
      </c>
      <c r="AB1545" s="1" t="s">
        <v>616</v>
      </c>
      <c r="AC1545" s="1"/>
    </row>
    <row r="1546">
      <c r="A1546" s="1" t="str">
        <f>"000720"</f>
        <v>000720</v>
      </c>
      <c r="B1546" s="1" t="s">
        <v>6135</v>
      </c>
      <c r="C1546" s="1" t="s">
        <v>6136</v>
      </c>
      <c r="D1546" s="1"/>
      <c r="E1546" s="1">
        <v>138.0</v>
      </c>
      <c r="F1546" s="1" t="s">
        <v>44</v>
      </c>
      <c r="G1546" s="1" t="s">
        <v>6137</v>
      </c>
      <c r="H1546" s="1">
        <v>1.0</v>
      </c>
      <c r="I1546" s="1"/>
      <c r="J1546" s="1"/>
      <c r="K1546" s="1"/>
      <c r="L1546" s="1"/>
      <c r="M1546" s="1" t="s">
        <v>6138</v>
      </c>
      <c r="N1546" s="1" t="s">
        <v>78</v>
      </c>
      <c r="O1546" s="1" t="s">
        <v>79</v>
      </c>
      <c r="P1546" s="1"/>
      <c r="Q1546" s="3">
        <v>36892.0</v>
      </c>
      <c r="R1546" s="1"/>
      <c r="S1546" s="3">
        <v>32348.0</v>
      </c>
      <c r="T1546" s="1" t="s">
        <v>37</v>
      </c>
      <c r="U1546" s="1"/>
      <c r="V1546" s="1" t="s">
        <v>38</v>
      </c>
      <c r="W1546" s="1"/>
      <c r="X1546" s="1"/>
      <c r="Y1546" s="1" t="s">
        <v>49</v>
      </c>
      <c r="Z1546" s="1"/>
      <c r="AA1546" s="1" t="s">
        <v>40</v>
      </c>
      <c r="AB1546" s="1" t="s">
        <v>80</v>
      </c>
      <c r="AC1546" s="1"/>
    </row>
    <row r="1547">
      <c r="A1547" s="1" t="str">
        <f>"000761"</f>
        <v>000761</v>
      </c>
      <c r="B1547" s="1" t="s">
        <v>6139</v>
      </c>
      <c r="C1547" s="1" t="s">
        <v>6140</v>
      </c>
      <c r="D1547" s="1" t="str">
        <f>"8026352920"</f>
        <v>8026352920</v>
      </c>
      <c r="E1547" s="1">
        <v>3865.0</v>
      </c>
      <c r="F1547" s="1" t="s">
        <v>44</v>
      </c>
      <c r="G1547" s="1" t="s">
        <v>6141</v>
      </c>
      <c r="H1547" s="1">
        <v>2.0</v>
      </c>
      <c r="I1547" s="1"/>
      <c r="J1547" s="1"/>
      <c r="K1547" s="1"/>
      <c r="L1547" s="1"/>
      <c r="M1547" s="1" t="s">
        <v>72</v>
      </c>
      <c r="N1547" s="1" t="s">
        <v>213</v>
      </c>
      <c r="O1547" s="1" t="s">
        <v>4949</v>
      </c>
      <c r="P1547" s="1"/>
      <c r="Q1547" s="3">
        <v>36892.0</v>
      </c>
      <c r="R1547" s="1"/>
      <c r="S1547" s="3">
        <v>39687.0</v>
      </c>
      <c r="T1547" s="1" t="s">
        <v>37</v>
      </c>
      <c r="U1547" s="1"/>
      <c r="V1547" s="1" t="s">
        <v>38</v>
      </c>
      <c r="W1547" s="1"/>
      <c r="X1547" s="1"/>
      <c r="Y1547" s="1" t="s">
        <v>49</v>
      </c>
      <c r="Z1547" s="1"/>
      <c r="AA1547" s="1" t="s">
        <v>40</v>
      </c>
      <c r="AB1547" s="1" t="s">
        <v>4950</v>
      </c>
      <c r="AC1547" s="1"/>
    </row>
    <row r="1548">
      <c r="A1548" s="1" t="str">
        <f>"00071Y"</f>
        <v>00071Y</v>
      </c>
      <c r="B1548" s="1" t="s">
        <v>6142</v>
      </c>
      <c r="C1548" s="1" t="s">
        <v>6143</v>
      </c>
      <c r="D1548" s="1" t="str">
        <f>"8027468107"</f>
        <v>8027468107</v>
      </c>
      <c r="E1548" s="1">
        <v>132.0</v>
      </c>
      <c r="F1548" s="1" t="s">
        <v>44</v>
      </c>
      <c r="G1548" s="1" t="s">
        <v>6144</v>
      </c>
      <c r="H1548" s="1">
        <v>3.0</v>
      </c>
      <c r="I1548" s="1"/>
      <c r="J1548" s="1"/>
      <c r="K1548" s="1"/>
      <c r="L1548" s="1"/>
      <c r="M1548" s="1" t="s">
        <v>6145</v>
      </c>
      <c r="N1548" s="1" t="s">
        <v>78</v>
      </c>
      <c r="O1548" s="1" t="s">
        <v>869</v>
      </c>
      <c r="P1548" s="1"/>
      <c r="Q1548" s="3">
        <v>36892.0</v>
      </c>
      <c r="R1548" s="1"/>
      <c r="S1548" s="3">
        <v>32363.0</v>
      </c>
      <c r="T1548" s="1" t="s">
        <v>37</v>
      </c>
      <c r="U1548" s="1"/>
      <c r="V1548" s="1" t="s">
        <v>38</v>
      </c>
      <c r="W1548" s="1"/>
      <c r="X1548" s="1"/>
      <c r="Y1548" s="1" t="s">
        <v>49</v>
      </c>
      <c r="Z1548" s="1"/>
      <c r="AA1548" s="1" t="s">
        <v>40</v>
      </c>
      <c r="AB1548" s="1" t="s">
        <v>870</v>
      </c>
      <c r="AC1548" s="1"/>
    </row>
    <row r="1549">
      <c r="A1549" s="1" t="str">
        <f>"00071V"</f>
        <v>00071V</v>
      </c>
      <c r="B1549" s="1" t="s">
        <v>6146</v>
      </c>
      <c r="C1549" s="1" t="s">
        <v>6147</v>
      </c>
      <c r="D1549" s="1"/>
      <c r="E1549" s="1">
        <v>128.0</v>
      </c>
      <c r="F1549" s="1" t="s">
        <v>44</v>
      </c>
      <c r="G1549" s="1" t="s">
        <v>6148</v>
      </c>
      <c r="H1549" s="1">
        <v>2.0</v>
      </c>
      <c r="I1549" s="1"/>
      <c r="J1549" s="1"/>
      <c r="K1549" s="1"/>
      <c r="L1549" s="1"/>
      <c r="M1549" s="1" t="s">
        <v>6149</v>
      </c>
      <c r="N1549" s="1" t="s">
        <v>78</v>
      </c>
      <c r="O1549" s="1" t="s">
        <v>434</v>
      </c>
      <c r="P1549" s="1"/>
      <c r="Q1549" s="3">
        <v>36892.0</v>
      </c>
      <c r="R1549" s="1"/>
      <c r="S1549" s="3">
        <v>32302.0</v>
      </c>
      <c r="T1549" s="1" t="s">
        <v>37</v>
      </c>
      <c r="U1549" s="1"/>
      <c r="V1549" s="1" t="s">
        <v>38</v>
      </c>
      <c r="W1549" s="1"/>
      <c r="X1549" s="1"/>
      <c r="Y1549" s="1" t="s">
        <v>49</v>
      </c>
      <c r="Z1549" s="1"/>
      <c r="AA1549" s="1" t="s">
        <v>40</v>
      </c>
      <c r="AB1549" s="1" t="s">
        <v>435</v>
      </c>
      <c r="AC1549" s="1"/>
    </row>
    <row r="1550">
      <c r="A1550" s="1" t="str">
        <f>"00071Q"</f>
        <v>00071Q</v>
      </c>
      <c r="B1550" s="1" t="s">
        <v>6150</v>
      </c>
      <c r="C1550" s="1" t="s">
        <v>6151</v>
      </c>
      <c r="D1550" s="1" t="str">
        <f>"8023253403"</f>
        <v>8023253403</v>
      </c>
      <c r="E1550" s="1">
        <v>127.0</v>
      </c>
      <c r="F1550" s="1" t="s">
        <v>44</v>
      </c>
      <c r="G1550" s="1" t="s">
        <v>6152</v>
      </c>
      <c r="H1550" s="1">
        <v>8.0</v>
      </c>
      <c r="I1550" s="1"/>
      <c r="J1550" s="1"/>
      <c r="K1550" s="1"/>
      <c r="L1550" s="1"/>
      <c r="M1550" s="1" t="s">
        <v>6153</v>
      </c>
      <c r="N1550" s="1" t="s">
        <v>78</v>
      </c>
      <c r="O1550" s="1" t="s">
        <v>434</v>
      </c>
      <c r="P1550" s="1"/>
      <c r="Q1550" s="3">
        <v>36892.0</v>
      </c>
      <c r="R1550" s="1"/>
      <c r="S1550" s="3">
        <v>34488.0</v>
      </c>
      <c r="T1550" s="1" t="s">
        <v>37</v>
      </c>
      <c r="U1550" s="1"/>
      <c r="V1550" s="1" t="s">
        <v>38</v>
      </c>
      <c r="W1550" s="1"/>
      <c r="X1550" s="1"/>
      <c r="Y1550" s="1" t="s">
        <v>49</v>
      </c>
      <c r="Z1550" s="1"/>
      <c r="AA1550" s="1" t="s">
        <v>40</v>
      </c>
      <c r="AB1550" s="1" t="s">
        <v>435</v>
      </c>
      <c r="AC1550" s="1"/>
    </row>
    <row r="1551">
      <c r="A1551" s="1" t="str">
        <f>"0007PF"</f>
        <v>0007PF</v>
      </c>
      <c r="B1551" s="1" t="s">
        <v>6154</v>
      </c>
      <c r="C1551" s="1" t="s">
        <v>6155</v>
      </c>
      <c r="D1551" s="1"/>
      <c r="E1551" s="1">
        <v>3359.0</v>
      </c>
      <c r="F1551" s="1" t="s">
        <v>44</v>
      </c>
      <c r="G1551" s="1" t="s">
        <v>6156</v>
      </c>
      <c r="H1551" s="1">
        <v>2.0</v>
      </c>
      <c r="I1551" s="1"/>
      <c r="J1551" s="1"/>
      <c r="K1551" s="1"/>
      <c r="L1551" s="1"/>
      <c r="M1551" s="1" t="s">
        <v>72</v>
      </c>
      <c r="N1551" s="1" t="s">
        <v>66</v>
      </c>
      <c r="O1551" s="1" t="s">
        <v>67</v>
      </c>
      <c r="P1551" s="1"/>
      <c r="Q1551" s="3">
        <v>36892.0</v>
      </c>
      <c r="R1551" s="1"/>
      <c r="S1551" s="3">
        <v>37089.0</v>
      </c>
      <c r="T1551" s="1" t="s">
        <v>37</v>
      </c>
      <c r="U1551" s="1"/>
      <c r="V1551" s="1" t="s">
        <v>38</v>
      </c>
      <c r="W1551" s="1"/>
      <c r="X1551" s="1"/>
      <c r="Y1551" s="1" t="s">
        <v>49</v>
      </c>
      <c r="Z1551" s="1"/>
      <c r="AA1551" s="1" t="s">
        <v>40</v>
      </c>
      <c r="AB1551" s="1" t="s">
        <v>68</v>
      </c>
      <c r="AC1551" s="1"/>
    </row>
    <row r="1552">
      <c r="A1552" s="1" t="str">
        <f>"00071P"</f>
        <v>00071P</v>
      </c>
      <c r="B1552" s="1" t="s">
        <v>6157</v>
      </c>
      <c r="C1552" s="1" t="s">
        <v>6158</v>
      </c>
      <c r="D1552" s="1"/>
      <c r="E1552" s="1">
        <v>3955.0</v>
      </c>
      <c r="F1552" s="1" t="s">
        <v>44</v>
      </c>
      <c r="G1552" s="1" t="s">
        <v>6159</v>
      </c>
      <c r="H1552" s="1">
        <v>1.0</v>
      </c>
      <c r="I1552" s="1"/>
      <c r="J1552" s="1"/>
      <c r="K1552" s="1"/>
      <c r="L1552" s="1"/>
      <c r="M1552" s="1" t="s">
        <v>72</v>
      </c>
      <c r="N1552" s="1" t="s">
        <v>78</v>
      </c>
      <c r="O1552" s="1" t="s">
        <v>420</v>
      </c>
      <c r="P1552" s="1"/>
      <c r="Q1552" s="3">
        <v>36892.0</v>
      </c>
      <c r="R1552" s="1"/>
      <c r="S1552" s="3">
        <v>39631.0</v>
      </c>
      <c r="T1552" s="1" t="s">
        <v>37</v>
      </c>
      <c r="U1552" s="1"/>
      <c r="V1552" s="1" t="s">
        <v>38</v>
      </c>
      <c r="W1552" s="1"/>
      <c r="X1552" s="1"/>
      <c r="Y1552" s="1" t="s">
        <v>49</v>
      </c>
      <c r="Z1552" s="1"/>
      <c r="AA1552" s="1" t="s">
        <v>40</v>
      </c>
      <c r="AB1552" s="1" t="s">
        <v>421</v>
      </c>
      <c r="AC1552" s="1"/>
    </row>
    <row r="1553">
      <c r="A1553" s="1" t="str">
        <f>"00071N"</f>
        <v>00071N</v>
      </c>
      <c r="B1553" s="1" t="s">
        <v>6160</v>
      </c>
      <c r="C1553" s="1" t="s">
        <v>6161</v>
      </c>
      <c r="D1553" s="1" t="str">
        <f>"8023947836"</f>
        <v>8023947836</v>
      </c>
      <c r="E1553" s="1">
        <v>2836.0</v>
      </c>
      <c r="F1553" s="1" t="s">
        <v>44</v>
      </c>
      <c r="G1553" s="1" t="s">
        <v>6162</v>
      </c>
      <c r="H1553" s="1">
        <v>5.0</v>
      </c>
      <c r="I1553" s="1"/>
      <c r="J1553" s="1"/>
      <c r="K1553" s="1"/>
      <c r="L1553" s="1"/>
      <c r="M1553" s="1" t="s">
        <v>6163</v>
      </c>
      <c r="N1553" s="1" t="s">
        <v>414</v>
      </c>
      <c r="O1553" s="1" t="s">
        <v>2004</v>
      </c>
      <c r="P1553" s="1"/>
      <c r="Q1553" s="3">
        <v>36892.0</v>
      </c>
      <c r="R1553" s="1"/>
      <c r="S1553" s="3">
        <v>36283.0</v>
      </c>
      <c r="T1553" s="1" t="s">
        <v>37</v>
      </c>
      <c r="U1553" s="1"/>
      <c r="V1553" s="1" t="s">
        <v>38</v>
      </c>
      <c r="W1553" s="1"/>
      <c r="X1553" s="1"/>
      <c r="Y1553" s="1" t="s">
        <v>49</v>
      </c>
      <c r="Z1553" s="1"/>
      <c r="AA1553" s="1" t="s">
        <v>40</v>
      </c>
      <c r="AB1553" s="1" t="s">
        <v>2005</v>
      </c>
      <c r="AC1553" s="1"/>
    </row>
    <row r="1554">
      <c r="A1554" s="1" t="str">
        <f>"0008N2"</f>
        <v>0008N2</v>
      </c>
      <c r="B1554" s="1" t="s">
        <v>6164</v>
      </c>
      <c r="C1554" s="1" t="s">
        <v>6165</v>
      </c>
      <c r="D1554" s="1" t="str">
        <f>"8025843397"</f>
        <v>8025843397</v>
      </c>
      <c r="E1554" s="1">
        <v>3715.0</v>
      </c>
      <c r="F1554" s="1" t="s">
        <v>44</v>
      </c>
      <c r="G1554" s="1" t="s">
        <v>6166</v>
      </c>
      <c r="H1554" s="1"/>
      <c r="I1554" s="1"/>
      <c r="J1554" s="1"/>
      <c r="K1554" s="1"/>
      <c r="L1554" s="1"/>
      <c r="M1554" s="1" t="s">
        <v>72</v>
      </c>
      <c r="N1554" s="1" t="s">
        <v>142</v>
      </c>
      <c r="O1554" s="1" t="s">
        <v>400</v>
      </c>
      <c r="P1554" s="1"/>
      <c r="Q1554" s="3">
        <v>36892.0</v>
      </c>
      <c r="R1554" s="1"/>
      <c r="S1554" s="1"/>
      <c r="T1554" s="1" t="s">
        <v>37</v>
      </c>
      <c r="U1554" s="1"/>
      <c r="V1554" s="1" t="s">
        <v>38</v>
      </c>
      <c r="W1554" s="1"/>
      <c r="X1554" s="1"/>
      <c r="Y1554" s="1" t="s">
        <v>49</v>
      </c>
      <c r="Z1554" s="1"/>
      <c r="AA1554" s="1" t="s">
        <v>40</v>
      </c>
      <c r="AB1554" s="1" t="s">
        <v>401</v>
      </c>
      <c r="AC1554" s="1"/>
    </row>
    <row r="1555">
      <c r="A1555" s="1" t="str">
        <f>"00070D"</f>
        <v>00070D</v>
      </c>
      <c r="B1555" s="1" t="s">
        <v>527</v>
      </c>
      <c r="C1555" s="1" t="s">
        <v>528</v>
      </c>
      <c r="D1555" s="1" t="str">
        <f>"8024923458"</f>
        <v>8024923458</v>
      </c>
      <c r="E1555" s="1">
        <v>41.0</v>
      </c>
      <c r="F1555" s="1" t="s">
        <v>31</v>
      </c>
      <c r="G1555" s="1" t="s">
        <v>6167</v>
      </c>
      <c r="H1555" s="1">
        <v>14.0</v>
      </c>
      <c r="I1555" s="1"/>
      <c r="J1555" s="1"/>
      <c r="K1555" s="1"/>
      <c r="L1555" s="1"/>
      <c r="M1555" s="1" t="s">
        <v>6168</v>
      </c>
      <c r="N1555" s="1" t="s">
        <v>161</v>
      </c>
      <c r="O1555" s="1" t="s">
        <v>1053</v>
      </c>
      <c r="P1555" s="1"/>
      <c r="Q1555" s="3">
        <v>36892.0</v>
      </c>
      <c r="R1555" s="1"/>
      <c r="S1555" s="3">
        <v>41932.0</v>
      </c>
      <c r="T1555" s="1" t="s">
        <v>37</v>
      </c>
      <c r="U1555" s="1"/>
      <c r="V1555" s="1" t="s">
        <v>38</v>
      </c>
      <c r="W1555" s="1">
        <v>43.92576</v>
      </c>
      <c r="X1555" s="1">
        <v>-73.33661</v>
      </c>
      <c r="Y1555" s="1" t="s">
        <v>6169</v>
      </c>
      <c r="Z1555" s="1"/>
      <c r="AA1555" s="1" t="s">
        <v>40</v>
      </c>
      <c r="AB1555" s="1" t="s">
        <v>1054</v>
      </c>
      <c r="AC1555" s="1">
        <v>5760.0</v>
      </c>
    </row>
    <row r="1556">
      <c r="A1556" s="1" t="str">
        <f>"00071D"</f>
        <v>00071D</v>
      </c>
      <c r="B1556" s="1" t="s">
        <v>6170</v>
      </c>
      <c r="C1556" s="1" t="s">
        <v>6171</v>
      </c>
      <c r="D1556" s="1" t="str">
        <f>"8024223935"</f>
        <v>8024223935</v>
      </c>
      <c r="E1556" s="1">
        <v>100.0</v>
      </c>
      <c r="F1556" s="1" t="s">
        <v>44</v>
      </c>
      <c r="G1556" s="1" t="s">
        <v>6172</v>
      </c>
      <c r="H1556" s="1">
        <v>1.0</v>
      </c>
      <c r="I1556" s="1"/>
      <c r="J1556" s="1"/>
      <c r="K1556" s="1"/>
      <c r="L1556" s="1"/>
      <c r="M1556" s="1" t="s">
        <v>6173</v>
      </c>
      <c r="N1556" s="1" t="s">
        <v>78</v>
      </c>
      <c r="O1556" s="1" t="s">
        <v>238</v>
      </c>
      <c r="P1556" s="1"/>
      <c r="Q1556" s="3">
        <v>36892.0</v>
      </c>
      <c r="R1556" s="1"/>
      <c r="S1556" s="3">
        <v>32678.0</v>
      </c>
      <c r="T1556" s="1" t="s">
        <v>37</v>
      </c>
      <c r="U1556" s="1"/>
      <c r="V1556" s="1" t="s">
        <v>38</v>
      </c>
      <c r="W1556" s="1"/>
      <c r="X1556" s="1"/>
      <c r="Y1556" s="1" t="s">
        <v>49</v>
      </c>
      <c r="Z1556" s="1"/>
      <c r="AA1556" s="1" t="s">
        <v>40</v>
      </c>
      <c r="AB1556" s="1" t="s">
        <v>5691</v>
      </c>
      <c r="AC1556" s="1"/>
    </row>
    <row r="1557">
      <c r="A1557" s="1" t="str">
        <f>"0008JF"</f>
        <v>0008JF</v>
      </c>
      <c r="B1557" s="1" t="s">
        <v>6174</v>
      </c>
      <c r="C1557" s="1" t="s">
        <v>6175</v>
      </c>
      <c r="D1557" s="1"/>
      <c r="E1557" s="1">
        <v>2790.0</v>
      </c>
      <c r="F1557" s="1" t="s">
        <v>44</v>
      </c>
      <c r="G1557" s="1" t="s">
        <v>6176</v>
      </c>
      <c r="H1557" s="1"/>
      <c r="I1557" s="1"/>
      <c r="J1557" s="1"/>
      <c r="K1557" s="1"/>
      <c r="L1557" s="1"/>
      <c r="M1557" s="1" t="s">
        <v>6177</v>
      </c>
      <c r="N1557" s="1" t="s">
        <v>331</v>
      </c>
      <c r="O1557" s="1" t="s">
        <v>6178</v>
      </c>
      <c r="P1557" s="1"/>
      <c r="Q1557" s="3">
        <v>36892.0</v>
      </c>
      <c r="R1557" s="1"/>
      <c r="S1557" s="1"/>
      <c r="T1557" s="1" t="s">
        <v>37</v>
      </c>
      <c r="U1557" s="1"/>
      <c r="V1557" s="1" t="s">
        <v>38</v>
      </c>
      <c r="W1557" s="1"/>
      <c r="X1557" s="1"/>
      <c r="Y1557" s="1" t="s">
        <v>49</v>
      </c>
      <c r="Z1557" s="1"/>
      <c r="AA1557" s="1" t="s">
        <v>40</v>
      </c>
      <c r="AB1557" s="1" t="s">
        <v>6179</v>
      </c>
      <c r="AC1557" s="1"/>
    </row>
    <row r="1558">
      <c r="A1558" s="1" t="str">
        <f>"0007WB"</f>
        <v>0007WB</v>
      </c>
      <c r="B1558" s="1" t="s">
        <v>567</v>
      </c>
      <c r="C1558" s="1" t="s">
        <v>568</v>
      </c>
      <c r="D1558" s="1" t="str">
        <f>"8029895895"</f>
        <v>8029895895</v>
      </c>
      <c r="E1558" s="1">
        <v>2046.0</v>
      </c>
      <c r="F1558" s="1" t="s">
        <v>117</v>
      </c>
      <c r="G1558" s="1" t="s">
        <v>6180</v>
      </c>
      <c r="H1558" s="1">
        <v>0.0</v>
      </c>
      <c r="I1558" s="2" t="s">
        <v>119</v>
      </c>
      <c r="J1558" s="2" t="s">
        <v>119</v>
      </c>
      <c r="K1558" s="2" t="s">
        <v>119</v>
      </c>
      <c r="L1558" s="1"/>
      <c r="M1558" s="1" t="s">
        <v>6181</v>
      </c>
      <c r="N1558" s="1" t="s">
        <v>161</v>
      </c>
      <c r="O1558" s="1" t="s">
        <v>1053</v>
      </c>
      <c r="P1558" s="1"/>
      <c r="Q1558" s="3">
        <v>36892.0</v>
      </c>
      <c r="R1558" s="3">
        <v>42308.0</v>
      </c>
      <c r="S1558" s="3">
        <v>38847.0</v>
      </c>
      <c r="T1558" s="1" t="s">
        <v>37</v>
      </c>
      <c r="U1558" s="1"/>
      <c r="V1558" s="1" t="s">
        <v>38</v>
      </c>
      <c r="W1558" s="1"/>
      <c r="X1558" s="1"/>
      <c r="Y1558" s="1" t="s">
        <v>49</v>
      </c>
      <c r="Z1558" s="1"/>
      <c r="AA1558" s="1" t="s">
        <v>40</v>
      </c>
      <c r="AB1558" s="1" t="s">
        <v>1054</v>
      </c>
      <c r="AC1558" s="1">
        <v>0.0</v>
      </c>
    </row>
    <row r="1559">
      <c r="A1559" s="1" t="str">
        <f>"0008Y4"</f>
        <v>0008Y4</v>
      </c>
      <c r="B1559" s="1" t="s">
        <v>6182</v>
      </c>
      <c r="C1559" s="1" t="s">
        <v>6183</v>
      </c>
      <c r="D1559" s="1" t="str">
        <f>"8022794815"</f>
        <v>8022794815</v>
      </c>
      <c r="E1559" s="1">
        <v>3751.0</v>
      </c>
      <c r="F1559" s="1" t="s">
        <v>44</v>
      </c>
      <c r="G1559" s="1" t="s">
        <v>6184</v>
      </c>
      <c r="H1559" s="1">
        <v>0.0</v>
      </c>
      <c r="I1559" s="1"/>
      <c r="J1559" s="1"/>
      <c r="K1559" s="1"/>
      <c r="L1559" s="1"/>
      <c r="M1559" s="1" t="s">
        <v>72</v>
      </c>
      <c r="N1559" s="1" t="s">
        <v>128</v>
      </c>
      <c r="O1559" s="1" t="s">
        <v>286</v>
      </c>
      <c r="P1559" s="1"/>
      <c r="Q1559" s="3">
        <v>36892.0</v>
      </c>
      <c r="R1559" s="1"/>
      <c r="S1559" s="1"/>
      <c r="T1559" s="1" t="s">
        <v>37</v>
      </c>
      <c r="U1559" s="1"/>
      <c r="V1559" s="1" t="s">
        <v>38</v>
      </c>
      <c r="W1559" s="1">
        <v>44.6416444</v>
      </c>
      <c r="X1559" s="1">
        <v>-71.9836473</v>
      </c>
      <c r="Y1559" s="1" t="s">
        <v>6185</v>
      </c>
      <c r="Z1559" s="1"/>
      <c r="AA1559" s="1" t="s">
        <v>40</v>
      </c>
      <c r="AB1559" s="1" t="s">
        <v>2281</v>
      </c>
      <c r="AC1559" s="1">
        <v>5871.0</v>
      </c>
    </row>
    <row r="1560">
      <c r="A1560" s="1" t="str">
        <f>"00071B"</f>
        <v>00071B</v>
      </c>
      <c r="B1560" s="1" t="s">
        <v>4028</v>
      </c>
      <c r="C1560" s="1" t="s">
        <v>4029</v>
      </c>
      <c r="D1560" s="1" t="str">
        <f>"8022654943"</f>
        <v>8022654943</v>
      </c>
      <c r="E1560" s="1">
        <v>93.0</v>
      </c>
      <c r="F1560" s="1" t="s">
        <v>44</v>
      </c>
      <c r="G1560" s="1" t="s">
        <v>6186</v>
      </c>
      <c r="H1560" s="1">
        <v>22.0</v>
      </c>
      <c r="I1560" s="1"/>
      <c r="J1560" s="1"/>
      <c r="K1560" s="1"/>
      <c r="L1560" s="1"/>
      <c r="M1560" s="1" t="s">
        <v>6187</v>
      </c>
      <c r="N1560" s="1" t="s">
        <v>78</v>
      </c>
      <c r="O1560" s="1" t="s">
        <v>4032</v>
      </c>
      <c r="P1560" s="1"/>
      <c r="Q1560" s="3">
        <v>36892.0</v>
      </c>
      <c r="R1560" s="1"/>
      <c r="S1560" s="3">
        <v>33039.0</v>
      </c>
      <c r="T1560" s="1" t="s">
        <v>37</v>
      </c>
      <c r="U1560" s="1"/>
      <c r="V1560" s="1" t="s">
        <v>38</v>
      </c>
      <c r="W1560" s="1"/>
      <c r="X1560" s="1"/>
      <c r="Y1560" s="1" t="s">
        <v>49</v>
      </c>
      <c r="Z1560" s="1"/>
      <c r="AA1560" s="1" t="s">
        <v>40</v>
      </c>
      <c r="AB1560" s="1" t="s">
        <v>4033</v>
      </c>
      <c r="AC1560" s="1"/>
    </row>
    <row r="1561">
      <c r="A1561" s="1" t="str">
        <f>"00082H"</f>
        <v>00082H</v>
      </c>
      <c r="B1561" s="1" t="s">
        <v>6188</v>
      </c>
      <c r="C1561" s="1" t="s">
        <v>6189</v>
      </c>
      <c r="D1561" s="1" t="str">
        <f>"8022959472"</f>
        <v>8022959472</v>
      </c>
      <c r="E1561" s="1">
        <v>3463.0</v>
      </c>
      <c r="F1561" s="1" t="s">
        <v>44</v>
      </c>
      <c r="G1561" s="1" t="s">
        <v>6190</v>
      </c>
      <c r="H1561" s="1">
        <v>0.0</v>
      </c>
      <c r="I1561" s="1"/>
      <c r="J1561" s="1"/>
      <c r="K1561" s="1"/>
      <c r="L1561" s="1"/>
      <c r="M1561" s="1" t="s">
        <v>72</v>
      </c>
      <c r="N1561" s="1" t="s">
        <v>34</v>
      </c>
      <c r="O1561" s="1" t="s">
        <v>953</v>
      </c>
      <c r="P1561" s="1"/>
      <c r="Q1561" s="3">
        <v>36892.0</v>
      </c>
      <c r="R1561" s="1"/>
      <c r="S1561" s="1"/>
      <c r="T1561" s="1" t="s">
        <v>37</v>
      </c>
      <c r="U1561" s="1"/>
      <c r="V1561" s="1" t="s">
        <v>38</v>
      </c>
      <c r="W1561" s="1">
        <v>43.6283314</v>
      </c>
      <c r="X1561" s="1">
        <v>-72.3860111</v>
      </c>
      <c r="Y1561" s="1" t="s">
        <v>6191</v>
      </c>
      <c r="Z1561" s="1"/>
      <c r="AA1561" s="1" t="s">
        <v>40</v>
      </c>
      <c r="AB1561" s="1" t="s">
        <v>954</v>
      </c>
      <c r="AC1561" s="1">
        <v>5047.0</v>
      </c>
    </row>
    <row r="1562">
      <c r="A1562" s="1" t="str">
        <f>"0008Y0"</f>
        <v>0008Y0</v>
      </c>
      <c r="B1562" s="1" t="s">
        <v>2094</v>
      </c>
      <c r="C1562" s="1" t="s">
        <v>2095</v>
      </c>
      <c r="D1562" s="1" t="str">
        <f>"8024344787"</f>
        <v>8024344787</v>
      </c>
      <c r="E1562" s="1">
        <v>3863.0</v>
      </c>
      <c r="F1562" s="1" t="s">
        <v>44</v>
      </c>
      <c r="G1562" s="1" t="s">
        <v>6192</v>
      </c>
      <c r="H1562" s="1">
        <v>1.0</v>
      </c>
      <c r="I1562" s="1"/>
      <c r="J1562" s="1"/>
      <c r="K1562" s="1"/>
      <c r="L1562" s="1"/>
      <c r="M1562" s="1" t="s">
        <v>6193</v>
      </c>
      <c r="N1562" s="1" t="s">
        <v>57</v>
      </c>
      <c r="O1562" s="1" t="s">
        <v>313</v>
      </c>
      <c r="P1562" s="1"/>
      <c r="Q1562" s="3">
        <v>36892.0</v>
      </c>
      <c r="R1562" s="1"/>
      <c r="S1562" s="3">
        <v>39338.0</v>
      </c>
      <c r="T1562" s="1" t="s">
        <v>37</v>
      </c>
      <c r="U1562" s="1"/>
      <c r="V1562" s="1" t="s">
        <v>38</v>
      </c>
      <c r="W1562" s="1"/>
      <c r="X1562" s="1"/>
      <c r="Y1562" s="1" t="s">
        <v>49</v>
      </c>
      <c r="Z1562" s="1"/>
      <c r="AA1562" s="1" t="s">
        <v>40</v>
      </c>
      <c r="AB1562" s="1" t="s">
        <v>314</v>
      </c>
      <c r="AC1562" s="1"/>
    </row>
    <row r="1563">
      <c r="A1563" s="1" t="str">
        <f>"000775"</f>
        <v>000775</v>
      </c>
      <c r="B1563" s="1" t="s">
        <v>561</v>
      </c>
      <c r="C1563" s="1" t="s">
        <v>562</v>
      </c>
      <c r="D1563" s="1" t="str">
        <f>"8028856143"</f>
        <v>8028856143</v>
      </c>
      <c r="E1563" s="1">
        <v>3887.0</v>
      </c>
      <c r="F1563" s="1" t="s">
        <v>44</v>
      </c>
      <c r="G1563" s="1" t="s">
        <v>6194</v>
      </c>
      <c r="H1563" s="1">
        <v>2.0</v>
      </c>
      <c r="I1563" s="1"/>
      <c r="J1563" s="1"/>
      <c r="K1563" s="1"/>
      <c r="L1563" s="1"/>
      <c r="M1563" s="1" t="s">
        <v>6195</v>
      </c>
      <c r="N1563" s="1" t="s">
        <v>34</v>
      </c>
      <c r="O1563" s="1" t="s">
        <v>565</v>
      </c>
      <c r="P1563" s="1"/>
      <c r="Q1563" s="3">
        <v>36892.0</v>
      </c>
      <c r="R1563" s="1"/>
      <c r="S1563" s="3">
        <v>39686.0</v>
      </c>
      <c r="T1563" s="1" t="s">
        <v>37</v>
      </c>
      <c r="U1563" s="1"/>
      <c r="V1563" s="1" t="s">
        <v>38</v>
      </c>
      <c r="W1563" s="1"/>
      <c r="X1563" s="1"/>
      <c r="Y1563" s="1" t="s">
        <v>49</v>
      </c>
      <c r="Z1563" s="1"/>
      <c r="AA1563" s="1" t="s">
        <v>40</v>
      </c>
      <c r="AB1563" s="1" t="s">
        <v>566</v>
      </c>
      <c r="AC1563" s="1"/>
    </row>
    <row r="1564">
      <c r="A1564" s="1" t="str">
        <f t="shared" ref="A1564:A1566" si="95">"000717"</f>
        <v>000717</v>
      </c>
      <c r="B1564" s="1" t="s">
        <v>6196</v>
      </c>
      <c r="C1564" s="1" t="s">
        <v>6197</v>
      </c>
      <c r="D1564" s="1"/>
      <c r="E1564" s="1">
        <v>85.0</v>
      </c>
      <c r="F1564" s="1" t="s">
        <v>44</v>
      </c>
      <c r="G1564" s="1" t="s">
        <v>6198</v>
      </c>
      <c r="H1564" s="1"/>
      <c r="I1564" s="1"/>
      <c r="J1564" s="1"/>
      <c r="K1564" s="1"/>
      <c r="L1564" s="1"/>
      <c r="M1564" s="1" t="s">
        <v>6199</v>
      </c>
      <c r="N1564" s="1" t="s">
        <v>78</v>
      </c>
      <c r="O1564" s="1" t="s">
        <v>1124</v>
      </c>
      <c r="P1564" s="1"/>
      <c r="Q1564" s="3">
        <v>36892.0</v>
      </c>
      <c r="R1564" s="1"/>
      <c r="S1564" s="1"/>
      <c r="T1564" s="1" t="s">
        <v>37</v>
      </c>
      <c r="U1564" s="1"/>
      <c r="V1564" s="1" t="s">
        <v>38</v>
      </c>
      <c r="W1564" s="1"/>
      <c r="X1564" s="1"/>
      <c r="Y1564" s="1" t="s">
        <v>49</v>
      </c>
      <c r="Z1564" s="1"/>
      <c r="AA1564" s="1" t="s">
        <v>40</v>
      </c>
      <c r="AB1564" s="1" t="s">
        <v>1127</v>
      </c>
      <c r="AC1564" s="1"/>
    </row>
    <row r="1565">
      <c r="A1565" s="1" t="str">
        <f t="shared" si="95"/>
        <v>000717</v>
      </c>
      <c r="B1565" s="1" t="s">
        <v>6196</v>
      </c>
      <c r="C1565" s="1" t="s">
        <v>6197</v>
      </c>
      <c r="D1565" s="1"/>
      <c r="E1565" s="1">
        <v>85.0</v>
      </c>
      <c r="F1565" s="1" t="s">
        <v>44</v>
      </c>
      <c r="G1565" s="1" t="s">
        <v>6200</v>
      </c>
      <c r="H1565" s="1"/>
      <c r="I1565" s="1"/>
      <c r="J1565" s="1"/>
      <c r="K1565" s="1"/>
      <c r="L1565" s="1"/>
      <c r="M1565" s="1" t="s">
        <v>6201</v>
      </c>
      <c r="N1565" s="1" t="s">
        <v>78</v>
      </c>
      <c r="O1565" s="1" t="s">
        <v>1124</v>
      </c>
      <c r="P1565" s="1"/>
      <c r="Q1565" s="3">
        <v>36892.0</v>
      </c>
      <c r="R1565" s="1"/>
      <c r="S1565" s="1"/>
      <c r="T1565" s="1" t="s">
        <v>37</v>
      </c>
      <c r="U1565" s="1"/>
      <c r="V1565" s="1" t="s">
        <v>38</v>
      </c>
      <c r="W1565" s="1"/>
      <c r="X1565" s="1"/>
      <c r="Y1565" s="1" t="s">
        <v>49</v>
      </c>
      <c r="Z1565" s="1"/>
      <c r="AA1565" s="1" t="s">
        <v>40</v>
      </c>
      <c r="AB1565" s="1" t="s">
        <v>1127</v>
      </c>
      <c r="AC1565" s="1"/>
    </row>
    <row r="1566">
      <c r="A1566" s="1" t="str">
        <f t="shared" si="95"/>
        <v>000717</v>
      </c>
      <c r="B1566" s="1" t="s">
        <v>6196</v>
      </c>
      <c r="C1566" s="1" t="s">
        <v>6197</v>
      </c>
      <c r="D1566" s="1"/>
      <c r="E1566" s="1">
        <v>85.0</v>
      </c>
      <c r="F1566" s="1" t="s">
        <v>44</v>
      </c>
      <c r="G1566" s="1" t="s">
        <v>6202</v>
      </c>
      <c r="H1566" s="1">
        <v>1.0</v>
      </c>
      <c r="I1566" s="1"/>
      <c r="J1566" s="1"/>
      <c r="K1566" s="1"/>
      <c r="L1566" s="1"/>
      <c r="M1566" s="1" t="s">
        <v>72</v>
      </c>
      <c r="N1566" s="1" t="s">
        <v>78</v>
      </c>
      <c r="O1566" s="1" t="s">
        <v>1124</v>
      </c>
      <c r="P1566" s="1"/>
      <c r="Q1566" s="3">
        <v>36892.0</v>
      </c>
      <c r="R1566" s="1"/>
      <c r="S1566" s="3">
        <v>32363.0</v>
      </c>
      <c r="T1566" s="1" t="s">
        <v>37</v>
      </c>
      <c r="U1566" s="1"/>
      <c r="V1566" s="1" t="s">
        <v>38</v>
      </c>
      <c r="W1566" s="1"/>
      <c r="X1566" s="1"/>
      <c r="Y1566" s="1" t="s">
        <v>49</v>
      </c>
      <c r="Z1566" s="1"/>
      <c r="AA1566" s="1" t="s">
        <v>40</v>
      </c>
      <c r="AB1566" s="1" t="s">
        <v>1127</v>
      </c>
      <c r="AC1566" s="1"/>
    </row>
    <row r="1567">
      <c r="A1567" s="1" t="str">
        <f>"0008X1"</f>
        <v>0008X1</v>
      </c>
      <c r="B1567" s="1" t="s">
        <v>2291</v>
      </c>
      <c r="C1567" s="1" t="s">
        <v>2292</v>
      </c>
      <c r="D1567" s="1" t="str">
        <f>"8028785992"</f>
        <v>8028785992</v>
      </c>
      <c r="E1567" s="1">
        <v>3417.0</v>
      </c>
      <c r="F1567" s="1" t="s">
        <v>44</v>
      </c>
      <c r="G1567" s="1" t="s">
        <v>6203</v>
      </c>
      <c r="H1567" s="1">
        <v>3.0</v>
      </c>
      <c r="I1567" s="1"/>
      <c r="J1567" s="1"/>
      <c r="K1567" s="1"/>
      <c r="L1567" s="1"/>
      <c r="M1567" s="1" t="s">
        <v>5941</v>
      </c>
      <c r="N1567" s="1" t="s">
        <v>107</v>
      </c>
      <c r="O1567" s="1" t="s">
        <v>108</v>
      </c>
      <c r="P1567" s="1"/>
      <c r="Q1567" s="3">
        <v>36892.0</v>
      </c>
      <c r="R1567" s="1"/>
      <c r="S1567" s="3">
        <v>39296.0</v>
      </c>
      <c r="T1567" s="1" t="s">
        <v>37</v>
      </c>
      <c r="U1567" s="1"/>
      <c r="V1567" s="1" t="s">
        <v>38</v>
      </c>
      <c r="W1567" s="1"/>
      <c r="X1567" s="1"/>
      <c r="Y1567" s="1" t="s">
        <v>49</v>
      </c>
      <c r="Z1567" s="1"/>
      <c r="AA1567" s="1" t="s">
        <v>40</v>
      </c>
      <c r="AB1567" s="1" t="s">
        <v>107</v>
      </c>
      <c r="AC1567" s="1"/>
    </row>
    <row r="1568">
      <c r="A1568" s="1" t="str">
        <f>"00075G"</f>
        <v>00075G</v>
      </c>
      <c r="B1568" s="1" t="s">
        <v>4701</v>
      </c>
      <c r="C1568" s="1" t="s">
        <v>4702</v>
      </c>
      <c r="D1568" s="1" t="str">
        <f>"8024473781"</f>
        <v>8024473781</v>
      </c>
      <c r="E1568" s="1">
        <v>291.0</v>
      </c>
      <c r="F1568" s="1" t="s">
        <v>44</v>
      </c>
      <c r="G1568" s="1" t="s">
        <v>6204</v>
      </c>
      <c r="H1568" s="1"/>
      <c r="I1568" s="1"/>
      <c r="J1568" s="1"/>
      <c r="K1568" s="1"/>
      <c r="L1568" s="1"/>
      <c r="M1568" s="1" t="s">
        <v>6205</v>
      </c>
      <c r="N1568" s="1" t="s">
        <v>414</v>
      </c>
      <c r="O1568" s="1" t="s">
        <v>720</v>
      </c>
      <c r="P1568" s="1"/>
      <c r="Q1568" s="3">
        <v>36892.0</v>
      </c>
      <c r="R1568" s="1"/>
      <c r="S1568" s="1"/>
      <c r="T1568" s="1" t="s">
        <v>37</v>
      </c>
      <c r="U1568" s="1"/>
      <c r="V1568" s="1" t="s">
        <v>38</v>
      </c>
      <c r="W1568" s="1"/>
      <c r="X1568" s="1"/>
      <c r="Y1568" s="1" t="s">
        <v>49</v>
      </c>
      <c r="Z1568" s="1"/>
      <c r="AA1568" s="1" t="s">
        <v>40</v>
      </c>
      <c r="AB1568" s="1" t="s">
        <v>414</v>
      </c>
      <c r="AC1568" s="1"/>
    </row>
    <row r="1569">
      <c r="A1569" s="1" t="str">
        <f>"0008A9"</f>
        <v>0008A9</v>
      </c>
      <c r="B1569" s="1" t="s">
        <v>6206</v>
      </c>
      <c r="C1569" s="1" t="s">
        <v>6207</v>
      </c>
      <c r="D1569" s="1" t="str">
        <f>"8026853164"</f>
        <v>8026853164</v>
      </c>
      <c r="E1569" s="1">
        <v>3701.0</v>
      </c>
      <c r="F1569" s="1" t="s">
        <v>44</v>
      </c>
      <c r="G1569" s="1" t="s">
        <v>6208</v>
      </c>
      <c r="H1569" s="1">
        <v>1.0</v>
      </c>
      <c r="I1569" s="1"/>
      <c r="J1569" s="1"/>
      <c r="K1569" s="1"/>
      <c r="L1569" s="1"/>
      <c r="M1569" s="1" t="s">
        <v>72</v>
      </c>
      <c r="N1569" s="1" t="s">
        <v>142</v>
      </c>
      <c r="O1569" s="1" t="s">
        <v>1026</v>
      </c>
      <c r="P1569" s="1"/>
      <c r="Q1569" s="3">
        <v>36892.0</v>
      </c>
      <c r="R1569" s="1"/>
      <c r="S1569" s="3">
        <v>38880.0</v>
      </c>
      <c r="T1569" s="1" t="s">
        <v>37</v>
      </c>
      <c r="U1569" s="1"/>
      <c r="V1569" s="1" t="s">
        <v>38</v>
      </c>
      <c r="W1569" s="1"/>
      <c r="X1569" s="1"/>
      <c r="Y1569" s="1" t="s">
        <v>49</v>
      </c>
      <c r="Z1569" s="1"/>
      <c r="AA1569" s="1" t="s">
        <v>40</v>
      </c>
      <c r="AB1569" s="1" t="s">
        <v>135</v>
      </c>
      <c r="AC1569" s="1"/>
    </row>
    <row r="1570">
      <c r="A1570" s="1" t="str">
        <f>"000711"</f>
        <v>000711</v>
      </c>
      <c r="B1570" s="1" t="s">
        <v>6209</v>
      </c>
      <c r="C1570" s="1" t="s">
        <v>6210</v>
      </c>
      <c r="D1570" s="1"/>
      <c r="E1570" s="1">
        <v>77.0</v>
      </c>
      <c r="F1570" s="1" t="s">
        <v>44</v>
      </c>
      <c r="G1570" s="1" t="s">
        <v>6211</v>
      </c>
      <c r="H1570" s="1">
        <v>3.0</v>
      </c>
      <c r="I1570" s="1"/>
      <c r="J1570" s="1"/>
      <c r="K1570" s="1"/>
      <c r="L1570" s="1"/>
      <c r="M1570" s="1" t="s">
        <v>72</v>
      </c>
      <c r="N1570" s="1" t="s">
        <v>78</v>
      </c>
      <c r="O1570" s="1" t="s">
        <v>615</v>
      </c>
      <c r="P1570" s="1"/>
      <c r="Q1570" s="3">
        <v>36892.0</v>
      </c>
      <c r="R1570" s="1"/>
      <c r="S1570" s="3">
        <v>32276.0</v>
      </c>
      <c r="T1570" s="1" t="s">
        <v>37</v>
      </c>
      <c r="U1570" s="1"/>
      <c r="V1570" s="1" t="s">
        <v>38</v>
      </c>
      <c r="W1570" s="1"/>
      <c r="X1570" s="1"/>
      <c r="Y1570" s="1" t="s">
        <v>49</v>
      </c>
      <c r="Z1570" s="1"/>
      <c r="AA1570" s="1" t="s">
        <v>40</v>
      </c>
      <c r="AB1570" s="1" t="s">
        <v>616</v>
      </c>
      <c r="AC1570" s="1"/>
    </row>
    <row r="1571">
      <c r="A1571" s="1" t="str">
        <f>"000710"</f>
        <v>000710</v>
      </c>
      <c r="B1571" s="1" t="s">
        <v>6212</v>
      </c>
      <c r="C1571" s="1" t="s">
        <v>6213</v>
      </c>
      <c r="D1571" s="1" t="str">
        <f>"8022879755"</f>
        <v>8022879755</v>
      </c>
      <c r="E1571" s="1">
        <v>76.0</v>
      </c>
      <c r="F1571" s="1" t="s">
        <v>44</v>
      </c>
      <c r="G1571" s="1" t="s">
        <v>6214</v>
      </c>
      <c r="H1571" s="1">
        <v>3.0</v>
      </c>
      <c r="I1571" s="1"/>
      <c r="J1571" s="1"/>
      <c r="K1571" s="1"/>
      <c r="L1571" s="1"/>
      <c r="M1571" s="1" t="s">
        <v>72</v>
      </c>
      <c r="N1571" s="1" t="s">
        <v>78</v>
      </c>
      <c r="O1571" s="1" t="s">
        <v>615</v>
      </c>
      <c r="P1571" s="1"/>
      <c r="Q1571" s="3">
        <v>36892.0</v>
      </c>
      <c r="R1571" s="1"/>
      <c r="S1571" s="3">
        <v>35879.0</v>
      </c>
      <c r="T1571" s="1" t="s">
        <v>37</v>
      </c>
      <c r="U1571" s="1"/>
      <c r="V1571" s="1" t="s">
        <v>38</v>
      </c>
      <c r="W1571" s="1"/>
      <c r="X1571" s="1"/>
      <c r="Y1571" s="1" t="s">
        <v>49</v>
      </c>
      <c r="Z1571" s="1"/>
      <c r="AA1571" s="1" t="s">
        <v>40</v>
      </c>
      <c r="AB1571" s="1" t="s">
        <v>616</v>
      </c>
      <c r="AC1571" s="1"/>
    </row>
    <row r="1572">
      <c r="A1572" s="1" t="str">
        <f>"00082P"</f>
        <v>00082P</v>
      </c>
      <c r="B1572" s="1" t="s">
        <v>1472</v>
      </c>
      <c r="C1572" s="1" t="s">
        <v>1473</v>
      </c>
      <c r="D1572" s="1" t="str">
        <f>"8023530959"</f>
        <v>8023530959</v>
      </c>
      <c r="E1572" s="1">
        <v>2970.0</v>
      </c>
      <c r="F1572" s="1" t="s">
        <v>117</v>
      </c>
      <c r="G1572" s="1" t="s">
        <v>6215</v>
      </c>
      <c r="H1572" s="1">
        <v>1.0</v>
      </c>
      <c r="I1572" s="2">
        <v>2.0</v>
      </c>
      <c r="J1572" s="2">
        <v>2.0</v>
      </c>
      <c r="K1572" s="2" t="s">
        <v>119</v>
      </c>
      <c r="L1572" s="1"/>
      <c r="M1572" s="1" t="s">
        <v>6216</v>
      </c>
      <c r="N1572" s="1" t="s">
        <v>78</v>
      </c>
      <c r="O1572" s="1" t="s">
        <v>79</v>
      </c>
      <c r="P1572" s="1" t="s">
        <v>6217</v>
      </c>
      <c r="Q1572" s="3">
        <v>41079.0</v>
      </c>
      <c r="R1572" s="1"/>
      <c r="S1572" s="3">
        <v>37827.0</v>
      </c>
      <c r="T1572" s="1" t="s">
        <v>37</v>
      </c>
      <c r="U1572" s="1"/>
      <c r="V1572" s="1" t="s">
        <v>38</v>
      </c>
      <c r="W1572" s="1">
        <v>43.6703860408452</v>
      </c>
      <c r="X1572" s="1">
        <v>-72.9891192913055</v>
      </c>
      <c r="Y1572" s="1" t="s">
        <v>2962</v>
      </c>
      <c r="Z1572" s="1"/>
      <c r="AA1572" s="1" t="s">
        <v>40</v>
      </c>
      <c r="AB1572" s="1" t="s">
        <v>80</v>
      </c>
      <c r="AC1572" s="1">
        <v>5763.0</v>
      </c>
    </row>
    <row r="1573">
      <c r="A1573" s="1" t="str">
        <f>"00070Y"</f>
        <v>00070Y</v>
      </c>
      <c r="B1573" s="1" t="s">
        <v>866</v>
      </c>
      <c r="C1573" s="1" t="s">
        <v>867</v>
      </c>
      <c r="D1573" s="1" t="str">
        <f>"8027736799"</f>
        <v>8027736799</v>
      </c>
      <c r="E1573" s="1">
        <v>69.0</v>
      </c>
      <c r="F1573" s="1" t="s">
        <v>44</v>
      </c>
      <c r="G1573" s="1" t="s">
        <v>6218</v>
      </c>
      <c r="H1573" s="1"/>
      <c r="I1573" s="1"/>
      <c r="J1573" s="1"/>
      <c r="K1573" s="1"/>
      <c r="L1573" s="1"/>
      <c r="M1573" s="1" t="s">
        <v>72</v>
      </c>
      <c r="N1573" s="1" t="s">
        <v>78</v>
      </c>
      <c r="O1573" s="1" t="s">
        <v>251</v>
      </c>
      <c r="P1573" s="1"/>
      <c r="Q1573" s="3">
        <v>36892.0</v>
      </c>
      <c r="R1573" s="1"/>
      <c r="S1573" s="1"/>
      <c r="T1573" s="1" t="s">
        <v>37</v>
      </c>
      <c r="U1573" s="1"/>
      <c r="V1573" s="1" t="s">
        <v>38</v>
      </c>
      <c r="W1573" s="1"/>
      <c r="X1573" s="1"/>
      <c r="Y1573" s="1" t="s">
        <v>49</v>
      </c>
      <c r="Z1573" s="1"/>
      <c r="AA1573" s="1" t="s">
        <v>40</v>
      </c>
      <c r="AB1573" s="1" t="s">
        <v>252</v>
      </c>
      <c r="AC1573" s="1"/>
    </row>
    <row r="1574">
      <c r="A1574" s="1" t="str">
        <f>"0007KA"</f>
        <v>0007KA</v>
      </c>
      <c r="B1574" s="1" t="s">
        <v>6219</v>
      </c>
      <c r="C1574" s="1" t="s">
        <v>6220</v>
      </c>
      <c r="D1574" s="1" t="str">
        <f>"8027484021"</f>
        <v>8027484021</v>
      </c>
      <c r="E1574" s="1">
        <v>2906.0</v>
      </c>
      <c r="F1574" s="1" t="s">
        <v>44</v>
      </c>
      <c r="G1574" s="1" t="s">
        <v>6221</v>
      </c>
      <c r="H1574" s="1">
        <v>3.0</v>
      </c>
      <c r="I1574" s="1"/>
      <c r="J1574" s="1"/>
      <c r="K1574" s="1"/>
      <c r="L1574" s="1"/>
      <c r="M1574" s="1" t="s">
        <v>6222</v>
      </c>
      <c r="N1574" s="1" t="s">
        <v>128</v>
      </c>
      <c r="O1574" s="1" t="s">
        <v>525</v>
      </c>
      <c r="P1574" s="1"/>
      <c r="Q1574" s="3">
        <v>36892.0</v>
      </c>
      <c r="R1574" s="1"/>
      <c r="S1574" s="3">
        <v>36355.0</v>
      </c>
      <c r="T1574" s="1" t="s">
        <v>37</v>
      </c>
      <c r="U1574" s="1"/>
      <c r="V1574" s="1" t="s">
        <v>38</v>
      </c>
      <c r="W1574" s="1"/>
      <c r="X1574" s="1"/>
      <c r="Y1574" s="1" t="s">
        <v>49</v>
      </c>
      <c r="Z1574" s="1"/>
      <c r="AA1574" s="1" t="s">
        <v>40</v>
      </c>
      <c r="AB1574" s="1" t="s">
        <v>526</v>
      </c>
      <c r="AC1574" s="1"/>
    </row>
    <row r="1575">
      <c r="A1575" s="1" t="str">
        <f>"000M83"</f>
        <v>000M83</v>
      </c>
      <c r="B1575" s="1" t="s">
        <v>1435</v>
      </c>
      <c r="C1575" s="1" t="s">
        <v>1436</v>
      </c>
      <c r="D1575" s="1" t="str">
        <f>"8025373294"</f>
        <v>8025373294</v>
      </c>
      <c r="E1575" s="1">
        <v>4622.0</v>
      </c>
      <c r="F1575" s="1" t="s">
        <v>117</v>
      </c>
      <c r="G1575" s="1" t="s">
        <v>6223</v>
      </c>
      <c r="H1575" s="1">
        <v>26.0</v>
      </c>
      <c r="I1575" s="2">
        <v>20.0</v>
      </c>
      <c r="J1575" s="2">
        <v>20.0</v>
      </c>
      <c r="K1575" s="2" t="s">
        <v>119</v>
      </c>
      <c r="L1575" s="1"/>
      <c r="M1575" s="1" t="s">
        <v>6224</v>
      </c>
      <c r="N1575" s="1" t="s">
        <v>78</v>
      </c>
      <c r="O1575" s="1" t="s">
        <v>2066</v>
      </c>
      <c r="P1575" s="1" t="s">
        <v>6225</v>
      </c>
      <c r="Q1575" s="3">
        <v>36892.0</v>
      </c>
      <c r="R1575" s="1"/>
      <c r="S1575" s="1"/>
      <c r="T1575" s="1" t="s">
        <v>37</v>
      </c>
      <c r="U1575" s="1"/>
      <c r="V1575" s="1" t="s">
        <v>38</v>
      </c>
      <c r="W1575" s="1">
        <v>43.66241</v>
      </c>
      <c r="X1575" s="1">
        <v>-73.37472</v>
      </c>
      <c r="Y1575" s="1" t="s">
        <v>6226</v>
      </c>
      <c r="Z1575" s="1"/>
      <c r="AA1575" s="1" t="s">
        <v>40</v>
      </c>
      <c r="AB1575" s="1" t="s">
        <v>2069</v>
      </c>
      <c r="AC1575" s="1">
        <v>0.0</v>
      </c>
    </row>
    <row r="1576">
      <c r="A1576" s="1" t="str">
        <f>"0008MV"</f>
        <v>0008MV</v>
      </c>
      <c r="B1576" s="1" t="s">
        <v>6227</v>
      </c>
      <c r="C1576" s="1" t="s">
        <v>6228</v>
      </c>
      <c r="D1576" s="1" t="str">
        <f>"8028772550"</f>
        <v>8028772550</v>
      </c>
      <c r="E1576" s="1">
        <v>3154.0</v>
      </c>
      <c r="F1576" s="1" t="s">
        <v>44</v>
      </c>
      <c r="G1576" s="1" t="s">
        <v>6229</v>
      </c>
      <c r="H1576" s="1"/>
      <c r="I1576" s="1"/>
      <c r="J1576" s="1"/>
      <c r="K1576" s="1"/>
      <c r="L1576" s="1"/>
      <c r="M1576" s="1" t="s">
        <v>72</v>
      </c>
      <c r="N1576" s="1" t="s">
        <v>161</v>
      </c>
      <c r="O1576" s="1" t="s">
        <v>769</v>
      </c>
      <c r="P1576" s="1"/>
      <c r="Q1576" s="3">
        <v>36892.0</v>
      </c>
      <c r="R1576" s="1"/>
      <c r="S1576" s="1"/>
      <c r="T1576" s="1" t="s">
        <v>37</v>
      </c>
      <c r="U1576" s="1"/>
      <c r="V1576" s="1" t="s">
        <v>38</v>
      </c>
      <c r="W1576" s="1"/>
      <c r="X1576" s="1"/>
      <c r="Y1576" s="1" t="s">
        <v>49</v>
      </c>
      <c r="Z1576" s="1"/>
      <c r="AA1576" s="1" t="s">
        <v>40</v>
      </c>
      <c r="AB1576" s="1" t="s">
        <v>770</v>
      </c>
      <c r="AC1576" s="1"/>
    </row>
    <row r="1577">
      <c r="A1577" s="1" t="str">
        <f>"0007QM"</f>
        <v>0007QM</v>
      </c>
      <c r="B1577" s="1" t="s">
        <v>6230</v>
      </c>
      <c r="C1577" s="1" t="s">
        <v>6231</v>
      </c>
      <c r="D1577" s="1" t="str">
        <f>"8024544696"</f>
        <v>8024544696</v>
      </c>
      <c r="E1577" s="1">
        <v>3148.0</v>
      </c>
      <c r="F1577" s="1" t="s">
        <v>44</v>
      </c>
      <c r="G1577" s="1" t="s">
        <v>6232</v>
      </c>
      <c r="H1577" s="1">
        <v>1.0</v>
      </c>
      <c r="I1577" s="2">
        <v>1.0</v>
      </c>
      <c r="J1577" s="2">
        <v>1.0</v>
      </c>
      <c r="K1577" s="2" t="s">
        <v>119</v>
      </c>
      <c r="L1577" s="1"/>
      <c r="M1577" s="1" t="s">
        <v>72</v>
      </c>
      <c r="N1577" s="1" t="s">
        <v>135</v>
      </c>
      <c r="O1577" s="1" t="s">
        <v>1073</v>
      </c>
      <c r="P1577" s="1" t="s">
        <v>6233</v>
      </c>
      <c r="Q1577" s="3">
        <v>36892.0</v>
      </c>
      <c r="R1577" s="1"/>
      <c r="S1577" s="1"/>
      <c r="T1577" s="1" t="s">
        <v>37</v>
      </c>
      <c r="U1577" s="1"/>
      <c r="V1577" s="1" t="s">
        <v>38</v>
      </c>
      <c r="W1577" s="1"/>
      <c r="X1577" s="1"/>
      <c r="Y1577" s="1" t="s">
        <v>4310</v>
      </c>
      <c r="Z1577" s="1"/>
      <c r="AA1577" s="1" t="s">
        <v>40</v>
      </c>
      <c r="AB1577" s="1" t="s">
        <v>1075</v>
      </c>
      <c r="AC1577" s="1">
        <v>5658.0</v>
      </c>
    </row>
    <row r="1578">
      <c r="A1578" s="1" t="str">
        <f>"00070Q"</f>
        <v>00070Q</v>
      </c>
      <c r="B1578" s="1" t="s">
        <v>6234</v>
      </c>
      <c r="C1578" s="1" t="s">
        <v>6235</v>
      </c>
      <c r="D1578" s="1"/>
      <c r="E1578" s="1">
        <v>59.0</v>
      </c>
      <c r="F1578" s="1" t="s">
        <v>44</v>
      </c>
      <c r="G1578" s="1" t="s">
        <v>6236</v>
      </c>
      <c r="H1578" s="1"/>
      <c r="I1578" s="1"/>
      <c r="J1578" s="1"/>
      <c r="K1578" s="1"/>
      <c r="L1578" s="1"/>
      <c r="M1578" s="1" t="s">
        <v>6237</v>
      </c>
      <c r="N1578" s="1" t="s">
        <v>78</v>
      </c>
      <c r="O1578" s="1" t="s">
        <v>1303</v>
      </c>
      <c r="P1578" s="1"/>
      <c r="Q1578" s="3">
        <v>36892.0</v>
      </c>
      <c r="R1578" s="1"/>
      <c r="S1578" s="1"/>
      <c r="T1578" s="1" t="s">
        <v>37</v>
      </c>
      <c r="U1578" s="1"/>
      <c r="V1578" s="1" t="s">
        <v>38</v>
      </c>
      <c r="W1578" s="1"/>
      <c r="X1578" s="1"/>
      <c r="Y1578" s="1" t="s">
        <v>49</v>
      </c>
      <c r="Z1578" s="1"/>
      <c r="AA1578" s="1" t="s">
        <v>40</v>
      </c>
      <c r="AB1578" s="1" t="s">
        <v>1304</v>
      </c>
      <c r="AC1578" s="1"/>
    </row>
    <row r="1579">
      <c r="A1579" s="1" t="str">
        <f>"00070M"</f>
        <v>00070M</v>
      </c>
      <c r="B1579" s="1" t="s">
        <v>6238</v>
      </c>
      <c r="C1579" s="1" t="s">
        <v>6239</v>
      </c>
      <c r="D1579" s="1"/>
      <c r="E1579" s="1">
        <v>55.0</v>
      </c>
      <c r="F1579" s="1" t="s">
        <v>44</v>
      </c>
      <c r="G1579" s="1" t="s">
        <v>6240</v>
      </c>
      <c r="H1579" s="1"/>
      <c r="I1579" s="1"/>
      <c r="J1579" s="1"/>
      <c r="K1579" s="1"/>
      <c r="L1579" s="1"/>
      <c r="M1579" s="1" t="s">
        <v>72</v>
      </c>
      <c r="N1579" s="1" t="s">
        <v>78</v>
      </c>
      <c r="O1579" s="1" t="s">
        <v>1303</v>
      </c>
      <c r="P1579" s="1"/>
      <c r="Q1579" s="3">
        <v>36892.0</v>
      </c>
      <c r="R1579" s="1"/>
      <c r="S1579" s="1"/>
      <c r="T1579" s="1" t="s">
        <v>37</v>
      </c>
      <c r="U1579" s="1"/>
      <c r="V1579" s="1" t="s">
        <v>38</v>
      </c>
      <c r="W1579" s="1"/>
      <c r="X1579" s="1"/>
      <c r="Y1579" s="1" t="s">
        <v>49</v>
      </c>
      <c r="Z1579" s="1"/>
      <c r="AA1579" s="1" t="s">
        <v>40</v>
      </c>
      <c r="AB1579" s="1" t="s">
        <v>1304</v>
      </c>
      <c r="AC1579" s="1"/>
    </row>
    <row r="1580">
      <c r="A1580" s="1" t="str">
        <f>"00070J"</f>
        <v>00070J</v>
      </c>
      <c r="B1580" s="1" t="s">
        <v>6241</v>
      </c>
      <c r="C1580" s="1" t="s">
        <v>6242</v>
      </c>
      <c r="D1580" s="1"/>
      <c r="E1580" s="1">
        <v>48.0</v>
      </c>
      <c r="F1580" s="1" t="s">
        <v>44</v>
      </c>
      <c r="G1580" s="1" t="s">
        <v>6243</v>
      </c>
      <c r="H1580" s="1"/>
      <c r="I1580" s="1"/>
      <c r="J1580" s="1"/>
      <c r="K1580" s="1"/>
      <c r="L1580" s="1"/>
      <c r="M1580" s="1" t="s">
        <v>72</v>
      </c>
      <c r="N1580" s="1" t="s">
        <v>78</v>
      </c>
      <c r="O1580" s="1" t="s">
        <v>3828</v>
      </c>
      <c r="P1580" s="1"/>
      <c r="Q1580" s="3">
        <v>36892.0</v>
      </c>
      <c r="R1580" s="1"/>
      <c r="S1580" s="1"/>
      <c r="T1580" s="1" t="s">
        <v>37</v>
      </c>
      <c r="U1580" s="1"/>
      <c r="V1580" s="1" t="s">
        <v>38</v>
      </c>
      <c r="W1580" s="1"/>
      <c r="X1580" s="1"/>
      <c r="Y1580" s="1" t="s">
        <v>49</v>
      </c>
      <c r="Z1580" s="1"/>
      <c r="AA1580" s="1" t="s">
        <v>40</v>
      </c>
      <c r="AB1580" s="1" t="s">
        <v>3831</v>
      </c>
      <c r="AC1580" s="1"/>
    </row>
    <row r="1581">
      <c r="A1581" s="1" t="str">
        <f>"00070D"</f>
        <v>00070D</v>
      </c>
      <c r="B1581" s="1" t="s">
        <v>527</v>
      </c>
      <c r="C1581" s="1" t="s">
        <v>528</v>
      </c>
      <c r="D1581" s="1" t="str">
        <f>"8024923458"</f>
        <v>8024923458</v>
      </c>
      <c r="E1581" s="1">
        <v>41.0</v>
      </c>
      <c r="F1581" s="1" t="s">
        <v>31</v>
      </c>
      <c r="G1581" s="1" t="s">
        <v>6244</v>
      </c>
      <c r="H1581" s="1">
        <v>42.0</v>
      </c>
      <c r="I1581" s="1"/>
      <c r="J1581" s="1"/>
      <c r="K1581" s="1"/>
      <c r="L1581" s="1"/>
      <c r="M1581" s="1" t="s">
        <v>6245</v>
      </c>
      <c r="N1581" s="1" t="s">
        <v>78</v>
      </c>
      <c r="O1581" s="1" t="s">
        <v>3828</v>
      </c>
      <c r="P1581" s="1"/>
      <c r="Q1581" s="3">
        <v>36892.0</v>
      </c>
      <c r="R1581" s="1"/>
      <c r="S1581" s="3">
        <v>42966.0</v>
      </c>
      <c r="T1581" s="1" t="s">
        <v>37</v>
      </c>
      <c r="U1581" s="1"/>
      <c r="V1581" s="1" t="s">
        <v>38</v>
      </c>
      <c r="W1581" s="1">
        <v>43.5206646186337</v>
      </c>
      <c r="X1581" s="1">
        <v>-72.9849198370811</v>
      </c>
      <c r="Y1581" s="1" t="s">
        <v>6246</v>
      </c>
      <c r="Z1581" s="1"/>
      <c r="AA1581" s="1" t="s">
        <v>40</v>
      </c>
      <c r="AB1581" s="1" t="s">
        <v>3831</v>
      </c>
      <c r="AC1581" s="1">
        <v>5759.0</v>
      </c>
    </row>
    <row r="1582">
      <c r="A1582" s="1" t="str">
        <f>"000746"</f>
        <v>000746</v>
      </c>
      <c r="B1582" s="1" t="s">
        <v>6247</v>
      </c>
      <c r="C1582" s="1" t="s">
        <v>6248</v>
      </c>
      <c r="D1582" s="1" t="str">
        <f>"8028670341"</f>
        <v>8028670341</v>
      </c>
      <c r="E1582" s="1">
        <v>3684.0</v>
      </c>
      <c r="F1582" s="1" t="s">
        <v>117</v>
      </c>
      <c r="G1582" s="1" t="s">
        <v>6249</v>
      </c>
      <c r="H1582" s="1">
        <v>2.0</v>
      </c>
      <c r="I1582" s="2">
        <v>2.0</v>
      </c>
      <c r="J1582" s="2">
        <v>2.0</v>
      </c>
      <c r="K1582" s="2" t="s">
        <v>119</v>
      </c>
      <c r="L1582" s="1"/>
      <c r="M1582" s="1" t="s">
        <v>6250</v>
      </c>
      <c r="N1582" s="1" t="s">
        <v>414</v>
      </c>
      <c r="O1582" s="1" t="s">
        <v>415</v>
      </c>
      <c r="P1582" s="1" t="s">
        <v>6250</v>
      </c>
      <c r="Q1582" s="3">
        <v>36892.0</v>
      </c>
      <c r="R1582" s="1"/>
      <c r="S1582" s="1"/>
      <c r="T1582" s="1" t="s">
        <v>37</v>
      </c>
      <c r="U1582" s="1"/>
      <c r="V1582" s="1" t="s">
        <v>38</v>
      </c>
      <c r="W1582" s="1">
        <v>43.2548074</v>
      </c>
      <c r="X1582" s="1">
        <v>-73.0987801</v>
      </c>
      <c r="Y1582" s="1" t="s">
        <v>49</v>
      </c>
      <c r="Z1582" s="1"/>
      <c r="AA1582" s="1" t="s">
        <v>40</v>
      </c>
      <c r="AB1582" s="1" t="s">
        <v>416</v>
      </c>
      <c r="AC1582" s="1">
        <v>5251.0</v>
      </c>
    </row>
    <row r="1583">
      <c r="A1583" s="1" t="str">
        <f>"000733"</f>
        <v>000733</v>
      </c>
      <c r="B1583" s="1" t="s">
        <v>6251</v>
      </c>
      <c r="C1583" s="1" t="s">
        <v>6252</v>
      </c>
      <c r="D1583" s="1" t="str">
        <f>"8028499967"</f>
        <v>8028499967</v>
      </c>
      <c r="E1583" s="1">
        <v>3625.0</v>
      </c>
      <c r="F1583" s="1" t="s">
        <v>44</v>
      </c>
      <c r="G1583" s="1" t="s">
        <v>6253</v>
      </c>
      <c r="H1583" s="1">
        <v>0.0</v>
      </c>
      <c r="I1583" s="1"/>
      <c r="J1583" s="1"/>
      <c r="K1583" s="1"/>
      <c r="L1583" s="1"/>
      <c r="M1583" s="1" t="s">
        <v>72</v>
      </c>
      <c r="N1583" s="1" t="s">
        <v>47</v>
      </c>
      <c r="O1583" s="1" t="s">
        <v>378</v>
      </c>
      <c r="P1583" s="1"/>
      <c r="Q1583" s="3">
        <v>36892.0</v>
      </c>
      <c r="R1583" s="1"/>
      <c r="S1583" s="1"/>
      <c r="T1583" s="1" t="s">
        <v>37</v>
      </c>
      <c r="U1583" s="1"/>
      <c r="V1583" s="1" t="s">
        <v>38</v>
      </c>
      <c r="W1583" s="1">
        <v>44.65394</v>
      </c>
      <c r="X1583" s="1">
        <v>-73.035382</v>
      </c>
      <c r="Y1583" s="1" t="s">
        <v>6254</v>
      </c>
      <c r="Z1583" s="1"/>
      <c r="AA1583" s="1" t="s">
        <v>40</v>
      </c>
      <c r="AB1583" s="1" t="s">
        <v>381</v>
      </c>
      <c r="AC1583" s="1">
        <v>5454.0</v>
      </c>
    </row>
    <row r="1584">
      <c r="A1584" s="1" t="str">
        <f>"0008WZ"</f>
        <v>0008WZ</v>
      </c>
      <c r="B1584" s="1" t="s">
        <v>6255</v>
      </c>
      <c r="C1584" s="1" t="s">
        <v>6256</v>
      </c>
      <c r="D1584" s="1" t="str">
        <f>"8029854187"</f>
        <v>8029854187</v>
      </c>
      <c r="E1584" s="1">
        <v>3415.0</v>
      </c>
      <c r="F1584" s="1" t="s">
        <v>44</v>
      </c>
      <c r="G1584" s="1" t="s">
        <v>6257</v>
      </c>
      <c r="H1584" s="1">
        <v>3.0</v>
      </c>
      <c r="I1584" s="1"/>
      <c r="J1584" s="1"/>
      <c r="K1584" s="1"/>
      <c r="L1584" s="1"/>
      <c r="M1584" s="1" t="s">
        <v>72</v>
      </c>
      <c r="N1584" s="1" t="s">
        <v>57</v>
      </c>
      <c r="O1584" s="1" t="s">
        <v>238</v>
      </c>
      <c r="P1584" s="1"/>
      <c r="Q1584" s="3">
        <v>36892.0</v>
      </c>
      <c r="R1584" s="1"/>
      <c r="S1584" s="3">
        <v>37790.0</v>
      </c>
      <c r="T1584" s="1" t="s">
        <v>37</v>
      </c>
      <c r="U1584" s="1"/>
      <c r="V1584" s="1" t="s">
        <v>38</v>
      </c>
      <c r="W1584" s="1"/>
      <c r="X1584" s="1"/>
      <c r="Y1584" s="1" t="s">
        <v>49</v>
      </c>
      <c r="Z1584" s="1"/>
      <c r="AA1584" s="1" t="s">
        <v>40</v>
      </c>
      <c r="AB1584" s="1" t="s">
        <v>239</v>
      </c>
      <c r="AC1584" s="1"/>
    </row>
    <row r="1585">
      <c r="A1585" s="1" t="str">
        <f>"0007BC"</f>
        <v>0007BC</v>
      </c>
      <c r="B1585" s="1" t="s">
        <v>5694</v>
      </c>
      <c r="C1585" s="1" t="s">
        <v>5695</v>
      </c>
      <c r="D1585" s="1" t="str">
        <f>"8025271908"</f>
        <v>8025271908</v>
      </c>
      <c r="E1585" s="1">
        <v>3680.0</v>
      </c>
      <c r="F1585" s="1" t="s">
        <v>44</v>
      </c>
      <c r="G1585" s="1" t="s">
        <v>6258</v>
      </c>
      <c r="H1585" s="1">
        <v>5.0</v>
      </c>
      <c r="I1585" s="1"/>
      <c r="J1585" s="1"/>
      <c r="K1585" s="1"/>
      <c r="L1585" s="1"/>
      <c r="M1585" s="1" t="s">
        <v>6259</v>
      </c>
      <c r="N1585" s="1" t="s">
        <v>57</v>
      </c>
      <c r="O1585" s="1" t="s">
        <v>256</v>
      </c>
      <c r="P1585" s="1"/>
      <c r="Q1585" s="3">
        <v>36892.0</v>
      </c>
      <c r="R1585" s="1"/>
      <c r="S1585" s="3">
        <v>39623.0</v>
      </c>
      <c r="T1585" s="1" t="s">
        <v>37</v>
      </c>
      <c r="U1585" s="1"/>
      <c r="V1585" s="1" t="s">
        <v>38</v>
      </c>
      <c r="W1585" s="1">
        <v>44.61818</v>
      </c>
      <c r="X1585" s="1">
        <v>-73.07193</v>
      </c>
      <c r="Y1585" s="1" t="s">
        <v>6260</v>
      </c>
      <c r="Z1585" s="1"/>
      <c r="AA1585" s="1" t="s">
        <v>40</v>
      </c>
      <c r="AB1585" s="1" t="s">
        <v>257</v>
      </c>
      <c r="AC1585" s="1">
        <v>5468.0</v>
      </c>
    </row>
    <row r="1586">
      <c r="A1586" s="1" t="str">
        <f>"00076C"</f>
        <v>00076C</v>
      </c>
      <c r="B1586" s="1" t="s">
        <v>6261</v>
      </c>
      <c r="C1586" s="1" t="s">
        <v>6262</v>
      </c>
      <c r="D1586" s="1" t="str">
        <f>"8024344902"</f>
        <v>8024344902</v>
      </c>
      <c r="E1586" s="1">
        <v>3375.0</v>
      </c>
      <c r="F1586" s="1" t="s">
        <v>44</v>
      </c>
      <c r="G1586" s="1" t="s">
        <v>6263</v>
      </c>
      <c r="H1586" s="1"/>
      <c r="I1586" s="1"/>
      <c r="J1586" s="1"/>
      <c r="K1586" s="1"/>
      <c r="L1586" s="1"/>
      <c r="M1586" s="1" t="s">
        <v>72</v>
      </c>
      <c r="N1586" s="1" t="s">
        <v>161</v>
      </c>
      <c r="O1586" s="1" t="s">
        <v>180</v>
      </c>
      <c r="P1586" s="1"/>
      <c r="Q1586" s="3">
        <v>36892.0</v>
      </c>
      <c r="R1586" s="1"/>
      <c r="S1586" s="1"/>
      <c r="T1586" s="1" t="s">
        <v>37</v>
      </c>
      <c r="U1586" s="1"/>
      <c r="V1586" s="1" t="s">
        <v>38</v>
      </c>
      <c r="W1586" s="1"/>
      <c r="X1586" s="1"/>
      <c r="Y1586" s="1" t="s">
        <v>49</v>
      </c>
      <c r="Z1586" s="1"/>
      <c r="AA1586" s="1" t="s">
        <v>40</v>
      </c>
      <c r="AB1586" s="1" t="s">
        <v>181</v>
      </c>
      <c r="AC1586" s="1"/>
    </row>
    <row r="1587">
      <c r="A1587" s="1" t="str">
        <f t="shared" ref="A1587:A1589" si="96">"000702"</f>
        <v>000702</v>
      </c>
      <c r="B1587" s="1" t="s">
        <v>852</v>
      </c>
      <c r="C1587" s="1" t="s">
        <v>853</v>
      </c>
      <c r="D1587" s="1" t="str">
        <f t="shared" ref="D1587:D1589" si="97">"8024685099"</f>
        <v>8024685099</v>
      </c>
      <c r="E1587" s="1">
        <v>15.0</v>
      </c>
      <c r="F1587" s="1" t="s">
        <v>44</v>
      </c>
      <c r="G1587" s="1" t="s">
        <v>6264</v>
      </c>
      <c r="H1587" s="1">
        <v>3.0</v>
      </c>
      <c r="I1587" s="1"/>
      <c r="J1587" s="1"/>
      <c r="K1587" s="1"/>
      <c r="L1587" s="1"/>
      <c r="M1587" s="1" t="s">
        <v>6265</v>
      </c>
      <c r="N1587" s="1" t="s">
        <v>78</v>
      </c>
      <c r="O1587" s="1" t="s">
        <v>855</v>
      </c>
      <c r="P1587" s="1"/>
      <c r="Q1587" s="3">
        <v>36892.0</v>
      </c>
      <c r="R1587" s="1"/>
      <c r="S1587" s="3">
        <v>32303.0</v>
      </c>
      <c r="T1587" s="1" t="s">
        <v>37</v>
      </c>
      <c r="U1587" s="1"/>
      <c r="V1587" s="1" t="s">
        <v>38</v>
      </c>
      <c r="W1587" s="1"/>
      <c r="X1587" s="1"/>
      <c r="Y1587" s="1" t="s">
        <v>49</v>
      </c>
      <c r="Z1587" s="1"/>
      <c r="AA1587" s="1" t="s">
        <v>40</v>
      </c>
      <c r="AB1587" s="1" t="s">
        <v>857</v>
      </c>
      <c r="AC1587" s="1"/>
    </row>
    <row r="1588">
      <c r="A1588" s="1" t="str">
        <f t="shared" si="96"/>
        <v>000702</v>
      </c>
      <c r="B1588" s="1" t="s">
        <v>852</v>
      </c>
      <c r="C1588" s="1" t="s">
        <v>853</v>
      </c>
      <c r="D1588" s="1" t="str">
        <f t="shared" si="97"/>
        <v>8024685099</v>
      </c>
      <c r="E1588" s="1">
        <v>15.0</v>
      </c>
      <c r="F1588" s="1" t="s">
        <v>44</v>
      </c>
      <c r="G1588" s="1" t="s">
        <v>6266</v>
      </c>
      <c r="H1588" s="1">
        <v>4.0</v>
      </c>
      <c r="I1588" s="1"/>
      <c r="J1588" s="1"/>
      <c r="K1588" s="1"/>
      <c r="L1588" s="1"/>
      <c r="M1588" s="1" t="s">
        <v>6267</v>
      </c>
      <c r="N1588" s="1" t="s">
        <v>78</v>
      </c>
      <c r="O1588" s="1" t="s">
        <v>855</v>
      </c>
      <c r="P1588" s="1"/>
      <c r="Q1588" s="3">
        <v>36892.0</v>
      </c>
      <c r="R1588" s="1"/>
      <c r="S1588" s="3">
        <v>32304.0</v>
      </c>
      <c r="T1588" s="1" t="s">
        <v>37</v>
      </c>
      <c r="U1588" s="1"/>
      <c r="V1588" s="1" t="s">
        <v>38</v>
      </c>
      <c r="W1588" s="1"/>
      <c r="X1588" s="1"/>
      <c r="Y1588" s="1" t="s">
        <v>49</v>
      </c>
      <c r="Z1588" s="1"/>
      <c r="AA1588" s="1" t="s">
        <v>40</v>
      </c>
      <c r="AB1588" s="1" t="s">
        <v>857</v>
      </c>
      <c r="AC1588" s="1"/>
    </row>
    <row r="1589">
      <c r="A1589" s="1" t="str">
        <f t="shared" si="96"/>
        <v>000702</v>
      </c>
      <c r="B1589" s="1" t="s">
        <v>852</v>
      </c>
      <c r="C1589" s="1" t="s">
        <v>853</v>
      </c>
      <c r="D1589" s="1" t="str">
        <f t="shared" si="97"/>
        <v>8024685099</v>
      </c>
      <c r="E1589" s="1">
        <v>15.0</v>
      </c>
      <c r="F1589" s="1" t="s">
        <v>44</v>
      </c>
      <c r="G1589" s="1" t="s">
        <v>6268</v>
      </c>
      <c r="H1589" s="1">
        <v>4.0</v>
      </c>
      <c r="I1589" s="1"/>
      <c r="J1589" s="1"/>
      <c r="K1589" s="1"/>
      <c r="L1589" s="1"/>
      <c r="M1589" s="1" t="s">
        <v>6269</v>
      </c>
      <c r="N1589" s="1" t="s">
        <v>78</v>
      </c>
      <c r="O1589" s="1" t="s">
        <v>615</v>
      </c>
      <c r="P1589" s="1"/>
      <c r="Q1589" s="3">
        <v>36892.0</v>
      </c>
      <c r="R1589" s="1"/>
      <c r="S1589" s="3">
        <v>32317.0</v>
      </c>
      <c r="T1589" s="1" t="s">
        <v>37</v>
      </c>
      <c r="U1589" s="1"/>
      <c r="V1589" s="1" t="s">
        <v>38</v>
      </c>
      <c r="W1589" s="1"/>
      <c r="X1589" s="1"/>
      <c r="Y1589" s="1" t="s">
        <v>49</v>
      </c>
      <c r="Z1589" s="1"/>
      <c r="AA1589" s="1" t="s">
        <v>40</v>
      </c>
      <c r="AB1589" s="1" t="s">
        <v>616</v>
      </c>
      <c r="AC1589" s="1"/>
    </row>
    <row r="1590">
      <c r="A1590" s="1" t="str">
        <f t="shared" ref="A1590:A1591" si="98">"0007D8"</f>
        <v>0007D8</v>
      </c>
      <c r="B1590" s="1" t="s">
        <v>62</v>
      </c>
      <c r="C1590" s="1" t="s">
        <v>63</v>
      </c>
      <c r="D1590" s="1" t="str">
        <f t="shared" ref="D1590:D1591" si="99">"8023654755"</f>
        <v>8023654755</v>
      </c>
      <c r="E1590" s="1">
        <v>2928.0</v>
      </c>
      <c r="F1590" s="1" t="s">
        <v>44</v>
      </c>
      <c r="G1590" s="1" t="s">
        <v>6270</v>
      </c>
      <c r="H1590" s="1">
        <v>1.0</v>
      </c>
      <c r="I1590" s="1"/>
      <c r="J1590" s="1"/>
      <c r="K1590" s="1"/>
      <c r="L1590" s="1"/>
      <c r="M1590" s="1" t="s">
        <v>6271</v>
      </c>
      <c r="N1590" s="1" t="s">
        <v>66</v>
      </c>
      <c r="O1590" s="1" t="s">
        <v>67</v>
      </c>
      <c r="P1590" s="1"/>
      <c r="Q1590" s="3">
        <v>36892.0</v>
      </c>
      <c r="R1590" s="1"/>
      <c r="S1590" s="3">
        <v>34905.0</v>
      </c>
      <c r="T1590" s="1" t="s">
        <v>37</v>
      </c>
      <c r="U1590" s="1"/>
      <c r="V1590" s="1" t="s">
        <v>38</v>
      </c>
      <c r="W1590" s="1"/>
      <c r="X1590" s="1"/>
      <c r="Y1590" s="1" t="s">
        <v>49</v>
      </c>
      <c r="Z1590" s="1"/>
      <c r="AA1590" s="1" t="s">
        <v>40</v>
      </c>
      <c r="AB1590" s="1" t="s">
        <v>68</v>
      </c>
      <c r="AC1590" s="1"/>
    </row>
    <row r="1591">
      <c r="A1591" s="1" t="str">
        <f t="shared" si="98"/>
        <v>0007D8</v>
      </c>
      <c r="B1591" s="1" t="s">
        <v>62</v>
      </c>
      <c r="C1591" s="1" t="s">
        <v>63</v>
      </c>
      <c r="D1591" s="1" t="str">
        <f t="shared" si="99"/>
        <v>8023654755</v>
      </c>
      <c r="E1591" s="1">
        <v>2928.0</v>
      </c>
      <c r="F1591" s="1" t="s">
        <v>44</v>
      </c>
      <c r="G1591" s="1" t="s">
        <v>6272</v>
      </c>
      <c r="H1591" s="1">
        <v>1.0</v>
      </c>
      <c r="I1591" s="1"/>
      <c r="J1591" s="1"/>
      <c r="K1591" s="1"/>
      <c r="L1591" s="1"/>
      <c r="M1591" s="1" t="s">
        <v>6273</v>
      </c>
      <c r="N1591" s="1" t="s">
        <v>66</v>
      </c>
      <c r="O1591" s="1" t="s">
        <v>67</v>
      </c>
      <c r="P1591" s="1"/>
      <c r="Q1591" s="3">
        <v>36892.0</v>
      </c>
      <c r="R1591" s="1"/>
      <c r="S1591" s="3">
        <v>34905.0</v>
      </c>
      <c r="T1591" s="1" t="s">
        <v>37</v>
      </c>
      <c r="U1591" s="1"/>
      <c r="V1591" s="1" t="s">
        <v>38</v>
      </c>
      <c r="W1591" s="1"/>
      <c r="X1591" s="1"/>
      <c r="Y1591" s="1" t="s">
        <v>49</v>
      </c>
      <c r="Z1591" s="1"/>
      <c r="AA1591" s="1" t="s">
        <v>40</v>
      </c>
      <c r="AB1591" s="1" t="s">
        <v>68</v>
      </c>
      <c r="AC1591" s="1"/>
    </row>
    <row r="1592">
      <c r="A1592" s="1" t="str">
        <f>"000707"</f>
        <v>000707</v>
      </c>
      <c r="B1592" s="1" t="s">
        <v>6274</v>
      </c>
      <c r="C1592" s="1" t="s">
        <v>6275</v>
      </c>
      <c r="D1592" s="1" t="str">
        <f>"8024223688"</f>
        <v>8024223688</v>
      </c>
      <c r="E1592" s="1">
        <v>2914.0</v>
      </c>
      <c r="F1592" s="1" t="s">
        <v>44</v>
      </c>
      <c r="G1592" s="1" t="s">
        <v>6276</v>
      </c>
      <c r="H1592" s="1"/>
      <c r="I1592" s="1"/>
      <c r="J1592" s="1"/>
      <c r="K1592" s="1"/>
      <c r="L1592" s="1"/>
      <c r="M1592" s="1" t="s">
        <v>72</v>
      </c>
      <c r="N1592" s="1" t="s">
        <v>34</v>
      </c>
      <c r="O1592" s="1" t="s">
        <v>958</v>
      </c>
      <c r="P1592" s="1"/>
      <c r="Q1592" s="3">
        <v>36892.0</v>
      </c>
      <c r="R1592" s="1"/>
      <c r="S1592" s="1"/>
      <c r="T1592" s="1" t="s">
        <v>37</v>
      </c>
      <c r="U1592" s="1"/>
      <c r="V1592" s="1" t="s">
        <v>38</v>
      </c>
      <c r="W1592" s="1"/>
      <c r="X1592" s="1"/>
      <c r="Y1592" s="1" t="s">
        <v>49</v>
      </c>
      <c r="Z1592" s="1"/>
      <c r="AA1592" s="1" t="s">
        <v>40</v>
      </c>
      <c r="AB1592" s="1" t="s">
        <v>959</v>
      </c>
      <c r="AC1592" s="1"/>
    </row>
    <row r="1593">
      <c r="A1593" s="1" t="str">
        <f>"000866"</f>
        <v>000866</v>
      </c>
      <c r="B1593" s="1" t="s">
        <v>1826</v>
      </c>
      <c r="C1593" s="1" t="s">
        <v>1827</v>
      </c>
      <c r="D1593" s="1" t="str">
        <f>"8024395435"</f>
        <v>8024395435</v>
      </c>
      <c r="E1593" s="1">
        <v>1717.0</v>
      </c>
      <c r="F1593" s="1" t="s">
        <v>31</v>
      </c>
      <c r="G1593" s="1" t="s">
        <v>6277</v>
      </c>
      <c r="H1593" s="1">
        <v>0.0</v>
      </c>
      <c r="I1593" s="1"/>
      <c r="J1593" s="1"/>
      <c r="K1593" s="1"/>
      <c r="L1593" s="1"/>
      <c r="M1593" s="1" t="s">
        <v>6278</v>
      </c>
      <c r="N1593" s="1" t="s">
        <v>142</v>
      </c>
      <c r="O1593" s="1" t="s">
        <v>227</v>
      </c>
      <c r="P1593" s="1" t="s">
        <v>6279</v>
      </c>
      <c r="Q1593" s="3">
        <v>36892.0</v>
      </c>
      <c r="R1593" s="1"/>
      <c r="S1593" s="3">
        <v>40260.0</v>
      </c>
      <c r="T1593" s="1" t="s">
        <v>37</v>
      </c>
      <c r="U1593" s="1"/>
      <c r="V1593" s="1" t="s">
        <v>38</v>
      </c>
      <c r="W1593" s="1">
        <v>43.9824281974645</v>
      </c>
      <c r="X1593" s="1">
        <v>-72.1367293596267</v>
      </c>
      <c r="Y1593" s="1" t="s">
        <v>6280</v>
      </c>
      <c r="Z1593" s="1"/>
      <c r="AA1593" s="1" t="s">
        <v>40</v>
      </c>
      <c r="AB1593" s="1" t="s">
        <v>228</v>
      </c>
      <c r="AC1593" s="1">
        <v>5033.0</v>
      </c>
    </row>
    <row r="1594">
      <c r="A1594" s="1" t="str">
        <f>"0008ZM"</f>
        <v>0008ZM</v>
      </c>
      <c r="B1594" s="1" t="s">
        <v>6281</v>
      </c>
      <c r="C1594" s="1" t="s">
        <v>6282</v>
      </c>
      <c r="D1594" s="1" t="str">
        <f>"8029226208"</f>
        <v>8029226208</v>
      </c>
      <c r="E1594" s="1">
        <v>3543.0</v>
      </c>
      <c r="F1594" s="1" t="s">
        <v>44</v>
      </c>
      <c r="G1594" s="1" t="s">
        <v>6283</v>
      </c>
      <c r="H1594" s="1">
        <v>0.0</v>
      </c>
      <c r="I1594" s="1"/>
      <c r="J1594" s="1"/>
      <c r="K1594" s="1"/>
      <c r="L1594" s="1"/>
      <c r="M1594" s="1" t="s">
        <v>6284</v>
      </c>
      <c r="N1594" s="1" t="s">
        <v>57</v>
      </c>
      <c r="O1594" s="1" t="s">
        <v>238</v>
      </c>
      <c r="P1594" s="1"/>
      <c r="Q1594" s="3">
        <v>36892.0</v>
      </c>
      <c r="R1594" s="1"/>
      <c r="S1594" s="3">
        <v>38874.0</v>
      </c>
      <c r="T1594" s="1" t="s">
        <v>37</v>
      </c>
      <c r="U1594" s="1"/>
      <c r="V1594" s="1" t="s">
        <v>38</v>
      </c>
      <c r="W1594" s="1"/>
      <c r="X1594" s="1"/>
      <c r="Y1594" s="1" t="s">
        <v>49</v>
      </c>
      <c r="Z1594" s="1"/>
      <c r="AA1594" s="1" t="s">
        <v>40</v>
      </c>
      <c r="AB1594" s="1" t="s">
        <v>239</v>
      </c>
      <c r="AC1594" s="1"/>
    </row>
    <row r="1595">
      <c r="A1595" s="1" t="str">
        <f>"00094K"</f>
        <v>00094K</v>
      </c>
      <c r="B1595" s="1" t="s">
        <v>6285</v>
      </c>
      <c r="C1595" s="1" t="s">
        <v>6286</v>
      </c>
      <c r="D1595" s="1" t="str">
        <f>"8026725215"</f>
        <v>8026725215</v>
      </c>
      <c r="E1595" s="1">
        <v>4018.0</v>
      </c>
      <c r="F1595" s="1" t="s">
        <v>117</v>
      </c>
      <c r="G1595" s="1" t="s">
        <v>6287</v>
      </c>
      <c r="H1595" s="1">
        <v>7.0</v>
      </c>
      <c r="I1595" s="2">
        <v>1.0</v>
      </c>
      <c r="J1595" s="2">
        <v>1.0</v>
      </c>
      <c r="K1595" s="2">
        <v>3.0</v>
      </c>
      <c r="L1595" s="1"/>
      <c r="M1595" s="1" t="s">
        <v>6288</v>
      </c>
      <c r="N1595" s="1" t="s">
        <v>34</v>
      </c>
      <c r="O1595" s="1" t="s">
        <v>985</v>
      </c>
      <c r="P1595" s="1" t="s">
        <v>6289</v>
      </c>
      <c r="Q1595" s="3">
        <v>36892.0</v>
      </c>
      <c r="R1595" s="1"/>
      <c r="S1595" s="3">
        <v>40324.0</v>
      </c>
      <c r="T1595" s="1" t="s">
        <v>37</v>
      </c>
      <c r="U1595" s="1"/>
      <c r="V1595" s="1" t="s">
        <v>38</v>
      </c>
      <c r="W1595" s="1">
        <v>43.6063749910413</v>
      </c>
      <c r="X1595" s="1">
        <v>-72.6347780227661</v>
      </c>
      <c r="Y1595" s="1" t="s">
        <v>6290</v>
      </c>
      <c r="Z1595" s="1"/>
      <c r="AA1595" s="1" t="s">
        <v>40</v>
      </c>
      <c r="AB1595" s="1" t="s">
        <v>987</v>
      </c>
      <c r="AC1595" s="1">
        <v>5034.0</v>
      </c>
    </row>
    <row r="1596">
      <c r="A1596" s="1" t="str">
        <f>"000795"</f>
        <v>000795</v>
      </c>
      <c r="B1596" s="1" t="s">
        <v>6291</v>
      </c>
      <c r="C1596" s="1" t="s">
        <v>6292</v>
      </c>
      <c r="D1596" s="1" t="str">
        <f>"8024571021"</f>
        <v>8024571021</v>
      </c>
      <c r="E1596" s="1">
        <v>464.0</v>
      </c>
      <c r="F1596" s="1" t="s">
        <v>44</v>
      </c>
      <c r="G1596" s="1" t="s">
        <v>6293</v>
      </c>
      <c r="H1596" s="1">
        <v>1.0</v>
      </c>
      <c r="I1596" s="1"/>
      <c r="J1596" s="1"/>
      <c r="K1596" s="1"/>
      <c r="L1596" s="1"/>
      <c r="M1596" s="1" t="s">
        <v>33</v>
      </c>
      <c r="N1596" s="1" t="s">
        <v>34</v>
      </c>
      <c r="O1596" s="1" t="s">
        <v>1286</v>
      </c>
      <c r="P1596" s="1" t="s">
        <v>36</v>
      </c>
      <c r="Q1596" s="3">
        <v>36892.0</v>
      </c>
      <c r="R1596" s="1"/>
      <c r="S1596" s="3">
        <v>39247.0</v>
      </c>
      <c r="T1596" s="1" t="s">
        <v>37</v>
      </c>
      <c r="U1596" s="1"/>
      <c r="V1596" s="1" t="s">
        <v>38</v>
      </c>
      <c r="W1596" s="1">
        <v>43.6895066241971</v>
      </c>
      <c r="X1596" s="1">
        <v>-72.5355577468872</v>
      </c>
      <c r="Y1596" s="1" t="s">
        <v>6294</v>
      </c>
      <c r="Z1596" s="1"/>
      <c r="AA1596" s="1" t="s">
        <v>40</v>
      </c>
      <c r="AB1596" s="1" t="s">
        <v>1287</v>
      </c>
      <c r="AC1596" s="1">
        <v>5067.0</v>
      </c>
    </row>
    <row r="1597">
      <c r="A1597" s="1" t="str">
        <f>"0007WA"</f>
        <v>0007WA</v>
      </c>
      <c r="B1597" s="1" t="s">
        <v>157</v>
      </c>
      <c r="C1597" s="1" t="s">
        <v>158</v>
      </c>
      <c r="D1597" s="1" t="str">
        <f>"8029482057"</f>
        <v>8029482057</v>
      </c>
      <c r="E1597" s="1">
        <v>1217.0</v>
      </c>
      <c r="F1597" s="1" t="s">
        <v>31</v>
      </c>
      <c r="G1597" s="1" t="s">
        <v>6295</v>
      </c>
      <c r="H1597" s="1">
        <v>0.0</v>
      </c>
      <c r="I1597" s="1"/>
      <c r="J1597" s="1"/>
      <c r="K1597" s="1"/>
      <c r="L1597" s="1"/>
      <c r="M1597" s="1" t="s">
        <v>6296</v>
      </c>
      <c r="N1597" s="1" t="s">
        <v>78</v>
      </c>
      <c r="O1597" s="1" t="s">
        <v>426</v>
      </c>
      <c r="P1597" s="1"/>
      <c r="Q1597" s="3">
        <v>36892.0</v>
      </c>
      <c r="R1597" s="3">
        <v>42156.0</v>
      </c>
      <c r="S1597" s="3">
        <v>39371.0</v>
      </c>
      <c r="T1597" s="1" t="s">
        <v>37</v>
      </c>
      <c r="U1597" s="1"/>
      <c r="V1597" s="1" t="s">
        <v>38</v>
      </c>
      <c r="W1597" s="1"/>
      <c r="X1597" s="1"/>
      <c r="Y1597" s="1" t="s">
        <v>49</v>
      </c>
      <c r="Z1597" s="1"/>
      <c r="AA1597" s="1" t="s">
        <v>40</v>
      </c>
      <c r="AB1597" s="1" t="s">
        <v>427</v>
      </c>
      <c r="AC1597" s="1">
        <v>0.0</v>
      </c>
    </row>
    <row r="1598">
      <c r="A1598" s="1" t="str">
        <f>"000700"</f>
        <v>000700</v>
      </c>
      <c r="B1598" s="1" t="s">
        <v>6297</v>
      </c>
      <c r="C1598" s="1" t="s">
        <v>6298</v>
      </c>
      <c r="D1598" s="1"/>
      <c r="E1598" s="1">
        <v>5.0</v>
      </c>
      <c r="F1598" s="1" t="s">
        <v>44</v>
      </c>
      <c r="G1598" s="1" t="s">
        <v>6299</v>
      </c>
      <c r="H1598" s="1"/>
      <c r="I1598" s="1"/>
      <c r="J1598" s="1"/>
      <c r="K1598" s="1"/>
      <c r="L1598" s="1"/>
      <c r="M1598" s="1" t="s">
        <v>72</v>
      </c>
      <c r="N1598" s="1" t="s">
        <v>78</v>
      </c>
      <c r="O1598" s="1" t="s">
        <v>272</v>
      </c>
      <c r="P1598" s="1"/>
      <c r="Q1598" s="3">
        <v>36892.0</v>
      </c>
      <c r="R1598" s="1"/>
      <c r="S1598" s="1"/>
      <c r="T1598" s="1" t="s">
        <v>37</v>
      </c>
      <c r="U1598" s="1"/>
      <c r="V1598" s="1" t="s">
        <v>38</v>
      </c>
      <c r="W1598" s="1"/>
      <c r="X1598" s="1"/>
      <c r="Y1598" s="1" t="s">
        <v>49</v>
      </c>
      <c r="Z1598" s="1"/>
      <c r="AA1598" s="1" t="s">
        <v>40</v>
      </c>
      <c r="AB1598" s="1" t="s">
        <v>275</v>
      </c>
      <c r="AC1598" s="1"/>
    </row>
    <row r="1599">
      <c r="A1599" s="1" t="str">
        <f>"0007WB"</f>
        <v>0007WB</v>
      </c>
      <c r="B1599" s="1" t="s">
        <v>567</v>
      </c>
      <c r="C1599" s="1" t="s">
        <v>568</v>
      </c>
      <c r="D1599" s="1" t="str">
        <f>"8029895895"</f>
        <v>8029895895</v>
      </c>
      <c r="E1599" s="1">
        <v>2046.0</v>
      </c>
      <c r="F1599" s="1" t="s">
        <v>117</v>
      </c>
      <c r="G1599" s="1" t="s">
        <v>6300</v>
      </c>
      <c r="H1599" s="1">
        <v>20.0</v>
      </c>
      <c r="I1599" s="2" t="s">
        <v>119</v>
      </c>
      <c r="J1599" s="2" t="s">
        <v>119</v>
      </c>
      <c r="K1599" s="2" t="s">
        <v>119</v>
      </c>
      <c r="L1599" s="1"/>
      <c r="M1599" s="1" t="s">
        <v>6301</v>
      </c>
      <c r="N1599" s="1" t="s">
        <v>161</v>
      </c>
      <c r="O1599" s="1" t="s">
        <v>1053</v>
      </c>
      <c r="P1599" s="1" t="s">
        <v>6302</v>
      </c>
      <c r="Q1599" s="3">
        <v>36892.0</v>
      </c>
      <c r="R1599" s="1"/>
      <c r="S1599" s="3">
        <v>37895.0</v>
      </c>
      <c r="T1599" s="1" t="s">
        <v>37</v>
      </c>
      <c r="U1599" s="1"/>
      <c r="V1599" s="1" t="s">
        <v>38</v>
      </c>
      <c r="W1599" s="1">
        <v>43.9191255192764</v>
      </c>
      <c r="X1599" s="1">
        <v>-73.2742461562156</v>
      </c>
      <c r="Y1599" s="1" t="s">
        <v>6303</v>
      </c>
      <c r="Z1599" s="1"/>
      <c r="AA1599" s="1" t="s">
        <v>40</v>
      </c>
      <c r="AB1599" s="1" t="s">
        <v>1054</v>
      </c>
      <c r="AC1599" s="1">
        <v>5770.0</v>
      </c>
    </row>
    <row r="1600">
      <c r="A1600" s="1" t="str">
        <f>"000785"</f>
        <v>000785</v>
      </c>
      <c r="B1600" s="1" t="s">
        <v>6304</v>
      </c>
      <c r="C1600" s="1" t="s">
        <v>6305</v>
      </c>
      <c r="D1600" s="1" t="str">
        <f>"8027286456"</f>
        <v>8027286456</v>
      </c>
      <c r="E1600" s="1">
        <v>3424.0</v>
      </c>
      <c r="F1600" s="1" t="s">
        <v>44</v>
      </c>
      <c r="G1600" s="1" t="s">
        <v>6306</v>
      </c>
      <c r="H1600" s="1">
        <v>1.0</v>
      </c>
      <c r="I1600" s="1"/>
      <c r="J1600" s="1"/>
      <c r="K1600" s="1"/>
      <c r="L1600" s="1"/>
      <c r="M1600" s="1" t="s">
        <v>72</v>
      </c>
      <c r="N1600" s="1" t="s">
        <v>142</v>
      </c>
      <c r="O1600" s="1" t="s">
        <v>359</v>
      </c>
      <c r="P1600" s="1"/>
      <c r="Q1600" s="3">
        <v>36892.0</v>
      </c>
      <c r="R1600" s="1"/>
      <c r="S1600" s="3">
        <v>39286.0</v>
      </c>
      <c r="T1600" s="1" t="s">
        <v>37</v>
      </c>
      <c r="U1600" s="1"/>
      <c r="V1600" s="1" t="s">
        <v>38</v>
      </c>
      <c r="W1600" s="1"/>
      <c r="X1600" s="1"/>
      <c r="Y1600" s="1" t="s">
        <v>49</v>
      </c>
      <c r="Z1600" s="1"/>
      <c r="AA1600" s="1" t="s">
        <v>40</v>
      </c>
      <c r="AB1600" s="1" t="s">
        <v>361</v>
      </c>
      <c r="AC1600" s="1"/>
    </row>
    <row r="1601">
      <c r="A1601" s="1" t="str">
        <f t="shared" ref="A1601:A1603" si="100">"0007WB"</f>
        <v>0007WB</v>
      </c>
      <c r="B1601" s="1" t="s">
        <v>567</v>
      </c>
      <c r="C1601" s="1" t="s">
        <v>568</v>
      </c>
      <c r="D1601" s="1" t="str">
        <f t="shared" ref="D1601:D1603" si="101">"8029895895"</f>
        <v>8029895895</v>
      </c>
      <c r="E1601" s="1">
        <v>2046.0</v>
      </c>
      <c r="F1601" s="1" t="s">
        <v>117</v>
      </c>
      <c r="G1601" s="1" t="s">
        <v>6307</v>
      </c>
      <c r="H1601" s="1">
        <v>21.0</v>
      </c>
      <c r="I1601" s="2" t="s">
        <v>119</v>
      </c>
      <c r="J1601" s="2" t="s">
        <v>119</v>
      </c>
      <c r="K1601" s="2" t="s">
        <v>119</v>
      </c>
      <c r="L1601" s="1"/>
      <c r="M1601" s="1" t="s">
        <v>6308</v>
      </c>
      <c r="N1601" s="1" t="s">
        <v>161</v>
      </c>
      <c r="O1601" s="1" t="s">
        <v>185</v>
      </c>
      <c r="P1601" s="1" t="s">
        <v>6309</v>
      </c>
      <c r="Q1601" s="3">
        <v>36892.0</v>
      </c>
      <c r="R1601" s="1"/>
      <c r="S1601" s="3">
        <v>39380.0</v>
      </c>
      <c r="T1601" s="1" t="s">
        <v>37</v>
      </c>
      <c r="U1601" s="1"/>
      <c r="V1601" s="1" t="s">
        <v>38</v>
      </c>
      <c r="W1601" s="1">
        <v>44.0964658456559</v>
      </c>
      <c r="X1601" s="1">
        <v>-73.2468125224113</v>
      </c>
      <c r="Y1601" s="1" t="s">
        <v>6310</v>
      </c>
      <c r="Z1601" s="1"/>
      <c r="AA1601" s="1" t="s">
        <v>40</v>
      </c>
      <c r="AB1601" s="1" t="s">
        <v>186</v>
      </c>
      <c r="AC1601" s="1">
        <v>5491.0</v>
      </c>
    </row>
    <row r="1602">
      <c r="A1602" s="1" t="str">
        <f t="shared" si="100"/>
        <v>0007WB</v>
      </c>
      <c r="B1602" s="1" t="s">
        <v>567</v>
      </c>
      <c r="C1602" s="1" t="s">
        <v>568</v>
      </c>
      <c r="D1602" s="1" t="str">
        <f t="shared" si="101"/>
        <v>8029895895</v>
      </c>
      <c r="E1602" s="1">
        <v>2046.0</v>
      </c>
      <c r="F1602" s="1" t="s">
        <v>117</v>
      </c>
      <c r="G1602" s="1" t="s">
        <v>6311</v>
      </c>
      <c r="H1602" s="1">
        <v>75.0</v>
      </c>
      <c r="I1602" s="2" t="s">
        <v>119</v>
      </c>
      <c r="J1602" s="2" t="s">
        <v>119</v>
      </c>
      <c r="K1602" s="2" t="s">
        <v>119</v>
      </c>
      <c r="L1602" s="1"/>
      <c r="M1602" s="1" t="s">
        <v>6312</v>
      </c>
      <c r="N1602" s="1" t="s">
        <v>161</v>
      </c>
      <c r="O1602" s="1" t="s">
        <v>1761</v>
      </c>
      <c r="P1602" s="1" t="s">
        <v>6313</v>
      </c>
      <c r="Q1602" s="3">
        <v>36892.0</v>
      </c>
      <c r="R1602" s="1"/>
      <c r="S1602" s="3">
        <v>42123.0</v>
      </c>
      <c r="T1602" s="1" t="s">
        <v>37</v>
      </c>
      <c r="U1602" s="1"/>
      <c r="V1602" s="1" t="s">
        <v>38</v>
      </c>
      <c r="W1602" s="1">
        <v>44.0537409426123</v>
      </c>
      <c r="X1602" s="1">
        <v>-73.2224587351083</v>
      </c>
      <c r="Y1602" s="1" t="s">
        <v>6314</v>
      </c>
      <c r="Z1602" s="1"/>
      <c r="AA1602" s="1" t="s">
        <v>40</v>
      </c>
      <c r="AB1602" s="1" t="s">
        <v>1763</v>
      </c>
      <c r="AC1602" s="1">
        <v>0.0</v>
      </c>
    </row>
    <row r="1603">
      <c r="A1603" s="1" t="str">
        <f t="shared" si="100"/>
        <v>0007WB</v>
      </c>
      <c r="B1603" s="1" t="s">
        <v>567</v>
      </c>
      <c r="C1603" s="1" t="s">
        <v>568</v>
      </c>
      <c r="D1603" s="1" t="str">
        <f t="shared" si="101"/>
        <v>8029895895</v>
      </c>
      <c r="E1603" s="1">
        <v>2046.0</v>
      </c>
      <c r="F1603" s="1" t="s">
        <v>117</v>
      </c>
      <c r="G1603" s="1" t="s">
        <v>6315</v>
      </c>
      <c r="H1603" s="1">
        <v>100.0</v>
      </c>
      <c r="I1603" s="2" t="s">
        <v>119</v>
      </c>
      <c r="J1603" s="2" t="s">
        <v>119</v>
      </c>
      <c r="K1603" s="2" t="s">
        <v>119</v>
      </c>
      <c r="L1603" s="1"/>
      <c r="M1603" s="1" t="s">
        <v>6316</v>
      </c>
      <c r="N1603" s="1" t="s">
        <v>161</v>
      </c>
      <c r="O1603" s="1" t="s">
        <v>571</v>
      </c>
      <c r="P1603" s="1" t="s">
        <v>6317</v>
      </c>
      <c r="Q1603" s="3">
        <v>36892.0</v>
      </c>
      <c r="R1603" s="1"/>
      <c r="S1603" s="3">
        <v>38869.0</v>
      </c>
      <c r="T1603" s="1" t="s">
        <v>37</v>
      </c>
      <c r="U1603" s="1"/>
      <c r="V1603" s="1" t="s">
        <v>38</v>
      </c>
      <c r="W1603" s="1">
        <v>44.1150643049756</v>
      </c>
      <c r="X1603" s="1">
        <v>-73.0020058274931</v>
      </c>
      <c r="Y1603" s="1" t="s">
        <v>6318</v>
      </c>
      <c r="Z1603" s="1"/>
      <c r="AA1603" s="1" t="s">
        <v>40</v>
      </c>
      <c r="AB1603" s="1" t="s">
        <v>573</v>
      </c>
      <c r="AC1603" s="1">
        <v>0.0</v>
      </c>
    </row>
    <row r="1604">
      <c r="A1604" s="1" t="str">
        <f>"000834"</f>
        <v>000834</v>
      </c>
      <c r="B1604" s="1" t="s">
        <v>6319</v>
      </c>
      <c r="C1604" s="1" t="s">
        <v>6320</v>
      </c>
      <c r="D1604" s="1" t="str">
        <f>"8022763300"</f>
        <v>8022763300</v>
      </c>
      <c r="E1604" s="1">
        <v>3032.0</v>
      </c>
      <c r="F1604" s="1" t="s">
        <v>44</v>
      </c>
      <c r="G1604" s="1" t="s">
        <v>6321</v>
      </c>
      <c r="H1604" s="1">
        <v>16.0</v>
      </c>
      <c r="I1604" s="1"/>
      <c r="J1604" s="1"/>
      <c r="K1604" s="1"/>
      <c r="L1604" s="1"/>
      <c r="M1604" s="1" t="s">
        <v>72</v>
      </c>
      <c r="N1604" s="1" t="s">
        <v>142</v>
      </c>
      <c r="O1604" s="1" t="s">
        <v>353</v>
      </c>
      <c r="P1604" s="1"/>
      <c r="Q1604" s="3">
        <v>36892.0</v>
      </c>
      <c r="R1604" s="1"/>
      <c r="S1604" s="3">
        <v>35866.0</v>
      </c>
      <c r="T1604" s="1" t="s">
        <v>37</v>
      </c>
      <c r="U1604" s="1"/>
      <c r="V1604" s="1" t="s">
        <v>38</v>
      </c>
      <c r="W1604" s="1"/>
      <c r="X1604" s="1"/>
      <c r="Y1604" s="1" t="s">
        <v>49</v>
      </c>
      <c r="Z1604" s="1"/>
      <c r="AA1604" s="1" t="s">
        <v>40</v>
      </c>
      <c r="AB1604" s="1" t="s">
        <v>355</v>
      </c>
      <c r="AC1604" s="1"/>
    </row>
    <row r="1605">
      <c r="A1605" s="1" t="str">
        <f>"0007Z5"</f>
        <v>0007Z5</v>
      </c>
      <c r="B1605" s="1" t="s">
        <v>6322</v>
      </c>
      <c r="C1605" s="1" t="s">
        <v>6323</v>
      </c>
      <c r="D1605" s="1" t="str">
        <f>"8026745126"</f>
        <v>8026745126</v>
      </c>
      <c r="E1605" s="1">
        <v>2834.0</v>
      </c>
      <c r="F1605" s="1" t="s">
        <v>117</v>
      </c>
      <c r="G1605" s="1" t="s">
        <v>6324</v>
      </c>
      <c r="H1605" s="1">
        <v>1.0</v>
      </c>
      <c r="I1605" s="2">
        <v>0.0</v>
      </c>
      <c r="J1605" s="2">
        <v>1.0</v>
      </c>
      <c r="K1605" s="2" t="s">
        <v>119</v>
      </c>
      <c r="L1605" s="1"/>
      <c r="M1605" s="1" t="s">
        <v>6325</v>
      </c>
      <c r="N1605" s="1" t="s">
        <v>34</v>
      </c>
      <c r="O1605" s="1" t="s">
        <v>295</v>
      </c>
      <c r="P1605" s="1" t="s">
        <v>6326</v>
      </c>
      <c r="Q1605" s="3">
        <v>36892.0</v>
      </c>
      <c r="R1605" s="1"/>
      <c r="S1605" s="3">
        <v>38530.0</v>
      </c>
      <c r="T1605" s="1" t="s">
        <v>37</v>
      </c>
      <c r="U1605" s="1"/>
      <c r="V1605" s="1" t="s">
        <v>38</v>
      </c>
      <c r="W1605" s="1"/>
      <c r="X1605" s="1"/>
      <c r="Y1605" s="1" t="s">
        <v>49</v>
      </c>
      <c r="Z1605" s="1"/>
      <c r="AA1605" s="1" t="s">
        <v>40</v>
      </c>
      <c r="AB1605" s="1" t="s">
        <v>34</v>
      </c>
      <c r="AC1605" s="1">
        <v>0.0</v>
      </c>
    </row>
    <row r="1606">
      <c r="A1606" s="1" t="str">
        <f>"00073M"</f>
        <v>00073M</v>
      </c>
      <c r="B1606" s="1" t="s">
        <v>6327</v>
      </c>
      <c r="C1606" s="1" t="s">
        <v>6328</v>
      </c>
      <c r="D1606" s="1" t="str">
        <f>"8027854405"</f>
        <v>8027854405</v>
      </c>
      <c r="E1606" s="1">
        <v>3045.0</v>
      </c>
      <c r="F1606" s="1" t="s">
        <v>44</v>
      </c>
      <c r="G1606" s="1" t="s">
        <v>6329</v>
      </c>
      <c r="H1606" s="1">
        <v>3.0</v>
      </c>
      <c r="I1606" s="1"/>
      <c r="J1606" s="1"/>
      <c r="K1606" s="1"/>
      <c r="L1606" s="1"/>
      <c r="M1606" s="1" t="s">
        <v>72</v>
      </c>
      <c r="N1606" s="1" t="s">
        <v>142</v>
      </c>
      <c r="O1606" s="1" t="s">
        <v>143</v>
      </c>
      <c r="P1606" s="1"/>
      <c r="Q1606" s="3">
        <v>36892.0</v>
      </c>
      <c r="R1606" s="1"/>
      <c r="S1606" s="3">
        <v>38545.0</v>
      </c>
      <c r="T1606" s="1" t="s">
        <v>37</v>
      </c>
      <c r="U1606" s="1"/>
      <c r="V1606" s="1" t="s">
        <v>38</v>
      </c>
      <c r="W1606" s="1">
        <v>43.869541</v>
      </c>
      <c r="X1606" s="1">
        <v>-72.2759859999999</v>
      </c>
      <c r="Y1606" s="1" t="s">
        <v>6330</v>
      </c>
      <c r="Z1606" s="1"/>
      <c r="AA1606" s="1" t="s">
        <v>40</v>
      </c>
      <c r="AB1606" s="1" t="s">
        <v>146</v>
      </c>
      <c r="AC1606" s="1">
        <v>5075.0</v>
      </c>
    </row>
    <row r="1607">
      <c r="A1607" s="1" t="str">
        <f>"000758"</f>
        <v>000758</v>
      </c>
      <c r="B1607" s="1" t="s">
        <v>6331</v>
      </c>
      <c r="C1607" s="1" t="s">
        <v>6332</v>
      </c>
      <c r="D1607" s="1" t="str">
        <f>"8028273821"</f>
        <v>8028273821</v>
      </c>
      <c r="E1607" s="1">
        <v>3046.0</v>
      </c>
      <c r="F1607" s="1" t="s">
        <v>44</v>
      </c>
      <c r="G1607" s="1" t="s">
        <v>6333</v>
      </c>
      <c r="H1607" s="1">
        <v>4.0</v>
      </c>
      <c r="I1607" s="1"/>
      <c r="J1607" s="1"/>
      <c r="K1607" s="1"/>
      <c r="L1607" s="1"/>
      <c r="M1607" s="1" t="s">
        <v>72</v>
      </c>
      <c r="N1607" s="1" t="s">
        <v>47</v>
      </c>
      <c r="O1607" s="1" t="s">
        <v>100</v>
      </c>
      <c r="P1607" s="1"/>
      <c r="Q1607" s="3">
        <v>36892.0</v>
      </c>
      <c r="R1607" s="1"/>
      <c r="S1607" s="3">
        <v>38532.0</v>
      </c>
      <c r="T1607" s="1" t="s">
        <v>37</v>
      </c>
      <c r="U1607" s="1"/>
      <c r="V1607" s="1" t="s">
        <v>38</v>
      </c>
      <c r="W1607" s="1"/>
      <c r="X1607" s="1"/>
      <c r="Y1607" s="1" t="s">
        <v>49</v>
      </c>
      <c r="Z1607" s="1"/>
      <c r="AA1607" s="1" t="s">
        <v>40</v>
      </c>
      <c r="AB1607" s="1" t="s">
        <v>102</v>
      </c>
      <c r="AC1607" s="1"/>
    </row>
    <row r="1608">
      <c r="A1608" s="1" t="str">
        <f>"0007PG"</f>
        <v>0007PG</v>
      </c>
      <c r="B1608" s="1" t="s">
        <v>6334</v>
      </c>
      <c r="C1608" s="1" t="s">
        <v>6335</v>
      </c>
      <c r="D1608" s="1" t="str">
        <f>"8028499389"</f>
        <v>8028499389</v>
      </c>
      <c r="E1608" s="1">
        <v>3461.0</v>
      </c>
      <c r="F1608" s="1" t="s">
        <v>31</v>
      </c>
      <c r="G1608" s="1" t="s">
        <v>6336</v>
      </c>
      <c r="H1608" s="1">
        <v>15.0</v>
      </c>
      <c r="I1608" s="1"/>
      <c r="J1608" s="1"/>
      <c r="K1608" s="1"/>
      <c r="L1608" s="1"/>
      <c r="M1608" s="1" t="s">
        <v>33</v>
      </c>
      <c r="N1608" s="1" t="s">
        <v>47</v>
      </c>
      <c r="O1608" s="1" t="s">
        <v>763</v>
      </c>
      <c r="P1608" s="1" t="s">
        <v>36</v>
      </c>
      <c r="Q1608" s="3">
        <v>36892.0</v>
      </c>
      <c r="R1608" s="1"/>
      <c r="S1608" s="3">
        <v>39630.0</v>
      </c>
      <c r="T1608" s="1" t="s">
        <v>37</v>
      </c>
      <c r="U1608" s="1"/>
      <c r="V1608" s="1" t="s">
        <v>38</v>
      </c>
      <c r="W1608" s="1">
        <v>44.747578</v>
      </c>
      <c r="X1608" s="1">
        <v>-72.97699</v>
      </c>
      <c r="Y1608" s="1" t="s">
        <v>6337</v>
      </c>
      <c r="Z1608" s="1"/>
      <c r="AA1608" s="1" t="s">
        <v>40</v>
      </c>
      <c r="AB1608" s="1" t="s">
        <v>764</v>
      </c>
      <c r="AC1608" s="1">
        <v>5454.0</v>
      </c>
    </row>
    <row r="1609">
      <c r="A1609" s="1" t="str">
        <f>"0008MK"</f>
        <v>0008MK</v>
      </c>
      <c r="B1609" s="1" t="s">
        <v>6338</v>
      </c>
      <c r="C1609" s="1" t="s">
        <v>6339</v>
      </c>
      <c r="D1609" s="1"/>
      <c r="E1609" s="1">
        <v>3055.0</v>
      </c>
      <c r="F1609" s="1" t="s">
        <v>44</v>
      </c>
      <c r="G1609" s="1" t="s">
        <v>6340</v>
      </c>
      <c r="H1609" s="1">
        <v>1.0</v>
      </c>
      <c r="I1609" s="1"/>
      <c r="J1609" s="1"/>
      <c r="K1609" s="1"/>
      <c r="L1609" s="1"/>
      <c r="M1609" s="1" t="s">
        <v>134</v>
      </c>
      <c r="N1609" s="1" t="s">
        <v>107</v>
      </c>
      <c r="O1609" s="1" t="s">
        <v>108</v>
      </c>
      <c r="P1609" s="1"/>
      <c r="Q1609" s="3">
        <v>36892.0</v>
      </c>
      <c r="R1609" s="1"/>
      <c r="S1609" s="3">
        <v>35975.0</v>
      </c>
      <c r="T1609" s="1" t="s">
        <v>37</v>
      </c>
      <c r="U1609" s="1"/>
      <c r="V1609" s="1" t="s">
        <v>38</v>
      </c>
      <c r="W1609" s="1"/>
      <c r="X1609" s="1"/>
      <c r="Y1609" s="1" t="s">
        <v>49</v>
      </c>
      <c r="Z1609" s="1"/>
      <c r="AA1609" s="1" t="s">
        <v>40</v>
      </c>
      <c r="AB1609" s="1" t="s">
        <v>107</v>
      </c>
      <c r="AC1609" s="1"/>
    </row>
    <row r="1610">
      <c r="A1610" s="1" t="str">
        <f>"0008P8"</f>
        <v>0008P8</v>
      </c>
      <c r="B1610" s="1" t="s">
        <v>6341</v>
      </c>
      <c r="C1610" s="1" t="s">
        <v>6342</v>
      </c>
      <c r="D1610" s="1" t="str">
        <f>"8023886409"</f>
        <v>8023886409</v>
      </c>
      <c r="E1610" s="1">
        <v>3235.0</v>
      </c>
      <c r="F1610" s="1" t="s">
        <v>44</v>
      </c>
      <c r="G1610" s="1" t="s">
        <v>6343</v>
      </c>
      <c r="H1610" s="1">
        <v>1.0</v>
      </c>
      <c r="I1610" s="1"/>
      <c r="J1610" s="1"/>
      <c r="K1610" s="1"/>
      <c r="L1610" s="1"/>
      <c r="M1610" s="1" t="s">
        <v>72</v>
      </c>
      <c r="N1610" s="1" t="s">
        <v>161</v>
      </c>
      <c r="O1610" s="1" t="s">
        <v>943</v>
      </c>
      <c r="P1610" s="1"/>
      <c r="Q1610" s="3">
        <v>36892.0</v>
      </c>
      <c r="R1610" s="1"/>
      <c r="S1610" s="3">
        <v>40372.0</v>
      </c>
      <c r="T1610" s="1" t="s">
        <v>37</v>
      </c>
      <c r="U1610" s="1"/>
      <c r="V1610" s="1" t="s">
        <v>38</v>
      </c>
      <c r="W1610" s="1"/>
      <c r="X1610" s="1"/>
      <c r="Y1610" s="1" t="s">
        <v>49</v>
      </c>
      <c r="Z1610" s="1"/>
      <c r="AA1610" s="1" t="s">
        <v>40</v>
      </c>
      <c r="AB1610" s="1" t="s">
        <v>945</v>
      </c>
      <c r="AC1610" s="1"/>
    </row>
    <row r="1611">
      <c r="A1611" s="1" t="str">
        <f>"0008PJ"</f>
        <v>0008PJ</v>
      </c>
      <c r="B1611" s="1" t="s">
        <v>6344</v>
      </c>
      <c r="C1611" s="1" t="s">
        <v>6345</v>
      </c>
      <c r="D1611" s="1" t="str">
        <f>"8024395599"</f>
        <v>8024395599</v>
      </c>
      <c r="E1611" s="1">
        <v>3244.0</v>
      </c>
      <c r="F1611" s="1" t="s">
        <v>44</v>
      </c>
      <c r="G1611" s="1" t="s">
        <v>6346</v>
      </c>
      <c r="H1611" s="1"/>
      <c r="I1611" s="1"/>
      <c r="J1611" s="1"/>
      <c r="K1611" s="1"/>
      <c r="L1611" s="1"/>
      <c r="M1611" s="1" t="s">
        <v>72</v>
      </c>
      <c r="N1611" s="1" t="s">
        <v>142</v>
      </c>
      <c r="O1611" s="1" t="s">
        <v>222</v>
      </c>
      <c r="P1611" s="1"/>
      <c r="Q1611" s="3">
        <v>36892.0</v>
      </c>
      <c r="R1611" s="1"/>
      <c r="S1611" s="1"/>
      <c r="T1611" s="1" t="s">
        <v>37</v>
      </c>
      <c r="U1611" s="1"/>
      <c r="V1611" s="1" t="s">
        <v>38</v>
      </c>
      <c r="W1611" s="1"/>
      <c r="X1611" s="1"/>
      <c r="Y1611" s="1" t="s">
        <v>49</v>
      </c>
      <c r="Z1611" s="1"/>
      <c r="AA1611" s="1" t="s">
        <v>40</v>
      </c>
      <c r="AB1611" s="1" t="s">
        <v>223</v>
      </c>
      <c r="AC1611" s="1"/>
    </row>
    <row r="1612">
      <c r="A1612" s="1" t="str">
        <f>"0008PN"</f>
        <v>0008PN</v>
      </c>
      <c r="B1612" s="1" t="s">
        <v>6347</v>
      </c>
      <c r="C1612" s="1" t="s">
        <v>6348</v>
      </c>
      <c r="D1612" s="1" t="str">
        <f>"8027285178"</f>
        <v>8027285178</v>
      </c>
      <c r="E1612" s="1">
        <v>3248.0</v>
      </c>
      <c r="F1612" s="1" t="s">
        <v>44</v>
      </c>
      <c r="G1612" s="1" t="s">
        <v>6349</v>
      </c>
      <c r="H1612" s="1">
        <v>2.0</v>
      </c>
      <c r="I1612" s="1"/>
      <c r="J1612" s="1"/>
      <c r="K1612" s="1"/>
      <c r="L1612" s="1"/>
      <c r="M1612" s="1" t="s">
        <v>6350</v>
      </c>
      <c r="N1612" s="1" t="s">
        <v>142</v>
      </c>
      <c r="O1612" s="1" t="s">
        <v>359</v>
      </c>
      <c r="P1612" s="1"/>
      <c r="Q1612" s="3">
        <v>36892.0</v>
      </c>
      <c r="R1612" s="1"/>
      <c r="S1612" s="3">
        <v>38149.0</v>
      </c>
      <c r="T1612" s="1" t="s">
        <v>37</v>
      </c>
      <c r="U1612" s="1"/>
      <c r="V1612" s="1" t="s">
        <v>38</v>
      </c>
      <c r="W1612" s="1"/>
      <c r="X1612" s="1"/>
      <c r="Y1612" s="1" t="s">
        <v>49</v>
      </c>
      <c r="Z1612" s="1"/>
      <c r="AA1612" s="1" t="s">
        <v>40</v>
      </c>
      <c r="AB1612" s="1" t="s">
        <v>361</v>
      </c>
      <c r="AC1612" s="1"/>
    </row>
    <row r="1613">
      <c r="A1613" s="1" t="str">
        <f>"0008PA"</f>
        <v>0008PA</v>
      </c>
      <c r="B1613" s="1" t="s">
        <v>6351</v>
      </c>
      <c r="C1613" s="1" t="s">
        <v>6352</v>
      </c>
      <c r="D1613" s="1" t="str">
        <f>"8024856845"</f>
        <v>8024856845</v>
      </c>
      <c r="E1613" s="1">
        <v>3237.0</v>
      </c>
      <c r="F1613" s="1" t="s">
        <v>44</v>
      </c>
      <c r="G1613" s="1" t="s">
        <v>6353</v>
      </c>
      <c r="H1613" s="1">
        <v>2.0</v>
      </c>
      <c r="I1613" s="1"/>
      <c r="J1613" s="1"/>
      <c r="K1613" s="1"/>
      <c r="L1613" s="1"/>
      <c r="M1613" s="1" t="s">
        <v>72</v>
      </c>
      <c r="N1613" s="1" t="s">
        <v>135</v>
      </c>
      <c r="O1613" s="1" t="s">
        <v>136</v>
      </c>
      <c r="P1613" s="1"/>
      <c r="Q1613" s="3">
        <v>36892.0</v>
      </c>
      <c r="R1613" s="1"/>
      <c r="S1613" s="3">
        <v>37461.0</v>
      </c>
      <c r="T1613" s="1" t="s">
        <v>37</v>
      </c>
      <c r="U1613" s="1"/>
      <c r="V1613" s="1" t="s">
        <v>38</v>
      </c>
      <c r="W1613" s="1">
        <v>44.1473277</v>
      </c>
      <c r="X1613" s="1">
        <v>-72.6564564</v>
      </c>
      <c r="Y1613" s="1" t="s">
        <v>6354</v>
      </c>
      <c r="Z1613" s="1"/>
      <c r="AA1613" s="1" t="s">
        <v>40</v>
      </c>
      <c r="AB1613" s="1" t="s">
        <v>137</v>
      </c>
      <c r="AC1613" s="1">
        <v>5663.0</v>
      </c>
    </row>
    <row r="1614">
      <c r="A1614" s="1" t="str">
        <f>"0007DY"</f>
        <v>0007DY</v>
      </c>
      <c r="B1614" s="1" t="s">
        <v>6355</v>
      </c>
      <c r="C1614" s="1" t="s">
        <v>6356</v>
      </c>
      <c r="D1614" s="1" t="str">
        <f>"8022430185"</f>
        <v>8022430185</v>
      </c>
      <c r="E1614" s="1">
        <v>3132.0</v>
      </c>
      <c r="F1614" s="1" t="s">
        <v>117</v>
      </c>
      <c r="G1614" s="1" t="s">
        <v>6357</v>
      </c>
      <c r="H1614" s="1">
        <v>8.0</v>
      </c>
      <c r="I1614" s="2">
        <v>3.0</v>
      </c>
      <c r="J1614" s="2">
        <v>1.0</v>
      </c>
      <c r="K1614" s="2" t="s">
        <v>829</v>
      </c>
      <c r="L1614" s="2" t="s">
        <v>6358</v>
      </c>
      <c r="M1614" s="1" t="s">
        <v>6359</v>
      </c>
      <c r="N1614" s="1" t="s">
        <v>161</v>
      </c>
      <c r="O1614" s="1" t="s">
        <v>1053</v>
      </c>
      <c r="P1614" s="1" t="s">
        <v>6360</v>
      </c>
      <c r="Q1614" s="3">
        <v>36892.0</v>
      </c>
      <c r="R1614" s="1"/>
      <c r="S1614" s="3">
        <v>39987.0</v>
      </c>
      <c r="T1614" s="1" t="s">
        <v>37</v>
      </c>
      <c r="U1614" s="1"/>
      <c r="V1614" s="1" t="s">
        <v>38</v>
      </c>
      <c r="W1614" s="1">
        <v>43.876734</v>
      </c>
      <c r="X1614" s="1">
        <v>-73.366963</v>
      </c>
      <c r="Y1614" s="1" t="s">
        <v>6361</v>
      </c>
      <c r="Z1614" s="1"/>
      <c r="AA1614" s="1" t="s">
        <v>40</v>
      </c>
      <c r="AB1614" s="1" t="s">
        <v>1054</v>
      </c>
      <c r="AC1614" s="1">
        <v>5770.0</v>
      </c>
    </row>
    <row r="1615">
      <c r="A1615" s="1" t="str">
        <f>"0008PV"</f>
        <v>0008PV</v>
      </c>
      <c r="B1615" s="1" t="s">
        <v>6362</v>
      </c>
      <c r="C1615" s="1" t="s">
        <v>6363</v>
      </c>
      <c r="D1615" s="1" t="str">
        <f>"6093858265"</f>
        <v>6093858265</v>
      </c>
      <c r="E1615" s="1">
        <v>3251.0</v>
      </c>
      <c r="F1615" s="1" t="s">
        <v>44</v>
      </c>
      <c r="G1615" s="1" t="s">
        <v>6364</v>
      </c>
      <c r="H1615" s="1">
        <v>1.0</v>
      </c>
      <c r="I1615" s="1"/>
      <c r="J1615" s="1"/>
      <c r="K1615" s="1"/>
      <c r="L1615" s="1"/>
      <c r="M1615" s="1" t="s">
        <v>72</v>
      </c>
      <c r="N1615" s="1" t="s">
        <v>414</v>
      </c>
      <c r="O1615" s="1" t="s">
        <v>415</v>
      </c>
      <c r="P1615" s="1"/>
      <c r="Q1615" s="3">
        <v>36892.0</v>
      </c>
      <c r="R1615" s="1"/>
      <c r="S1615" s="1"/>
      <c r="T1615" s="1" t="s">
        <v>37</v>
      </c>
      <c r="U1615" s="1"/>
      <c r="V1615" s="1" t="s">
        <v>38</v>
      </c>
      <c r="W1615" s="1">
        <v>43.2709959</v>
      </c>
      <c r="X1615" s="1">
        <v>-72.9942019999999</v>
      </c>
      <c r="Y1615" s="1" t="s">
        <v>6365</v>
      </c>
      <c r="Z1615" s="1"/>
      <c r="AA1615" s="1" t="s">
        <v>40</v>
      </c>
      <c r="AB1615" s="1" t="s">
        <v>6366</v>
      </c>
      <c r="AC1615" s="1">
        <v>5253.0</v>
      </c>
    </row>
    <row r="1616">
      <c r="A1616" s="1" t="str">
        <f>"0008PW"</f>
        <v>0008PW</v>
      </c>
      <c r="B1616" s="1" t="s">
        <v>6367</v>
      </c>
      <c r="C1616" s="1" t="s">
        <v>6368</v>
      </c>
      <c r="D1616" s="1" t="str">
        <f>"8023348486"</f>
        <v>8023348486</v>
      </c>
      <c r="E1616" s="1">
        <v>3252.0</v>
      </c>
      <c r="F1616" s="1" t="s">
        <v>44</v>
      </c>
      <c r="G1616" s="1" t="s">
        <v>6369</v>
      </c>
      <c r="H1616" s="1"/>
      <c r="I1616" s="1"/>
      <c r="J1616" s="1"/>
      <c r="K1616" s="1"/>
      <c r="L1616" s="1"/>
      <c r="M1616" s="1" t="s">
        <v>134</v>
      </c>
      <c r="N1616" s="1" t="s">
        <v>94</v>
      </c>
      <c r="O1616" s="1" t="s">
        <v>513</v>
      </c>
      <c r="P1616" s="1"/>
      <c r="Q1616" s="3">
        <v>36892.0</v>
      </c>
      <c r="R1616" s="1"/>
      <c r="S1616" s="1"/>
      <c r="T1616" s="1" t="s">
        <v>37</v>
      </c>
      <c r="U1616" s="1"/>
      <c r="V1616" s="1" t="s">
        <v>38</v>
      </c>
      <c r="W1616" s="1"/>
      <c r="X1616" s="1"/>
      <c r="Y1616" s="1" t="s">
        <v>49</v>
      </c>
      <c r="Z1616" s="1"/>
      <c r="AA1616" s="1" t="s">
        <v>40</v>
      </c>
      <c r="AB1616" s="1" t="s">
        <v>514</v>
      </c>
      <c r="AC1616" s="1"/>
    </row>
    <row r="1617">
      <c r="A1617" s="1" t="str">
        <f>"0008PX"</f>
        <v>0008PX</v>
      </c>
      <c r="B1617" s="1" t="s">
        <v>6370</v>
      </c>
      <c r="C1617" s="1" t="s">
        <v>6371</v>
      </c>
      <c r="D1617" s="1" t="str">
        <f>"8023345443"</f>
        <v>8023345443</v>
      </c>
      <c r="E1617" s="1">
        <v>3253.0</v>
      </c>
      <c r="F1617" s="1" t="s">
        <v>117</v>
      </c>
      <c r="G1617" s="1" t="s">
        <v>6372</v>
      </c>
      <c r="H1617" s="1">
        <v>1.0</v>
      </c>
      <c r="I1617" s="2">
        <v>1.0</v>
      </c>
      <c r="J1617" s="2" t="s">
        <v>119</v>
      </c>
      <c r="K1617" s="2" t="s">
        <v>119</v>
      </c>
      <c r="L1617" s="2" t="s">
        <v>4799</v>
      </c>
      <c r="M1617" s="1" t="s">
        <v>6373</v>
      </c>
      <c r="N1617" s="1" t="s">
        <v>94</v>
      </c>
      <c r="O1617" s="1" t="s">
        <v>1019</v>
      </c>
      <c r="P1617" s="1" t="s">
        <v>6374</v>
      </c>
      <c r="Q1617" s="3">
        <v>36892.0</v>
      </c>
      <c r="R1617" s="1"/>
      <c r="S1617" s="1"/>
      <c r="T1617" s="1" t="s">
        <v>37</v>
      </c>
      <c r="U1617" s="1"/>
      <c r="V1617" s="1" t="s">
        <v>38</v>
      </c>
      <c r="W1617" s="1">
        <v>44.970966</v>
      </c>
      <c r="X1617" s="1">
        <v>-72.1464919999999</v>
      </c>
      <c r="Y1617" s="1" t="s">
        <v>6375</v>
      </c>
      <c r="Z1617" s="1"/>
      <c r="AA1617" s="1" t="s">
        <v>40</v>
      </c>
      <c r="AB1617" s="1" t="s">
        <v>1022</v>
      </c>
      <c r="AC1617" s="1">
        <v>5855.0</v>
      </c>
    </row>
    <row r="1618">
      <c r="A1618" s="1" t="str">
        <f t="shared" ref="A1618:A1621" si="102">"0008NC"</f>
        <v>0008NC</v>
      </c>
      <c r="B1618" s="1" t="s">
        <v>6376</v>
      </c>
      <c r="C1618" s="1" t="s">
        <v>6377</v>
      </c>
      <c r="D1618" s="1" t="str">
        <f t="shared" ref="D1618:D1621" si="103">"8023886502"</f>
        <v>8023886502</v>
      </c>
      <c r="E1618" s="1">
        <v>3182.0</v>
      </c>
      <c r="F1618" s="1" t="s">
        <v>44</v>
      </c>
      <c r="G1618" s="1" t="s">
        <v>6378</v>
      </c>
      <c r="H1618" s="1"/>
      <c r="I1618" s="1"/>
      <c r="J1618" s="1"/>
      <c r="K1618" s="1"/>
      <c r="L1618" s="1"/>
      <c r="M1618" s="1" t="s">
        <v>72</v>
      </c>
      <c r="N1618" s="1" t="s">
        <v>161</v>
      </c>
      <c r="O1618" s="1" t="s">
        <v>943</v>
      </c>
      <c r="P1618" s="1"/>
      <c r="Q1618" s="3">
        <v>36892.0</v>
      </c>
      <c r="R1618" s="1"/>
      <c r="S1618" s="1"/>
      <c r="T1618" s="1" t="s">
        <v>37</v>
      </c>
      <c r="U1618" s="1"/>
      <c r="V1618" s="1" t="s">
        <v>38</v>
      </c>
      <c r="W1618" s="1"/>
      <c r="X1618" s="1"/>
      <c r="Y1618" s="1" t="s">
        <v>49</v>
      </c>
      <c r="Z1618" s="1"/>
      <c r="AA1618" s="1" t="s">
        <v>40</v>
      </c>
      <c r="AB1618" s="1" t="s">
        <v>945</v>
      </c>
      <c r="AC1618" s="1"/>
    </row>
    <row r="1619">
      <c r="A1619" s="1" t="str">
        <f t="shared" si="102"/>
        <v>0008NC</v>
      </c>
      <c r="B1619" s="1" t="s">
        <v>6376</v>
      </c>
      <c r="C1619" s="1" t="s">
        <v>6377</v>
      </c>
      <c r="D1619" s="1" t="str">
        <f t="shared" si="103"/>
        <v>8023886502</v>
      </c>
      <c r="E1619" s="1">
        <v>3182.0</v>
      </c>
      <c r="F1619" s="1" t="s">
        <v>44</v>
      </c>
      <c r="G1619" s="1" t="s">
        <v>6379</v>
      </c>
      <c r="H1619" s="1"/>
      <c r="I1619" s="1"/>
      <c r="J1619" s="1"/>
      <c r="K1619" s="1"/>
      <c r="L1619" s="1"/>
      <c r="M1619" s="1" t="s">
        <v>6380</v>
      </c>
      <c r="N1619" s="1" t="s">
        <v>161</v>
      </c>
      <c r="O1619" s="1" t="s">
        <v>943</v>
      </c>
      <c r="P1619" s="1"/>
      <c r="Q1619" s="3">
        <v>36892.0</v>
      </c>
      <c r="R1619" s="1"/>
      <c r="S1619" s="1"/>
      <c r="T1619" s="1" t="s">
        <v>37</v>
      </c>
      <c r="U1619" s="1"/>
      <c r="V1619" s="1" t="s">
        <v>38</v>
      </c>
      <c r="W1619" s="1"/>
      <c r="X1619" s="1"/>
      <c r="Y1619" s="1" t="s">
        <v>49</v>
      </c>
      <c r="Z1619" s="1"/>
      <c r="AA1619" s="1" t="s">
        <v>40</v>
      </c>
      <c r="AB1619" s="1" t="s">
        <v>945</v>
      </c>
      <c r="AC1619" s="1"/>
    </row>
    <row r="1620">
      <c r="A1620" s="1" t="str">
        <f t="shared" si="102"/>
        <v>0008NC</v>
      </c>
      <c r="B1620" s="1" t="s">
        <v>6376</v>
      </c>
      <c r="C1620" s="1" t="s">
        <v>6377</v>
      </c>
      <c r="D1620" s="1" t="str">
        <f t="shared" si="103"/>
        <v>8023886502</v>
      </c>
      <c r="E1620" s="1">
        <v>3182.0</v>
      </c>
      <c r="F1620" s="1" t="s">
        <v>44</v>
      </c>
      <c r="G1620" s="1" t="s">
        <v>6381</v>
      </c>
      <c r="H1620" s="1"/>
      <c r="I1620" s="1"/>
      <c r="J1620" s="1"/>
      <c r="K1620" s="1"/>
      <c r="L1620" s="1"/>
      <c r="M1620" s="1" t="s">
        <v>6382</v>
      </c>
      <c r="N1620" s="1" t="s">
        <v>161</v>
      </c>
      <c r="O1620" s="1" t="s">
        <v>185</v>
      </c>
      <c r="P1620" s="1"/>
      <c r="Q1620" s="3">
        <v>36892.0</v>
      </c>
      <c r="R1620" s="1"/>
      <c r="S1620" s="1"/>
      <c r="T1620" s="1" t="s">
        <v>37</v>
      </c>
      <c r="U1620" s="1"/>
      <c r="V1620" s="1" t="s">
        <v>38</v>
      </c>
      <c r="W1620" s="1"/>
      <c r="X1620" s="1"/>
      <c r="Y1620" s="1" t="s">
        <v>49</v>
      </c>
      <c r="Z1620" s="1"/>
      <c r="AA1620" s="1" t="s">
        <v>40</v>
      </c>
      <c r="AB1620" s="1" t="s">
        <v>186</v>
      </c>
      <c r="AC1620" s="1"/>
    </row>
    <row r="1621">
      <c r="A1621" s="1" t="str">
        <f t="shared" si="102"/>
        <v>0008NC</v>
      </c>
      <c r="B1621" s="1" t="s">
        <v>6376</v>
      </c>
      <c r="C1621" s="1" t="s">
        <v>6377</v>
      </c>
      <c r="D1621" s="1" t="str">
        <f t="shared" si="103"/>
        <v>8023886502</v>
      </c>
      <c r="E1621" s="1">
        <v>3182.0</v>
      </c>
      <c r="F1621" s="1" t="s">
        <v>44</v>
      </c>
      <c r="G1621" s="1" t="s">
        <v>6383</v>
      </c>
      <c r="H1621" s="1"/>
      <c r="I1621" s="1"/>
      <c r="J1621" s="1"/>
      <c r="K1621" s="1"/>
      <c r="L1621" s="1"/>
      <c r="M1621" s="1" t="s">
        <v>6384</v>
      </c>
      <c r="N1621" s="1" t="s">
        <v>161</v>
      </c>
      <c r="O1621" s="1" t="s">
        <v>162</v>
      </c>
      <c r="P1621" s="1"/>
      <c r="Q1621" s="3">
        <v>36892.0</v>
      </c>
      <c r="R1621" s="1"/>
      <c r="S1621" s="1"/>
      <c r="T1621" s="1" t="s">
        <v>37</v>
      </c>
      <c r="U1621" s="1"/>
      <c r="V1621" s="1" t="s">
        <v>38</v>
      </c>
      <c r="W1621" s="1"/>
      <c r="X1621" s="1"/>
      <c r="Y1621" s="1" t="s">
        <v>49</v>
      </c>
      <c r="Z1621" s="1"/>
      <c r="AA1621" s="1" t="s">
        <v>40</v>
      </c>
      <c r="AB1621" s="1" t="s">
        <v>166</v>
      </c>
      <c r="AC1621" s="1"/>
    </row>
    <row r="1622">
      <c r="A1622" s="1" t="str">
        <f>"0007ZH"</f>
        <v>0007ZH</v>
      </c>
      <c r="B1622" s="1" t="s">
        <v>6385</v>
      </c>
      <c r="C1622" s="1" t="s">
        <v>6386</v>
      </c>
      <c r="D1622" s="1" t="str">
        <f>"8024255232"</f>
        <v>8024255232</v>
      </c>
      <c r="E1622" s="1">
        <v>3259.0</v>
      </c>
      <c r="F1622" s="1" t="s">
        <v>44</v>
      </c>
      <c r="G1622" s="1" t="s">
        <v>6387</v>
      </c>
      <c r="H1622" s="1"/>
      <c r="I1622" s="1"/>
      <c r="J1622" s="1"/>
      <c r="K1622" s="1"/>
      <c r="L1622" s="1"/>
      <c r="M1622" s="1" t="s">
        <v>72</v>
      </c>
      <c r="N1622" s="1" t="s">
        <v>57</v>
      </c>
      <c r="O1622" s="1" t="s">
        <v>1633</v>
      </c>
      <c r="P1622" s="1"/>
      <c r="Q1622" s="3">
        <v>36892.0</v>
      </c>
      <c r="R1622" s="1"/>
      <c r="S1622" s="1"/>
      <c r="T1622" s="1" t="s">
        <v>37</v>
      </c>
      <c r="U1622" s="1"/>
      <c r="V1622" s="1" t="s">
        <v>38</v>
      </c>
      <c r="W1622" s="1"/>
      <c r="X1622" s="1"/>
      <c r="Y1622" s="1" t="s">
        <v>49</v>
      </c>
      <c r="Z1622" s="1"/>
      <c r="AA1622" s="1" t="s">
        <v>40</v>
      </c>
      <c r="AB1622" s="1" t="s">
        <v>1634</v>
      </c>
      <c r="AC1622" s="1"/>
    </row>
    <row r="1623">
      <c r="A1623" s="1" t="str">
        <f>"0008Q0"</f>
        <v>0008Q0</v>
      </c>
      <c r="B1623" s="1" t="s">
        <v>6388</v>
      </c>
      <c r="C1623" s="1" t="s">
        <v>6389</v>
      </c>
      <c r="D1623" s="1" t="str">
        <f>"8024363340"</f>
        <v>8024363340</v>
      </c>
      <c r="E1623" s="1">
        <v>3256.0</v>
      </c>
      <c r="F1623" s="1" t="s">
        <v>117</v>
      </c>
      <c r="G1623" s="1" t="s">
        <v>6390</v>
      </c>
      <c r="H1623" s="1">
        <v>1.0</v>
      </c>
      <c r="I1623" s="2" t="s">
        <v>119</v>
      </c>
      <c r="J1623" s="2" t="s">
        <v>119</v>
      </c>
      <c r="K1623" s="2" t="s">
        <v>119</v>
      </c>
      <c r="L1623" s="1"/>
      <c r="M1623" s="1" t="s">
        <v>6391</v>
      </c>
      <c r="N1623" s="1" t="s">
        <v>34</v>
      </c>
      <c r="O1623" s="1" t="s">
        <v>85</v>
      </c>
      <c r="P1623" s="1" t="s">
        <v>6392</v>
      </c>
      <c r="Q1623" s="3">
        <v>36892.0</v>
      </c>
      <c r="R1623" s="1"/>
      <c r="S1623" s="3">
        <v>41071.0</v>
      </c>
      <c r="T1623" s="1" t="s">
        <v>37</v>
      </c>
      <c r="U1623" s="1"/>
      <c r="V1623" s="1" t="s">
        <v>38</v>
      </c>
      <c r="W1623" s="1">
        <v>43.5608331949936</v>
      </c>
      <c r="X1623" s="1">
        <v>-72.4522376060485</v>
      </c>
      <c r="Y1623" s="1" t="s">
        <v>6393</v>
      </c>
      <c r="Z1623" s="1"/>
      <c r="AA1623" s="1" t="s">
        <v>40</v>
      </c>
      <c r="AB1623" s="1" t="s">
        <v>6394</v>
      </c>
      <c r="AC1623" s="1">
        <v>5048.0</v>
      </c>
    </row>
    <row r="1624">
      <c r="A1624" s="1" t="str">
        <f>"0008GY"</f>
        <v>0008GY</v>
      </c>
      <c r="B1624" s="1" t="s">
        <v>6395</v>
      </c>
      <c r="C1624" s="1" t="s">
        <v>6396</v>
      </c>
      <c r="D1624" s="1" t="str">
        <f>"8024292620"</f>
        <v>8024292620</v>
      </c>
      <c r="E1624" s="1">
        <v>3136.0</v>
      </c>
      <c r="F1624" s="1" t="s">
        <v>44</v>
      </c>
      <c r="G1624" s="1" t="s">
        <v>6397</v>
      </c>
      <c r="H1624" s="1"/>
      <c r="I1624" s="1"/>
      <c r="J1624" s="1"/>
      <c r="K1624" s="1"/>
      <c r="L1624" s="1"/>
      <c r="M1624" s="1" t="s">
        <v>72</v>
      </c>
      <c r="N1624" s="1" t="s">
        <v>142</v>
      </c>
      <c r="O1624" s="1" t="s">
        <v>540</v>
      </c>
      <c r="P1624" s="1"/>
      <c r="Q1624" s="3">
        <v>36892.0</v>
      </c>
      <c r="R1624" s="1"/>
      <c r="S1624" s="1"/>
      <c r="T1624" s="1" t="s">
        <v>37</v>
      </c>
      <c r="U1624" s="1"/>
      <c r="V1624" s="1" t="s">
        <v>38</v>
      </c>
      <c r="W1624" s="1"/>
      <c r="X1624" s="1"/>
      <c r="Y1624" s="1" t="s">
        <v>49</v>
      </c>
      <c r="Z1624" s="1"/>
      <c r="AA1624" s="1" t="s">
        <v>40</v>
      </c>
      <c r="AB1624" s="1" t="s">
        <v>541</v>
      </c>
      <c r="AC1624" s="1"/>
    </row>
    <row r="1625">
      <c r="A1625" s="1" t="str">
        <f>"000796"</f>
        <v>000796</v>
      </c>
      <c r="B1625" s="1" t="s">
        <v>6398</v>
      </c>
      <c r="C1625" s="1" t="s">
        <v>6399</v>
      </c>
      <c r="D1625" s="1" t="str">
        <f>"8028246239"</f>
        <v>8028246239</v>
      </c>
      <c r="E1625" s="1">
        <v>3261.0</v>
      </c>
      <c r="F1625" s="1" t="s">
        <v>44</v>
      </c>
      <c r="G1625" s="1" t="s">
        <v>6400</v>
      </c>
      <c r="H1625" s="1">
        <v>1.0</v>
      </c>
      <c r="I1625" s="1"/>
      <c r="J1625" s="1"/>
      <c r="K1625" s="1"/>
      <c r="L1625" s="1"/>
      <c r="M1625" s="1" t="s">
        <v>72</v>
      </c>
      <c r="N1625" s="1" t="s">
        <v>414</v>
      </c>
      <c r="O1625" s="1" t="s">
        <v>660</v>
      </c>
      <c r="P1625" s="1"/>
      <c r="Q1625" s="3">
        <v>36892.0</v>
      </c>
      <c r="R1625" s="1"/>
      <c r="S1625" s="3">
        <v>36705.0</v>
      </c>
      <c r="T1625" s="1" t="s">
        <v>37</v>
      </c>
      <c r="U1625" s="1"/>
      <c r="V1625" s="1" t="s">
        <v>38</v>
      </c>
      <c r="W1625" s="1"/>
      <c r="X1625" s="1"/>
      <c r="Y1625" s="1" t="s">
        <v>49</v>
      </c>
      <c r="Z1625" s="1"/>
      <c r="AA1625" s="1" t="s">
        <v>40</v>
      </c>
      <c r="AB1625" s="1" t="s">
        <v>661</v>
      </c>
      <c r="AC1625" s="1"/>
    </row>
    <row r="1626">
      <c r="A1626" s="1" t="str">
        <f>"0008PC"</f>
        <v>0008PC</v>
      </c>
      <c r="B1626" s="1" t="s">
        <v>6401</v>
      </c>
      <c r="C1626" s="1" t="s">
        <v>6402</v>
      </c>
      <c r="D1626" s="1"/>
      <c r="E1626" s="1">
        <v>3245.0</v>
      </c>
      <c r="F1626" s="1" t="s">
        <v>44</v>
      </c>
      <c r="G1626" s="1" t="s">
        <v>6403</v>
      </c>
      <c r="H1626" s="1">
        <v>1.0</v>
      </c>
      <c r="I1626" s="1"/>
      <c r="J1626" s="1"/>
      <c r="K1626" s="1"/>
      <c r="L1626" s="1"/>
      <c r="M1626" s="1" t="s">
        <v>72</v>
      </c>
      <c r="N1626" s="1" t="s">
        <v>414</v>
      </c>
      <c r="O1626" s="1" t="s">
        <v>660</v>
      </c>
      <c r="P1626" s="1"/>
      <c r="Q1626" s="3">
        <v>36892.0</v>
      </c>
      <c r="R1626" s="1"/>
      <c r="S1626" s="1"/>
      <c r="T1626" s="1" t="s">
        <v>37</v>
      </c>
      <c r="U1626" s="1"/>
      <c r="V1626" s="1" t="s">
        <v>38</v>
      </c>
      <c r="W1626" s="1"/>
      <c r="X1626" s="1"/>
      <c r="Y1626" s="1" t="s">
        <v>49</v>
      </c>
      <c r="Z1626" s="1"/>
      <c r="AA1626" s="1" t="s">
        <v>40</v>
      </c>
      <c r="AB1626" s="1" t="s">
        <v>661</v>
      </c>
      <c r="AC1626" s="1">
        <v>5152.0</v>
      </c>
    </row>
    <row r="1627">
      <c r="A1627" s="1" t="str">
        <f>"0008NN"</f>
        <v>0008NN</v>
      </c>
      <c r="B1627" s="1" t="s">
        <v>2433</v>
      </c>
      <c r="C1627" s="1" t="s">
        <v>2434</v>
      </c>
      <c r="D1627" s="1" t="str">
        <f>"8027334761"</f>
        <v>8027334761</v>
      </c>
      <c r="E1627" s="1">
        <v>3190.0</v>
      </c>
      <c r="F1627" s="1" t="s">
        <v>117</v>
      </c>
      <c r="G1627" s="1" t="s">
        <v>6404</v>
      </c>
      <c r="H1627" s="1">
        <v>48.0</v>
      </c>
      <c r="I1627" s="2" t="s">
        <v>119</v>
      </c>
      <c r="J1627" s="2" t="s">
        <v>119</v>
      </c>
      <c r="K1627" s="2" t="s">
        <v>119</v>
      </c>
      <c r="L1627" s="1"/>
      <c r="M1627" s="1" t="s">
        <v>6405</v>
      </c>
      <c r="N1627" s="1" t="s">
        <v>414</v>
      </c>
      <c r="O1627" s="1" t="s">
        <v>720</v>
      </c>
      <c r="P1627" s="1" t="s">
        <v>6406</v>
      </c>
      <c r="Q1627" s="3">
        <v>36892.0</v>
      </c>
      <c r="R1627" s="1"/>
      <c r="S1627" s="3">
        <v>41473.0</v>
      </c>
      <c r="T1627" s="1" t="s">
        <v>164</v>
      </c>
      <c r="U1627" s="1"/>
      <c r="V1627" s="1" t="s">
        <v>38</v>
      </c>
      <c r="W1627" s="1">
        <v>42.91229</v>
      </c>
      <c r="X1627" s="1">
        <v>-73.20936</v>
      </c>
      <c r="Y1627" s="1" t="s">
        <v>49</v>
      </c>
      <c r="Z1627" s="1"/>
      <c r="AA1627" s="1" t="s">
        <v>40</v>
      </c>
      <c r="AB1627" s="1" t="s">
        <v>414</v>
      </c>
      <c r="AC1627" s="1">
        <v>0.0</v>
      </c>
    </row>
    <row r="1628">
      <c r="A1628" s="1" t="str">
        <f>"0008Q2"</f>
        <v>0008Q2</v>
      </c>
      <c r="B1628" s="1" t="s">
        <v>6407</v>
      </c>
      <c r="C1628" s="1" t="s">
        <v>6408</v>
      </c>
      <c r="D1628" s="1" t="str">
        <f>"8024395659"</f>
        <v>8024395659</v>
      </c>
      <c r="E1628" s="1">
        <v>3262.0</v>
      </c>
      <c r="F1628" s="1" t="s">
        <v>44</v>
      </c>
      <c r="G1628" s="1" t="s">
        <v>6409</v>
      </c>
      <c r="H1628" s="1">
        <v>1.0</v>
      </c>
      <c r="I1628" s="1"/>
      <c r="J1628" s="1"/>
      <c r="K1628" s="1"/>
      <c r="L1628" s="1"/>
      <c r="M1628" s="1" t="s">
        <v>72</v>
      </c>
      <c r="N1628" s="1" t="s">
        <v>142</v>
      </c>
      <c r="O1628" s="1" t="s">
        <v>400</v>
      </c>
      <c r="P1628" s="1"/>
      <c r="Q1628" s="3">
        <v>36892.0</v>
      </c>
      <c r="R1628" s="1"/>
      <c r="S1628" s="3">
        <v>38874.0</v>
      </c>
      <c r="T1628" s="1" t="s">
        <v>37</v>
      </c>
      <c r="U1628" s="1"/>
      <c r="V1628" s="1" t="s">
        <v>38</v>
      </c>
      <c r="W1628" s="1">
        <v>44.110054</v>
      </c>
      <c r="X1628" s="1">
        <v>-72.316452</v>
      </c>
      <c r="Y1628" s="1" t="s">
        <v>6410</v>
      </c>
      <c r="Z1628" s="1"/>
      <c r="AA1628" s="1" t="s">
        <v>40</v>
      </c>
      <c r="AB1628" s="1" t="s">
        <v>401</v>
      </c>
      <c r="AC1628" s="1">
        <v>5086.0</v>
      </c>
    </row>
    <row r="1629">
      <c r="A1629" s="1" t="str">
        <f>"0008P6"</f>
        <v>0008P6</v>
      </c>
      <c r="B1629" s="1" t="s">
        <v>6411</v>
      </c>
      <c r="C1629" s="1" t="s">
        <v>6412</v>
      </c>
      <c r="D1629" s="1" t="str">
        <f>"8024463458"</f>
        <v>8024463458</v>
      </c>
      <c r="E1629" s="1">
        <v>3219.0</v>
      </c>
      <c r="F1629" s="1" t="s">
        <v>44</v>
      </c>
      <c r="G1629" s="1" t="s">
        <v>6413</v>
      </c>
      <c r="H1629" s="1">
        <v>2.0</v>
      </c>
      <c r="I1629" s="1"/>
      <c r="J1629" s="1"/>
      <c r="K1629" s="1"/>
      <c r="L1629" s="1"/>
      <c r="M1629" s="1" t="s">
        <v>72</v>
      </c>
      <c r="N1629" s="1" t="s">
        <v>78</v>
      </c>
      <c r="O1629" s="1" t="s">
        <v>251</v>
      </c>
      <c r="P1629" s="1"/>
      <c r="Q1629" s="3">
        <v>36892.0</v>
      </c>
      <c r="R1629" s="1"/>
      <c r="S1629" s="3">
        <v>36720.0</v>
      </c>
      <c r="T1629" s="1" t="s">
        <v>37</v>
      </c>
      <c r="U1629" s="1"/>
      <c r="V1629" s="1" t="s">
        <v>38</v>
      </c>
      <c r="W1629" s="1"/>
      <c r="X1629" s="1"/>
      <c r="Y1629" s="1" t="s">
        <v>49</v>
      </c>
      <c r="Z1629" s="1"/>
      <c r="AA1629" s="1" t="s">
        <v>40</v>
      </c>
      <c r="AB1629" s="1" t="s">
        <v>252</v>
      </c>
      <c r="AC1629" s="1"/>
    </row>
    <row r="1630">
      <c r="A1630" s="1" t="str">
        <f>"00072Z"</f>
        <v>00072Z</v>
      </c>
      <c r="B1630" s="1" t="s">
        <v>1128</v>
      </c>
      <c r="C1630" s="1" t="s">
        <v>1129</v>
      </c>
      <c r="D1630" s="1" t="str">
        <f>"8022592594"</f>
        <v>8022592594</v>
      </c>
      <c r="E1630" s="1">
        <v>193.0</v>
      </c>
      <c r="F1630" s="1" t="s">
        <v>44</v>
      </c>
      <c r="G1630" s="1" t="s">
        <v>6414</v>
      </c>
      <c r="H1630" s="1">
        <v>2.0</v>
      </c>
      <c r="I1630" s="1"/>
      <c r="J1630" s="1"/>
      <c r="K1630" s="1"/>
      <c r="L1630" s="1"/>
      <c r="M1630" s="1" t="s">
        <v>6415</v>
      </c>
      <c r="N1630" s="1" t="s">
        <v>78</v>
      </c>
      <c r="O1630" s="1" t="s">
        <v>1124</v>
      </c>
      <c r="P1630" s="1"/>
      <c r="Q1630" s="3">
        <v>36892.0</v>
      </c>
      <c r="R1630" s="1"/>
      <c r="S1630" s="3">
        <v>36720.0</v>
      </c>
      <c r="T1630" s="1" t="s">
        <v>37</v>
      </c>
      <c r="U1630" s="1"/>
      <c r="V1630" s="1" t="s">
        <v>38</v>
      </c>
      <c r="W1630" s="1"/>
      <c r="X1630" s="1"/>
      <c r="Y1630" s="1" t="s">
        <v>49</v>
      </c>
      <c r="Z1630" s="1"/>
      <c r="AA1630" s="1" t="s">
        <v>40</v>
      </c>
      <c r="AB1630" s="1" t="s">
        <v>1127</v>
      </c>
      <c r="AC1630" s="1"/>
    </row>
    <row r="1631">
      <c r="A1631" s="1" t="str">
        <f>"0008Q3"</f>
        <v>0008Q3</v>
      </c>
      <c r="B1631" s="1" t="s">
        <v>6416</v>
      </c>
      <c r="C1631" s="1" t="s">
        <v>6417</v>
      </c>
      <c r="D1631" s="1"/>
      <c r="E1631" s="1">
        <v>3263.0</v>
      </c>
      <c r="F1631" s="1" t="s">
        <v>44</v>
      </c>
      <c r="G1631" s="1" t="s">
        <v>6418</v>
      </c>
      <c r="H1631" s="1">
        <v>4.0</v>
      </c>
      <c r="I1631" s="1"/>
      <c r="J1631" s="1"/>
      <c r="K1631" s="1"/>
      <c r="L1631" s="1"/>
      <c r="M1631" s="1" t="s">
        <v>72</v>
      </c>
      <c r="N1631" s="1" t="s">
        <v>78</v>
      </c>
      <c r="O1631" s="1" t="s">
        <v>1124</v>
      </c>
      <c r="P1631" s="1"/>
      <c r="Q1631" s="3">
        <v>36892.0</v>
      </c>
      <c r="R1631" s="1"/>
      <c r="S1631" s="3">
        <v>36720.0</v>
      </c>
      <c r="T1631" s="1" t="s">
        <v>37</v>
      </c>
      <c r="U1631" s="1"/>
      <c r="V1631" s="1" t="s">
        <v>38</v>
      </c>
      <c r="W1631" s="1"/>
      <c r="X1631" s="1"/>
      <c r="Y1631" s="1" t="s">
        <v>49</v>
      </c>
      <c r="Z1631" s="1"/>
      <c r="AA1631" s="1" t="s">
        <v>40</v>
      </c>
      <c r="AB1631" s="1" t="s">
        <v>1127</v>
      </c>
      <c r="AC1631" s="1"/>
    </row>
    <row r="1632">
      <c r="A1632" s="1" t="str">
        <f>"00070D"</f>
        <v>00070D</v>
      </c>
      <c r="B1632" s="1" t="s">
        <v>527</v>
      </c>
      <c r="C1632" s="1" t="s">
        <v>528</v>
      </c>
      <c r="D1632" s="1" t="str">
        <f>"8024923458"</f>
        <v>8024923458</v>
      </c>
      <c r="E1632" s="1">
        <v>41.0</v>
      </c>
      <c r="F1632" s="1" t="s">
        <v>31</v>
      </c>
      <c r="G1632" s="1" t="s">
        <v>6419</v>
      </c>
      <c r="H1632" s="1">
        <v>6.0</v>
      </c>
      <c r="I1632" s="1"/>
      <c r="J1632" s="1"/>
      <c r="K1632" s="1"/>
      <c r="L1632" s="1"/>
      <c r="M1632" s="1" t="s">
        <v>6420</v>
      </c>
      <c r="N1632" s="1" t="s">
        <v>34</v>
      </c>
      <c r="O1632" s="1" t="s">
        <v>1085</v>
      </c>
      <c r="P1632" s="1"/>
      <c r="Q1632" s="3">
        <v>36892.0</v>
      </c>
      <c r="R1632" s="3">
        <v>42923.30619212963</v>
      </c>
      <c r="S1632" s="3">
        <v>42919.0</v>
      </c>
      <c r="T1632" s="1" t="s">
        <v>37</v>
      </c>
      <c r="U1632" s="1"/>
      <c r="V1632" s="1" t="s">
        <v>38</v>
      </c>
      <c r="W1632" s="1">
        <v>43.353333</v>
      </c>
      <c r="X1632" s="1">
        <v>-72.476111</v>
      </c>
      <c r="Y1632" s="1" t="s">
        <v>6421</v>
      </c>
      <c r="Z1632" s="1"/>
      <c r="AA1632" s="1" t="s">
        <v>40</v>
      </c>
      <c r="AB1632" s="1" t="s">
        <v>1086</v>
      </c>
      <c r="AC1632" s="1">
        <v>0.0</v>
      </c>
    </row>
    <row r="1633">
      <c r="A1633" s="1" t="str">
        <f>"000719"</f>
        <v>000719</v>
      </c>
      <c r="B1633" s="1" t="s">
        <v>6422</v>
      </c>
      <c r="C1633" s="1" t="s">
        <v>6423</v>
      </c>
      <c r="D1633" s="1" t="str">
        <f>"8026357027"</f>
        <v>8026357027</v>
      </c>
      <c r="E1633" s="1">
        <v>3984.0</v>
      </c>
      <c r="F1633" s="1" t="s">
        <v>44</v>
      </c>
      <c r="G1633" s="1" t="s">
        <v>6424</v>
      </c>
      <c r="H1633" s="1">
        <v>2.0</v>
      </c>
      <c r="I1633" s="1"/>
      <c r="J1633" s="1"/>
      <c r="K1633" s="1"/>
      <c r="L1633" s="1"/>
      <c r="M1633" s="1" t="s">
        <v>72</v>
      </c>
      <c r="N1633" s="1" t="s">
        <v>213</v>
      </c>
      <c r="O1633" s="1" t="s">
        <v>1154</v>
      </c>
      <c r="P1633" s="1"/>
      <c r="Q1633" s="3">
        <v>36892.0</v>
      </c>
      <c r="R1633" s="1"/>
      <c r="S1633" s="3">
        <v>39687.0</v>
      </c>
      <c r="T1633" s="1" t="s">
        <v>37</v>
      </c>
      <c r="U1633" s="1"/>
      <c r="V1633" s="1" t="s">
        <v>38</v>
      </c>
      <c r="W1633" s="1"/>
      <c r="X1633" s="1"/>
      <c r="Y1633" s="1" t="s">
        <v>49</v>
      </c>
      <c r="Z1633" s="1"/>
      <c r="AA1633" s="1" t="s">
        <v>40</v>
      </c>
      <c r="AB1633" s="1" t="s">
        <v>1155</v>
      </c>
      <c r="AC1633" s="1"/>
    </row>
    <row r="1634">
      <c r="A1634" s="1" t="str">
        <f>"0007C4"</f>
        <v>0007C4</v>
      </c>
      <c r="B1634" s="1" t="s">
        <v>6425</v>
      </c>
      <c r="C1634" s="1" t="s">
        <v>6426</v>
      </c>
      <c r="D1634" s="1" t="str">
        <f>"8026742550"</f>
        <v>8026742550</v>
      </c>
      <c r="E1634" s="1">
        <v>3264.0</v>
      </c>
      <c r="F1634" s="1" t="s">
        <v>44</v>
      </c>
      <c r="G1634" s="1" t="s">
        <v>6427</v>
      </c>
      <c r="H1634" s="1">
        <v>1.0</v>
      </c>
      <c r="I1634" s="1"/>
      <c r="J1634" s="1"/>
      <c r="K1634" s="1"/>
      <c r="L1634" s="1"/>
      <c r="M1634" s="1" t="s">
        <v>72</v>
      </c>
      <c r="N1634" s="1" t="s">
        <v>34</v>
      </c>
      <c r="O1634" s="1" t="s">
        <v>295</v>
      </c>
      <c r="P1634" s="1"/>
      <c r="Q1634" s="3">
        <v>36892.0</v>
      </c>
      <c r="R1634" s="1"/>
      <c r="S1634" s="3">
        <v>38530.0</v>
      </c>
      <c r="T1634" s="1" t="s">
        <v>37</v>
      </c>
      <c r="U1634" s="1"/>
      <c r="V1634" s="1" t="s">
        <v>38</v>
      </c>
      <c r="W1634" s="1">
        <v>43.4612349999999</v>
      </c>
      <c r="X1634" s="1">
        <v>-72.395714</v>
      </c>
      <c r="Y1634" s="1" t="s">
        <v>6428</v>
      </c>
      <c r="Z1634" s="1"/>
      <c r="AA1634" s="1" t="s">
        <v>40</v>
      </c>
      <c r="AB1634" s="1" t="s">
        <v>34</v>
      </c>
      <c r="AC1634" s="1">
        <v>5089.0</v>
      </c>
    </row>
    <row r="1635">
      <c r="A1635" s="1" t="str">
        <f>"00082Q"</f>
        <v>00082Q</v>
      </c>
      <c r="B1635" s="1" t="s">
        <v>2862</v>
      </c>
      <c r="C1635" s="1" t="s">
        <v>2863</v>
      </c>
      <c r="D1635" s="1" t="str">
        <f>"8024533793"</f>
        <v>8024533793</v>
      </c>
      <c r="E1635" s="1">
        <v>3044.0</v>
      </c>
      <c r="F1635" s="1" t="s">
        <v>44</v>
      </c>
      <c r="G1635" s="1" t="s">
        <v>6429</v>
      </c>
      <c r="H1635" s="1">
        <v>1.0</v>
      </c>
      <c r="I1635" s="1"/>
      <c r="J1635" s="1"/>
      <c r="K1635" s="1"/>
      <c r="L1635" s="1"/>
      <c r="M1635" s="1" t="s">
        <v>6430</v>
      </c>
      <c r="N1635" s="1" t="s">
        <v>161</v>
      </c>
      <c r="O1635" s="1" t="s">
        <v>394</v>
      </c>
      <c r="P1635" s="1"/>
      <c r="Q1635" s="3">
        <v>36892.0</v>
      </c>
      <c r="R1635" s="1"/>
      <c r="S1635" s="3">
        <v>36733.0</v>
      </c>
      <c r="T1635" s="1" t="s">
        <v>37</v>
      </c>
      <c r="U1635" s="1"/>
      <c r="V1635" s="1" t="s">
        <v>38</v>
      </c>
      <c r="W1635" s="1"/>
      <c r="X1635" s="1"/>
      <c r="Y1635" s="1" t="s">
        <v>49</v>
      </c>
      <c r="Z1635" s="1"/>
      <c r="AA1635" s="1" t="s">
        <v>40</v>
      </c>
      <c r="AB1635" s="1" t="s">
        <v>395</v>
      </c>
      <c r="AC1635" s="1"/>
    </row>
    <row r="1636">
      <c r="A1636" s="1" t="str">
        <f>"0008N7"</f>
        <v>0008N7</v>
      </c>
      <c r="B1636" s="1" t="s">
        <v>6431</v>
      </c>
      <c r="C1636" s="1" t="s">
        <v>6432</v>
      </c>
      <c r="D1636" s="1" t="str">
        <f>"8024344714"</f>
        <v>8024344714</v>
      </c>
      <c r="E1636" s="1">
        <v>3170.0</v>
      </c>
      <c r="F1636" s="1" t="s">
        <v>44</v>
      </c>
      <c r="G1636" s="1" t="s">
        <v>6433</v>
      </c>
      <c r="H1636" s="1">
        <v>1.0</v>
      </c>
      <c r="I1636" s="1"/>
      <c r="J1636" s="1"/>
      <c r="K1636" s="1"/>
      <c r="L1636" s="1"/>
      <c r="M1636" s="1" t="s">
        <v>72</v>
      </c>
      <c r="N1636" s="1" t="s">
        <v>57</v>
      </c>
      <c r="O1636" s="1" t="s">
        <v>201</v>
      </c>
      <c r="P1636" s="1"/>
      <c r="Q1636" s="3">
        <v>36892.0</v>
      </c>
      <c r="R1636" s="1"/>
      <c r="S1636" s="3">
        <v>37467.0</v>
      </c>
      <c r="T1636" s="1" t="s">
        <v>37</v>
      </c>
      <c r="U1636" s="1"/>
      <c r="V1636" s="1" t="s">
        <v>38</v>
      </c>
      <c r="W1636" s="1"/>
      <c r="X1636" s="1"/>
      <c r="Y1636" s="1" t="s">
        <v>49</v>
      </c>
      <c r="Z1636" s="1"/>
      <c r="AA1636" s="1" t="s">
        <v>40</v>
      </c>
      <c r="AB1636" s="1" t="s">
        <v>202</v>
      </c>
      <c r="AC1636" s="1"/>
    </row>
    <row r="1637">
      <c r="A1637" s="1" t="str">
        <f>"0008Q4"</f>
        <v>0008Q4</v>
      </c>
      <c r="B1637" s="1" t="s">
        <v>6434</v>
      </c>
      <c r="C1637" s="1" t="s">
        <v>6435</v>
      </c>
      <c r="D1637" s="1" t="str">
        <f>"8024826405"</f>
        <v>8024826405</v>
      </c>
      <c r="E1637" s="1">
        <v>3265.0</v>
      </c>
      <c r="F1637" s="1" t="s">
        <v>117</v>
      </c>
      <c r="G1637" s="1" t="s">
        <v>6436</v>
      </c>
      <c r="H1637" s="1">
        <v>6.0</v>
      </c>
      <c r="I1637" s="2">
        <v>1.0</v>
      </c>
      <c r="J1637" s="2">
        <v>1.0</v>
      </c>
      <c r="K1637" s="2" t="s">
        <v>119</v>
      </c>
      <c r="L1637" s="2" t="s">
        <v>4799</v>
      </c>
      <c r="M1637" s="1" t="s">
        <v>6437</v>
      </c>
      <c r="N1637" s="1" t="s">
        <v>57</v>
      </c>
      <c r="O1637" s="1" t="s">
        <v>204</v>
      </c>
      <c r="P1637" s="1" t="s">
        <v>6438</v>
      </c>
      <c r="Q1637" s="3">
        <v>36892.0</v>
      </c>
      <c r="R1637" s="1"/>
      <c r="S1637" s="3">
        <v>42584.0</v>
      </c>
      <c r="T1637" s="1" t="s">
        <v>37</v>
      </c>
      <c r="U1637" s="1"/>
      <c r="V1637" s="1" t="s">
        <v>38</v>
      </c>
      <c r="W1637" s="1">
        <v>44.3466339999999</v>
      </c>
      <c r="X1637" s="1">
        <v>-73.064857</v>
      </c>
      <c r="Y1637" s="1" t="s">
        <v>6439</v>
      </c>
      <c r="Z1637" s="1"/>
      <c r="AA1637" s="1" t="s">
        <v>40</v>
      </c>
      <c r="AB1637" s="1" t="s">
        <v>205</v>
      </c>
      <c r="AC1637" s="1">
        <v>5461.0</v>
      </c>
    </row>
    <row r="1638">
      <c r="A1638" s="1" t="str">
        <f>"00090P"</f>
        <v>00090P</v>
      </c>
      <c r="B1638" s="1" t="s">
        <v>6440</v>
      </c>
      <c r="C1638" s="1" t="s">
        <v>6441</v>
      </c>
      <c r="D1638" s="1" t="str">
        <f>"8026491327"</f>
        <v>8026491327</v>
      </c>
      <c r="E1638" s="1">
        <v>3602.0</v>
      </c>
      <c r="F1638" s="1" t="s">
        <v>44</v>
      </c>
      <c r="G1638" s="1" t="s">
        <v>6442</v>
      </c>
      <c r="H1638" s="1"/>
      <c r="I1638" s="1"/>
      <c r="J1638" s="1"/>
      <c r="K1638" s="1"/>
      <c r="L1638" s="1"/>
      <c r="M1638" s="1" t="s">
        <v>72</v>
      </c>
      <c r="N1638" s="1" t="s">
        <v>34</v>
      </c>
      <c r="O1638" s="1" t="s">
        <v>463</v>
      </c>
      <c r="P1638" s="1"/>
      <c r="Q1638" s="3">
        <v>36892.0</v>
      </c>
      <c r="R1638" s="1"/>
      <c r="S1638" s="1"/>
      <c r="T1638" s="1" t="s">
        <v>37</v>
      </c>
      <c r="U1638" s="1"/>
      <c r="V1638" s="1" t="s">
        <v>38</v>
      </c>
      <c r="W1638" s="1"/>
      <c r="X1638" s="1"/>
      <c r="Y1638" s="1" t="s">
        <v>49</v>
      </c>
      <c r="Z1638" s="1"/>
      <c r="AA1638" s="1" t="s">
        <v>40</v>
      </c>
      <c r="AB1638" s="1" t="s">
        <v>466</v>
      </c>
      <c r="AC1638" s="1"/>
    </row>
    <row r="1639">
      <c r="A1639" s="1" t="str">
        <f>"0008Q5"</f>
        <v>0008Q5</v>
      </c>
      <c r="B1639" s="1" t="s">
        <v>6443</v>
      </c>
      <c r="C1639" s="1" t="s">
        <v>6444</v>
      </c>
      <c r="D1639" s="1" t="str">
        <f>"8024839311"</f>
        <v>8024839311</v>
      </c>
      <c r="E1639" s="1">
        <v>3268.0</v>
      </c>
      <c r="F1639" s="1" t="s">
        <v>44</v>
      </c>
      <c r="G1639" s="1" t="s">
        <v>6445</v>
      </c>
      <c r="H1639" s="1"/>
      <c r="I1639" s="1"/>
      <c r="J1639" s="1"/>
      <c r="K1639" s="1"/>
      <c r="L1639" s="1"/>
      <c r="M1639" s="1" t="s">
        <v>72</v>
      </c>
      <c r="N1639" s="1" t="s">
        <v>78</v>
      </c>
      <c r="O1639" s="1" t="s">
        <v>79</v>
      </c>
      <c r="P1639" s="1"/>
      <c r="Q1639" s="3">
        <v>36892.0</v>
      </c>
      <c r="R1639" s="1"/>
      <c r="S1639" s="1"/>
      <c r="T1639" s="1" t="s">
        <v>37</v>
      </c>
      <c r="U1639" s="1"/>
      <c r="V1639" s="1" t="s">
        <v>38</v>
      </c>
      <c r="W1639" s="1"/>
      <c r="X1639" s="1"/>
      <c r="Y1639" s="1" t="s">
        <v>49</v>
      </c>
      <c r="Z1639" s="1"/>
      <c r="AA1639" s="1" t="s">
        <v>40</v>
      </c>
      <c r="AB1639" s="1" t="s">
        <v>80</v>
      </c>
      <c r="AC1639" s="1"/>
    </row>
    <row r="1640">
      <c r="A1640" s="1" t="str">
        <f>"0008Q7"</f>
        <v>0008Q7</v>
      </c>
      <c r="B1640" s="1" t="s">
        <v>6446</v>
      </c>
      <c r="C1640" s="1" t="s">
        <v>6447</v>
      </c>
      <c r="D1640" s="1" t="str">
        <f>"8022547697"</f>
        <v>8022547697</v>
      </c>
      <c r="E1640" s="1">
        <v>3271.0</v>
      </c>
      <c r="F1640" s="1" t="s">
        <v>44</v>
      </c>
      <c r="G1640" s="1" t="s">
        <v>6448</v>
      </c>
      <c r="H1640" s="1">
        <v>2.0</v>
      </c>
      <c r="I1640" s="1"/>
      <c r="J1640" s="1"/>
      <c r="K1640" s="1"/>
      <c r="L1640" s="1"/>
      <c r="M1640" s="1" t="s">
        <v>72</v>
      </c>
      <c r="N1640" s="1" t="s">
        <v>66</v>
      </c>
      <c r="O1640" s="1" t="s">
        <v>2346</v>
      </c>
      <c r="P1640" s="1"/>
      <c r="Q1640" s="3">
        <v>36892.0</v>
      </c>
      <c r="R1640" s="1"/>
      <c r="S1640" s="3">
        <v>37089.0</v>
      </c>
      <c r="T1640" s="1" t="s">
        <v>37</v>
      </c>
      <c r="U1640" s="1"/>
      <c r="V1640" s="1" t="s">
        <v>38</v>
      </c>
      <c r="W1640" s="1"/>
      <c r="X1640" s="1"/>
      <c r="Y1640" s="1" t="s">
        <v>49</v>
      </c>
      <c r="Z1640" s="1"/>
      <c r="AA1640" s="1" t="s">
        <v>40</v>
      </c>
      <c r="AB1640" s="1" t="s">
        <v>2349</v>
      </c>
      <c r="AC1640" s="1"/>
    </row>
    <row r="1641">
      <c r="A1641" s="1" t="str">
        <f>"0008P5"</f>
        <v>0008P5</v>
      </c>
      <c r="B1641" s="1" t="s">
        <v>6449</v>
      </c>
      <c r="C1641" s="1" t="s">
        <v>6450</v>
      </c>
      <c r="D1641" s="1" t="str">
        <f>"8028832314"</f>
        <v>8028832314</v>
      </c>
      <c r="E1641" s="1">
        <v>3218.0</v>
      </c>
      <c r="F1641" s="1" t="s">
        <v>44</v>
      </c>
      <c r="G1641" s="1" t="s">
        <v>6451</v>
      </c>
      <c r="H1641" s="1">
        <v>2.0</v>
      </c>
      <c r="I1641" s="1"/>
      <c r="J1641" s="1"/>
      <c r="K1641" s="1"/>
      <c r="L1641" s="1"/>
      <c r="M1641" s="1" t="s">
        <v>72</v>
      </c>
      <c r="N1641" s="1" t="s">
        <v>142</v>
      </c>
      <c r="O1641" s="1" t="s">
        <v>1026</v>
      </c>
      <c r="P1641" s="1"/>
      <c r="Q1641" s="3">
        <v>36892.0</v>
      </c>
      <c r="R1641" s="1"/>
      <c r="S1641" s="3">
        <v>39735.0</v>
      </c>
      <c r="T1641" s="1" t="s">
        <v>37</v>
      </c>
      <c r="U1641" s="1"/>
      <c r="V1641" s="1" t="s">
        <v>38</v>
      </c>
      <c r="W1641" s="1">
        <v>44.1064107</v>
      </c>
      <c r="X1641" s="1">
        <v>-72.4248089999999</v>
      </c>
      <c r="Y1641" s="1" t="s">
        <v>6452</v>
      </c>
      <c r="Z1641" s="1"/>
      <c r="AA1641" s="1" t="s">
        <v>40</v>
      </c>
      <c r="AB1641" s="1" t="s">
        <v>135</v>
      </c>
      <c r="AC1641" s="1">
        <v>5675.0</v>
      </c>
    </row>
    <row r="1642">
      <c r="A1642" s="1" t="str">
        <f>"0008Q8"</f>
        <v>0008Q8</v>
      </c>
      <c r="B1642" s="1" t="s">
        <v>6453</v>
      </c>
      <c r="C1642" s="1" t="s">
        <v>6454</v>
      </c>
      <c r="D1642" s="1" t="str">
        <f>"8027854813"</f>
        <v>8027854813</v>
      </c>
      <c r="E1642" s="1">
        <v>3272.0</v>
      </c>
      <c r="F1642" s="1" t="s">
        <v>44</v>
      </c>
      <c r="G1642" s="1" t="s">
        <v>6455</v>
      </c>
      <c r="H1642" s="1">
        <v>1.0</v>
      </c>
      <c r="I1642" s="1"/>
      <c r="J1642" s="1"/>
      <c r="K1642" s="1"/>
      <c r="L1642" s="1"/>
      <c r="M1642" s="1" t="s">
        <v>72</v>
      </c>
      <c r="N1642" s="1" t="s">
        <v>142</v>
      </c>
      <c r="O1642" s="1" t="s">
        <v>143</v>
      </c>
      <c r="P1642" s="1"/>
      <c r="Q1642" s="3">
        <v>36892.0</v>
      </c>
      <c r="R1642" s="1"/>
      <c r="S1642" s="3">
        <v>38929.0</v>
      </c>
      <c r="T1642" s="1" t="s">
        <v>37</v>
      </c>
      <c r="U1642" s="1"/>
      <c r="V1642" s="1" t="s">
        <v>38</v>
      </c>
      <c r="W1642" s="1"/>
      <c r="X1642" s="1"/>
      <c r="Y1642" s="1" t="s">
        <v>49</v>
      </c>
      <c r="Z1642" s="1"/>
      <c r="AA1642" s="1" t="s">
        <v>40</v>
      </c>
      <c r="AB1642" s="1" t="s">
        <v>146</v>
      </c>
      <c r="AC1642" s="1"/>
    </row>
    <row r="1643">
      <c r="A1643" s="1" t="str">
        <f>"0008Q9"</f>
        <v>0008Q9</v>
      </c>
      <c r="B1643" s="1" t="s">
        <v>6456</v>
      </c>
      <c r="C1643" s="1" t="s">
        <v>6457</v>
      </c>
      <c r="D1643" s="1" t="str">
        <f>"8023654467"</f>
        <v>8023654467</v>
      </c>
      <c r="E1643" s="1">
        <v>3273.0</v>
      </c>
      <c r="F1643" s="1" t="s">
        <v>44</v>
      </c>
      <c r="G1643" s="1" t="s">
        <v>6458</v>
      </c>
      <c r="H1643" s="1"/>
      <c r="I1643" s="1"/>
      <c r="J1643" s="1"/>
      <c r="K1643" s="1"/>
      <c r="L1643" s="1"/>
      <c r="M1643" s="1" t="s">
        <v>72</v>
      </c>
      <c r="N1643" s="1" t="s">
        <v>66</v>
      </c>
      <c r="O1643" s="1" t="s">
        <v>67</v>
      </c>
      <c r="P1643" s="1"/>
      <c r="Q1643" s="3">
        <v>36892.0</v>
      </c>
      <c r="R1643" s="1"/>
      <c r="S1643" s="1"/>
      <c r="T1643" s="1" t="s">
        <v>37</v>
      </c>
      <c r="U1643" s="1"/>
      <c r="V1643" s="1" t="s">
        <v>38</v>
      </c>
      <c r="W1643" s="1"/>
      <c r="X1643" s="1"/>
      <c r="Y1643" s="1" t="s">
        <v>49</v>
      </c>
      <c r="Z1643" s="1"/>
      <c r="AA1643" s="1" t="s">
        <v>40</v>
      </c>
      <c r="AB1643" s="1" t="s">
        <v>68</v>
      </c>
      <c r="AC1643" s="1"/>
    </row>
    <row r="1644">
      <c r="A1644" s="1" t="str">
        <f>"0007A8"</f>
        <v>0007A8</v>
      </c>
      <c r="B1644" s="1" t="s">
        <v>6459</v>
      </c>
      <c r="C1644" s="1" t="s">
        <v>6460</v>
      </c>
      <c r="D1644" s="1" t="str">
        <f>"8024533147"</f>
        <v>8024533147</v>
      </c>
      <c r="E1644" s="1">
        <v>3270.0</v>
      </c>
      <c r="F1644" s="1" t="s">
        <v>44</v>
      </c>
      <c r="G1644" s="1" t="s">
        <v>6461</v>
      </c>
      <c r="H1644" s="1">
        <v>1.0</v>
      </c>
      <c r="I1644" s="1"/>
      <c r="J1644" s="1"/>
      <c r="K1644" s="1"/>
      <c r="L1644" s="1"/>
      <c r="M1644" s="1" t="s">
        <v>6462</v>
      </c>
      <c r="N1644" s="1" t="s">
        <v>161</v>
      </c>
      <c r="O1644" s="1" t="s">
        <v>394</v>
      </c>
      <c r="P1644" s="1"/>
      <c r="Q1644" s="3">
        <v>36892.0</v>
      </c>
      <c r="R1644" s="1"/>
      <c r="S1644" s="3">
        <v>37152.0</v>
      </c>
      <c r="T1644" s="1" t="s">
        <v>37</v>
      </c>
      <c r="U1644" s="1"/>
      <c r="V1644" s="1" t="s">
        <v>38</v>
      </c>
      <c r="W1644" s="1"/>
      <c r="X1644" s="1"/>
      <c r="Y1644" s="1" t="s">
        <v>49</v>
      </c>
      <c r="Z1644" s="1"/>
      <c r="AA1644" s="1" t="s">
        <v>40</v>
      </c>
      <c r="AB1644" s="1" t="s">
        <v>395</v>
      </c>
      <c r="AC1644" s="1"/>
    </row>
    <row r="1645">
      <c r="A1645" s="1" t="str">
        <f>"0008QA"</f>
        <v>0008QA</v>
      </c>
      <c r="B1645" s="1" t="s">
        <v>6463</v>
      </c>
      <c r="C1645" s="1" t="s">
        <v>6464</v>
      </c>
      <c r="D1645" s="1" t="str">
        <f>"8028994311"</f>
        <v>8028994311</v>
      </c>
      <c r="E1645" s="1">
        <v>3274.0</v>
      </c>
      <c r="F1645" s="1" t="s">
        <v>44</v>
      </c>
      <c r="G1645" s="1" t="s">
        <v>6465</v>
      </c>
      <c r="H1645" s="1">
        <v>2.0</v>
      </c>
      <c r="I1645" s="1"/>
      <c r="J1645" s="1"/>
      <c r="K1645" s="1"/>
      <c r="L1645" s="1"/>
      <c r="M1645" s="1" t="s">
        <v>72</v>
      </c>
      <c r="N1645" s="1" t="s">
        <v>57</v>
      </c>
      <c r="O1645" s="1" t="s">
        <v>58</v>
      </c>
      <c r="P1645" s="1"/>
      <c r="Q1645" s="3">
        <v>36892.0</v>
      </c>
      <c r="R1645" s="1"/>
      <c r="S1645" s="3">
        <v>39281.0</v>
      </c>
      <c r="T1645" s="1" t="s">
        <v>37</v>
      </c>
      <c r="U1645" s="1"/>
      <c r="V1645" s="1" t="s">
        <v>38</v>
      </c>
      <c r="W1645" s="1"/>
      <c r="X1645" s="1"/>
      <c r="Y1645" s="1" t="s">
        <v>49</v>
      </c>
      <c r="Z1645" s="1"/>
      <c r="AA1645" s="1" t="s">
        <v>40</v>
      </c>
      <c r="AB1645" s="1" t="s">
        <v>61</v>
      </c>
      <c r="AC1645" s="1"/>
    </row>
    <row r="1646">
      <c r="A1646" s="1" t="str">
        <f>"0007CN"</f>
        <v>0007CN</v>
      </c>
      <c r="B1646" s="1" t="s">
        <v>6466</v>
      </c>
      <c r="C1646" s="1" t="s">
        <v>6467</v>
      </c>
      <c r="D1646" s="1" t="str">
        <f>"8023654482"</f>
        <v>8023654482</v>
      </c>
      <c r="E1646" s="1">
        <v>3230.0</v>
      </c>
      <c r="F1646" s="1" t="s">
        <v>44</v>
      </c>
      <c r="G1646" s="1" t="s">
        <v>6468</v>
      </c>
      <c r="H1646" s="1"/>
      <c r="I1646" s="1"/>
      <c r="J1646" s="1"/>
      <c r="K1646" s="1"/>
      <c r="L1646" s="1"/>
      <c r="M1646" s="1" t="s">
        <v>72</v>
      </c>
      <c r="N1646" s="1" t="s">
        <v>66</v>
      </c>
      <c r="O1646" s="1" t="s">
        <v>67</v>
      </c>
      <c r="P1646" s="1"/>
      <c r="Q1646" s="3">
        <v>36892.0</v>
      </c>
      <c r="R1646" s="1"/>
      <c r="S1646" s="1"/>
      <c r="T1646" s="1" t="s">
        <v>37</v>
      </c>
      <c r="U1646" s="1"/>
      <c r="V1646" s="1" t="s">
        <v>38</v>
      </c>
      <c r="W1646" s="1"/>
      <c r="X1646" s="1"/>
      <c r="Y1646" s="1" t="s">
        <v>49</v>
      </c>
      <c r="Z1646" s="1"/>
      <c r="AA1646" s="1" t="s">
        <v>40</v>
      </c>
      <c r="AB1646" s="1" t="s">
        <v>68</v>
      </c>
      <c r="AC1646" s="1"/>
    </row>
    <row r="1647">
      <c r="A1647" s="1" t="str">
        <f>"0008QB"</f>
        <v>0008QB</v>
      </c>
      <c r="B1647" s="1" t="s">
        <v>6469</v>
      </c>
      <c r="C1647" s="1" t="s">
        <v>6470</v>
      </c>
      <c r="D1647" s="1" t="str">
        <f>"8023682353"</f>
        <v>8023682353</v>
      </c>
      <c r="E1647" s="1">
        <v>3275.0</v>
      </c>
      <c r="F1647" s="1" t="s">
        <v>117</v>
      </c>
      <c r="G1647" s="1" t="s">
        <v>6471</v>
      </c>
      <c r="H1647" s="1">
        <v>3.0</v>
      </c>
      <c r="I1647" s="2" t="s">
        <v>119</v>
      </c>
      <c r="J1647" s="2" t="s">
        <v>119</v>
      </c>
      <c r="K1647" s="2" t="s">
        <v>119</v>
      </c>
      <c r="L1647" s="1"/>
      <c r="M1647" s="1" t="s">
        <v>6472</v>
      </c>
      <c r="N1647" s="1" t="s">
        <v>66</v>
      </c>
      <c r="O1647" s="1" t="s">
        <v>788</v>
      </c>
      <c r="P1647" s="1" t="s">
        <v>6473</v>
      </c>
      <c r="Q1647" s="3">
        <v>36892.0</v>
      </c>
      <c r="R1647" s="1"/>
      <c r="S1647" s="1"/>
      <c r="T1647" s="1" t="s">
        <v>37</v>
      </c>
      <c r="U1647" s="1"/>
      <c r="V1647" s="1" t="s">
        <v>38</v>
      </c>
      <c r="W1647" s="1">
        <v>42.8045708999999</v>
      </c>
      <c r="X1647" s="1">
        <v>-72.8096069</v>
      </c>
      <c r="Y1647" s="1" t="s">
        <v>6474</v>
      </c>
      <c r="Z1647" s="1"/>
      <c r="AA1647" s="1" t="s">
        <v>40</v>
      </c>
      <c r="AB1647" s="1" t="s">
        <v>6475</v>
      </c>
      <c r="AC1647" s="1">
        <v>5342.0</v>
      </c>
    </row>
    <row r="1648">
      <c r="A1648" s="1" t="str">
        <f>"0008PB"</f>
        <v>0008PB</v>
      </c>
      <c r="B1648" s="1" t="s">
        <v>6476</v>
      </c>
      <c r="C1648" s="1" t="s">
        <v>6477</v>
      </c>
      <c r="D1648" s="1" t="str">
        <f>"8028767263"</f>
        <v>8028767263</v>
      </c>
      <c r="E1648" s="1">
        <v>3238.0</v>
      </c>
      <c r="F1648" s="1" t="s">
        <v>44</v>
      </c>
      <c r="G1648" s="1" t="s">
        <v>6478</v>
      </c>
      <c r="H1648" s="1">
        <v>1.0</v>
      </c>
      <c r="I1648" s="2">
        <v>1.0</v>
      </c>
      <c r="J1648" s="2">
        <v>1.0</v>
      </c>
      <c r="K1648" s="2" t="s">
        <v>119</v>
      </c>
      <c r="L1648" s="2" t="s">
        <v>6479</v>
      </c>
      <c r="M1648" s="1" t="s">
        <v>33</v>
      </c>
      <c r="N1648" s="1" t="s">
        <v>57</v>
      </c>
      <c r="O1648" s="1" t="s">
        <v>155</v>
      </c>
      <c r="P1648" s="1" t="s">
        <v>36</v>
      </c>
      <c r="Q1648" s="3">
        <v>36892.0</v>
      </c>
      <c r="R1648" s="1"/>
      <c r="S1648" s="3">
        <v>42604.0</v>
      </c>
      <c r="T1648" s="1" t="s">
        <v>37</v>
      </c>
      <c r="U1648" s="1"/>
      <c r="V1648" s="1" t="s">
        <v>38</v>
      </c>
      <c r="W1648" s="1">
        <v>44.618422</v>
      </c>
      <c r="X1648" s="1">
        <v>-73.0446069999999</v>
      </c>
      <c r="Y1648" s="1" t="s">
        <v>6480</v>
      </c>
      <c r="Z1648" s="1"/>
      <c r="AA1648" s="1" t="s">
        <v>40</v>
      </c>
      <c r="AB1648" s="1" t="s">
        <v>156</v>
      </c>
      <c r="AC1648" s="1">
        <v>5494.0</v>
      </c>
    </row>
    <row r="1649">
      <c r="A1649" s="1" t="str">
        <f>"0008QD"</f>
        <v>0008QD</v>
      </c>
      <c r="B1649" s="1" t="s">
        <v>6481</v>
      </c>
      <c r="C1649" s="1" t="s">
        <v>6482</v>
      </c>
      <c r="D1649" s="1" t="str">
        <f>"8023659428"</f>
        <v>8023659428</v>
      </c>
      <c r="E1649" s="1">
        <v>3277.0</v>
      </c>
      <c r="F1649" s="1" t="s">
        <v>44</v>
      </c>
      <c r="G1649" s="1" t="s">
        <v>6483</v>
      </c>
      <c r="H1649" s="1">
        <v>1.0</v>
      </c>
      <c r="I1649" s="1"/>
      <c r="J1649" s="1"/>
      <c r="K1649" s="1"/>
      <c r="L1649" s="1"/>
      <c r="M1649" s="1" t="s">
        <v>72</v>
      </c>
      <c r="N1649" s="1" t="s">
        <v>66</v>
      </c>
      <c r="O1649" s="1" t="s">
        <v>389</v>
      </c>
      <c r="P1649" s="1"/>
      <c r="Q1649" s="3">
        <v>36892.0</v>
      </c>
      <c r="R1649" s="1"/>
      <c r="S1649" s="3">
        <v>37166.0</v>
      </c>
      <c r="T1649" s="1" t="s">
        <v>37</v>
      </c>
      <c r="U1649" s="1"/>
      <c r="V1649" s="1" t="s">
        <v>38</v>
      </c>
      <c r="W1649" s="1"/>
      <c r="X1649" s="1"/>
      <c r="Y1649" s="1" t="s">
        <v>49</v>
      </c>
      <c r="Z1649" s="1"/>
      <c r="AA1649" s="1" t="s">
        <v>40</v>
      </c>
      <c r="AB1649" s="1" t="s">
        <v>390</v>
      </c>
      <c r="AC1649" s="1"/>
    </row>
    <row r="1650">
      <c r="A1650" s="1" t="str">
        <f>"0008QF"</f>
        <v>0008QF</v>
      </c>
      <c r="B1650" s="1" t="s">
        <v>6484</v>
      </c>
      <c r="C1650" s="1" t="s">
        <v>6485</v>
      </c>
      <c r="D1650" s="1" t="str">
        <f>"8026448373"</f>
        <v>8026448373</v>
      </c>
      <c r="E1650" s="1">
        <v>3278.0</v>
      </c>
      <c r="F1650" s="1" t="s">
        <v>44</v>
      </c>
      <c r="G1650" s="1" t="s">
        <v>6486</v>
      </c>
      <c r="H1650" s="1">
        <v>4.0</v>
      </c>
      <c r="I1650" s="1"/>
      <c r="J1650" s="1"/>
      <c r="K1650" s="1"/>
      <c r="L1650" s="1"/>
      <c r="M1650" s="1" t="s">
        <v>72</v>
      </c>
      <c r="N1650" s="1" t="s">
        <v>213</v>
      </c>
      <c r="O1650" s="1" t="s">
        <v>620</v>
      </c>
      <c r="P1650" s="1"/>
      <c r="Q1650" s="3">
        <v>36892.0</v>
      </c>
      <c r="R1650" s="1"/>
      <c r="S1650" s="3">
        <v>38175.0</v>
      </c>
      <c r="T1650" s="1" t="s">
        <v>37</v>
      </c>
      <c r="U1650" s="1"/>
      <c r="V1650" s="1" t="s">
        <v>38</v>
      </c>
      <c r="W1650" s="1"/>
      <c r="X1650" s="1"/>
      <c r="Y1650" s="1" t="s">
        <v>49</v>
      </c>
      <c r="Z1650" s="1"/>
      <c r="AA1650" s="1" t="s">
        <v>40</v>
      </c>
      <c r="AB1650" s="1" t="s">
        <v>621</v>
      </c>
      <c r="AC1650" s="1"/>
    </row>
    <row r="1651">
      <c r="A1651" s="1" t="str">
        <f>"0008Q6"</f>
        <v>0008Q6</v>
      </c>
      <c r="B1651" s="1" t="s">
        <v>6487</v>
      </c>
      <c r="C1651" s="1" t="s">
        <v>6488</v>
      </c>
      <c r="D1651" s="1" t="str">
        <f>"8022235738"</f>
        <v>8022235738</v>
      </c>
      <c r="E1651" s="1">
        <v>3269.0</v>
      </c>
      <c r="F1651" s="1" t="s">
        <v>44</v>
      </c>
      <c r="G1651" s="1" t="s">
        <v>6489</v>
      </c>
      <c r="H1651" s="1"/>
      <c r="I1651" s="1"/>
      <c r="J1651" s="1"/>
      <c r="K1651" s="1"/>
      <c r="L1651" s="1"/>
      <c r="M1651" s="1" t="s">
        <v>72</v>
      </c>
      <c r="N1651" s="1" t="s">
        <v>135</v>
      </c>
      <c r="O1651" s="1" t="s">
        <v>3116</v>
      </c>
      <c r="P1651" s="1"/>
      <c r="Q1651" s="3">
        <v>36892.0</v>
      </c>
      <c r="R1651" s="1"/>
      <c r="S1651" s="1"/>
      <c r="T1651" s="1" t="s">
        <v>37</v>
      </c>
      <c r="U1651" s="1"/>
      <c r="V1651" s="1" t="s">
        <v>38</v>
      </c>
      <c r="W1651" s="1"/>
      <c r="X1651" s="1"/>
      <c r="Y1651" s="1" t="s">
        <v>49</v>
      </c>
      <c r="Z1651" s="1"/>
      <c r="AA1651" s="1" t="s">
        <v>40</v>
      </c>
      <c r="AB1651" s="1" t="s">
        <v>3117</v>
      </c>
      <c r="AC1651" s="1"/>
    </row>
    <row r="1652">
      <c r="A1652" s="1" t="str">
        <f>"0008QG"</f>
        <v>0008QG</v>
      </c>
      <c r="B1652" s="1" t="s">
        <v>6490</v>
      </c>
      <c r="C1652" s="1" t="s">
        <v>6491</v>
      </c>
      <c r="D1652" s="1" t="str">
        <f>"8023495785"</f>
        <v>8023495785</v>
      </c>
      <c r="E1652" s="1">
        <v>3945.0</v>
      </c>
      <c r="F1652" s="1" t="s">
        <v>44</v>
      </c>
      <c r="G1652" s="1" t="s">
        <v>6492</v>
      </c>
      <c r="H1652" s="1">
        <v>3.0</v>
      </c>
      <c r="I1652" s="1"/>
      <c r="J1652" s="1"/>
      <c r="K1652" s="1"/>
      <c r="L1652" s="1"/>
      <c r="M1652" s="1" t="s">
        <v>6493</v>
      </c>
      <c r="N1652" s="1" t="s">
        <v>161</v>
      </c>
      <c r="O1652" s="1" t="s">
        <v>180</v>
      </c>
      <c r="P1652" s="1"/>
      <c r="Q1652" s="3">
        <v>36892.0</v>
      </c>
      <c r="R1652" s="1"/>
      <c r="S1652" s="3">
        <v>39647.0</v>
      </c>
      <c r="T1652" s="1" t="s">
        <v>37</v>
      </c>
      <c r="U1652" s="1"/>
      <c r="V1652" s="1" t="s">
        <v>38</v>
      </c>
      <c r="W1652" s="1"/>
      <c r="X1652" s="1"/>
      <c r="Y1652" s="1" t="s">
        <v>49</v>
      </c>
      <c r="Z1652" s="1"/>
      <c r="AA1652" s="1" t="s">
        <v>40</v>
      </c>
      <c r="AB1652" s="1" t="s">
        <v>181</v>
      </c>
      <c r="AC1652" s="1"/>
    </row>
    <row r="1653">
      <c r="A1653" s="1" t="str">
        <f>"0008YW"</f>
        <v>0008YW</v>
      </c>
      <c r="B1653" s="1" t="s">
        <v>6494</v>
      </c>
      <c r="C1653" s="1" t="s">
        <v>6495</v>
      </c>
      <c r="D1653" s="1" t="str">
        <f>"8024535320"</f>
        <v>8024535320</v>
      </c>
      <c r="E1653" s="1">
        <v>3510.0</v>
      </c>
      <c r="F1653" s="1" t="s">
        <v>44</v>
      </c>
      <c r="G1653" s="1" t="s">
        <v>6496</v>
      </c>
      <c r="H1653" s="1">
        <v>0.0</v>
      </c>
      <c r="I1653" s="1"/>
      <c r="J1653" s="1"/>
      <c r="K1653" s="1"/>
      <c r="L1653" s="1"/>
      <c r="M1653" s="1" t="s">
        <v>72</v>
      </c>
      <c r="N1653" s="1" t="s">
        <v>161</v>
      </c>
      <c r="O1653" s="1" t="s">
        <v>571</v>
      </c>
      <c r="P1653" s="1"/>
      <c r="Q1653" s="3">
        <v>36892.0</v>
      </c>
      <c r="R1653" s="1"/>
      <c r="S1653" s="3">
        <v>38593.0</v>
      </c>
      <c r="T1653" s="1" t="s">
        <v>37</v>
      </c>
      <c r="U1653" s="1"/>
      <c r="V1653" s="1" t="s">
        <v>38</v>
      </c>
      <c r="W1653" s="1"/>
      <c r="X1653" s="1"/>
      <c r="Y1653" s="1" t="s">
        <v>49</v>
      </c>
      <c r="Z1653" s="1"/>
      <c r="AA1653" s="1" t="s">
        <v>40</v>
      </c>
      <c r="AB1653" s="1" t="s">
        <v>573</v>
      </c>
      <c r="AC1653" s="1"/>
    </row>
    <row r="1654">
      <c r="A1654" s="1" t="str">
        <f>"0008QH"</f>
        <v>0008QH</v>
      </c>
      <c r="B1654" s="1" t="s">
        <v>6497</v>
      </c>
      <c r="C1654" s="1" t="s">
        <v>6498</v>
      </c>
      <c r="D1654" s="1" t="str">
        <f>"8028784968"</f>
        <v>8028784968</v>
      </c>
      <c r="E1654" s="1">
        <v>3280.0</v>
      </c>
      <c r="F1654" s="1" t="s">
        <v>44</v>
      </c>
      <c r="G1654" s="1" t="s">
        <v>6499</v>
      </c>
      <c r="H1654" s="1">
        <v>1.0</v>
      </c>
      <c r="I1654" s="1"/>
      <c r="J1654" s="1"/>
      <c r="K1654" s="1"/>
      <c r="L1654" s="1"/>
      <c r="M1654" s="1" t="s">
        <v>72</v>
      </c>
      <c r="N1654" s="1" t="s">
        <v>57</v>
      </c>
      <c r="O1654" s="1" t="s">
        <v>2092</v>
      </c>
      <c r="P1654" s="1"/>
      <c r="Q1654" s="3">
        <v>36892.0</v>
      </c>
      <c r="R1654" s="1"/>
      <c r="S1654" s="3">
        <v>39288.0</v>
      </c>
      <c r="T1654" s="1" t="s">
        <v>37</v>
      </c>
      <c r="U1654" s="1"/>
      <c r="V1654" s="1" t="s">
        <v>38</v>
      </c>
      <c r="W1654" s="1"/>
      <c r="X1654" s="1"/>
      <c r="Y1654" s="1" t="s">
        <v>49</v>
      </c>
      <c r="Z1654" s="1"/>
      <c r="AA1654" s="1" t="s">
        <v>40</v>
      </c>
      <c r="AB1654" s="1" t="s">
        <v>2093</v>
      </c>
      <c r="AC1654" s="1"/>
    </row>
    <row r="1655">
      <c r="A1655" s="1" t="str">
        <f>"00073W"</f>
        <v>00073W</v>
      </c>
      <c r="B1655" s="1" t="s">
        <v>6500</v>
      </c>
      <c r="C1655" s="1" t="s">
        <v>6501</v>
      </c>
      <c r="D1655" s="1" t="str">
        <f>"8027477244"</f>
        <v>8027477244</v>
      </c>
      <c r="E1655" s="1">
        <v>3990.0</v>
      </c>
      <c r="F1655" s="1" t="s">
        <v>117</v>
      </c>
      <c r="G1655" s="1" t="s">
        <v>6502</v>
      </c>
      <c r="H1655" s="1">
        <v>2.0</v>
      </c>
      <c r="I1655" s="2">
        <v>5.0</v>
      </c>
      <c r="J1655" s="2">
        <v>4.0</v>
      </c>
      <c r="K1655" s="2" t="s">
        <v>829</v>
      </c>
      <c r="L1655" s="1"/>
      <c r="M1655" s="1" t="s">
        <v>6503</v>
      </c>
      <c r="N1655" s="1" t="s">
        <v>78</v>
      </c>
      <c r="O1655" s="1" t="s">
        <v>702</v>
      </c>
      <c r="P1655" s="1" t="s">
        <v>6504</v>
      </c>
      <c r="Q1655" s="3">
        <v>36892.0</v>
      </c>
      <c r="R1655" s="1"/>
      <c r="S1655" s="1"/>
      <c r="T1655" s="1" t="s">
        <v>37</v>
      </c>
      <c r="U1655" s="1"/>
      <c r="V1655" s="1" t="s">
        <v>38</v>
      </c>
      <c r="W1655" s="1">
        <v>43.620136</v>
      </c>
      <c r="X1655" s="1">
        <v>-72.979103</v>
      </c>
      <c r="Y1655" s="1" t="s">
        <v>6505</v>
      </c>
      <c r="Z1655" s="1"/>
      <c r="AA1655" s="1" t="s">
        <v>40</v>
      </c>
      <c r="AB1655" s="1" t="s">
        <v>78</v>
      </c>
      <c r="AC1655" s="1">
        <v>5701.0</v>
      </c>
    </row>
    <row r="1656">
      <c r="A1656" s="1" t="str">
        <f>"0008QP"</f>
        <v>0008QP</v>
      </c>
      <c r="B1656" s="1" t="s">
        <v>6506</v>
      </c>
      <c r="C1656" s="1" t="s">
        <v>6507</v>
      </c>
      <c r="D1656" s="1" t="str">
        <f>"8022283082"</f>
        <v>8022283082</v>
      </c>
      <c r="E1656" s="1">
        <v>3286.0</v>
      </c>
      <c r="F1656" s="1" t="s">
        <v>44</v>
      </c>
      <c r="G1656" s="1" t="s">
        <v>6508</v>
      </c>
      <c r="H1656" s="1"/>
      <c r="I1656" s="1"/>
      <c r="J1656" s="1"/>
      <c r="K1656" s="1"/>
      <c r="L1656" s="1"/>
      <c r="M1656" s="1" t="s">
        <v>72</v>
      </c>
      <c r="N1656" s="1" t="s">
        <v>34</v>
      </c>
      <c r="O1656" s="1" t="s">
        <v>1237</v>
      </c>
      <c r="P1656" s="1"/>
      <c r="Q1656" s="3">
        <v>36892.0</v>
      </c>
      <c r="R1656" s="1"/>
      <c r="S1656" s="1"/>
      <c r="T1656" s="1" t="s">
        <v>37</v>
      </c>
      <c r="U1656" s="1"/>
      <c r="V1656" s="1" t="s">
        <v>38</v>
      </c>
      <c r="W1656" s="1"/>
      <c r="X1656" s="1"/>
      <c r="Y1656" s="1" t="s">
        <v>49</v>
      </c>
      <c r="Z1656" s="1"/>
      <c r="AA1656" s="1" t="s">
        <v>40</v>
      </c>
      <c r="AB1656" s="1" t="s">
        <v>1238</v>
      </c>
      <c r="AC1656" s="1"/>
    </row>
    <row r="1657">
      <c r="A1657" s="1" t="str">
        <f>"0008QW"</f>
        <v>0008QW</v>
      </c>
      <c r="B1657" s="1" t="s">
        <v>6509</v>
      </c>
      <c r="C1657" s="1" t="s">
        <v>6510</v>
      </c>
      <c r="D1657" s="1" t="str">
        <f>"8022447201"</f>
        <v>8022447201</v>
      </c>
      <c r="E1657" s="1">
        <v>3292.0</v>
      </c>
      <c r="F1657" s="1" t="s">
        <v>44</v>
      </c>
      <c r="G1657" s="1" t="s">
        <v>6511</v>
      </c>
      <c r="H1657" s="1">
        <v>12.0</v>
      </c>
      <c r="I1657" s="1"/>
      <c r="J1657" s="1"/>
      <c r="K1657" s="1"/>
      <c r="L1657" s="1"/>
      <c r="M1657" s="1" t="s">
        <v>6512</v>
      </c>
      <c r="N1657" s="1" t="s">
        <v>135</v>
      </c>
      <c r="O1657" s="1" t="s">
        <v>775</v>
      </c>
      <c r="P1657" s="1"/>
      <c r="Q1657" s="3">
        <v>36892.0</v>
      </c>
      <c r="R1657" s="1"/>
      <c r="S1657" s="3">
        <v>38527.0</v>
      </c>
      <c r="T1657" s="1" t="s">
        <v>37</v>
      </c>
      <c r="U1657" s="1"/>
      <c r="V1657" s="1" t="s">
        <v>38</v>
      </c>
      <c r="W1657" s="1"/>
      <c r="X1657" s="1"/>
      <c r="Y1657" s="1" t="s">
        <v>49</v>
      </c>
      <c r="Z1657" s="1"/>
      <c r="AA1657" s="1" t="s">
        <v>40</v>
      </c>
      <c r="AB1657" s="1" t="s">
        <v>776</v>
      </c>
      <c r="AC1657" s="1"/>
    </row>
    <row r="1658">
      <c r="A1658" s="1" t="str">
        <f>"0008QX"</f>
        <v>0008QX</v>
      </c>
      <c r="B1658" s="1" t="s">
        <v>6513</v>
      </c>
      <c r="C1658" s="1" t="s">
        <v>6514</v>
      </c>
      <c r="D1658" s="1" t="str">
        <f>"8023561670"</f>
        <v>8023561670</v>
      </c>
      <c r="E1658" s="1">
        <v>3294.0</v>
      </c>
      <c r="F1658" s="1" t="s">
        <v>44</v>
      </c>
      <c r="G1658" s="1" t="s">
        <v>6515</v>
      </c>
      <c r="H1658" s="1"/>
      <c r="I1658" s="1"/>
      <c r="J1658" s="1"/>
      <c r="K1658" s="1"/>
      <c r="L1658" s="1"/>
      <c r="M1658" s="1" t="s">
        <v>72</v>
      </c>
      <c r="N1658" s="1" t="s">
        <v>34</v>
      </c>
      <c r="O1658" s="1" t="s">
        <v>642</v>
      </c>
      <c r="P1658" s="1"/>
      <c r="Q1658" s="3">
        <v>36892.0</v>
      </c>
      <c r="R1658" s="1"/>
      <c r="S1658" s="1"/>
      <c r="T1658" s="1" t="s">
        <v>37</v>
      </c>
      <c r="U1658" s="1"/>
      <c r="V1658" s="1" t="s">
        <v>38</v>
      </c>
      <c r="W1658" s="1"/>
      <c r="X1658" s="1"/>
      <c r="Y1658" s="1" t="s">
        <v>49</v>
      </c>
      <c r="Z1658" s="1"/>
      <c r="AA1658" s="1" t="s">
        <v>40</v>
      </c>
      <c r="AB1658" s="1" t="s">
        <v>643</v>
      </c>
      <c r="AC1658" s="1"/>
    </row>
    <row r="1659">
      <c r="A1659" s="1" t="str">
        <f t="shared" ref="A1659:A1663" si="104">"0008MC"</f>
        <v>0008MC</v>
      </c>
      <c r="B1659" s="1" t="s">
        <v>103</v>
      </c>
      <c r="C1659" s="1" t="s">
        <v>104</v>
      </c>
      <c r="D1659" s="1" t="str">
        <f t="shared" ref="D1659:D1663" si="105">"8023724119"</f>
        <v>8023724119</v>
      </c>
      <c r="E1659" s="1">
        <v>2908.0</v>
      </c>
      <c r="F1659" s="1" t="s">
        <v>44</v>
      </c>
      <c r="G1659" s="1" t="s">
        <v>6516</v>
      </c>
      <c r="H1659" s="1">
        <v>15.0</v>
      </c>
      <c r="I1659" s="1"/>
      <c r="J1659" s="1"/>
      <c r="K1659" s="1"/>
      <c r="L1659" s="1"/>
      <c r="M1659" s="1" t="s">
        <v>6517</v>
      </c>
      <c r="N1659" s="1" t="s">
        <v>57</v>
      </c>
      <c r="O1659" s="1" t="s">
        <v>559</v>
      </c>
      <c r="P1659" s="1"/>
      <c r="Q1659" s="3">
        <v>36892.0</v>
      </c>
      <c r="R1659" s="1"/>
      <c r="S1659" s="3">
        <v>37789.0</v>
      </c>
      <c r="T1659" s="1" t="s">
        <v>37</v>
      </c>
      <c r="U1659" s="1"/>
      <c r="V1659" s="1" t="s">
        <v>38</v>
      </c>
      <c r="W1659" s="1"/>
      <c r="X1659" s="1"/>
      <c r="Y1659" s="1" t="s">
        <v>49</v>
      </c>
      <c r="Z1659" s="1"/>
      <c r="AA1659" s="1" t="s">
        <v>40</v>
      </c>
      <c r="AB1659" s="1" t="s">
        <v>560</v>
      </c>
      <c r="AC1659" s="1"/>
    </row>
    <row r="1660">
      <c r="A1660" s="1" t="str">
        <f t="shared" si="104"/>
        <v>0008MC</v>
      </c>
      <c r="B1660" s="1" t="s">
        <v>103</v>
      </c>
      <c r="C1660" s="1" t="s">
        <v>104</v>
      </c>
      <c r="D1660" s="1" t="str">
        <f t="shared" si="105"/>
        <v>8023724119</v>
      </c>
      <c r="E1660" s="1">
        <v>2908.0</v>
      </c>
      <c r="F1660" s="1" t="s">
        <v>44</v>
      </c>
      <c r="G1660" s="1" t="s">
        <v>6518</v>
      </c>
      <c r="H1660" s="1"/>
      <c r="I1660" s="1"/>
      <c r="J1660" s="1"/>
      <c r="K1660" s="1"/>
      <c r="L1660" s="1"/>
      <c r="M1660" s="1" t="s">
        <v>6519</v>
      </c>
      <c r="N1660" s="1" t="s">
        <v>57</v>
      </c>
      <c r="O1660" s="1" t="s">
        <v>256</v>
      </c>
      <c r="P1660" s="1"/>
      <c r="Q1660" s="3">
        <v>36892.0</v>
      </c>
      <c r="R1660" s="1"/>
      <c r="S1660" s="1"/>
      <c r="T1660" s="1" t="s">
        <v>37</v>
      </c>
      <c r="U1660" s="1"/>
      <c r="V1660" s="1" t="s">
        <v>38</v>
      </c>
      <c r="W1660" s="1"/>
      <c r="X1660" s="1"/>
      <c r="Y1660" s="1" t="s">
        <v>49</v>
      </c>
      <c r="Z1660" s="1"/>
      <c r="AA1660" s="1" t="s">
        <v>40</v>
      </c>
      <c r="AB1660" s="1" t="s">
        <v>257</v>
      </c>
      <c r="AC1660" s="1"/>
    </row>
    <row r="1661">
      <c r="A1661" s="1" t="str">
        <f t="shared" si="104"/>
        <v>0008MC</v>
      </c>
      <c r="B1661" s="1" t="s">
        <v>103</v>
      </c>
      <c r="C1661" s="1" t="s">
        <v>104</v>
      </c>
      <c r="D1661" s="1" t="str">
        <f t="shared" si="105"/>
        <v>8023724119</v>
      </c>
      <c r="E1661" s="1">
        <v>2908.0</v>
      </c>
      <c r="F1661" s="1" t="s">
        <v>44</v>
      </c>
      <c r="G1661" s="1" t="s">
        <v>6520</v>
      </c>
      <c r="H1661" s="1"/>
      <c r="I1661" s="1"/>
      <c r="J1661" s="1"/>
      <c r="K1661" s="1"/>
      <c r="L1661" s="1"/>
      <c r="M1661" s="1" t="s">
        <v>6521</v>
      </c>
      <c r="N1661" s="1" t="s">
        <v>57</v>
      </c>
      <c r="O1661" s="1" t="s">
        <v>559</v>
      </c>
      <c r="P1661" s="1"/>
      <c r="Q1661" s="3">
        <v>36892.0</v>
      </c>
      <c r="R1661" s="1"/>
      <c r="S1661" s="1"/>
      <c r="T1661" s="1" t="s">
        <v>37</v>
      </c>
      <c r="U1661" s="1"/>
      <c r="V1661" s="1" t="s">
        <v>38</v>
      </c>
      <c r="W1661" s="1"/>
      <c r="X1661" s="1"/>
      <c r="Y1661" s="1" t="s">
        <v>49</v>
      </c>
      <c r="Z1661" s="1"/>
      <c r="AA1661" s="1" t="s">
        <v>40</v>
      </c>
      <c r="AB1661" s="1" t="s">
        <v>560</v>
      </c>
      <c r="AC1661" s="1"/>
    </row>
    <row r="1662">
      <c r="A1662" s="1" t="str">
        <f t="shared" si="104"/>
        <v>0008MC</v>
      </c>
      <c r="B1662" s="1" t="s">
        <v>103</v>
      </c>
      <c r="C1662" s="1" t="s">
        <v>104</v>
      </c>
      <c r="D1662" s="1" t="str">
        <f t="shared" si="105"/>
        <v>8023724119</v>
      </c>
      <c r="E1662" s="1">
        <v>2908.0</v>
      </c>
      <c r="F1662" s="1" t="s">
        <v>44</v>
      </c>
      <c r="G1662" s="1" t="s">
        <v>6522</v>
      </c>
      <c r="H1662" s="1">
        <v>16.0</v>
      </c>
      <c r="I1662" s="1"/>
      <c r="J1662" s="1"/>
      <c r="K1662" s="1"/>
      <c r="L1662" s="1"/>
      <c r="M1662" s="1" t="s">
        <v>6523</v>
      </c>
      <c r="N1662" s="1" t="s">
        <v>57</v>
      </c>
      <c r="O1662" s="1" t="s">
        <v>559</v>
      </c>
      <c r="P1662" s="1"/>
      <c r="Q1662" s="3">
        <v>36892.0</v>
      </c>
      <c r="R1662" s="1"/>
      <c r="S1662" s="3">
        <v>38096.0</v>
      </c>
      <c r="T1662" s="1" t="s">
        <v>37</v>
      </c>
      <c r="U1662" s="1"/>
      <c r="V1662" s="1" t="s">
        <v>38</v>
      </c>
      <c r="W1662" s="1"/>
      <c r="X1662" s="1"/>
      <c r="Y1662" s="1" t="s">
        <v>49</v>
      </c>
      <c r="Z1662" s="1"/>
      <c r="AA1662" s="1" t="s">
        <v>40</v>
      </c>
      <c r="AB1662" s="1" t="s">
        <v>560</v>
      </c>
      <c r="AC1662" s="1"/>
    </row>
    <row r="1663">
      <c r="A1663" s="1" t="str">
        <f t="shared" si="104"/>
        <v>0008MC</v>
      </c>
      <c r="B1663" s="1" t="s">
        <v>103</v>
      </c>
      <c r="C1663" s="1" t="s">
        <v>104</v>
      </c>
      <c r="D1663" s="1" t="str">
        <f t="shared" si="105"/>
        <v>8023724119</v>
      </c>
      <c r="E1663" s="1">
        <v>2908.0</v>
      </c>
      <c r="F1663" s="1" t="s">
        <v>44</v>
      </c>
      <c r="G1663" s="1" t="s">
        <v>6524</v>
      </c>
      <c r="H1663" s="1"/>
      <c r="I1663" s="1"/>
      <c r="J1663" s="1"/>
      <c r="K1663" s="1"/>
      <c r="L1663" s="1"/>
      <c r="M1663" s="1" t="s">
        <v>6525</v>
      </c>
      <c r="N1663" s="1" t="s">
        <v>107</v>
      </c>
      <c r="O1663" s="1" t="s">
        <v>108</v>
      </c>
      <c r="P1663" s="1"/>
      <c r="Q1663" s="3">
        <v>36892.0</v>
      </c>
      <c r="R1663" s="1"/>
      <c r="S1663" s="1"/>
      <c r="T1663" s="1" t="s">
        <v>37</v>
      </c>
      <c r="U1663" s="1"/>
      <c r="V1663" s="1" t="s">
        <v>38</v>
      </c>
      <c r="W1663" s="1"/>
      <c r="X1663" s="1"/>
      <c r="Y1663" s="1" t="s">
        <v>49</v>
      </c>
      <c r="Z1663" s="1"/>
      <c r="AA1663" s="1" t="s">
        <v>40</v>
      </c>
      <c r="AB1663" s="1" t="s">
        <v>107</v>
      </c>
      <c r="AC1663" s="1"/>
    </row>
    <row r="1664">
      <c r="A1664" s="1" t="str">
        <f>"0008VK"</f>
        <v>0008VK</v>
      </c>
      <c r="B1664" s="1" t="s">
        <v>6526</v>
      </c>
      <c r="C1664" s="1" t="s">
        <v>6527</v>
      </c>
      <c r="D1664" s="1" t="str">
        <f>"8023264526"</f>
        <v>8023264526</v>
      </c>
      <c r="E1664" s="1">
        <v>3326.0</v>
      </c>
      <c r="F1664" s="1" t="s">
        <v>44</v>
      </c>
      <c r="G1664" s="1" t="s">
        <v>6528</v>
      </c>
      <c r="H1664" s="1"/>
      <c r="I1664" s="1"/>
      <c r="J1664" s="1"/>
      <c r="K1664" s="1"/>
      <c r="L1664" s="1"/>
      <c r="M1664" s="1" t="s">
        <v>72</v>
      </c>
      <c r="N1664" s="1" t="s">
        <v>47</v>
      </c>
      <c r="O1664" s="1" t="s">
        <v>599</v>
      </c>
      <c r="P1664" s="1"/>
      <c r="Q1664" s="3">
        <v>36892.0</v>
      </c>
      <c r="R1664" s="1"/>
      <c r="S1664" s="1"/>
      <c r="T1664" s="1" t="s">
        <v>37</v>
      </c>
      <c r="U1664" s="1"/>
      <c r="V1664" s="1" t="s">
        <v>38</v>
      </c>
      <c r="W1664" s="1"/>
      <c r="X1664" s="1"/>
      <c r="Y1664" s="1" t="s">
        <v>49</v>
      </c>
      <c r="Z1664" s="1"/>
      <c r="AA1664" s="1" t="s">
        <v>40</v>
      </c>
      <c r="AB1664" s="1" t="s">
        <v>602</v>
      </c>
      <c r="AC1664" s="1"/>
    </row>
    <row r="1665">
      <c r="A1665" s="1" t="str">
        <f>"0008VM"</f>
        <v>0008VM</v>
      </c>
      <c r="B1665" s="1" t="s">
        <v>6529</v>
      </c>
      <c r="C1665" s="1" t="s">
        <v>6530</v>
      </c>
      <c r="D1665" s="1" t="str">
        <f>"8024257890"</f>
        <v>8024257890</v>
      </c>
      <c r="E1665" s="1">
        <v>3327.0</v>
      </c>
      <c r="F1665" s="1" t="s">
        <v>117</v>
      </c>
      <c r="G1665" s="1" t="s">
        <v>6531</v>
      </c>
      <c r="H1665" s="1">
        <v>4.0</v>
      </c>
      <c r="I1665" s="2">
        <v>1.0</v>
      </c>
      <c r="J1665" s="2" t="s">
        <v>119</v>
      </c>
      <c r="K1665" s="2" t="s">
        <v>119</v>
      </c>
      <c r="L1665" s="1"/>
      <c r="M1665" s="1" t="s">
        <v>6532</v>
      </c>
      <c r="N1665" s="1" t="s">
        <v>161</v>
      </c>
      <c r="O1665" s="1" t="s">
        <v>769</v>
      </c>
      <c r="P1665" s="1" t="s">
        <v>6533</v>
      </c>
      <c r="Q1665" s="3">
        <v>36892.0</v>
      </c>
      <c r="R1665" s="1"/>
      <c r="S1665" s="1"/>
      <c r="T1665" s="1" t="s">
        <v>37</v>
      </c>
      <c r="U1665" s="1"/>
      <c r="V1665" s="1" t="s">
        <v>38</v>
      </c>
      <c r="W1665" s="1">
        <v>44.2484589</v>
      </c>
      <c r="X1665" s="1">
        <v>-73.2031359999999</v>
      </c>
      <c r="Y1665" s="1" t="s">
        <v>6534</v>
      </c>
      <c r="Z1665" s="1"/>
      <c r="AA1665" s="1" t="s">
        <v>40</v>
      </c>
      <c r="AB1665" s="1" t="s">
        <v>6535</v>
      </c>
      <c r="AC1665" s="1">
        <v>5473.0</v>
      </c>
    </row>
    <row r="1666">
      <c r="A1666" s="1" t="str">
        <f>"0008VN"</f>
        <v>0008VN</v>
      </c>
      <c r="B1666" s="1" t="s">
        <v>6536</v>
      </c>
      <c r="C1666" s="1" t="s">
        <v>6537</v>
      </c>
      <c r="D1666" s="1" t="str">
        <f>"8022879076"</f>
        <v>8022879076</v>
      </c>
      <c r="E1666" s="1">
        <v>3328.0</v>
      </c>
      <c r="F1666" s="1" t="s">
        <v>44</v>
      </c>
      <c r="G1666" s="1" t="s">
        <v>6538</v>
      </c>
      <c r="H1666" s="1">
        <v>1.0</v>
      </c>
      <c r="I1666" s="1"/>
      <c r="J1666" s="1"/>
      <c r="K1666" s="1"/>
      <c r="L1666" s="1"/>
      <c r="M1666" s="1" t="s">
        <v>6539</v>
      </c>
      <c r="N1666" s="1" t="s">
        <v>78</v>
      </c>
      <c r="O1666" s="1" t="s">
        <v>615</v>
      </c>
      <c r="P1666" s="1" t="s">
        <v>6540</v>
      </c>
      <c r="Q1666" s="3">
        <v>36892.0</v>
      </c>
      <c r="R1666" s="1"/>
      <c r="S1666" s="3">
        <v>39276.0</v>
      </c>
      <c r="T1666" s="1" t="s">
        <v>37</v>
      </c>
      <c r="U1666" s="1"/>
      <c r="V1666" s="1" t="s">
        <v>38</v>
      </c>
      <c r="W1666" s="1"/>
      <c r="X1666" s="1"/>
      <c r="Y1666" s="1" t="s">
        <v>49</v>
      </c>
      <c r="Z1666" s="1"/>
      <c r="AA1666" s="1" t="s">
        <v>40</v>
      </c>
      <c r="AB1666" s="1" t="s">
        <v>616</v>
      </c>
      <c r="AC1666" s="1">
        <v>5764.0</v>
      </c>
    </row>
    <row r="1667">
      <c r="A1667" s="1" t="str">
        <f>"0008GA"</f>
        <v>0008GA</v>
      </c>
      <c r="B1667" s="1" t="s">
        <v>5404</v>
      </c>
      <c r="C1667" s="1" t="s">
        <v>5405</v>
      </c>
      <c r="D1667" s="1" t="str">
        <f>"8025253800"</f>
        <v>8025253800</v>
      </c>
      <c r="E1667" s="1">
        <v>2595.0</v>
      </c>
      <c r="F1667" s="1" t="s">
        <v>44</v>
      </c>
      <c r="G1667" s="1" t="s">
        <v>6541</v>
      </c>
      <c r="H1667" s="1">
        <v>10.0</v>
      </c>
      <c r="I1667" s="1"/>
      <c r="J1667" s="1"/>
      <c r="K1667" s="1"/>
      <c r="L1667" s="1"/>
      <c r="M1667" s="1" t="s">
        <v>6542</v>
      </c>
      <c r="N1667" s="1" t="s">
        <v>94</v>
      </c>
      <c r="O1667" s="1" t="s">
        <v>1672</v>
      </c>
      <c r="P1667" s="1"/>
      <c r="Q1667" s="3">
        <v>36892.0</v>
      </c>
      <c r="R1667" s="1"/>
      <c r="S1667" s="3">
        <v>37032.0</v>
      </c>
      <c r="T1667" s="1" t="s">
        <v>37</v>
      </c>
      <c r="U1667" s="1"/>
      <c r="V1667" s="1" t="s">
        <v>38</v>
      </c>
      <c r="W1667" s="1"/>
      <c r="X1667" s="1"/>
      <c r="Y1667" s="1" t="s">
        <v>49</v>
      </c>
      <c r="Z1667" s="1"/>
      <c r="AA1667" s="1" t="s">
        <v>40</v>
      </c>
      <c r="AB1667" s="1" t="s">
        <v>1673</v>
      </c>
      <c r="AC1667" s="1"/>
    </row>
    <row r="1668">
      <c r="A1668" s="1" t="str">
        <f>"0008P2"</f>
        <v>0008P2</v>
      </c>
      <c r="B1668" s="1" t="s">
        <v>6543</v>
      </c>
      <c r="C1668" s="1" t="s">
        <v>6544</v>
      </c>
      <c r="D1668" s="1" t="str">
        <f>"8025633033"</f>
        <v>8025633033</v>
      </c>
      <c r="E1668" s="1">
        <v>3215.0</v>
      </c>
      <c r="F1668" s="1" t="s">
        <v>44</v>
      </c>
      <c r="G1668" s="1" t="s">
        <v>6545</v>
      </c>
      <c r="H1668" s="1">
        <v>3.0</v>
      </c>
      <c r="I1668" s="1"/>
      <c r="J1668" s="1"/>
      <c r="K1668" s="1"/>
      <c r="L1668" s="1"/>
      <c r="M1668" s="1" t="s">
        <v>72</v>
      </c>
      <c r="N1668" s="1" t="s">
        <v>135</v>
      </c>
      <c r="O1668" s="1" t="s">
        <v>409</v>
      </c>
      <c r="P1668" s="1"/>
      <c r="Q1668" s="3">
        <v>36892.0</v>
      </c>
      <c r="R1668" s="1"/>
      <c r="S1668" s="3">
        <v>37028.0</v>
      </c>
      <c r="T1668" s="1" t="s">
        <v>37</v>
      </c>
      <c r="U1668" s="1"/>
      <c r="V1668" s="1" t="s">
        <v>38</v>
      </c>
      <c r="W1668" s="1"/>
      <c r="X1668" s="1"/>
      <c r="Y1668" s="1" t="s">
        <v>49</v>
      </c>
      <c r="Z1668" s="1"/>
      <c r="AA1668" s="1" t="s">
        <v>40</v>
      </c>
      <c r="AB1668" s="1" t="s">
        <v>410</v>
      </c>
      <c r="AC1668" s="1"/>
    </row>
    <row r="1669">
      <c r="A1669" s="1" t="str">
        <f>"000706"</f>
        <v>000706</v>
      </c>
      <c r="B1669" s="1" t="s">
        <v>6546</v>
      </c>
      <c r="C1669" s="1" t="s">
        <v>6547</v>
      </c>
      <c r="D1669" s="1" t="str">
        <f>"8022284521"</f>
        <v>8022284521</v>
      </c>
      <c r="E1669" s="1">
        <v>3466.0</v>
      </c>
      <c r="F1669" s="1" t="s">
        <v>117</v>
      </c>
      <c r="G1669" s="1" t="s">
        <v>6548</v>
      </c>
      <c r="H1669" s="1">
        <v>2.0</v>
      </c>
      <c r="I1669" s="2" t="s">
        <v>119</v>
      </c>
      <c r="J1669" s="2">
        <v>2.0</v>
      </c>
      <c r="K1669" s="2" t="s">
        <v>119</v>
      </c>
      <c r="L1669" s="1"/>
      <c r="M1669" s="1" t="s">
        <v>6549</v>
      </c>
      <c r="N1669" s="1" t="s">
        <v>34</v>
      </c>
      <c r="O1669" s="1" t="s">
        <v>1237</v>
      </c>
      <c r="P1669" s="1" t="s">
        <v>6550</v>
      </c>
      <c r="Q1669" s="3">
        <v>36892.0</v>
      </c>
      <c r="R1669" s="1"/>
      <c r="S1669" s="3">
        <v>39289.0</v>
      </c>
      <c r="T1669" s="1" t="s">
        <v>37</v>
      </c>
      <c r="U1669" s="1"/>
      <c r="V1669" s="1" t="s">
        <v>38</v>
      </c>
      <c r="W1669" s="1">
        <v>43.3973666</v>
      </c>
      <c r="X1669" s="1">
        <v>-72.6793629999999</v>
      </c>
      <c r="Y1669" s="1" t="s">
        <v>6551</v>
      </c>
      <c r="Z1669" s="1"/>
      <c r="AA1669" s="1" t="s">
        <v>40</v>
      </c>
      <c r="AB1669" s="1" t="s">
        <v>1238</v>
      </c>
      <c r="AC1669" s="1">
        <v>5149.0</v>
      </c>
    </row>
    <row r="1670">
      <c r="A1670" s="1" t="str">
        <f>"0008VX"</f>
        <v>0008VX</v>
      </c>
      <c r="B1670" s="1" t="s">
        <v>6552</v>
      </c>
      <c r="C1670" s="1" t="s">
        <v>6553</v>
      </c>
      <c r="D1670" s="1" t="str">
        <f>"8023875604"</f>
        <v>8023875604</v>
      </c>
      <c r="E1670" s="1">
        <v>3333.0</v>
      </c>
      <c r="F1670" s="1" t="s">
        <v>44</v>
      </c>
      <c r="G1670" s="1" t="s">
        <v>6554</v>
      </c>
      <c r="H1670" s="1"/>
      <c r="I1670" s="1"/>
      <c r="J1670" s="1"/>
      <c r="K1670" s="1"/>
      <c r="L1670" s="1"/>
      <c r="M1670" s="1" t="s">
        <v>72</v>
      </c>
      <c r="N1670" s="1" t="s">
        <v>66</v>
      </c>
      <c r="O1670" s="1" t="s">
        <v>593</v>
      </c>
      <c r="P1670" s="1"/>
      <c r="Q1670" s="3">
        <v>36892.0</v>
      </c>
      <c r="R1670" s="1"/>
      <c r="S1670" s="1"/>
      <c r="T1670" s="1" t="s">
        <v>37</v>
      </c>
      <c r="U1670" s="1"/>
      <c r="V1670" s="1" t="s">
        <v>38</v>
      </c>
      <c r="W1670" s="1"/>
      <c r="X1670" s="1"/>
      <c r="Y1670" s="1" t="s">
        <v>49</v>
      </c>
      <c r="Z1670" s="1"/>
      <c r="AA1670" s="1" t="s">
        <v>40</v>
      </c>
      <c r="AB1670" s="1" t="s">
        <v>594</v>
      </c>
      <c r="AC1670" s="1"/>
    </row>
    <row r="1671">
      <c r="A1671" s="1" t="str">
        <f>"0008QY"</f>
        <v>0008QY</v>
      </c>
      <c r="B1671" s="1" t="s">
        <v>6555</v>
      </c>
      <c r="C1671" s="1" t="s">
        <v>6556</v>
      </c>
      <c r="D1671" s="1" t="str">
        <f>"8026445007"</f>
        <v>8026445007</v>
      </c>
      <c r="E1671" s="1">
        <v>3295.0</v>
      </c>
      <c r="F1671" s="1" t="s">
        <v>44</v>
      </c>
      <c r="G1671" s="1" t="s">
        <v>6557</v>
      </c>
      <c r="H1671" s="1"/>
      <c r="I1671" s="1"/>
      <c r="J1671" s="1"/>
      <c r="K1671" s="1"/>
      <c r="L1671" s="1"/>
      <c r="M1671" s="1" t="s">
        <v>6558</v>
      </c>
      <c r="N1671" s="1" t="s">
        <v>213</v>
      </c>
      <c r="O1671" s="1" t="s">
        <v>2171</v>
      </c>
      <c r="P1671" s="1"/>
      <c r="Q1671" s="3">
        <v>36892.0</v>
      </c>
      <c r="R1671" s="1"/>
      <c r="S1671" s="1"/>
      <c r="T1671" s="1" t="s">
        <v>37</v>
      </c>
      <c r="U1671" s="1"/>
      <c r="V1671" s="1" t="s">
        <v>38</v>
      </c>
      <c r="W1671" s="1"/>
      <c r="X1671" s="1"/>
      <c r="Y1671" s="1" t="s">
        <v>49</v>
      </c>
      <c r="Z1671" s="1"/>
      <c r="AA1671" s="1" t="s">
        <v>40</v>
      </c>
      <c r="AB1671" s="1" t="s">
        <v>2173</v>
      </c>
      <c r="AC1671" s="1"/>
    </row>
    <row r="1672">
      <c r="A1672" s="1" t="str">
        <f>"00080J"</f>
        <v>00080J</v>
      </c>
      <c r="B1672" s="1" t="s">
        <v>6559</v>
      </c>
      <c r="C1672" s="1" t="s">
        <v>6560</v>
      </c>
      <c r="D1672" s="1" t="str">
        <f>"8029334076"</f>
        <v>8029334076</v>
      </c>
      <c r="E1672" s="1">
        <v>3281.0</v>
      </c>
      <c r="F1672" s="1" t="s">
        <v>44</v>
      </c>
      <c r="G1672" s="1" t="s">
        <v>6561</v>
      </c>
      <c r="H1672" s="1">
        <v>2.0</v>
      </c>
      <c r="I1672" s="1"/>
      <c r="J1672" s="1"/>
      <c r="K1672" s="1"/>
      <c r="L1672" s="1"/>
      <c r="M1672" s="1" t="s">
        <v>6562</v>
      </c>
      <c r="N1672" s="1" t="s">
        <v>47</v>
      </c>
      <c r="O1672" s="1" t="s">
        <v>48</v>
      </c>
      <c r="P1672" s="1"/>
      <c r="Q1672" s="3">
        <v>36892.0</v>
      </c>
      <c r="R1672" s="1"/>
      <c r="S1672" s="3">
        <v>37788.0</v>
      </c>
      <c r="T1672" s="1" t="s">
        <v>37</v>
      </c>
      <c r="U1672" s="1"/>
      <c r="V1672" s="1" t="s">
        <v>38</v>
      </c>
      <c r="W1672" s="1"/>
      <c r="X1672" s="1"/>
      <c r="Y1672" s="1" t="s">
        <v>49</v>
      </c>
      <c r="Z1672" s="1"/>
      <c r="AA1672" s="1" t="s">
        <v>40</v>
      </c>
      <c r="AB1672" s="1" t="s">
        <v>50</v>
      </c>
      <c r="AC1672" s="1"/>
    </row>
    <row r="1673">
      <c r="A1673" s="1" t="str">
        <f>"0008V7"</f>
        <v>0008V7</v>
      </c>
      <c r="B1673" s="1" t="s">
        <v>1309</v>
      </c>
      <c r="C1673" s="1" t="s">
        <v>1310</v>
      </c>
      <c r="D1673" s="1" t="str">
        <f>"8023334571"</f>
        <v>8023334571</v>
      </c>
      <c r="E1673" s="1">
        <v>3308.0</v>
      </c>
      <c r="F1673" s="1" t="s">
        <v>44</v>
      </c>
      <c r="G1673" s="1" t="s">
        <v>6563</v>
      </c>
      <c r="H1673" s="1">
        <v>14.0</v>
      </c>
      <c r="I1673" s="1"/>
      <c r="J1673" s="1"/>
      <c r="K1673" s="1"/>
      <c r="L1673" s="1"/>
      <c r="M1673" s="1" t="s">
        <v>6564</v>
      </c>
      <c r="N1673" s="1" t="s">
        <v>142</v>
      </c>
      <c r="O1673" s="1" t="s">
        <v>844</v>
      </c>
      <c r="P1673" s="1"/>
      <c r="Q1673" s="3">
        <v>36892.0</v>
      </c>
      <c r="R1673" s="1"/>
      <c r="S1673" s="3">
        <v>40323.0</v>
      </c>
      <c r="T1673" s="1" t="s">
        <v>37</v>
      </c>
      <c r="U1673" s="1"/>
      <c r="V1673" s="1" t="s">
        <v>38</v>
      </c>
      <c r="W1673" s="1"/>
      <c r="X1673" s="1"/>
      <c r="Y1673" s="1" t="s">
        <v>49</v>
      </c>
      <c r="Z1673" s="1"/>
      <c r="AA1673" s="1" t="s">
        <v>40</v>
      </c>
      <c r="AB1673" s="1" t="s">
        <v>847</v>
      </c>
      <c r="AC1673" s="1"/>
    </row>
    <row r="1674">
      <c r="A1674" s="1" t="str">
        <f>"00076X"</f>
        <v>00076X</v>
      </c>
      <c r="B1674" s="1" t="s">
        <v>6565</v>
      </c>
      <c r="C1674" s="1" t="s">
        <v>6566</v>
      </c>
      <c r="D1674" s="1" t="str">
        <f>"8026842025"</f>
        <v>8026842025</v>
      </c>
      <c r="E1674" s="1">
        <v>2892.0</v>
      </c>
      <c r="F1674" s="1" t="s">
        <v>117</v>
      </c>
      <c r="G1674" s="1" t="s">
        <v>6567</v>
      </c>
      <c r="H1674" s="1">
        <v>1.0</v>
      </c>
      <c r="I1674" s="2">
        <v>1.0</v>
      </c>
      <c r="J1674" s="2" t="s">
        <v>119</v>
      </c>
      <c r="K1674" s="2">
        <v>0.0</v>
      </c>
      <c r="L1674" s="1"/>
      <c r="M1674" s="1" t="s">
        <v>6568</v>
      </c>
      <c r="N1674" s="1" t="s">
        <v>128</v>
      </c>
      <c r="O1674" s="1" t="s">
        <v>129</v>
      </c>
      <c r="P1674" s="1" t="s">
        <v>6569</v>
      </c>
      <c r="Q1674" s="3">
        <v>36892.0</v>
      </c>
      <c r="R1674" s="1"/>
      <c r="S1674" s="3">
        <v>40023.0</v>
      </c>
      <c r="T1674" s="1" t="s">
        <v>37</v>
      </c>
      <c r="U1674" s="1"/>
      <c r="V1674" s="1" t="s">
        <v>38</v>
      </c>
      <c r="W1674" s="1">
        <v>44.417692</v>
      </c>
      <c r="X1674" s="1">
        <v>-72.1393769999999</v>
      </c>
      <c r="Y1674" s="1" t="s">
        <v>6570</v>
      </c>
      <c r="Z1674" s="1"/>
      <c r="AA1674" s="1" t="s">
        <v>40</v>
      </c>
      <c r="AB1674" s="1" t="s">
        <v>130</v>
      </c>
      <c r="AC1674" s="1">
        <v>5828.0</v>
      </c>
    </row>
    <row r="1675">
      <c r="A1675" s="1" t="str">
        <f>"0007F6"</f>
        <v>0007F6</v>
      </c>
      <c r="B1675" s="1" t="s">
        <v>6571</v>
      </c>
      <c r="C1675" s="1" t="s">
        <v>6572</v>
      </c>
      <c r="D1675" s="1" t="str">
        <f>"8027854511"</f>
        <v>8027854511</v>
      </c>
      <c r="E1675" s="1">
        <v>3690.0</v>
      </c>
      <c r="F1675" s="1" t="s">
        <v>44</v>
      </c>
      <c r="G1675" s="1" t="s">
        <v>6573</v>
      </c>
      <c r="H1675" s="1">
        <v>3.0</v>
      </c>
      <c r="I1675" s="2" t="s">
        <v>119</v>
      </c>
      <c r="J1675" s="2">
        <v>3.0</v>
      </c>
      <c r="K1675" s="2" t="s">
        <v>119</v>
      </c>
      <c r="L1675" s="1"/>
      <c r="M1675" s="1" t="s">
        <v>6574</v>
      </c>
      <c r="N1675" s="1" t="s">
        <v>142</v>
      </c>
      <c r="O1675" s="1" t="s">
        <v>143</v>
      </c>
      <c r="P1675" s="1" t="s">
        <v>6575</v>
      </c>
      <c r="Q1675" s="3">
        <v>36892.0</v>
      </c>
      <c r="R1675" s="1"/>
      <c r="S1675" s="3">
        <v>39343.0</v>
      </c>
      <c r="T1675" s="1" t="s">
        <v>37</v>
      </c>
      <c r="U1675" s="1"/>
      <c r="V1675" s="1" t="s">
        <v>38</v>
      </c>
      <c r="W1675" s="1">
        <v>43.826141</v>
      </c>
      <c r="X1675" s="1">
        <v>-72.3029859999999</v>
      </c>
      <c r="Y1675" s="1" t="s">
        <v>6576</v>
      </c>
      <c r="Z1675" s="1"/>
      <c r="AA1675" s="1" t="s">
        <v>40</v>
      </c>
      <c r="AB1675" s="1" t="s">
        <v>146</v>
      </c>
      <c r="AC1675" s="1">
        <v>5075.0</v>
      </c>
    </row>
    <row r="1676">
      <c r="A1676" s="1" t="str">
        <f>"0008W9"</f>
        <v>0008W9</v>
      </c>
      <c r="B1676" s="1" t="s">
        <v>6577</v>
      </c>
      <c r="C1676" s="1" t="s">
        <v>6578</v>
      </c>
      <c r="D1676" s="1" t="str">
        <f>"8024964549"</f>
        <v>8024964549</v>
      </c>
      <c r="E1676" s="1">
        <v>3385.0</v>
      </c>
      <c r="F1676" s="1" t="s">
        <v>44</v>
      </c>
      <c r="G1676" s="1" t="s">
        <v>6579</v>
      </c>
      <c r="H1676" s="1">
        <v>2.0</v>
      </c>
      <c r="I1676" s="1"/>
      <c r="J1676" s="1"/>
      <c r="K1676" s="1"/>
      <c r="L1676" s="1"/>
      <c r="M1676" s="1" t="s">
        <v>33</v>
      </c>
      <c r="N1676" s="1" t="s">
        <v>135</v>
      </c>
      <c r="O1676" s="1" t="s">
        <v>2331</v>
      </c>
      <c r="P1676" s="1" t="s">
        <v>36</v>
      </c>
      <c r="Q1676" s="3">
        <v>36892.0</v>
      </c>
      <c r="R1676" s="1"/>
      <c r="S1676" s="3">
        <v>41485.0</v>
      </c>
      <c r="T1676" s="1" t="s">
        <v>37</v>
      </c>
      <c r="U1676" s="1"/>
      <c r="V1676" s="1" t="s">
        <v>38</v>
      </c>
      <c r="W1676" s="1">
        <v>44.24224</v>
      </c>
      <c r="X1676" s="1">
        <v>-72.78774</v>
      </c>
      <c r="Y1676" s="1" t="s">
        <v>6580</v>
      </c>
      <c r="Z1676" s="1"/>
      <c r="AA1676" s="1" t="s">
        <v>40</v>
      </c>
      <c r="AB1676" s="1" t="s">
        <v>2332</v>
      </c>
      <c r="AC1676" s="1">
        <v>5660.0</v>
      </c>
    </row>
    <row r="1677">
      <c r="A1677" s="1" t="str">
        <f>"0008WA"</f>
        <v>0008WA</v>
      </c>
      <c r="B1677" s="1" t="s">
        <v>6581</v>
      </c>
      <c r="C1677" s="1" t="s">
        <v>6582</v>
      </c>
      <c r="D1677" s="1" t="str">
        <f>"8022473660"</f>
        <v>8022473660</v>
      </c>
      <c r="E1677" s="1">
        <v>3386.0</v>
      </c>
      <c r="F1677" s="1" t="s">
        <v>44</v>
      </c>
      <c r="G1677" s="1" t="s">
        <v>6583</v>
      </c>
      <c r="H1677" s="1">
        <v>2.0</v>
      </c>
      <c r="I1677" s="1"/>
      <c r="J1677" s="1"/>
      <c r="K1677" s="1"/>
      <c r="L1677" s="1"/>
      <c r="M1677" s="1" t="s">
        <v>6584</v>
      </c>
      <c r="N1677" s="1" t="s">
        <v>78</v>
      </c>
      <c r="O1677" s="1" t="s">
        <v>79</v>
      </c>
      <c r="P1677" s="1"/>
      <c r="Q1677" s="3">
        <v>36892.0</v>
      </c>
      <c r="R1677" s="1"/>
      <c r="S1677" s="3">
        <v>39248.0</v>
      </c>
      <c r="T1677" s="1" t="s">
        <v>37</v>
      </c>
      <c r="U1677" s="1"/>
      <c r="V1677" s="1" t="s">
        <v>38</v>
      </c>
      <c r="W1677" s="1"/>
      <c r="X1677" s="1"/>
      <c r="Y1677" s="1" t="s">
        <v>49</v>
      </c>
      <c r="Z1677" s="1"/>
      <c r="AA1677" s="1" t="s">
        <v>40</v>
      </c>
      <c r="AB1677" s="1" t="s">
        <v>80</v>
      </c>
      <c r="AC1677" s="1"/>
    </row>
    <row r="1678">
      <c r="A1678" s="1" t="str">
        <f>"0008WB"</f>
        <v>0008WB</v>
      </c>
      <c r="B1678" s="1" t="s">
        <v>6585</v>
      </c>
      <c r="C1678" s="1" t="s">
        <v>6586</v>
      </c>
      <c r="D1678" s="1" t="str">
        <f>"8027638886"</f>
        <v>8027638886</v>
      </c>
      <c r="E1678" s="1">
        <v>3387.0</v>
      </c>
      <c r="F1678" s="1" t="s">
        <v>44</v>
      </c>
      <c r="G1678" s="1" t="s">
        <v>6587</v>
      </c>
      <c r="H1678" s="1"/>
      <c r="I1678" s="1"/>
      <c r="J1678" s="1"/>
      <c r="K1678" s="1"/>
      <c r="L1678" s="1"/>
      <c r="M1678" s="1" t="s">
        <v>72</v>
      </c>
      <c r="N1678" s="1" t="s">
        <v>34</v>
      </c>
      <c r="O1678" s="1" t="s">
        <v>88</v>
      </c>
      <c r="P1678" s="1"/>
      <c r="Q1678" s="3">
        <v>36892.0</v>
      </c>
      <c r="R1678" s="1"/>
      <c r="S1678" s="1"/>
      <c r="T1678" s="1" t="s">
        <v>37</v>
      </c>
      <c r="U1678" s="1"/>
      <c r="V1678" s="1" t="s">
        <v>38</v>
      </c>
      <c r="W1678" s="1"/>
      <c r="X1678" s="1"/>
      <c r="Y1678" s="1" t="s">
        <v>49</v>
      </c>
      <c r="Z1678" s="1"/>
      <c r="AA1678" s="1" t="s">
        <v>40</v>
      </c>
      <c r="AB1678" s="1" t="s">
        <v>89</v>
      </c>
      <c r="AC1678" s="1"/>
    </row>
    <row r="1679">
      <c r="A1679" s="1" t="str">
        <f>"0007ZQ"</f>
        <v>0007ZQ</v>
      </c>
      <c r="B1679" s="1" t="s">
        <v>1064</v>
      </c>
      <c r="C1679" s="1" t="s">
        <v>1065</v>
      </c>
      <c r="D1679" s="1" t="str">
        <f>"8022256051"</f>
        <v>8022256051</v>
      </c>
      <c r="E1679" s="1">
        <v>1395.0</v>
      </c>
      <c r="F1679" s="1" t="s">
        <v>117</v>
      </c>
      <c r="G1679" s="1" t="s">
        <v>6588</v>
      </c>
      <c r="H1679" s="1">
        <v>18.0</v>
      </c>
      <c r="I1679" s="2" t="s">
        <v>119</v>
      </c>
      <c r="J1679" s="2" t="s">
        <v>119</v>
      </c>
      <c r="K1679" s="2" t="s">
        <v>119</v>
      </c>
      <c r="L1679" s="1"/>
      <c r="M1679" s="1" t="s">
        <v>6589</v>
      </c>
      <c r="N1679" s="1" t="s">
        <v>57</v>
      </c>
      <c r="O1679" s="1" t="s">
        <v>503</v>
      </c>
      <c r="P1679" s="1"/>
      <c r="Q1679" s="3">
        <v>36892.0</v>
      </c>
      <c r="R1679" s="3">
        <v>42949.56898148148</v>
      </c>
      <c r="S1679" s="3">
        <v>42949.0</v>
      </c>
      <c r="T1679" s="1" t="s">
        <v>37</v>
      </c>
      <c r="U1679" s="1"/>
      <c r="V1679" s="1" t="s">
        <v>38</v>
      </c>
      <c r="W1679" s="1">
        <v>44.4498558153782</v>
      </c>
      <c r="X1679" s="1">
        <v>-73.1551771931117</v>
      </c>
      <c r="Y1679" s="1" t="s">
        <v>6590</v>
      </c>
      <c r="Z1679" s="1"/>
      <c r="AA1679" s="1" t="s">
        <v>40</v>
      </c>
      <c r="AB1679" s="1" t="s">
        <v>504</v>
      </c>
      <c r="AC1679" s="1">
        <v>5403.0</v>
      </c>
    </row>
    <row r="1680">
      <c r="A1680" s="1" t="str">
        <f>"0008WV"</f>
        <v>0008WV</v>
      </c>
      <c r="B1680" s="1" t="s">
        <v>3103</v>
      </c>
      <c r="C1680" s="1" t="s">
        <v>3104</v>
      </c>
      <c r="D1680" s="1" t="str">
        <f>"8029882958"</f>
        <v>8029882958</v>
      </c>
      <c r="E1680" s="1">
        <v>3404.0</v>
      </c>
      <c r="F1680" s="1" t="s">
        <v>44</v>
      </c>
      <c r="G1680" s="1" t="s">
        <v>6591</v>
      </c>
      <c r="H1680" s="1">
        <v>0.0</v>
      </c>
      <c r="I1680" s="1"/>
      <c r="J1680" s="1"/>
      <c r="K1680" s="1"/>
      <c r="L1680" s="1"/>
      <c r="M1680" s="1" t="s">
        <v>6592</v>
      </c>
      <c r="N1680" s="1" t="s">
        <v>94</v>
      </c>
      <c r="O1680" s="1" t="s">
        <v>2745</v>
      </c>
      <c r="P1680" s="1"/>
      <c r="Q1680" s="3">
        <v>36892.0</v>
      </c>
      <c r="R1680" s="1"/>
      <c r="S1680" s="1"/>
      <c r="T1680" s="1" t="s">
        <v>37</v>
      </c>
      <c r="U1680" s="1"/>
      <c r="V1680" s="1" t="s">
        <v>38</v>
      </c>
      <c r="W1680" s="1">
        <v>44.965092</v>
      </c>
      <c r="X1680" s="1">
        <v>-72.4568939999999</v>
      </c>
      <c r="Y1680" s="1" t="s">
        <v>6593</v>
      </c>
      <c r="Z1680" s="1"/>
      <c r="AA1680" s="1" t="s">
        <v>40</v>
      </c>
      <c r="AB1680" s="1" t="s">
        <v>2746</v>
      </c>
      <c r="AC1680" s="1">
        <v>5859.0</v>
      </c>
    </row>
    <row r="1681">
      <c r="A1681" s="1" t="str">
        <f>"0008WY"</f>
        <v>0008WY</v>
      </c>
      <c r="B1681" s="1" t="s">
        <v>6594</v>
      </c>
      <c r="C1681" s="1" t="s">
        <v>6595</v>
      </c>
      <c r="D1681" s="1" t="str">
        <f>"8028635696"</f>
        <v>8028635696</v>
      </c>
      <c r="E1681" s="1">
        <v>3414.0</v>
      </c>
      <c r="F1681" s="1" t="s">
        <v>117</v>
      </c>
      <c r="G1681" s="1" t="s">
        <v>6596</v>
      </c>
      <c r="H1681" s="1">
        <v>1.0</v>
      </c>
      <c r="I1681" s="1"/>
      <c r="J1681" s="1"/>
      <c r="K1681" s="1"/>
      <c r="L1681" s="1"/>
      <c r="M1681" s="1" t="s">
        <v>72</v>
      </c>
      <c r="N1681" s="1" t="s">
        <v>57</v>
      </c>
      <c r="O1681" s="1" t="s">
        <v>175</v>
      </c>
      <c r="P1681" s="1" t="s">
        <v>6597</v>
      </c>
      <c r="Q1681" s="3">
        <v>36892.0</v>
      </c>
      <c r="R1681" s="1"/>
      <c r="S1681" s="1"/>
      <c r="T1681" s="1" t="s">
        <v>37</v>
      </c>
      <c r="U1681" s="1"/>
      <c r="V1681" s="1" t="s">
        <v>38</v>
      </c>
      <c r="W1681" s="1">
        <v>44.50373</v>
      </c>
      <c r="X1681" s="1">
        <v>-73.236783</v>
      </c>
      <c r="Y1681" s="1" t="s">
        <v>6598</v>
      </c>
      <c r="Z1681" s="1"/>
      <c r="AA1681" s="1" t="s">
        <v>40</v>
      </c>
      <c r="AB1681" s="1" t="s">
        <v>176</v>
      </c>
      <c r="AC1681" s="1">
        <v>5408.0</v>
      </c>
    </row>
    <row r="1682">
      <c r="A1682" s="1" t="str">
        <f>"000880"</f>
        <v>000880</v>
      </c>
      <c r="B1682" s="1" t="s">
        <v>6599</v>
      </c>
      <c r="C1682" s="1" t="s">
        <v>6600</v>
      </c>
      <c r="D1682" s="1" t="str">
        <f>"8028939967"</f>
        <v>8028939967</v>
      </c>
      <c r="E1682" s="1">
        <v>3429.0</v>
      </c>
      <c r="F1682" s="1" t="s">
        <v>44</v>
      </c>
      <c r="G1682" s="1" t="s">
        <v>6601</v>
      </c>
      <c r="H1682" s="1">
        <v>0.0</v>
      </c>
      <c r="I1682" s="1"/>
      <c r="J1682" s="1"/>
      <c r="K1682" s="1"/>
      <c r="L1682" s="1"/>
      <c r="M1682" s="1" t="s">
        <v>72</v>
      </c>
      <c r="N1682" s="1" t="s">
        <v>57</v>
      </c>
      <c r="O1682" s="1" t="s">
        <v>559</v>
      </c>
      <c r="P1682" s="1"/>
      <c r="Q1682" s="3">
        <v>36892.0</v>
      </c>
      <c r="R1682" s="1"/>
      <c r="S1682" s="3">
        <v>38526.0</v>
      </c>
      <c r="T1682" s="1" t="s">
        <v>37</v>
      </c>
      <c r="U1682" s="1"/>
      <c r="V1682" s="1" t="s">
        <v>38</v>
      </c>
      <c r="W1682" s="1"/>
      <c r="X1682" s="1"/>
      <c r="Y1682" s="1" t="s">
        <v>49</v>
      </c>
      <c r="Z1682" s="1"/>
      <c r="AA1682" s="1" t="s">
        <v>40</v>
      </c>
      <c r="AB1682" s="1" t="s">
        <v>560</v>
      </c>
      <c r="AC1682" s="1"/>
    </row>
    <row r="1683">
      <c r="A1683" s="1" t="str">
        <f>"0008XB"</f>
        <v>0008XB</v>
      </c>
      <c r="B1683" s="1" t="s">
        <v>6602</v>
      </c>
      <c r="C1683" s="1" t="s">
        <v>6603</v>
      </c>
      <c r="D1683" s="1" t="str">
        <f>"8024428941"</f>
        <v>8024428941</v>
      </c>
      <c r="E1683" s="1">
        <v>3430.0</v>
      </c>
      <c r="F1683" s="1" t="s">
        <v>117</v>
      </c>
      <c r="G1683" s="1" t="s">
        <v>6604</v>
      </c>
      <c r="H1683" s="1">
        <v>3.0</v>
      </c>
      <c r="I1683" s="2">
        <v>0.0</v>
      </c>
      <c r="J1683" s="2">
        <v>0.0</v>
      </c>
      <c r="K1683" s="2" t="s">
        <v>119</v>
      </c>
      <c r="L1683" s="1"/>
      <c r="M1683" s="1" t="s">
        <v>6605</v>
      </c>
      <c r="N1683" s="1" t="s">
        <v>414</v>
      </c>
      <c r="O1683" s="1" t="s">
        <v>720</v>
      </c>
      <c r="P1683" s="1" t="s">
        <v>6606</v>
      </c>
      <c r="Q1683" s="3">
        <v>36892.0</v>
      </c>
      <c r="R1683" s="1"/>
      <c r="S1683" s="3">
        <v>40350.0</v>
      </c>
      <c r="T1683" s="1" t="s">
        <v>37</v>
      </c>
      <c r="U1683" s="1"/>
      <c r="V1683" s="1" t="s">
        <v>38</v>
      </c>
      <c r="W1683" s="1">
        <v>42.918285</v>
      </c>
      <c r="X1683" s="1">
        <v>-73.198883</v>
      </c>
      <c r="Y1683" s="1" t="s">
        <v>6607</v>
      </c>
      <c r="Z1683" s="1"/>
      <c r="AA1683" s="1" t="s">
        <v>40</v>
      </c>
      <c r="AB1683" s="1" t="s">
        <v>414</v>
      </c>
      <c r="AC1683" s="1">
        <v>5201.0</v>
      </c>
    </row>
    <row r="1684">
      <c r="A1684" s="1" t="str">
        <f>"0008XC"</f>
        <v>0008XC</v>
      </c>
      <c r="B1684" s="1" t="s">
        <v>6608</v>
      </c>
      <c r="C1684" s="1" t="s">
        <v>6609</v>
      </c>
      <c r="D1684" s="1"/>
      <c r="E1684" s="1">
        <v>3431.0</v>
      </c>
      <c r="F1684" s="1" t="s">
        <v>44</v>
      </c>
      <c r="G1684" s="1" t="s">
        <v>6610</v>
      </c>
      <c r="H1684" s="1"/>
      <c r="I1684" s="1"/>
      <c r="J1684" s="1"/>
      <c r="K1684" s="1"/>
      <c r="L1684" s="1"/>
      <c r="M1684" s="1" t="s">
        <v>72</v>
      </c>
      <c r="N1684" s="1" t="s">
        <v>57</v>
      </c>
      <c r="O1684" s="1" t="s">
        <v>745</v>
      </c>
      <c r="P1684" s="1"/>
      <c r="Q1684" s="3">
        <v>36892.0</v>
      </c>
      <c r="R1684" s="1"/>
      <c r="S1684" s="1"/>
      <c r="T1684" s="1" t="s">
        <v>37</v>
      </c>
      <c r="U1684" s="1"/>
      <c r="V1684" s="1" t="s">
        <v>38</v>
      </c>
      <c r="W1684" s="1"/>
      <c r="X1684" s="1"/>
      <c r="Y1684" s="1" t="s">
        <v>49</v>
      </c>
      <c r="Z1684" s="1"/>
      <c r="AA1684" s="1" t="s">
        <v>40</v>
      </c>
      <c r="AB1684" s="1" t="s">
        <v>746</v>
      </c>
      <c r="AC1684" s="1"/>
    </row>
    <row r="1685">
      <c r="A1685" s="1" t="str">
        <f>"0008JY"</f>
        <v>0008JY</v>
      </c>
      <c r="B1685" s="1" t="s">
        <v>2460</v>
      </c>
      <c r="C1685" s="1" t="s">
        <v>2461</v>
      </c>
      <c r="D1685" s="1" t="str">
        <f>"8024790884"</f>
        <v>8024790884</v>
      </c>
      <c r="E1685" s="1">
        <v>3607.0</v>
      </c>
      <c r="F1685" s="1" t="s">
        <v>44</v>
      </c>
      <c r="G1685" s="1" t="s">
        <v>6611</v>
      </c>
      <c r="H1685" s="1"/>
      <c r="I1685" s="1"/>
      <c r="J1685" s="1"/>
      <c r="K1685" s="1"/>
      <c r="L1685" s="1"/>
      <c r="M1685" s="1" t="s">
        <v>6612</v>
      </c>
      <c r="N1685" s="1" t="s">
        <v>135</v>
      </c>
      <c r="O1685" s="1" t="s">
        <v>136</v>
      </c>
      <c r="P1685" s="1"/>
      <c r="Q1685" s="3">
        <v>36892.0</v>
      </c>
      <c r="R1685" s="1"/>
      <c r="S1685" s="1"/>
      <c r="T1685" s="1" t="s">
        <v>37</v>
      </c>
      <c r="U1685" s="1"/>
      <c r="V1685" s="1" t="s">
        <v>38</v>
      </c>
      <c r="W1685" s="1"/>
      <c r="X1685" s="1"/>
      <c r="Y1685" s="1" t="s">
        <v>49</v>
      </c>
      <c r="Z1685" s="1"/>
      <c r="AA1685" s="1" t="s">
        <v>40</v>
      </c>
      <c r="AB1685" s="1" t="s">
        <v>137</v>
      </c>
      <c r="AC1685" s="1"/>
    </row>
    <row r="1686">
      <c r="A1686" s="1" t="str">
        <f>"0008XG"</f>
        <v>0008XG</v>
      </c>
      <c r="B1686" s="1" t="s">
        <v>6613</v>
      </c>
      <c r="C1686" s="1" t="s">
        <v>6614</v>
      </c>
      <c r="D1686" s="1" t="str">
        <f>"8024969846"</f>
        <v>8024969846</v>
      </c>
      <c r="E1686" s="1">
        <v>3435.0</v>
      </c>
      <c r="F1686" s="1" t="s">
        <v>44</v>
      </c>
      <c r="G1686" s="1" t="s">
        <v>6615</v>
      </c>
      <c r="H1686" s="1">
        <v>2.0</v>
      </c>
      <c r="I1686" s="1"/>
      <c r="J1686" s="1"/>
      <c r="K1686" s="1"/>
      <c r="L1686" s="1"/>
      <c r="M1686" s="1" t="s">
        <v>72</v>
      </c>
      <c r="N1686" s="1" t="s">
        <v>135</v>
      </c>
      <c r="O1686" s="1" t="s">
        <v>440</v>
      </c>
      <c r="P1686" s="1"/>
      <c r="Q1686" s="3">
        <v>36892.0</v>
      </c>
      <c r="R1686" s="1"/>
      <c r="S1686" s="3">
        <v>37830.0</v>
      </c>
      <c r="T1686" s="1" t="s">
        <v>37</v>
      </c>
      <c r="U1686" s="1"/>
      <c r="V1686" s="1" t="s">
        <v>38</v>
      </c>
      <c r="W1686" s="1">
        <v>44.1713603</v>
      </c>
      <c r="X1686" s="1">
        <v>-72.8044496999999</v>
      </c>
      <c r="Y1686" s="1" t="s">
        <v>6616</v>
      </c>
      <c r="Z1686" s="1"/>
      <c r="AA1686" s="1" t="s">
        <v>40</v>
      </c>
      <c r="AB1686" s="1" t="s">
        <v>441</v>
      </c>
      <c r="AC1686" s="1">
        <v>5673.0</v>
      </c>
    </row>
    <row r="1687">
      <c r="A1687" s="1" t="str">
        <f>"0008XH"</f>
        <v>0008XH</v>
      </c>
      <c r="B1687" s="1" t="s">
        <v>6617</v>
      </c>
      <c r="C1687" s="1" t="s">
        <v>6618</v>
      </c>
      <c r="D1687" s="1" t="str">
        <f>"8024257182"</f>
        <v>8024257182</v>
      </c>
      <c r="E1687" s="1">
        <v>3436.0</v>
      </c>
      <c r="F1687" s="1" t="s">
        <v>44</v>
      </c>
      <c r="G1687" s="1" t="s">
        <v>6619</v>
      </c>
      <c r="H1687" s="1">
        <v>0.0</v>
      </c>
      <c r="I1687" s="1"/>
      <c r="J1687" s="1"/>
      <c r="K1687" s="1"/>
      <c r="L1687" s="1"/>
      <c r="M1687" s="1" t="s">
        <v>72</v>
      </c>
      <c r="N1687" s="1" t="s">
        <v>57</v>
      </c>
      <c r="O1687" s="1" t="s">
        <v>1633</v>
      </c>
      <c r="P1687" s="1"/>
      <c r="Q1687" s="3">
        <v>36892.0</v>
      </c>
      <c r="R1687" s="1"/>
      <c r="S1687" s="3">
        <v>37886.0</v>
      </c>
      <c r="T1687" s="1" t="s">
        <v>37</v>
      </c>
      <c r="U1687" s="1"/>
      <c r="V1687" s="1" t="s">
        <v>38</v>
      </c>
      <c r="W1687" s="1"/>
      <c r="X1687" s="1"/>
      <c r="Y1687" s="1" t="s">
        <v>49</v>
      </c>
      <c r="Z1687" s="1"/>
      <c r="AA1687" s="1" t="s">
        <v>40</v>
      </c>
      <c r="AB1687" s="1" t="s">
        <v>1634</v>
      </c>
      <c r="AC1687" s="1"/>
    </row>
    <row r="1688">
      <c r="A1688" s="1" t="str">
        <f>"0008XJ"</f>
        <v>0008XJ</v>
      </c>
      <c r="B1688" s="1" t="s">
        <v>6620</v>
      </c>
      <c r="C1688" s="1" t="s">
        <v>6621</v>
      </c>
      <c r="D1688" s="1" t="str">
        <f>"8024404440"</f>
        <v>8024404440</v>
      </c>
      <c r="E1688" s="1">
        <v>3437.0</v>
      </c>
      <c r="F1688" s="1" t="s">
        <v>44</v>
      </c>
      <c r="G1688" s="1" t="s">
        <v>6622</v>
      </c>
      <c r="H1688" s="1"/>
      <c r="I1688" s="1"/>
      <c r="J1688" s="1"/>
      <c r="K1688" s="1"/>
      <c r="L1688" s="1"/>
      <c r="M1688" s="1" t="s">
        <v>6623</v>
      </c>
      <c r="N1688" s="1" t="s">
        <v>414</v>
      </c>
      <c r="O1688" s="1" t="s">
        <v>720</v>
      </c>
      <c r="P1688" s="1"/>
      <c r="Q1688" s="3">
        <v>36892.0</v>
      </c>
      <c r="R1688" s="1"/>
      <c r="S1688" s="1"/>
      <c r="T1688" s="1" t="s">
        <v>37</v>
      </c>
      <c r="U1688" s="1"/>
      <c r="V1688" s="1" t="s">
        <v>38</v>
      </c>
      <c r="W1688" s="1"/>
      <c r="X1688" s="1"/>
      <c r="Y1688" s="1" t="s">
        <v>49</v>
      </c>
      <c r="Z1688" s="1"/>
      <c r="AA1688" s="1" t="s">
        <v>40</v>
      </c>
      <c r="AB1688" s="1" t="s">
        <v>414</v>
      </c>
      <c r="AC1688" s="1"/>
    </row>
    <row r="1689">
      <c r="A1689" s="1" t="str">
        <f>"0008XK"</f>
        <v>0008XK</v>
      </c>
      <c r="B1689" s="1" t="s">
        <v>6624</v>
      </c>
      <c r="C1689" s="1" t="s">
        <v>6625</v>
      </c>
      <c r="D1689" s="1" t="str">
        <f>"8028995412"</f>
        <v>8028995412</v>
      </c>
      <c r="E1689" s="1">
        <v>3438.0</v>
      </c>
      <c r="F1689" s="1" t="s">
        <v>44</v>
      </c>
      <c r="G1689" s="1" t="s">
        <v>6626</v>
      </c>
      <c r="H1689" s="1">
        <v>3.0</v>
      </c>
      <c r="I1689" s="1"/>
      <c r="J1689" s="1"/>
      <c r="K1689" s="1"/>
      <c r="L1689" s="1"/>
      <c r="M1689" s="1" t="s">
        <v>72</v>
      </c>
      <c r="N1689" s="1" t="s">
        <v>57</v>
      </c>
      <c r="O1689" s="1" t="s">
        <v>58</v>
      </c>
      <c r="P1689" s="1"/>
      <c r="Q1689" s="3">
        <v>36892.0</v>
      </c>
      <c r="R1689" s="1"/>
      <c r="S1689" s="3">
        <v>38875.0</v>
      </c>
      <c r="T1689" s="1" t="s">
        <v>37</v>
      </c>
      <c r="U1689" s="1"/>
      <c r="V1689" s="1" t="s">
        <v>38</v>
      </c>
      <c r="W1689" s="1"/>
      <c r="X1689" s="1"/>
      <c r="Y1689" s="1" t="s">
        <v>49</v>
      </c>
      <c r="Z1689" s="1"/>
      <c r="AA1689" s="1" t="s">
        <v>40</v>
      </c>
      <c r="AB1689" s="1" t="s">
        <v>61</v>
      </c>
      <c r="AC1689" s="1"/>
    </row>
    <row r="1690">
      <c r="A1690" s="1" t="str">
        <f>"0008JA"</f>
        <v>0008JA</v>
      </c>
      <c r="B1690" s="1" t="s">
        <v>6627</v>
      </c>
      <c r="C1690" s="1" t="s">
        <v>6628</v>
      </c>
      <c r="D1690" s="1" t="str">
        <f>"8022298646"</f>
        <v>8022298646</v>
      </c>
      <c r="E1690" s="1">
        <v>3393.0</v>
      </c>
      <c r="F1690" s="1" t="s">
        <v>44</v>
      </c>
      <c r="G1690" s="1" t="s">
        <v>6629</v>
      </c>
      <c r="H1690" s="1"/>
      <c r="I1690" s="1"/>
      <c r="J1690" s="1"/>
      <c r="K1690" s="1"/>
      <c r="L1690" s="1"/>
      <c r="M1690" s="1" t="s">
        <v>6630</v>
      </c>
      <c r="N1690" s="1" t="s">
        <v>94</v>
      </c>
      <c r="O1690" s="1" t="s">
        <v>1058</v>
      </c>
      <c r="P1690" s="1"/>
      <c r="Q1690" s="3">
        <v>36892.0</v>
      </c>
      <c r="R1690" s="1"/>
      <c r="S1690" s="1"/>
      <c r="T1690" s="1" t="s">
        <v>37</v>
      </c>
      <c r="U1690" s="1"/>
      <c r="V1690" s="1" t="s">
        <v>38</v>
      </c>
      <c r="W1690" s="1"/>
      <c r="X1690" s="1"/>
      <c r="Y1690" s="1" t="s">
        <v>49</v>
      </c>
      <c r="Z1690" s="1"/>
      <c r="AA1690" s="1" t="s">
        <v>40</v>
      </c>
      <c r="AB1690" s="1" t="s">
        <v>1059</v>
      </c>
      <c r="AC1690" s="1"/>
    </row>
    <row r="1691">
      <c r="A1691" s="1" t="str">
        <f>"0008XM"</f>
        <v>0008XM</v>
      </c>
      <c r="B1691" s="1" t="s">
        <v>6631</v>
      </c>
      <c r="C1691" s="1" t="s">
        <v>6632</v>
      </c>
      <c r="D1691" s="1" t="str">
        <f>"8024923063"</f>
        <v>8024923063</v>
      </c>
      <c r="E1691" s="1">
        <v>3439.0</v>
      </c>
      <c r="F1691" s="1" t="s">
        <v>44</v>
      </c>
      <c r="G1691" s="1" t="s">
        <v>6633</v>
      </c>
      <c r="H1691" s="1"/>
      <c r="I1691" s="1"/>
      <c r="J1691" s="1"/>
      <c r="K1691" s="1"/>
      <c r="L1691" s="1"/>
      <c r="M1691" s="1" t="s">
        <v>6634</v>
      </c>
      <c r="N1691" s="1" t="s">
        <v>78</v>
      </c>
      <c r="O1691" s="1" t="s">
        <v>6011</v>
      </c>
      <c r="P1691" s="1"/>
      <c r="Q1691" s="3">
        <v>36892.0</v>
      </c>
      <c r="R1691" s="1"/>
      <c r="S1691" s="1"/>
      <c r="T1691" s="1" t="s">
        <v>37</v>
      </c>
      <c r="U1691" s="1"/>
      <c r="V1691" s="1" t="s">
        <v>38</v>
      </c>
      <c r="W1691" s="1"/>
      <c r="X1691" s="1"/>
      <c r="Y1691" s="1" t="s">
        <v>49</v>
      </c>
      <c r="Z1691" s="1"/>
      <c r="AA1691" s="1" t="s">
        <v>40</v>
      </c>
      <c r="AB1691" s="1" t="s">
        <v>6012</v>
      </c>
      <c r="AC1691" s="1"/>
    </row>
    <row r="1692">
      <c r="A1692" s="1" t="str">
        <f>"0008XN"</f>
        <v>0008XN</v>
      </c>
      <c r="B1692" s="1" t="s">
        <v>6635</v>
      </c>
      <c r="C1692" s="1" t="s">
        <v>6636</v>
      </c>
      <c r="D1692" s="1" t="str">
        <f>"8029858231"</f>
        <v>8029858231</v>
      </c>
      <c r="E1692" s="1">
        <v>3757.0</v>
      </c>
      <c r="F1692" s="1" t="s">
        <v>44</v>
      </c>
      <c r="G1692" s="1" t="s">
        <v>6637</v>
      </c>
      <c r="H1692" s="1"/>
      <c r="I1692" s="1"/>
      <c r="J1692" s="1"/>
      <c r="K1692" s="1"/>
      <c r="L1692" s="1"/>
      <c r="M1692" s="1" t="s">
        <v>72</v>
      </c>
      <c r="N1692" s="1" t="s">
        <v>57</v>
      </c>
      <c r="O1692" s="1" t="s">
        <v>238</v>
      </c>
      <c r="P1692" s="1"/>
      <c r="Q1692" s="3">
        <v>36892.0</v>
      </c>
      <c r="R1692" s="1"/>
      <c r="S1692" s="1"/>
      <c r="T1692" s="1" t="s">
        <v>37</v>
      </c>
      <c r="U1692" s="1"/>
      <c r="V1692" s="1" t="s">
        <v>38</v>
      </c>
      <c r="W1692" s="1"/>
      <c r="X1692" s="1"/>
      <c r="Y1692" s="1" t="s">
        <v>49</v>
      </c>
      <c r="Z1692" s="1"/>
      <c r="AA1692" s="1" t="s">
        <v>40</v>
      </c>
      <c r="AB1692" s="1" t="s">
        <v>239</v>
      </c>
      <c r="AC1692" s="1"/>
    </row>
    <row r="1693">
      <c r="A1693" s="1" t="str">
        <f>"0008XP"</f>
        <v>0008XP</v>
      </c>
      <c r="B1693" s="1" t="s">
        <v>6638</v>
      </c>
      <c r="C1693" s="1" t="s">
        <v>6639</v>
      </c>
      <c r="D1693" s="1" t="str">
        <f>"8028921071"</f>
        <v>8028921071</v>
      </c>
      <c r="E1693" s="1">
        <v>3441.0</v>
      </c>
      <c r="F1693" s="1" t="s">
        <v>44</v>
      </c>
      <c r="G1693" s="1" t="s">
        <v>6640</v>
      </c>
      <c r="H1693" s="1"/>
      <c r="I1693" s="1"/>
      <c r="J1693" s="1"/>
      <c r="K1693" s="1"/>
      <c r="L1693" s="1"/>
      <c r="M1693" s="1" t="s">
        <v>72</v>
      </c>
      <c r="N1693" s="1" t="s">
        <v>331</v>
      </c>
      <c r="O1693" s="1" t="s">
        <v>1015</v>
      </c>
      <c r="P1693" s="1"/>
      <c r="Q1693" s="3">
        <v>36892.0</v>
      </c>
      <c r="R1693" s="1"/>
      <c r="S1693" s="1"/>
      <c r="T1693" s="1" t="s">
        <v>37</v>
      </c>
      <c r="U1693" s="1"/>
      <c r="V1693" s="1" t="s">
        <v>38</v>
      </c>
      <c r="W1693" s="1"/>
      <c r="X1693" s="1"/>
      <c r="Y1693" s="1" t="s">
        <v>49</v>
      </c>
      <c r="Z1693" s="1"/>
      <c r="AA1693" s="1" t="s">
        <v>40</v>
      </c>
      <c r="AB1693" s="1" t="s">
        <v>1016</v>
      </c>
      <c r="AC1693" s="1"/>
    </row>
    <row r="1694">
      <c r="A1694" s="1" t="str">
        <f>"0007WA"</f>
        <v>0007WA</v>
      </c>
      <c r="B1694" s="1" t="s">
        <v>157</v>
      </c>
      <c r="C1694" s="1" t="s">
        <v>158</v>
      </c>
      <c r="D1694" s="1" t="str">
        <f>"8029482057"</f>
        <v>8029482057</v>
      </c>
      <c r="E1694" s="1">
        <v>1217.0</v>
      </c>
      <c r="F1694" s="1" t="s">
        <v>31</v>
      </c>
      <c r="G1694" s="1" t="s">
        <v>6641</v>
      </c>
      <c r="H1694" s="1">
        <v>24.0</v>
      </c>
      <c r="I1694" s="1"/>
      <c r="J1694" s="1"/>
      <c r="K1694" s="1"/>
      <c r="L1694" s="1"/>
      <c r="M1694" s="1" t="s">
        <v>6642</v>
      </c>
      <c r="N1694" s="1" t="s">
        <v>161</v>
      </c>
      <c r="O1694" s="1" t="s">
        <v>769</v>
      </c>
      <c r="P1694" s="1" t="s">
        <v>6643</v>
      </c>
      <c r="Q1694" s="3">
        <v>36892.0</v>
      </c>
      <c r="R1694" s="1"/>
      <c r="S1694" s="3">
        <v>38904.0</v>
      </c>
      <c r="T1694" s="1" t="s">
        <v>164</v>
      </c>
      <c r="U1694" s="1"/>
      <c r="V1694" s="1" t="s">
        <v>38</v>
      </c>
      <c r="W1694" s="1">
        <v>44.1583451</v>
      </c>
      <c r="X1694" s="1">
        <v>-73.2856664999999</v>
      </c>
      <c r="Y1694" s="1" t="s">
        <v>6169</v>
      </c>
      <c r="Z1694" s="1"/>
      <c r="AA1694" s="1" t="s">
        <v>40</v>
      </c>
      <c r="AB1694" s="1" t="s">
        <v>770</v>
      </c>
      <c r="AC1694" s="1">
        <v>0.0</v>
      </c>
    </row>
    <row r="1695">
      <c r="A1695" s="1" t="str">
        <f>"0008ZQ"</f>
        <v>0008ZQ</v>
      </c>
      <c r="B1695" s="1" t="s">
        <v>738</v>
      </c>
      <c r="C1695" s="1" t="s">
        <v>739</v>
      </c>
      <c r="D1695" s="1" t="str">
        <f>"8022346113"</f>
        <v>8022346113</v>
      </c>
      <c r="E1695" s="1">
        <v>3547.0</v>
      </c>
      <c r="F1695" s="1" t="s">
        <v>44</v>
      </c>
      <c r="G1695" s="1" t="s">
        <v>6644</v>
      </c>
      <c r="H1695" s="1">
        <v>2.0</v>
      </c>
      <c r="I1695" s="1"/>
      <c r="J1695" s="1"/>
      <c r="K1695" s="1"/>
      <c r="L1695" s="1"/>
      <c r="M1695" s="1" t="s">
        <v>6645</v>
      </c>
      <c r="N1695" s="1" t="s">
        <v>142</v>
      </c>
      <c r="O1695" s="1" t="s">
        <v>474</v>
      </c>
      <c r="P1695" s="1"/>
      <c r="Q1695" s="3">
        <v>36892.0</v>
      </c>
      <c r="R1695" s="1"/>
      <c r="S1695" s="3">
        <v>38881.0</v>
      </c>
      <c r="T1695" s="1" t="s">
        <v>37</v>
      </c>
      <c r="U1695" s="1"/>
      <c r="V1695" s="1" t="s">
        <v>38</v>
      </c>
      <c r="W1695" s="1"/>
      <c r="X1695" s="1"/>
      <c r="Y1695" s="1" t="s">
        <v>49</v>
      </c>
      <c r="Z1695" s="1"/>
      <c r="AA1695" s="1" t="s">
        <v>40</v>
      </c>
      <c r="AB1695" s="1" t="s">
        <v>475</v>
      </c>
      <c r="AC1695" s="1"/>
    </row>
    <row r="1696">
      <c r="A1696" s="1" t="str">
        <f>"00082P"</f>
        <v>00082P</v>
      </c>
      <c r="B1696" s="1" t="s">
        <v>1472</v>
      </c>
      <c r="C1696" s="1" t="s">
        <v>1473</v>
      </c>
      <c r="D1696" s="1" t="str">
        <f>"8023530959"</f>
        <v>8023530959</v>
      </c>
      <c r="E1696" s="1">
        <v>2970.0</v>
      </c>
      <c r="F1696" s="1" t="s">
        <v>117</v>
      </c>
      <c r="G1696" s="1" t="s">
        <v>6646</v>
      </c>
      <c r="H1696" s="1">
        <v>0.0</v>
      </c>
      <c r="I1696" s="2" t="s">
        <v>119</v>
      </c>
      <c r="J1696" s="2" t="s">
        <v>119</v>
      </c>
      <c r="K1696" s="2" t="s">
        <v>119</v>
      </c>
      <c r="L1696" s="1"/>
      <c r="M1696" s="1" t="s">
        <v>6647</v>
      </c>
      <c r="N1696" s="1" t="s">
        <v>78</v>
      </c>
      <c r="O1696" s="1" t="s">
        <v>2574</v>
      </c>
      <c r="P1696" s="1" t="s">
        <v>6648</v>
      </c>
      <c r="Q1696" s="3">
        <v>41079.0</v>
      </c>
      <c r="R1696" s="3">
        <v>42522.0</v>
      </c>
      <c r="S1696" s="3">
        <v>38441.0</v>
      </c>
      <c r="T1696" s="1" t="s">
        <v>37</v>
      </c>
      <c r="U1696" s="1"/>
      <c r="V1696" s="1" t="s">
        <v>38</v>
      </c>
      <c r="W1696" s="1">
        <v>43.774936401036</v>
      </c>
      <c r="X1696" s="1">
        <v>-73.1059026718139</v>
      </c>
      <c r="Y1696" s="1" t="s">
        <v>6649</v>
      </c>
      <c r="Z1696" s="1"/>
      <c r="AA1696" s="1" t="s">
        <v>40</v>
      </c>
      <c r="AB1696" s="1" t="s">
        <v>2575</v>
      </c>
      <c r="AC1696" s="1">
        <v>5733.0</v>
      </c>
    </row>
    <row r="1697">
      <c r="A1697" s="1" t="str">
        <f>"0007HA"</f>
        <v>0007HA</v>
      </c>
      <c r="B1697" s="1" t="s">
        <v>6650</v>
      </c>
      <c r="C1697" s="1" t="s">
        <v>6651</v>
      </c>
      <c r="D1697" s="1" t="str">
        <f>"8028778323"</f>
        <v>8028778323</v>
      </c>
      <c r="E1697" s="1">
        <v>3344.0</v>
      </c>
      <c r="F1697" s="1" t="s">
        <v>44</v>
      </c>
      <c r="G1697" s="1" t="s">
        <v>6652</v>
      </c>
      <c r="H1697" s="1"/>
      <c r="I1697" s="1"/>
      <c r="J1697" s="1"/>
      <c r="K1697" s="1"/>
      <c r="L1697" s="1"/>
      <c r="M1697" s="1" t="s">
        <v>6653</v>
      </c>
      <c r="N1697" s="1" t="s">
        <v>57</v>
      </c>
      <c r="O1697" s="1" t="s">
        <v>509</v>
      </c>
      <c r="P1697" s="1"/>
      <c r="Q1697" s="3">
        <v>36892.0</v>
      </c>
      <c r="R1697" s="1"/>
      <c r="S1697" s="1"/>
      <c r="T1697" s="1" t="s">
        <v>37</v>
      </c>
      <c r="U1697" s="1"/>
      <c r="V1697" s="1" t="s">
        <v>38</v>
      </c>
      <c r="W1697" s="1"/>
      <c r="X1697" s="1"/>
      <c r="Y1697" s="1" t="s">
        <v>49</v>
      </c>
      <c r="Z1697" s="1"/>
      <c r="AA1697" s="1" t="s">
        <v>40</v>
      </c>
      <c r="AB1697" s="1" t="s">
        <v>331</v>
      </c>
      <c r="AC1697" s="1"/>
    </row>
    <row r="1698">
      <c r="A1698" s="1" t="str">
        <f>"0008XX"</f>
        <v>0008XX</v>
      </c>
      <c r="B1698" s="1" t="s">
        <v>6654</v>
      </c>
      <c r="C1698" s="1" t="s">
        <v>6655</v>
      </c>
      <c r="D1698" s="1" t="str">
        <f>"8023657653"</f>
        <v>8023657653</v>
      </c>
      <c r="E1698" s="1">
        <v>3449.0</v>
      </c>
      <c r="F1698" s="1" t="s">
        <v>44</v>
      </c>
      <c r="G1698" s="1" t="s">
        <v>6656</v>
      </c>
      <c r="H1698" s="1">
        <v>4.0</v>
      </c>
      <c r="I1698" s="1"/>
      <c r="J1698" s="1"/>
      <c r="K1698" s="1"/>
      <c r="L1698" s="1"/>
      <c r="M1698" s="1" t="s">
        <v>72</v>
      </c>
      <c r="N1698" s="1" t="s">
        <v>66</v>
      </c>
      <c r="O1698" s="1" t="s">
        <v>389</v>
      </c>
      <c r="P1698" s="1"/>
      <c r="Q1698" s="3">
        <v>36892.0</v>
      </c>
      <c r="R1698" s="1"/>
      <c r="S1698" s="3">
        <v>38085.0</v>
      </c>
      <c r="T1698" s="1" t="s">
        <v>37</v>
      </c>
      <c r="U1698" s="1"/>
      <c r="V1698" s="1" t="s">
        <v>38</v>
      </c>
      <c r="W1698" s="1"/>
      <c r="X1698" s="1"/>
      <c r="Y1698" s="1" t="s">
        <v>49</v>
      </c>
      <c r="Z1698" s="1"/>
      <c r="AA1698" s="1" t="s">
        <v>40</v>
      </c>
      <c r="AB1698" s="1" t="s">
        <v>390</v>
      </c>
      <c r="AC1698" s="1"/>
    </row>
    <row r="1699">
      <c r="A1699" s="1" t="str">
        <f>"0007WA"</f>
        <v>0007WA</v>
      </c>
      <c r="B1699" s="1" t="s">
        <v>157</v>
      </c>
      <c r="C1699" s="1" t="s">
        <v>158</v>
      </c>
      <c r="D1699" s="1" t="str">
        <f>"8029482057"</f>
        <v>8029482057</v>
      </c>
      <c r="E1699" s="1">
        <v>1217.0</v>
      </c>
      <c r="F1699" s="1" t="s">
        <v>31</v>
      </c>
      <c r="G1699" s="1" t="s">
        <v>6657</v>
      </c>
      <c r="H1699" s="1">
        <v>21.0</v>
      </c>
      <c r="I1699" s="1"/>
      <c r="J1699" s="1"/>
      <c r="K1699" s="1"/>
      <c r="L1699" s="1"/>
      <c r="M1699" s="1" t="s">
        <v>6658</v>
      </c>
      <c r="N1699" s="1" t="s">
        <v>161</v>
      </c>
      <c r="O1699" s="1" t="s">
        <v>769</v>
      </c>
      <c r="P1699" s="1" t="s">
        <v>6659</v>
      </c>
      <c r="Q1699" s="3">
        <v>36892.0</v>
      </c>
      <c r="R1699" s="1"/>
      <c r="S1699" s="3">
        <v>41912.0</v>
      </c>
      <c r="T1699" s="1" t="s">
        <v>164</v>
      </c>
      <c r="U1699" s="1"/>
      <c r="V1699" s="1" t="s">
        <v>38</v>
      </c>
      <c r="W1699" s="1">
        <v>44.17918</v>
      </c>
      <c r="X1699" s="1">
        <v>-73.21446</v>
      </c>
      <c r="Y1699" s="1" t="s">
        <v>6660</v>
      </c>
      <c r="Z1699" s="1"/>
      <c r="AA1699" s="1" t="s">
        <v>40</v>
      </c>
      <c r="AB1699" s="1" t="s">
        <v>6661</v>
      </c>
      <c r="AC1699" s="1">
        <v>5456.0</v>
      </c>
    </row>
    <row r="1700">
      <c r="A1700" s="1" t="str">
        <f>"00080G"</f>
        <v>00080G</v>
      </c>
      <c r="B1700" s="1" t="s">
        <v>4177</v>
      </c>
      <c r="C1700" s="1" t="s">
        <v>4178</v>
      </c>
      <c r="D1700" s="1" t="str">
        <f>"8022224658"</f>
        <v>8022224658</v>
      </c>
      <c r="E1700" s="1">
        <v>2413.0</v>
      </c>
      <c r="F1700" s="1" t="s">
        <v>44</v>
      </c>
      <c r="G1700" s="1" t="s">
        <v>6662</v>
      </c>
      <c r="H1700" s="1">
        <v>2.0</v>
      </c>
      <c r="I1700" s="1"/>
      <c r="J1700" s="1"/>
      <c r="K1700" s="1"/>
      <c r="L1700" s="1"/>
      <c r="M1700" s="1" t="s">
        <v>6663</v>
      </c>
      <c r="N1700" s="1" t="s">
        <v>142</v>
      </c>
      <c r="O1700" s="1" t="s">
        <v>2474</v>
      </c>
      <c r="P1700" s="1"/>
      <c r="Q1700" s="3">
        <v>36892.0</v>
      </c>
      <c r="R1700" s="1"/>
      <c r="S1700" s="3">
        <v>37802.0</v>
      </c>
      <c r="T1700" s="1" t="s">
        <v>37</v>
      </c>
      <c r="U1700" s="1"/>
      <c r="V1700" s="1" t="s">
        <v>38</v>
      </c>
      <c r="W1700" s="1"/>
      <c r="X1700" s="1"/>
      <c r="Y1700" s="1" t="s">
        <v>49</v>
      </c>
      <c r="Z1700" s="1"/>
      <c r="AA1700" s="1" t="s">
        <v>40</v>
      </c>
      <c r="AB1700" s="1" t="s">
        <v>2475</v>
      </c>
      <c r="AC1700" s="1"/>
    </row>
    <row r="1701">
      <c r="A1701" s="1" t="str">
        <f>"0008Y1"</f>
        <v>0008Y1</v>
      </c>
      <c r="B1701" s="1" t="s">
        <v>6664</v>
      </c>
      <c r="C1701" s="1" t="s">
        <v>6665</v>
      </c>
      <c r="D1701" s="1" t="str">
        <f>"8025272042"</f>
        <v>8025272042</v>
      </c>
      <c r="E1701" s="1">
        <v>3454.0</v>
      </c>
      <c r="F1701" s="1" t="s">
        <v>44</v>
      </c>
      <c r="G1701" s="1" t="s">
        <v>6666</v>
      </c>
      <c r="H1701" s="1"/>
      <c r="I1701" s="1"/>
      <c r="J1701" s="1"/>
      <c r="K1701" s="1"/>
      <c r="L1701" s="1"/>
      <c r="M1701" s="1" t="s">
        <v>72</v>
      </c>
      <c r="N1701" s="1" t="s">
        <v>47</v>
      </c>
      <c r="O1701" s="1" t="s">
        <v>2837</v>
      </c>
      <c r="P1701" s="1"/>
      <c r="Q1701" s="3">
        <v>36892.0</v>
      </c>
      <c r="R1701" s="1"/>
      <c r="S1701" s="1"/>
      <c r="T1701" s="1" t="s">
        <v>37</v>
      </c>
      <c r="U1701" s="1"/>
      <c r="V1701" s="1" t="s">
        <v>38</v>
      </c>
      <c r="W1701" s="1"/>
      <c r="X1701" s="1"/>
      <c r="Y1701" s="1" t="s">
        <v>49</v>
      </c>
      <c r="Z1701" s="1"/>
      <c r="AA1701" s="1" t="s">
        <v>40</v>
      </c>
      <c r="AB1701" s="1" t="s">
        <v>2838</v>
      </c>
      <c r="AC1701" s="1"/>
    </row>
    <row r="1702">
      <c r="A1702" s="1" t="str">
        <f>"00094N"</f>
        <v>00094N</v>
      </c>
      <c r="B1702" s="1" t="s">
        <v>6667</v>
      </c>
      <c r="C1702" s="1" t="s">
        <v>6668</v>
      </c>
      <c r="D1702" s="1" t="str">
        <f>"8022232328"</f>
        <v>8022232328</v>
      </c>
      <c r="E1702" s="1">
        <v>3881.0</v>
      </c>
      <c r="F1702" s="1" t="s">
        <v>44</v>
      </c>
      <c r="G1702" s="1" t="s">
        <v>6669</v>
      </c>
      <c r="H1702" s="1">
        <v>1.0</v>
      </c>
      <c r="I1702" s="1"/>
      <c r="J1702" s="1"/>
      <c r="K1702" s="1"/>
      <c r="L1702" s="1"/>
      <c r="M1702" s="1" t="s">
        <v>72</v>
      </c>
      <c r="N1702" s="1" t="s">
        <v>135</v>
      </c>
      <c r="O1702" s="1" t="s">
        <v>1142</v>
      </c>
      <c r="P1702" s="1"/>
      <c r="Q1702" s="3">
        <v>36892.0</v>
      </c>
      <c r="R1702" s="1"/>
      <c r="S1702" s="3">
        <v>39937.0</v>
      </c>
      <c r="T1702" s="1" t="s">
        <v>37</v>
      </c>
      <c r="U1702" s="1"/>
      <c r="V1702" s="1" t="s">
        <v>38</v>
      </c>
      <c r="W1702" s="1"/>
      <c r="X1702" s="1"/>
      <c r="Y1702" s="1" t="s">
        <v>49</v>
      </c>
      <c r="Z1702" s="1"/>
      <c r="AA1702" s="1" t="s">
        <v>40</v>
      </c>
      <c r="AB1702" s="1" t="s">
        <v>1145</v>
      </c>
      <c r="AC1702" s="1"/>
    </row>
    <row r="1703">
      <c r="A1703" s="1" t="str">
        <f>"0007WB"</f>
        <v>0007WB</v>
      </c>
      <c r="B1703" s="1" t="s">
        <v>567</v>
      </c>
      <c r="C1703" s="1" t="s">
        <v>568</v>
      </c>
      <c r="D1703" s="1" t="str">
        <f>"8029895895"</f>
        <v>8029895895</v>
      </c>
      <c r="E1703" s="1">
        <v>2046.0</v>
      </c>
      <c r="F1703" s="1" t="s">
        <v>117</v>
      </c>
      <c r="G1703" s="1" t="s">
        <v>6670</v>
      </c>
      <c r="H1703" s="1">
        <v>0.0</v>
      </c>
      <c r="I1703" s="2" t="s">
        <v>119</v>
      </c>
      <c r="J1703" s="2" t="s">
        <v>119</v>
      </c>
      <c r="K1703" s="2" t="s">
        <v>119</v>
      </c>
      <c r="L1703" s="1"/>
      <c r="M1703" s="1" t="s">
        <v>6671</v>
      </c>
      <c r="N1703" s="1" t="s">
        <v>161</v>
      </c>
      <c r="O1703" s="1" t="s">
        <v>1053</v>
      </c>
      <c r="P1703" s="1"/>
      <c r="Q1703" s="3">
        <v>36892.0</v>
      </c>
      <c r="R1703" s="3">
        <v>42308.0</v>
      </c>
      <c r="S1703" s="3">
        <v>38985.0</v>
      </c>
      <c r="T1703" s="1" t="s">
        <v>37</v>
      </c>
      <c r="U1703" s="1"/>
      <c r="V1703" s="1" t="s">
        <v>38</v>
      </c>
      <c r="W1703" s="1"/>
      <c r="X1703" s="1"/>
      <c r="Y1703" s="1" t="s">
        <v>49</v>
      </c>
      <c r="Z1703" s="1"/>
      <c r="AA1703" s="1" t="s">
        <v>40</v>
      </c>
      <c r="AB1703" s="1" t="s">
        <v>1054</v>
      </c>
      <c r="AC1703" s="1">
        <v>0.0</v>
      </c>
    </row>
    <row r="1704">
      <c r="A1704" s="1" t="str">
        <f>"00090B"</f>
        <v>00090B</v>
      </c>
      <c r="B1704" s="1" t="s">
        <v>6672</v>
      </c>
      <c r="C1704" s="1" t="s">
        <v>6673</v>
      </c>
      <c r="D1704" s="1" t="str">
        <f>"8022799722"</f>
        <v>8022799722</v>
      </c>
      <c r="E1704" s="1">
        <v>3566.0</v>
      </c>
      <c r="F1704" s="1" t="s">
        <v>117</v>
      </c>
      <c r="G1704" s="1" t="s">
        <v>6674</v>
      </c>
      <c r="H1704" s="1">
        <v>2.0</v>
      </c>
      <c r="I1704" s="2">
        <v>3.0</v>
      </c>
      <c r="J1704" s="2">
        <v>3.0</v>
      </c>
      <c r="K1704" s="2" t="s">
        <v>119</v>
      </c>
      <c r="L1704" s="1"/>
      <c r="M1704" s="1" t="s">
        <v>6675</v>
      </c>
      <c r="N1704" s="1" t="s">
        <v>135</v>
      </c>
      <c r="O1704" s="1" t="s">
        <v>2713</v>
      </c>
      <c r="P1704" s="1" t="s">
        <v>6676</v>
      </c>
      <c r="Q1704" s="3">
        <v>36892.0</v>
      </c>
      <c r="R1704" s="1"/>
      <c r="S1704" s="1"/>
      <c r="T1704" s="1" t="s">
        <v>37</v>
      </c>
      <c r="U1704" s="1"/>
      <c r="V1704" s="1" t="s">
        <v>38</v>
      </c>
      <c r="W1704" s="1">
        <v>44.3449711</v>
      </c>
      <c r="X1704" s="1">
        <v>-72.5886383</v>
      </c>
      <c r="Y1704" s="1" t="s">
        <v>6677</v>
      </c>
      <c r="Z1704" s="1"/>
      <c r="AA1704" s="1" t="s">
        <v>40</v>
      </c>
      <c r="AB1704" s="1" t="s">
        <v>6678</v>
      </c>
      <c r="AC1704" s="1">
        <v>5682.0</v>
      </c>
    </row>
    <row r="1705">
      <c r="A1705" s="1" t="str">
        <f>"0008Y2"</f>
        <v>0008Y2</v>
      </c>
      <c r="B1705" s="1" t="s">
        <v>6679</v>
      </c>
      <c r="C1705" s="1" t="s">
        <v>6680</v>
      </c>
      <c r="D1705" s="1" t="str">
        <f>"8028695460"</f>
        <v>8028695460</v>
      </c>
      <c r="E1705" s="1">
        <v>3455.0</v>
      </c>
      <c r="F1705" s="1" t="s">
        <v>31</v>
      </c>
      <c r="G1705" s="1" t="s">
        <v>6681</v>
      </c>
      <c r="H1705" s="1">
        <v>0.0</v>
      </c>
      <c r="I1705" s="1"/>
      <c r="J1705" s="1"/>
      <c r="K1705" s="1"/>
      <c r="L1705" s="1"/>
      <c r="M1705" s="1" t="s">
        <v>33</v>
      </c>
      <c r="N1705" s="1" t="s">
        <v>66</v>
      </c>
      <c r="O1705" s="1" t="s">
        <v>2346</v>
      </c>
      <c r="P1705" s="1" t="s">
        <v>36</v>
      </c>
      <c r="Q1705" s="3">
        <v>36892.0</v>
      </c>
      <c r="R1705" s="1"/>
      <c r="S1705" s="3">
        <v>41588.0</v>
      </c>
      <c r="T1705" s="1" t="s">
        <v>37</v>
      </c>
      <c r="U1705" s="1"/>
      <c r="V1705" s="1" t="s">
        <v>38</v>
      </c>
      <c r="W1705" s="1"/>
      <c r="X1705" s="1"/>
      <c r="Y1705" s="1" t="s">
        <v>6682</v>
      </c>
      <c r="Z1705" s="1"/>
      <c r="AA1705" s="1" t="s">
        <v>40</v>
      </c>
      <c r="AB1705" s="1" t="s">
        <v>2349</v>
      </c>
      <c r="AC1705" s="1">
        <v>5301.0</v>
      </c>
    </row>
    <row r="1706">
      <c r="A1706" s="1" t="str">
        <f>"0007DJ"</f>
        <v>0007DJ</v>
      </c>
      <c r="B1706" s="1" t="s">
        <v>5582</v>
      </c>
      <c r="C1706" s="1" t="s">
        <v>5583</v>
      </c>
      <c r="D1706" s="1" t="str">
        <f>"8023494279"</f>
        <v>8023494279</v>
      </c>
      <c r="E1706" s="1">
        <v>2870.0</v>
      </c>
      <c r="F1706" s="1" t="s">
        <v>117</v>
      </c>
      <c r="G1706" s="1" t="s">
        <v>6683</v>
      </c>
      <c r="H1706" s="1">
        <v>9.0</v>
      </c>
      <c r="I1706" s="2">
        <v>12.0</v>
      </c>
      <c r="J1706" s="2">
        <v>10.0</v>
      </c>
      <c r="K1706" s="2" t="s">
        <v>119</v>
      </c>
      <c r="L1706" s="1"/>
      <c r="M1706" s="1" t="s">
        <v>6684</v>
      </c>
      <c r="N1706" s="1" t="s">
        <v>161</v>
      </c>
      <c r="O1706" s="1" t="s">
        <v>162</v>
      </c>
      <c r="P1706" s="1" t="s">
        <v>6685</v>
      </c>
      <c r="Q1706" s="3">
        <v>36892.0</v>
      </c>
      <c r="R1706" s="1"/>
      <c r="S1706" s="3">
        <v>42191.0</v>
      </c>
      <c r="T1706" s="1" t="s">
        <v>37</v>
      </c>
      <c r="U1706" s="1"/>
      <c r="V1706" s="1" t="s">
        <v>38</v>
      </c>
      <c r="W1706" s="1">
        <v>44.0030716511404</v>
      </c>
      <c r="X1706" s="1">
        <v>-73.2182872295379</v>
      </c>
      <c r="Y1706" s="1" t="s">
        <v>6684</v>
      </c>
      <c r="Z1706" s="1"/>
      <c r="AA1706" s="1" t="s">
        <v>40</v>
      </c>
      <c r="AB1706" s="1" t="s">
        <v>166</v>
      </c>
      <c r="AC1706" s="1">
        <v>5753.0</v>
      </c>
    </row>
    <row r="1707">
      <c r="A1707" s="1" t="str">
        <f t="shared" ref="A1707:A1708" si="106">"0008WQ"</f>
        <v>0008WQ</v>
      </c>
      <c r="B1707" s="1" t="s">
        <v>6686</v>
      </c>
      <c r="C1707" s="1" t="s">
        <v>6687</v>
      </c>
      <c r="D1707" s="1" t="str">
        <f t="shared" ref="D1707:D1708" si="107">"8022224464"</f>
        <v>8022224464</v>
      </c>
      <c r="E1707" s="1">
        <v>3401.0</v>
      </c>
      <c r="F1707" s="1" t="s">
        <v>44</v>
      </c>
      <c r="G1707" s="1" t="s">
        <v>6688</v>
      </c>
      <c r="H1707" s="1">
        <v>1.0</v>
      </c>
      <c r="I1707" s="1"/>
      <c r="J1707" s="1"/>
      <c r="K1707" s="1"/>
      <c r="L1707" s="1"/>
      <c r="M1707" s="1" t="s">
        <v>72</v>
      </c>
      <c r="N1707" s="1" t="s">
        <v>142</v>
      </c>
      <c r="O1707" s="1" t="s">
        <v>227</v>
      </c>
      <c r="P1707" s="1"/>
      <c r="Q1707" s="3">
        <v>36892.0</v>
      </c>
      <c r="R1707" s="1"/>
      <c r="S1707" s="3">
        <v>37802.0</v>
      </c>
      <c r="T1707" s="1" t="s">
        <v>37</v>
      </c>
      <c r="U1707" s="1"/>
      <c r="V1707" s="1" t="s">
        <v>38</v>
      </c>
      <c r="W1707" s="1">
        <v>43.9836079</v>
      </c>
      <c r="X1707" s="1">
        <v>-72.1436388999999</v>
      </c>
      <c r="Y1707" s="1" t="s">
        <v>6689</v>
      </c>
      <c r="Z1707" s="1"/>
      <c r="AA1707" s="1" t="s">
        <v>40</v>
      </c>
      <c r="AB1707" s="1" t="s">
        <v>228</v>
      </c>
      <c r="AC1707" s="1">
        <v>5033.0</v>
      </c>
    </row>
    <row r="1708">
      <c r="A1708" s="1" t="str">
        <f t="shared" si="106"/>
        <v>0008WQ</v>
      </c>
      <c r="B1708" s="1" t="s">
        <v>6686</v>
      </c>
      <c r="C1708" s="1" t="s">
        <v>6687</v>
      </c>
      <c r="D1708" s="1" t="str">
        <f t="shared" si="107"/>
        <v>8022224464</v>
      </c>
      <c r="E1708" s="1">
        <v>3401.0</v>
      </c>
      <c r="F1708" s="1" t="s">
        <v>44</v>
      </c>
      <c r="G1708" s="1" t="s">
        <v>6690</v>
      </c>
      <c r="H1708" s="1">
        <v>1.0</v>
      </c>
      <c r="I1708" s="1"/>
      <c r="J1708" s="1"/>
      <c r="K1708" s="1"/>
      <c r="L1708" s="1"/>
      <c r="M1708" s="1" t="s">
        <v>6691</v>
      </c>
      <c r="N1708" s="1" t="s">
        <v>142</v>
      </c>
      <c r="O1708" s="1" t="s">
        <v>227</v>
      </c>
      <c r="P1708" s="1"/>
      <c r="Q1708" s="3">
        <v>36892.0</v>
      </c>
      <c r="R1708" s="1"/>
      <c r="S1708" s="3">
        <v>37802.0</v>
      </c>
      <c r="T1708" s="1" t="s">
        <v>37</v>
      </c>
      <c r="U1708" s="1"/>
      <c r="V1708" s="1" t="s">
        <v>38</v>
      </c>
      <c r="W1708" s="1"/>
      <c r="X1708" s="1"/>
      <c r="Y1708" s="1" t="s">
        <v>49</v>
      </c>
      <c r="Z1708" s="1"/>
      <c r="AA1708" s="1" t="s">
        <v>40</v>
      </c>
      <c r="AB1708" s="1" t="s">
        <v>228</v>
      </c>
      <c r="AC1708" s="1"/>
    </row>
    <row r="1709">
      <c r="A1709" s="1" t="str">
        <f>"0008VW"</f>
        <v>0008VW</v>
      </c>
      <c r="B1709" s="1" t="s">
        <v>6692</v>
      </c>
      <c r="C1709" s="1" t="s">
        <v>6693</v>
      </c>
      <c r="D1709" s="1" t="str">
        <f>"8022285538"</f>
        <v>8022285538</v>
      </c>
      <c r="E1709" s="1">
        <v>3505.0</v>
      </c>
      <c r="F1709" s="1" t="s">
        <v>44</v>
      </c>
      <c r="G1709" s="1" t="s">
        <v>6694</v>
      </c>
      <c r="H1709" s="1">
        <v>3.0</v>
      </c>
      <c r="I1709" s="1"/>
      <c r="J1709" s="1"/>
      <c r="K1709" s="1"/>
      <c r="L1709" s="1"/>
      <c r="M1709" s="1" t="s">
        <v>72</v>
      </c>
      <c r="N1709" s="1" t="s">
        <v>34</v>
      </c>
      <c r="O1709" s="1" t="s">
        <v>1237</v>
      </c>
      <c r="P1709" s="1"/>
      <c r="Q1709" s="3">
        <v>36892.0</v>
      </c>
      <c r="R1709" s="1"/>
      <c r="S1709" s="3">
        <v>39289.0</v>
      </c>
      <c r="T1709" s="1" t="s">
        <v>37</v>
      </c>
      <c r="U1709" s="1"/>
      <c r="V1709" s="1" t="s">
        <v>38</v>
      </c>
      <c r="W1709" s="1">
        <v>43.3845959999999</v>
      </c>
      <c r="X1709" s="1">
        <v>-72.6925129999999</v>
      </c>
      <c r="Y1709" s="1" t="s">
        <v>6695</v>
      </c>
      <c r="Z1709" s="1"/>
      <c r="AA1709" s="1" t="s">
        <v>40</v>
      </c>
      <c r="AB1709" s="1" t="s">
        <v>1238</v>
      </c>
      <c r="AC1709" s="1">
        <v>5149.0</v>
      </c>
    </row>
    <row r="1710">
      <c r="A1710" s="1" t="str">
        <f>"0007HH"</f>
        <v>0007HH</v>
      </c>
      <c r="B1710" s="1" t="s">
        <v>1748</v>
      </c>
      <c r="C1710" s="1" t="s">
        <v>1749</v>
      </c>
      <c r="D1710" s="1" t="str">
        <f>"8028996736"</f>
        <v>8028996736</v>
      </c>
      <c r="E1710" s="1">
        <v>2979.0</v>
      </c>
      <c r="F1710" s="1" t="s">
        <v>44</v>
      </c>
      <c r="G1710" s="1" t="s">
        <v>6696</v>
      </c>
      <c r="H1710" s="1"/>
      <c r="I1710" s="1"/>
      <c r="J1710" s="1"/>
      <c r="K1710" s="1"/>
      <c r="L1710" s="1"/>
      <c r="M1710" s="1" t="s">
        <v>6697</v>
      </c>
      <c r="N1710" s="1" t="s">
        <v>57</v>
      </c>
      <c r="O1710" s="1" t="s">
        <v>745</v>
      </c>
      <c r="P1710" s="1"/>
      <c r="Q1710" s="3">
        <v>36892.0</v>
      </c>
      <c r="R1710" s="1"/>
      <c r="S1710" s="1"/>
      <c r="T1710" s="1" t="s">
        <v>37</v>
      </c>
      <c r="U1710" s="1"/>
      <c r="V1710" s="1" t="s">
        <v>38</v>
      </c>
      <c r="W1710" s="1"/>
      <c r="X1710" s="1"/>
      <c r="Y1710" s="1" t="s">
        <v>49</v>
      </c>
      <c r="Z1710" s="1"/>
      <c r="AA1710" s="1" t="s">
        <v>40</v>
      </c>
      <c r="AB1710" s="1" t="s">
        <v>746</v>
      </c>
      <c r="AC1710" s="1"/>
    </row>
    <row r="1711">
      <c r="A1711" s="1" t="str">
        <f t="shared" ref="A1711:A1713" si="108">"0007GY"</f>
        <v>0007GY</v>
      </c>
      <c r="B1711" s="1" t="s">
        <v>3168</v>
      </c>
      <c r="C1711" s="1" t="s">
        <v>3169</v>
      </c>
      <c r="D1711" s="1" t="str">
        <f t="shared" ref="D1711:D1713" si="109">"8028927731"</f>
        <v>8028927731</v>
      </c>
      <c r="E1711" s="1">
        <v>3345.0</v>
      </c>
      <c r="F1711" s="1" t="s">
        <v>44</v>
      </c>
      <c r="G1711" s="1" t="s">
        <v>6698</v>
      </c>
      <c r="H1711" s="1">
        <v>4.0</v>
      </c>
      <c r="I1711" s="1"/>
      <c r="J1711" s="1"/>
      <c r="K1711" s="1"/>
      <c r="L1711" s="1"/>
      <c r="M1711" s="1" t="s">
        <v>6699</v>
      </c>
      <c r="N1711" s="1" t="s">
        <v>331</v>
      </c>
      <c r="O1711" s="1" t="s">
        <v>1015</v>
      </c>
      <c r="P1711" s="1"/>
      <c r="Q1711" s="3">
        <v>36892.0</v>
      </c>
      <c r="R1711" s="1"/>
      <c r="S1711" s="3">
        <v>38978.0</v>
      </c>
      <c r="T1711" s="1" t="s">
        <v>37</v>
      </c>
      <c r="U1711" s="1"/>
      <c r="V1711" s="1" t="s">
        <v>38</v>
      </c>
      <c r="W1711" s="1"/>
      <c r="X1711" s="1"/>
      <c r="Y1711" s="1" t="s">
        <v>49</v>
      </c>
      <c r="Z1711" s="1"/>
      <c r="AA1711" s="1" t="s">
        <v>40</v>
      </c>
      <c r="AB1711" s="1" t="s">
        <v>1016</v>
      </c>
      <c r="AC1711" s="1"/>
    </row>
    <row r="1712">
      <c r="A1712" s="1" t="str">
        <f t="shared" si="108"/>
        <v>0007GY</v>
      </c>
      <c r="B1712" s="1" t="s">
        <v>3168</v>
      </c>
      <c r="C1712" s="1" t="s">
        <v>3169</v>
      </c>
      <c r="D1712" s="1" t="str">
        <f t="shared" si="109"/>
        <v>8028927731</v>
      </c>
      <c r="E1712" s="1">
        <v>3345.0</v>
      </c>
      <c r="F1712" s="1" t="s">
        <v>44</v>
      </c>
      <c r="G1712" s="1" t="s">
        <v>6700</v>
      </c>
      <c r="H1712" s="1">
        <v>3.0</v>
      </c>
      <c r="I1712" s="1"/>
      <c r="J1712" s="1"/>
      <c r="K1712" s="1"/>
      <c r="L1712" s="1"/>
      <c r="M1712" s="1" t="s">
        <v>72</v>
      </c>
      <c r="N1712" s="1" t="s">
        <v>331</v>
      </c>
      <c r="O1712" s="1" t="s">
        <v>1015</v>
      </c>
      <c r="P1712" s="1"/>
      <c r="Q1712" s="3">
        <v>36892.0</v>
      </c>
      <c r="R1712" s="1"/>
      <c r="S1712" s="3">
        <v>38978.0</v>
      </c>
      <c r="T1712" s="1" t="s">
        <v>37</v>
      </c>
      <c r="U1712" s="1"/>
      <c r="V1712" s="1" t="s">
        <v>38</v>
      </c>
      <c r="W1712" s="1"/>
      <c r="X1712" s="1"/>
      <c r="Y1712" s="1" t="s">
        <v>49</v>
      </c>
      <c r="Z1712" s="1"/>
      <c r="AA1712" s="1" t="s">
        <v>40</v>
      </c>
      <c r="AB1712" s="1" t="s">
        <v>1016</v>
      </c>
      <c r="AC1712" s="1"/>
    </row>
    <row r="1713">
      <c r="A1713" s="1" t="str">
        <f t="shared" si="108"/>
        <v>0007GY</v>
      </c>
      <c r="B1713" s="1" t="s">
        <v>3168</v>
      </c>
      <c r="C1713" s="1" t="s">
        <v>3169</v>
      </c>
      <c r="D1713" s="1" t="str">
        <f t="shared" si="109"/>
        <v>8028927731</v>
      </c>
      <c r="E1713" s="1">
        <v>3345.0</v>
      </c>
      <c r="F1713" s="1" t="s">
        <v>44</v>
      </c>
      <c r="G1713" s="1" t="s">
        <v>6701</v>
      </c>
      <c r="H1713" s="1">
        <v>4.0</v>
      </c>
      <c r="I1713" s="1"/>
      <c r="J1713" s="1"/>
      <c r="K1713" s="1"/>
      <c r="L1713" s="1"/>
      <c r="M1713" s="1" t="s">
        <v>6702</v>
      </c>
      <c r="N1713" s="1" t="s">
        <v>331</v>
      </c>
      <c r="O1713" s="1" t="s">
        <v>1015</v>
      </c>
      <c r="P1713" s="1"/>
      <c r="Q1713" s="3">
        <v>36892.0</v>
      </c>
      <c r="R1713" s="1"/>
      <c r="S1713" s="3">
        <v>38978.0</v>
      </c>
      <c r="T1713" s="1" t="s">
        <v>37</v>
      </c>
      <c r="U1713" s="1"/>
      <c r="V1713" s="1" t="s">
        <v>38</v>
      </c>
      <c r="W1713" s="1"/>
      <c r="X1713" s="1"/>
      <c r="Y1713" s="1" t="s">
        <v>49</v>
      </c>
      <c r="Z1713" s="1"/>
      <c r="AA1713" s="1" t="s">
        <v>40</v>
      </c>
      <c r="AB1713" s="1" t="s">
        <v>1016</v>
      </c>
      <c r="AC1713" s="1"/>
    </row>
    <row r="1714">
      <c r="A1714" s="1" t="str">
        <f>"0008Y5"</f>
        <v>0008Y5</v>
      </c>
      <c r="B1714" s="1" t="s">
        <v>6703</v>
      </c>
      <c r="C1714" s="1" t="s">
        <v>6704</v>
      </c>
      <c r="D1714" s="1" t="str">
        <f>"8024343191"</f>
        <v>8024343191</v>
      </c>
      <c r="E1714" s="1">
        <v>3458.0</v>
      </c>
      <c r="F1714" s="1" t="s">
        <v>44</v>
      </c>
      <c r="G1714" s="1" t="s">
        <v>6705</v>
      </c>
      <c r="H1714" s="1">
        <v>2.0</v>
      </c>
      <c r="I1714" s="1"/>
      <c r="J1714" s="1"/>
      <c r="K1714" s="1"/>
      <c r="L1714" s="1"/>
      <c r="M1714" s="1" t="s">
        <v>72</v>
      </c>
      <c r="N1714" s="1" t="s">
        <v>57</v>
      </c>
      <c r="O1714" s="1" t="s">
        <v>3943</v>
      </c>
      <c r="P1714" s="1"/>
      <c r="Q1714" s="3">
        <v>36892.0</v>
      </c>
      <c r="R1714" s="1"/>
      <c r="S1714" s="3">
        <v>38826.0</v>
      </c>
      <c r="T1714" s="1" t="s">
        <v>37</v>
      </c>
      <c r="U1714" s="1"/>
      <c r="V1714" s="1" t="s">
        <v>38</v>
      </c>
      <c r="W1714" s="1"/>
      <c r="X1714" s="1"/>
      <c r="Y1714" s="1" t="s">
        <v>49</v>
      </c>
      <c r="Z1714" s="1"/>
      <c r="AA1714" s="1" t="s">
        <v>40</v>
      </c>
      <c r="AB1714" s="1" t="s">
        <v>3946</v>
      </c>
      <c r="AC1714" s="1"/>
    </row>
    <row r="1715">
      <c r="A1715" s="1" t="str">
        <f>"0008XA"</f>
        <v>0008XA</v>
      </c>
      <c r="B1715" s="1" t="s">
        <v>6706</v>
      </c>
      <c r="C1715" s="1" t="s">
        <v>6707</v>
      </c>
      <c r="D1715" s="1" t="str">
        <f>"8028995459"</f>
        <v>8028995459</v>
      </c>
      <c r="E1715" s="1">
        <v>3428.0</v>
      </c>
      <c r="F1715" s="1" t="s">
        <v>44</v>
      </c>
      <c r="G1715" s="1" t="s">
        <v>6708</v>
      </c>
      <c r="H1715" s="1"/>
      <c r="I1715" s="1"/>
      <c r="J1715" s="1"/>
      <c r="K1715" s="1"/>
      <c r="L1715" s="1"/>
      <c r="M1715" s="1" t="s">
        <v>72</v>
      </c>
      <c r="N1715" s="1" t="s">
        <v>57</v>
      </c>
      <c r="O1715" s="1" t="s">
        <v>58</v>
      </c>
      <c r="P1715" s="1"/>
      <c r="Q1715" s="3">
        <v>36892.0</v>
      </c>
      <c r="R1715" s="1"/>
      <c r="S1715" s="1"/>
      <c r="T1715" s="1" t="s">
        <v>37</v>
      </c>
      <c r="U1715" s="1"/>
      <c r="V1715" s="1" t="s">
        <v>38</v>
      </c>
      <c r="W1715" s="1"/>
      <c r="X1715" s="1"/>
      <c r="Y1715" s="1" t="s">
        <v>49</v>
      </c>
      <c r="Z1715" s="1"/>
      <c r="AA1715" s="1" t="s">
        <v>40</v>
      </c>
      <c r="AB1715" s="1" t="s">
        <v>61</v>
      </c>
      <c r="AC1715" s="1"/>
    </row>
    <row r="1716">
      <c r="A1716" s="1" t="str">
        <f>"0008XZ"</f>
        <v>0008XZ</v>
      </c>
      <c r="B1716" s="1" t="s">
        <v>6709</v>
      </c>
      <c r="C1716" s="1" t="s">
        <v>6710</v>
      </c>
      <c r="D1716" s="1" t="str">
        <f>"8022968350"</f>
        <v>8022968350</v>
      </c>
      <c r="E1716" s="1">
        <v>3451.0</v>
      </c>
      <c r="F1716" s="1" t="s">
        <v>44</v>
      </c>
      <c r="G1716" s="1" t="s">
        <v>6711</v>
      </c>
      <c r="H1716" s="1"/>
      <c r="I1716" s="1"/>
      <c r="J1716" s="1"/>
      <c r="K1716" s="1"/>
      <c r="L1716" s="1"/>
      <c r="M1716" s="1" t="s">
        <v>72</v>
      </c>
      <c r="N1716" s="1" t="s">
        <v>34</v>
      </c>
      <c r="O1716" s="1" t="s">
        <v>1286</v>
      </c>
      <c r="P1716" s="1"/>
      <c r="Q1716" s="3">
        <v>36892.0</v>
      </c>
      <c r="R1716" s="1"/>
      <c r="S1716" s="1"/>
      <c r="T1716" s="1" t="s">
        <v>37</v>
      </c>
      <c r="U1716" s="1"/>
      <c r="V1716" s="1" t="s">
        <v>38</v>
      </c>
      <c r="W1716" s="1"/>
      <c r="X1716" s="1"/>
      <c r="Y1716" s="1" t="s">
        <v>49</v>
      </c>
      <c r="Z1716" s="1"/>
      <c r="AA1716" s="1" t="s">
        <v>40</v>
      </c>
      <c r="AB1716" s="1" t="s">
        <v>1287</v>
      </c>
      <c r="AC1716" s="1"/>
    </row>
    <row r="1717">
      <c r="A1717" s="1" t="str">
        <f>"0008Y6"</f>
        <v>0008Y6</v>
      </c>
      <c r="B1717" s="1" t="s">
        <v>6712</v>
      </c>
      <c r="C1717" s="1" t="s">
        <v>6713</v>
      </c>
      <c r="D1717" s="1" t="str">
        <f>"8023253210"</f>
        <v>8023253210</v>
      </c>
      <c r="E1717" s="1">
        <v>3474.0</v>
      </c>
      <c r="F1717" s="1" t="s">
        <v>44</v>
      </c>
      <c r="G1717" s="1" t="s">
        <v>6714</v>
      </c>
      <c r="H1717" s="1"/>
      <c r="I1717" s="1"/>
      <c r="J1717" s="1"/>
      <c r="K1717" s="1"/>
      <c r="L1717" s="1"/>
      <c r="M1717" s="1" t="s">
        <v>72</v>
      </c>
      <c r="N1717" s="1" t="s">
        <v>78</v>
      </c>
      <c r="O1717" s="1" t="s">
        <v>434</v>
      </c>
      <c r="P1717" s="1"/>
      <c r="Q1717" s="3">
        <v>36892.0</v>
      </c>
      <c r="R1717" s="1"/>
      <c r="S1717" s="1"/>
      <c r="T1717" s="1" t="s">
        <v>37</v>
      </c>
      <c r="U1717" s="1"/>
      <c r="V1717" s="1" t="s">
        <v>38</v>
      </c>
      <c r="W1717" s="1"/>
      <c r="X1717" s="1"/>
      <c r="Y1717" s="1" t="s">
        <v>49</v>
      </c>
      <c r="Z1717" s="1"/>
      <c r="AA1717" s="1" t="s">
        <v>40</v>
      </c>
      <c r="AB1717" s="1" t="s">
        <v>435</v>
      </c>
      <c r="AC1717" s="1"/>
    </row>
    <row r="1718">
      <c r="A1718" s="1" t="str">
        <f>"0008Y9"</f>
        <v>0008Y9</v>
      </c>
      <c r="B1718" s="1" t="s">
        <v>6715</v>
      </c>
      <c r="C1718" s="1" t="s">
        <v>6716</v>
      </c>
      <c r="D1718" s="1" t="str">
        <f>"8025632629"</f>
        <v>8025632629</v>
      </c>
      <c r="E1718" s="1">
        <v>3477.0</v>
      </c>
      <c r="F1718" s="1" t="s">
        <v>44</v>
      </c>
      <c r="G1718" s="1" t="s">
        <v>6717</v>
      </c>
      <c r="H1718" s="1"/>
      <c r="I1718" s="1"/>
      <c r="J1718" s="1"/>
      <c r="K1718" s="1"/>
      <c r="L1718" s="1"/>
      <c r="M1718" s="1" t="s">
        <v>72</v>
      </c>
      <c r="N1718" s="1" t="s">
        <v>128</v>
      </c>
      <c r="O1718" s="1" t="s">
        <v>1079</v>
      </c>
      <c r="P1718" s="1"/>
      <c r="Q1718" s="3">
        <v>36892.0</v>
      </c>
      <c r="R1718" s="1"/>
      <c r="S1718" s="1"/>
      <c r="T1718" s="1" t="s">
        <v>37</v>
      </c>
      <c r="U1718" s="1"/>
      <c r="V1718" s="1" t="s">
        <v>38</v>
      </c>
      <c r="W1718" s="1"/>
      <c r="X1718" s="1"/>
      <c r="Y1718" s="1" t="s">
        <v>49</v>
      </c>
      <c r="Z1718" s="1"/>
      <c r="AA1718" s="1" t="s">
        <v>40</v>
      </c>
      <c r="AB1718" s="1" t="s">
        <v>1080</v>
      </c>
      <c r="AC1718" s="1"/>
    </row>
    <row r="1719">
      <c r="A1719" s="1" t="str">
        <f>"0008YA"</f>
        <v>0008YA</v>
      </c>
      <c r="B1719" s="1" t="s">
        <v>6718</v>
      </c>
      <c r="C1719" s="1" t="s">
        <v>6719</v>
      </c>
      <c r="D1719" s="1" t="str">
        <f>"8026493215"</f>
        <v>8026493215</v>
      </c>
      <c r="E1719" s="1">
        <v>3478.0</v>
      </c>
      <c r="F1719" s="1" t="s">
        <v>44</v>
      </c>
      <c r="G1719" s="1" t="s">
        <v>6720</v>
      </c>
      <c r="H1719" s="1">
        <v>1.0</v>
      </c>
      <c r="I1719" s="1"/>
      <c r="J1719" s="1"/>
      <c r="K1719" s="1"/>
      <c r="L1719" s="1"/>
      <c r="M1719" s="1" t="s">
        <v>72</v>
      </c>
      <c r="N1719" s="1" t="s">
        <v>142</v>
      </c>
      <c r="O1719" s="1" t="s">
        <v>143</v>
      </c>
      <c r="P1719" s="1"/>
      <c r="Q1719" s="3">
        <v>36892.0</v>
      </c>
      <c r="R1719" s="1"/>
      <c r="S1719" s="3">
        <v>39343.0</v>
      </c>
      <c r="T1719" s="1" t="s">
        <v>37</v>
      </c>
      <c r="U1719" s="1"/>
      <c r="V1719" s="1" t="s">
        <v>38</v>
      </c>
      <c r="W1719" s="1"/>
      <c r="X1719" s="1"/>
      <c r="Y1719" s="1" t="s">
        <v>49</v>
      </c>
      <c r="Z1719" s="1"/>
      <c r="AA1719" s="1" t="s">
        <v>40</v>
      </c>
      <c r="AB1719" s="1" t="s">
        <v>146</v>
      </c>
      <c r="AC1719" s="1"/>
    </row>
    <row r="1720">
      <c r="A1720" s="1" t="str">
        <f>"0007WA"</f>
        <v>0007WA</v>
      </c>
      <c r="B1720" s="1" t="s">
        <v>157</v>
      </c>
      <c r="C1720" s="1" t="s">
        <v>158</v>
      </c>
      <c r="D1720" s="1" t="str">
        <f>"8029482057"</f>
        <v>8029482057</v>
      </c>
      <c r="E1720" s="1">
        <v>1217.0</v>
      </c>
      <c r="F1720" s="1" t="s">
        <v>31</v>
      </c>
      <c r="G1720" s="1" t="s">
        <v>6721</v>
      </c>
      <c r="H1720" s="1">
        <v>29.0</v>
      </c>
      <c r="I1720" s="1"/>
      <c r="J1720" s="1"/>
      <c r="K1720" s="1"/>
      <c r="L1720" s="1"/>
      <c r="M1720" s="1" t="s">
        <v>6722</v>
      </c>
      <c r="N1720" s="1" t="s">
        <v>161</v>
      </c>
      <c r="O1720" s="1" t="s">
        <v>185</v>
      </c>
      <c r="P1720" s="1" t="s">
        <v>6723</v>
      </c>
      <c r="Q1720" s="3">
        <v>36892.0</v>
      </c>
      <c r="R1720" s="1"/>
      <c r="S1720" s="3">
        <v>40477.0</v>
      </c>
      <c r="T1720" s="1" t="s">
        <v>164</v>
      </c>
      <c r="U1720" s="1"/>
      <c r="V1720" s="1" t="s">
        <v>38</v>
      </c>
      <c r="W1720" s="1">
        <v>44.1405764</v>
      </c>
      <c r="X1720" s="1">
        <v>-73.1568393</v>
      </c>
      <c r="Y1720" s="1" t="s">
        <v>3890</v>
      </c>
      <c r="Z1720" s="1"/>
      <c r="AA1720" s="1" t="s">
        <v>40</v>
      </c>
      <c r="AB1720" s="1" t="s">
        <v>186</v>
      </c>
      <c r="AC1720" s="1">
        <v>0.0</v>
      </c>
    </row>
    <row r="1721">
      <c r="A1721" s="1" t="str">
        <f>"0008YM"</f>
        <v>0008YM</v>
      </c>
      <c r="B1721" s="1" t="s">
        <v>6724</v>
      </c>
      <c r="C1721" s="1" t="s">
        <v>6725</v>
      </c>
      <c r="D1721" s="1" t="str">
        <f>"8028636626"</f>
        <v>8028636626</v>
      </c>
      <c r="E1721" s="1">
        <v>3496.0</v>
      </c>
      <c r="F1721" s="1" t="s">
        <v>117</v>
      </c>
      <c r="G1721" s="1" t="s">
        <v>6726</v>
      </c>
      <c r="H1721" s="1">
        <v>0.0</v>
      </c>
      <c r="I1721" s="2" t="s">
        <v>119</v>
      </c>
      <c r="J1721" s="2" t="s">
        <v>119</v>
      </c>
      <c r="K1721" s="2" t="s">
        <v>119</v>
      </c>
      <c r="L1721" s="1"/>
      <c r="M1721" s="1" t="s">
        <v>6727</v>
      </c>
      <c r="N1721" s="1" t="s">
        <v>57</v>
      </c>
      <c r="O1721" s="1" t="s">
        <v>3723</v>
      </c>
      <c r="P1721" s="1" t="s">
        <v>6728</v>
      </c>
      <c r="Q1721" s="3">
        <v>36892.0</v>
      </c>
      <c r="R1721" s="1"/>
      <c r="S1721" s="3">
        <v>39275.0</v>
      </c>
      <c r="T1721" s="1" t="s">
        <v>37</v>
      </c>
      <c r="U1721" s="1"/>
      <c r="V1721" s="1" t="s">
        <v>38</v>
      </c>
      <c r="W1721" s="1">
        <v>44.3959199</v>
      </c>
      <c r="X1721" s="1">
        <v>-73.1391069999999</v>
      </c>
      <c r="Y1721" s="1" t="s">
        <v>6729</v>
      </c>
      <c r="Z1721" s="1"/>
      <c r="AA1721" s="1" t="s">
        <v>40</v>
      </c>
      <c r="AB1721" s="1" t="s">
        <v>3724</v>
      </c>
      <c r="AC1721" s="1">
        <v>5495.0</v>
      </c>
    </row>
    <row r="1722">
      <c r="A1722" s="1" t="str">
        <f>"00092B"</f>
        <v>00092B</v>
      </c>
      <c r="B1722" s="1" t="s">
        <v>6730</v>
      </c>
      <c r="C1722" s="1" t="s">
        <v>6731</v>
      </c>
      <c r="D1722" s="1" t="str">
        <f>"6032986109"</f>
        <v>6032986109</v>
      </c>
      <c r="E1722" s="1">
        <v>3766.0</v>
      </c>
      <c r="F1722" s="1" t="s">
        <v>44</v>
      </c>
      <c r="G1722" s="1" t="s">
        <v>6732</v>
      </c>
      <c r="H1722" s="1"/>
      <c r="I1722" s="1"/>
      <c r="J1722" s="1"/>
      <c r="K1722" s="1"/>
      <c r="L1722" s="1"/>
      <c r="M1722" s="1" t="s">
        <v>6733</v>
      </c>
      <c r="N1722" s="1" t="s">
        <v>34</v>
      </c>
      <c r="O1722" s="1" t="s">
        <v>85</v>
      </c>
      <c r="P1722" s="1"/>
      <c r="Q1722" s="3">
        <v>36892.0</v>
      </c>
      <c r="R1722" s="1"/>
      <c r="S1722" s="1"/>
      <c r="T1722" s="1" t="s">
        <v>37</v>
      </c>
      <c r="U1722" s="1"/>
      <c r="V1722" s="1" t="s">
        <v>38</v>
      </c>
      <c r="W1722" s="1"/>
      <c r="X1722" s="1"/>
      <c r="Y1722" s="1" t="s">
        <v>49</v>
      </c>
      <c r="Z1722" s="1"/>
      <c r="AA1722" s="1" t="s">
        <v>40</v>
      </c>
      <c r="AB1722" s="1" t="s">
        <v>86</v>
      </c>
      <c r="AC1722" s="1"/>
    </row>
    <row r="1723">
      <c r="A1723" s="1" t="str">
        <f>"0007WB"</f>
        <v>0007WB</v>
      </c>
      <c r="B1723" s="1" t="s">
        <v>567</v>
      </c>
      <c r="C1723" s="1" t="s">
        <v>568</v>
      </c>
      <c r="D1723" s="1" t="str">
        <f>"8029895895"</f>
        <v>8029895895</v>
      </c>
      <c r="E1723" s="1">
        <v>2046.0</v>
      </c>
      <c r="F1723" s="1" t="s">
        <v>117</v>
      </c>
      <c r="G1723" s="1" t="s">
        <v>6734</v>
      </c>
      <c r="H1723" s="1">
        <v>15.0</v>
      </c>
      <c r="I1723" s="2" t="s">
        <v>119</v>
      </c>
      <c r="J1723" s="2" t="s">
        <v>119</v>
      </c>
      <c r="K1723" s="2" t="s">
        <v>119</v>
      </c>
      <c r="L1723" s="1"/>
      <c r="M1723" s="1" t="s">
        <v>6735</v>
      </c>
      <c r="N1723" s="1" t="s">
        <v>161</v>
      </c>
      <c r="O1723" s="1" t="s">
        <v>1761</v>
      </c>
      <c r="P1723" s="1"/>
      <c r="Q1723" s="3">
        <v>36892.0</v>
      </c>
      <c r="R1723" s="1"/>
      <c r="S1723" s="3">
        <v>39009.0</v>
      </c>
      <c r="T1723" s="1" t="s">
        <v>37</v>
      </c>
      <c r="U1723" s="1"/>
      <c r="V1723" s="1" t="s">
        <v>38</v>
      </c>
      <c r="W1723" s="1">
        <v>44.0395065346374</v>
      </c>
      <c r="X1723" s="1">
        <v>-73.2566735266664</v>
      </c>
      <c r="Y1723" s="1" t="s">
        <v>6736</v>
      </c>
      <c r="Z1723" s="1"/>
      <c r="AA1723" s="1" t="s">
        <v>40</v>
      </c>
      <c r="AB1723" s="1" t="s">
        <v>1763</v>
      </c>
      <c r="AC1723" s="1">
        <v>5753.0</v>
      </c>
    </row>
    <row r="1724">
      <c r="A1724" s="1" t="str">
        <f>"0008YX"</f>
        <v>0008YX</v>
      </c>
      <c r="B1724" s="1" t="s">
        <v>6737</v>
      </c>
      <c r="C1724" s="1" t="s">
        <v>6738</v>
      </c>
      <c r="D1724" s="1" t="str">
        <f>"8028663395"</f>
        <v>8028663395</v>
      </c>
      <c r="E1724" s="1">
        <v>3511.0</v>
      </c>
      <c r="F1724" s="1" t="s">
        <v>44</v>
      </c>
      <c r="G1724" s="1" t="s">
        <v>6739</v>
      </c>
      <c r="H1724" s="1">
        <v>4.0</v>
      </c>
      <c r="I1724" s="1"/>
      <c r="J1724" s="1"/>
      <c r="K1724" s="1"/>
      <c r="L1724" s="1"/>
      <c r="M1724" s="1" t="s">
        <v>72</v>
      </c>
      <c r="N1724" s="1" t="s">
        <v>142</v>
      </c>
      <c r="O1724" s="1" t="s">
        <v>540</v>
      </c>
      <c r="P1724" s="1"/>
      <c r="Q1724" s="3">
        <v>36892.0</v>
      </c>
      <c r="R1724" s="1"/>
      <c r="S1724" s="3">
        <v>38190.0</v>
      </c>
      <c r="T1724" s="1" t="s">
        <v>37</v>
      </c>
      <c r="U1724" s="1"/>
      <c r="V1724" s="1" t="s">
        <v>38</v>
      </c>
      <c r="W1724" s="1">
        <v>44.050655</v>
      </c>
      <c r="X1724" s="1">
        <v>-72.0922779</v>
      </c>
      <c r="Y1724" s="1" t="s">
        <v>6740</v>
      </c>
      <c r="Z1724" s="1"/>
      <c r="AA1724" s="1" t="s">
        <v>40</v>
      </c>
      <c r="AB1724" s="1" t="s">
        <v>541</v>
      </c>
      <c r="AC1724" s="1">
        <v>5051.0</v>
      </c>
    </row>
    <row r="1725">
      <c r="A1725" s="1" t="str">
        <f>"0008Z2"</f>
        <v>0008Z2</v>
      </c>
      <c r="B1725" s="1" t="s">
        <v>6741</v>
      </c>
      <c r="C1725" s="1" t="s">
        <v>6742</v>
      </c>
      <c r="D1725" s="1" t="str">
        <f>"8028994983"</f>
        <v>8028994983</v>
      </c>
      <c r="E1725" s="1">
        <v>3516.0</v>
      </c>
      <c r="F1725" s="1" t="s">
        <v>117</v>
      </c>
      <c r="G1725" s="1" t="s">
        <v>6743</v>
      </c>
      <c r="H1725" s="1">
        <v>2.0</v>
      </c>
      <c r="I1725" s="1"/>
      <c r="J1725" s="1"/>
      <c r="K1725" s="1"/>
      <c r="L1725" s="1"/>
      <c r="M1725" s="1" t="s">
        <v>6744</v>
      </c>
      <c r="N1725" s="1" t="s">
        <v>57</v>
      </c>
      <c r="O1725" s="1" t="s">
        <v>58</v>
      </c>
      <c r="P1725" s="1" t="s">
        <v>6745</v>
      </c>
      <c r="Q1725" s="3">
        <v>36892.0</v>
      </c>
      <c r="R1725" s="1"/>
      <c r="S1725" s="3">
        <v>42606.0</v>
      </c>
      <c r="T1725" s="1" t="s">
        <v>37</v>
      </c>
      <c r="U1725" s="1"/>
      <c r="V1725" s="1" t="s">
        <v>38</v>
      </c>
      <c r="W1725" s="1">
        <v>44.564375</v>
      </c>
      <c r="X1725" s="1">
        <v>-72.9444939999999</v>
      </c>
      <c r="Y1725" s="1" t="s">
        <v>6746</v>
      </c>
      <c r="Z1725" s="1"/>
      <c r="AA1725" s="1" t="s">
        <v>40</v>
      </c>
      <c r="AB1725" s="1" t="s">
        <v>61</v>
      </c>
      <c r="AC1725" s="1">
        <v>5489.0</v>
      </c>
    </row>
    <row r="1726">
      <c r="A1726" s="1" t="str">
        <f>"0008Z3"</f>
        <v>0008Z3</v>
      </c>
      <c r="B1726" s="1" t="s">
        <v>6747</v>
      </c>
      <c r="C1726" s="1" t="s">
        <v>6748</v>
      </c>
      <c r="D1726" s="1" t="str">
        <f>"8022448314"</f>
        <v>8022448314</v>
      </c>
      <c r="E1726" s="1">
        <v>3517.0</v>
      </c>
      <c r="F1726" s="1" t="s">
        <v>44</v>
      </c>
      <c r="G1726" s="1" t="s">
        <v>6749</v>
      </c>
      <c r="H1726" s="1"/>
      <c r="I1726" s="1"/>
      <c r="J1726" s="1"/>
      <c r="K1726" s="1"/>
      <c r="L1726" s="1"/>
      <c r="M1726" s="1" t="s">
        <v>72</v>
      </c>
      <c r="N1726" s="1" t="s">
        <v>135</v>
      </c>
      <c r="O1726" s="1" t="s">
        <v>3300</v>
      </c>
      <c r="P1726" s="1"/>
      <c r="Q1726" s="3">
        <v>36892.0</v>
      </c>
      <c r="R1726" s="1"/>
      <c r="S1726" s="1"/>
      <c r="T1726" s="1" t="s">
        <v>37</v>
      </c>
      <c r="U1726" s="1"/>
      <c r="V1726" s="1" t="s">
        <v>38</v>
      </c>
      <c r="W1726" s="1"/>
      <c r="X1726" s="1"/>
      <c r="Y1726" s="1" t="s">
        <v>49</v>
      </c>
      <c r="Z1726" s="1"/>
      <c r="AA1726" s="1" t="s">
        <v>40</v>
      </c>
      <c r="AB1726" s="1" t="s">
        <v>3301</v>
      </c>
      <c r="AC1726" s="1"/>
    </row>
    <row r="1727">
      <c r="A1727" s="1" t="str">
        <f>"0008Z4"</f>
        <v>0008Z4</v>
      </c>
      <c r="B1727" s="1" t="s">
        <v>6750</v>
      </c>
      <c r="C1727" s="1" t="s">
        <v>6751</v>
      </c>
      <c r="D1727" s="1" t="str">
        <f>"8607450487"</f>
        <v>8607450487</v>
      </c>
      <c r="E1727" s="1">
        <v>4040.0</v>
      </c>
      <c r="F1727" s="1" t="s">
        <v>117</v>
      </c>
      <c r="G1727" s="1" t="s">
        <v>6752</v>
      </c>
      <c r="H1727" s="1">
        <v>2.0</v>
      </c>
      <c r="I1727" s="2">
        <v>3.0</v>
      </c>
      <c r="J1727" s="2">
        <v>3.0</v>
      </c>
      <c r="K1727" s="2" t="s">
        <v>119</v>
      </c>
      <c r="L1727" s="1"/>
      <c r="M1727" s="1" t="s">
        <v>6753</v>
      </c>
      <c r="N1727" s="1" t="s">
        <v>135</v>
      </c>
      <c r="O1727" s="1" t="s">
        <v>409</v>
      </c>
      <c r="P1727" s="1" t="s">
        <v>6754</v>
      </c>
      <c r="Q1727" s="3">
        <v>36892.0</v>
      </c>
      <c r="R1727" s="1"/>
      <c r="S1727" s="1"/>
      <c r="T1727" s="1" t="s">
        <v>37</v>
      </c>
      <c r="U1727" s="1"/>
      <c r="V1727" s="1" t="s">
        <v>38</v>
      </c>
      <c r="W1727" s="1">
        <v>44.392412</v>
      </c>
      <c r="X1727" s="1">
        <v>-72.36021</v>
      </c>
      <c r="Y1727" s="1" t="s">
        <v>6755</v>
      </c>
      <c r="Z1727" s="1"/>
      <c r="AA1727" s="1" t="s">
        <v>40</v>
      </c>
      <c r="AB1727" s="1" t="s">
        <v>410</v>
      </c>
      <c r="AC1727" s="1">
        <v>5000.0</v>
      </c>
    </row>
    <row r="1728">
      <c r="A1728" s="1" t="str">
        <f>"0008Z5"</f>
        <v>0008Z5</v>
      </c>
      <c r="B1728" s="1" t="s">
        <v>6756</v>
      </c>
      <c r="C1728" s="1" t="s">
        <v>6757</v>
      </c>
      <c r="D1728" s="1" t="str">
        <f>"8024255357"</f>
        <v>8024255357</v>
      </c>
      <c r="E1728" s="1">
        <v>3520.0</v>
      </c>
      <c r="F1728" s="1" t="s">
        <v>44</v>
      </c>
      <c r="G1728" s="1" t="s">
        <v>6758</v>
      </c>
      <c r="H1728" s="1">
        <v>10.0</v>
      </c>
      <c r="I1728" s="1"/>
      <c r="J1728" s="1"/>
      <c r="K1728" s="1"/>
      <c r="L1728" s="1"/>
      <c r="M1728" s="1" t="s">
        <v>72</v>
      </c>
      <c r="N1728" s="1" t="s">
        <v>57</v>
      </c>
      <c r="O1728" s="1" t="s">
        <v>1633</v>
      </c>
      <c r="P1728" s="1"/>
      <c r="Q1728" s="3">
        <v>36892.0</v>
      </c>
      <c r="R1728" s="1"/>
      <c r="S1728" s="3">
        <v>37778.0</v>
      </c>
      <c r="T1728" s="1" t="s">
        <v>37</v>
      </c>
      <c r="U1728" s="1"/>
      <c r="V1728" s="1" t="s">
        <v>38</v>
      </c>
      <c r="W1728" s="1"/>
      <c r="X1728" s="1"/>
      <c r="Y1728" s="1" t="s">
        <v>49</v>
      </c>
      <c r="Z1728" s="1"/>
      <c r="AA1728" s="1" t="s">
        <v>40</v>
      </c>
      <c r="AB1728" s="1" t="s">
        <v>1634</v>
      </c>
      <c r="AC1728" s="1"/>
    </row>
    <row r="1729">
      <c r="A1729" s="1" t="str">
        <f>"0007WA"</f>
        <v>0007WA</v>
      </c>
      <c r="B1729" s="1" t="s">
        <v>157</v>
      </c>
      <c r="C1729" s="1" t="s">
        <v>158</v>
      </c>
      <c r="D1729" s="1" t="str">
        <f>"8029482057"</f>
        <v>8029482057</v>
      </c>
      <c r="E1729" s="1">
        <v>1217.0</v>
      </c>
      <c r="F1729" s="1" t="s">
        <v>31</v>
      </c>
      <c r="G1729" s="1" t="s">
        <v>6759</v>
      </c>
      <c r="H1729" s="1">
        <v>0.0</v>
      </c>
      <c r="I1729" s="1"/>
      <c r="J1729" s="1"/>
      <c r="K1729" s="1"/>
      <c r="L1729" s="1"/>
      <c r="M1729" s="1" t="s">
        <v>6760</v>
      </c>
      <c r="N1729" s="1" t="s">
        <v>161</v>
      </c>
      <c r="O1729" s="1" t="s">
        <v>185</v>
      </c>
      <c r="P1729" s="1"/>
      <c r="Q1729" s="3">
        <v>36892.0</v>
      </c>
      <c r="R1729" s="3">
        <v>42156.0</v>
      </c>
      <c r="S1729" s="3">
        <v>40842.0</v>
      </c>
      <c r="T1729" s="1" t="s">
        <v>164</v>
      </c>
      <c r="U1729" s="1"/>
      <c r="V1729" s="1" t="s">
        <v>38</v>
      </c>
      <c r="W1729" s="1"/>
      <c r="X1729" s="1"/>
      <c r="Y1729" s="1" t="s">
        <v>49</v>
      </c>
      <c r="Z1729" s="1"/>
      <c r="AA1729" s="1" t="s">
        <v>40</v>
      </c>
      <c r="AB1729" s="1" t="s">
        <v>186</v>
      </c>
      <c r="AC1729" s="1">
        <v>0.0</v>
      </c>
    </row>
    <row r="1730">
      <c r="A1730" s="1" t="str">
        <f>"00078B"</f>
        <v>00078B</v>
      </c>
      <c r="B1730" s="1" t="s">
        <v>6761</v>
      </c>
      <c r="C1730" s="1" t="s">
        <v>6762</v>
      </c>
      <c r="D1730" s="1" t="str">
        <f>"8027556116"</f>
        <v>8027556116</v>
      </c>
      <c r="E1730" s="1">
        <v>3525.0</v>
      </c>
      <c r="F1730" s="1" t="s">
        <v>44</v>
      </c>
      <c r="G1730" s="1" t="s">
        <v>6763</v>
      </c>
      <c r="H1730" s="1">
        <v>0.0</v>
      </c>
      <c r="I1730" s="1"/>
      <c r="J1730" s="1"/>
      <c r="K1730" s="1"/>
      <c r="L1730" s="1"/>
      <c r="M1730" s="1" t="s">
        <v>72</v>
      </c>
      <c r="N1730" s="1" t="s">
        <v>94</v>
      </c>
      <c r="O1730" s="1" t="s">
        <v>513</v>
      </c>
      <c r="P1730" s="1"/>
      <c r="Q1730" s="3">
        <v>36892.0</v>
      </c>
      <c r="R1730" s="1"/>
      <c r="S1730" s="1"/>
      <c r="T1730" s="1" t="s">
        <v>37</v>
      </c>
      <c r="U1730" s="1"/>
      <c r="V1730" s="1" t="s">
        <v>38</v>
      </c>
      <c r="W1730" s="1">
        <v>44.7352515</v>
      </c>
      <c r="X1730" s="1">
        <v>-72.3504656</v>
      </c>
      <c r="Y1730" s="1" t="s">
        <v>6764</v>
      </c>
      <c r="Z1730" s="1"/>
      <c r="AA1730" s="1" t="s">
        <v>40</v>
      </c>
      <c r="AB1730" s="1" t="s">
        <v>514</v>
      </c>
      <c r="AC1730" s="1">
        <v>5820.0</v>
      </c>
    </row>
    <row r="1731">
      <c r="A1731" s="1" t="str">
        <f>"00078N"</f>
        <v>00078N</v>
      </c>
      <c r="B1731" s="1" t="s">
        <v>6765</v>
      </c>
      <c r="C1731" s="1" t="s">
        <v>6766</v>
      </c>
      <c r="D1731" s="1" t="str">
        <f>"8022952951"</f>
        <v>8022952951</v>
      </c>
      <c r="E1731" s="1">
        <v>3526.0</v>
      </c>
      <c r="F1731" s="1" t="s">
        <v>44</v>
      </c>
      <c r="G1731" s="1" t="s">
        <v>6767</v>
      </c>
      <c r="H1731" s="1">
        <v>0.0</v>
      </c>
      <c r="I1731" s="1"/>
      <c r="J1731" s="1"/>
      <c r="K1731" s="1"/>
      <c r="L1731" s="1"/>
      <c r="M1731" s="1" t="s">
        <v>72</v>
      </c>
      <c r="N1731" s="1" t="s">
        <v>34</v>
      </c>
      <c r="O1731" s="1" t="s">
        <v>953</v>
      </c>
      <c r="P1731" s="1"/>
      <c r="Q1731" s="3">
        <v>36892.0</v>
      </c>
      <c r="R1731" s="1"/>
      <c r="S1731" s="1"/>
      <c r="T1731" s="1" t="s">
        <v>37</v>
      </c>
      <c r="U1731" s="1"/>
      <c r="V1731" s="1" t="s">
        <v>38</v>
      </c>
      <c r="W1731" s="1">
        <v>43.684275</v>
      </c>
      <c r="X1731" s="1">
        <v>-72.319155</v>
      </c>
      <c r="Y1731" s="1" t="s">
        <v>6768</v>
      </c>
      <c r="Z1731" s="1"/>
      <c r="AA1731" s="1" t="s">
        <v>40</v>
      </c>
      <c r="AB1731" s="1" t="s">
        <v>954</v>
      </c>
      <c r="AC1731" s="1">
        <v>5001.0</v>
      </c>
    </row>
    <row r="1732">
      <c r="A1732" s="1" t="str">
        <f>"0007JD"</f>
        <v>0007JD</v>
      </c>
      <c r="B1732" s="1" t="s">
        <v>6769</v>
      </c>
      <c r="C1732" s="1" t="s">
        <v>6770</v>
      </c>
      <c r="D1732" s="1" t="str">
        <f>"8028880014"</f>
        <v>8028880014</v>
      </c>
      <c r="E1732" s="1">
        <v>3527.0</v>
      </c>
      <c r="F1732" s="1" t="s">
        <v>31</v>
      </c>
      <c r="G1732" s="1" t="s">
        <v>6771</v>
      </c>
      <c r="H1732" s="1">
        <v>5.0</v>
      </c>
      <c r="I1732" s="1"/>
      <c r="J1732" s="1"/>
      <c r="K1732" s="1"/>
      <c r="L1732" s="1"/>
      <c r="M1732" s="1" t="s">
        <v>72</v>
      </c>
      <c r="N1732" s="1" t="s">
        <v>213</v>
      </c>
      <c r="O1732" s="1" t="s">
        <v>2562</v>
      </c>
      <c r="P1732" s="1"/>
      <c r="Q1732" s="3">
        <v>36892.0</v>
      </c>
      <c r="R1732" s="1"/>
      <c r="S1732" s="1"/>
      <c r="T1732" s="1" t="s">
        <v>37</v>
      </c>
      <c r="U1732" s="1"/>
      <c r="V1732" s="1" t="s">
        <v>38</v>
      </c>
      <c r="W1732" s="1"/>
      <c r="X1732" s="1"/>
      <c r="Y1732" s="1" t="s">
        <v>49</v>
      </c>
      <c r="Z1732" s="1"/>
      <c r="AA1732" s="1" t="s">
        <v>40</v>
      </c>
      <c r="AB1732" s="1" t="s">
        <v>2563</v>
      </c>
      <c r="AC1732" s="1">
        <v>5680.0</v>
      </c>
    </row>
    <row r="1733">
      <c r="A1733" s="1" t="str">
        <f>"0008Z7"</f>
        <v>0008Z7</v>
      </c>
      <c r="B1733" s="1" t="s">
        <v>6772</v>
      </c>
      <c r="C1733" s="1" t="s">
        <v>6773</v>
      </c>
      <c r="D1733" s="1" t="str">
        <f>"8024537666"</f>
        <v>8024537666</v>
      </c>
      <c r="E1733" s="1">
        <v>3528.0</v>
      </c>
      <c r="F1733" s="1" t="s">
        <v>44</v>
      </c>
      <c r="G1733" s="1" t="s">
        <v>6774</v>
      </c>
      <c r="H1733" s="1">
        <v>1.0</v>
      </c>
      <c r="I1733" s="1"/>
      <c r="J1733" s="1"/>
      <c r="K1733" s="1"/>
      <c r="L1733" s="1"/>
      <c r="M1733" s="1" t="s">
        <v>72</v>
      </c>
      <c r="N1733" s="1" t="s">
        <v>161</v>
      </c>
      <c r="O1733" s="1" t="s">
        <v>307</v>
      </c>
      <c r="P1733" s="1"/>
      <c r="Q1733" s="3">
        <v>36892.0</v>
      </c>
      <c r="R1733" s="1"/>
      <c r="S1733" s="3">
        <v>38161.0</v>
      </c>
      <c r="T1733" s="1" t="s">
        <v>37</v>
      </c>
      <c r="U1733" s="1"/>
      <c r="V1733" s="1" t="s">
        <v>38</v>
      </c>
      <c r="W1733" s="1"/>
      <c r="X1733" s="1"/>
      <c r="Y1733" s="1" t="s">
        <v>49</v>
      </c>
      <c r="Z1733" s="1"/>
      <c r="AA1733" s="1" t="s">
        <v>40</v>
      </c>
      <c r="AB1733" s="1" t="s">
        <v>308</v>
      </c>
      <c r="AC1733" s="1"/>
    </row>
    <row r="1734">
      <c r="A1734" s="1" t="str">
        <f>"0008K6"</f>
        <v>0008K6</v>
      </c>
      <c r="B1734" s="1" t="s">
        <v>6775</v>
      </c>
      <c r="C1734" s="1" t="s">
        <v>6776</v>
      </c>
      <c r="D1734" s="1" t="str">
        <f>"8029338325"</f>
        <v>8029338325</v>
      </c>
      <c r="E1734" s="1">
        <v>3522.0</v>
      </c>
      <c r="F1734" s="1" t="s">
        <v>44</v>
      </c>
      <c r="G1734" s="1" t="s">
        <v>6777</v>
      </c>
      <c r="H1734" s="1">
        <v>1.0</v>
      </c>
      <c r="I1734" s="1"/>
      <c r="J1734" s="1"/>
      <c r="K1734" s="1"/>
      <c r="L1734" s="1"/>
      <c r="M1734" s="1" t="s">
        <v>72</v>
      </c>
      <c r="N1734" s="1" t="s">
        <v>47</v>
      </c>
      <c r="O1734" s="1" t="s">
        <v>928</v>
      </c>
      <c r="P1734" s="1"/>
      <c r="Q1734" s="3">
        <v>36892.0</v>
      </c>
      <c r="R1734" s="1"/>
      <c r="S1734" s="3">
        <v>39258.0</v>
      </c>
      <c r="T1734" s="1" t="s">
        <v>37</v>
      </c>
      <c r="U1734" s="1"/>
      <c r="V1734" s="1" t="s">
        <v>38</v>
      </c>
      <c r="W1734" s="1">
        <v>44.832752</v>
      </c>
      <c r="X1734" s="1">
        <v>-72.8240129</v>
      </c>
      <c r="Y1734" s="1" t="s">
        <v>6778</v>
      </c>
      <c r="Z1734" s="1"/>
      <c r="AA1734" s="1" t="s">
        <v>40</v>
      </c>
      <c r="AB1734" s="1" t="s">
        <v>929</v>
      </c>
      <c r="AC1734" s="1">
        <v>5450.0</v>
      </c>
    </row>
    <row r="1735">
      <c r="A1735" s="1" t="str">
        <f>"0008Z8"</f>
        <v>0008Z8</v>
      </c>
      <c r="B1735" s="1" t="s">
        <v>6779</v>
      </c>
      <c r="C1735" s="1" t="s">
        <v>6780</v>
      </c>
      <c r="D1735" s="1" t="str">
        <f>"8024823820"</f>
        <v>8024823820</v>
      </c>
      <c r="E1735" s="1">
        <v>3529.0</v>
      </c>
      <c r="F1735" s="1" t="s">
        <v>44</v>
      </c>
      <c r="G1735" s="1" t="s">
        <v>6781</v>
      </c>
      <c r="H1735" s="1">
        <v>1.0</v>
      </c>
      <c r="I1735" s="1"/>
      <c r="J1735" s="1"/>
      <c r="K1735" s="1"/>
      <c r="L1735" s="1"/>
      <c r="M1735" s="1" t="s">
        <v>72</v>
      </c>
      <c r="N1735" s="1" t="s">
        <v>57</v>
      </c>
      <c r="O1735" s="1" t="s">
        <v>3723</v>
      </c>
      <c r="P1735" s="1"/>
      <c r="Q1735" s="3">
        <v>36892.0</v>
      </c>
      <c r="R1735" s="1"/>
      <c r="S1735" s="3">
        <v>39275.0</v>
      </c>
      <c r="T1735" s="1" t="s">
        <v>37</v>
      </c>
      <c r="U1735" s="1"/>
      <c r="V1735" s="1" t="s">
        <v>38</v>
      </c>
      <c r="W1735" s="1"/>
      <c r="X1735" s="1"/>
      <c r="Y1735" s="1" t="s">
        <v>49</v>
      </c>
      <c r="Z1735" s="1"/>
      <c r="AA1735" s="1" t="s">
        <v>40</v>
      </c>
      <c r="AB1735" s="1" t="s">
        <v>3724</v>
      </c>
      <c r="AC1735" s="1"/>
    </row>
    <row r="1736">
      <c r="A1736" s="1" t="str">
        <f>"0007WA"</f>
        <v>0007WA</v>
      </c>
      <c r="B1736" s="1" t="s">
        <v>157</v>
      </c>
      <c r="C1736" s="1" t="s">
        <v>158</v>
      </c>
      <c r="D1736" s="1" t="str">
        <f>"8029482057"</f>
        <v>8029482057</v>
      </c>
      <c r="E1736" s="1">
        <v>1217.0</v>
      </c>
      <c r="F1736" s="1" t="s">
        <v>31</v>
      </c>
      <c r="G1736" s="1" t="s">
        <v>6782</v>
      </c>
      <c r="H1736" s="1">
        <v>30.0</v>
      </c>
      <c r="I1736" s="1"/>
      <c r="J1736" s="1"/>
      <c r="K1736" s="1"/>
      <c r="L1736" s="1"/>
      <c r="M1736" s="1" t="s">
        <v>6783</v>
      </c>
      <c r="N1736" s="1" t="s">
        <v>57</v>
      </c>
      <c r="O1736" s="1" t="s">
        <v>204</v>
      </c>
      <c r="P1736" s="1" t="s">
        <v>6783</v>
      </c>
      <c r="Q1736" s="3">
        <v>36892.0</v>
      </c>
      <c r="R1736" s="1"/>
      <c r="S1736" s="3">
        <v>38909.0</v>
      </c>
      <c r="T1736" s="1" t="s">
        <v>37</v>
      </c>
      <c r="U1736" s="1"/>
      <c r="V1736" s="1" t="s">
        <v>38</v>
      </c>
      <c r="W1736" s="1">
        <v>44.2867115</v>
      </c>
      <c r="X1736" s="1">
        <v>-73.0955017999999</v>
      </c>
      <c r="Y1736" s="1" t="s">
        <v>6784</v>
      </c>
      <c r="Z1736" s="1"/>
      <c r="AA1736" s="1" t="s">
        <v>40</v>
      </c>
      <c r="AB1736" s="1" t="s">
        <v>205</v>
      </c>
      <c r="AC1736" s="1">
        <v>0.0</v>
      </c>
    </row>
    <row r="1737">
      <c r="A1737" s="1" t="str">
        <f t="shared" ref="A1737:A1738" si="110">"0008Z9"</f>
        <v>0008Z9</v>
      </c>
      <c r="B1737" s="1" t="s">
        <v>6785</v>
      </c>
      <c r="C1737" s="1" t="s">
        <v>6786</v>
      </c>
      <c r="D1737" s="1" t="str">
        <f t="shared" ref="D1737:D1738" si="111">"8022237388"</f>
        <v>8022237388</v>
      </c>
      <c r="E1737" s="1">
        <v>3530.0</v>
      </c>
      <c r="F1737" s="1" t="s">
        <v>44</v>
      </c>
      <c r="G1737" s="1" t="s">
        <v>6787</v>
      </c>
      <c r="H1737" s="1"/>
      <c r="I1737" s="1"/>
      <c r="J1737" s="1"/>
      <c r="K1737" s="1"/>
      <c r="L1737" s="1"/>
      <c r="M1737" s="1" t="s">
        <v>6788</v>
      </c>
      <c r="N1737" s="1" t="s">
        <v>142</v>
      </c>
      <c r="O1737" s="1" t="s">
        <v>243</v>
      </c>
      <c r="P1737" s="1"/>
      <c r="Q1737" s="3">
        <v>36892.0</v>
      </c>
      <c r="R1737" s="1"/>
      <c r="S1737" s="1"/>
      <c r="T1737" s="1" t="s">
        <v>37</v>
      </c>
      <c r="U1737" s="1"/>
      <c r="V1737" s="1" t="s">
        <v>38</v>
      </c>
      <c r="W1737" s="1"/>
      <c r="X1737" s="1"/>
      <c r="Y1737" s="1" t="s">
        <v>49</v>
      </c>
      <c r="Z1737" s="1"/>
      <c r="AA1737" s="1" t="s">
        <v>40</v>
      </c>
      <c r="AB1737" s="1" t="s">
        <v>246</v>
      </c>
      <c r="AC1737" s="1"/>
    </row>
    <row r="1738">
      <c r="A1738" s="1" t="str">
        <f t="shared" si="110"/>
        <v>0008Z9</v>
      </c>
      <c r="B1738" s="1" t="s">
        <v>6785</v>
      </c>
      <c r="C1738" s="1" t="s">
        <v>6786</v>
      </c>
      <c r="D1738" s="1" t="str">
        <f t="shared" si="111"/>
        <v>8022237388</v>
      </c>
      <c r="E1738" s="1">
        <v>3530.0</v>
      </c>
      <c r="F1738" s="1" t="s">
        <v>44</v>
      </c>
      <c r="G1738" s="1" t="s">
        <v>6789</v>
      </c>
      <c r="H1738" s="1"/>
      <c r="I1738" s="1"/>
      <c r="J1738" s="1"/>
      <c r="K1738" s="1"/>
      <c r="L1738" s="1"/>
      <c r="M1738" s="1" t="s">
        <v>6790</v>
      </c>
      <c r="N1738" s="1" t="s">
        <v>142</v>
      </c>
      <c r="O1738" s="1" t="s">
        <v>648</v>
      </c>
      <c r="P1738" s="1"/>
      <c r="Q1738" s="3">
        <v>36892.0</v>
      </c>
      <c r="R1738" s="1"/>
      <c r="S1738" s="1"/>
      <c r="T1738" s="1" t="s">
        <v>37</v>
      </c>
      <c r="U1738" s="1"/>
      <c r="V1738" s="1" t="s">
        <v>38</v>
      </c>
      <c r="W1738" s="1"/>
      <c r="X1738" s="1"/>
      <c r="Y1738" s="1" t="s">
        <v>49</v>
      </c>
      <c r="Z1738" s="1"/>
      <c r="AA1738" s="1" t="s">
        <v>40</v>
      </c>
      <c r="AB1738" s="1" t="s">
        <v>650</v>
      </c>
      <c r="AC1738" s="1"/>
    </row>
    <row r="1739">
      <c r="A1739" s="1" t="str">
        <f>"0008ZA"</f>
        <v>0008ZA</v>
      </c>
      <c r="B1739" s="1" t="s">
        <v>6791</v>
      </c>
      <c r="C1739" s="1" t="s">
        <v>6792</v>
      </c>
      <c r="D1739" s="1" t="str">
        <f>"8024292537"</f>
        <v>8024292537</v>
      </c>
      <c r="E1739" s="1">
        <v>3531.0</v>
      </c>
      <c r="F1739" s="1" t="s">
        <v>117</v>
      </c>
      <c r="G1739" s="1" t="s">
        <v>6793</v>
      </c>
      <c r="H1739" s="1">
        <v>3.0</v>
      </c>
      <c r="I1739" s="2">
        <v>3.0</v>
      </c>
      <c r="J1739" s="2">
        <v>3.0</v>
      </c>
      <c r="K1739" s="2" t="s">
        <v>829</v>
      </c>
      <c r="L1739" s="1"/>
      <c r="M1739" s="1" t="s">
        <v>6794</v>
      </c>
      <c r="N1739" s="1" t="s">
        <v>142</v>
      </c>
      <c r="O1739" s="1" t="s">
        <v>540</v>
      </c>
      <c r="P1739" s="1" t="s">
        <v>6795</v>
      </c>
      <c r="Q1739" s="3">
        <v>36892.0</v>
      </c>
      <c r="R1739" s="1"/>
      <c r="S1739" s="3">
        <v>38190.0</v>
      </c>
      <c r="T1739" s="1" t="s">
        <v>37</v>
      </c>
      <c r="U1739" s="1"/>
      <c r="V1739" s="1" t="s">
        <v>38</v>
      </c>
      <c r="W1739" s="1">
        <v>44.052324</v>
      </c>
      <c r="X1739" s="1">
        <v>-72.1247366</v>
      </c>
      <c r="Y1739" s="1" t="s">
        <v>6796</v>
      </c>
      <c r="Z1739" s="1"/>
      <c r="AA1739" s="1" t="s">
        <v>40</v>
      </c>
      <c r="AB1739" s="1" t="s">
        <v>6797</v>
      </c>
      <c r="AC1739" s="1">
        <v>5085.0</v>
      </c>
    </row>
    <row r="1740">
      <c r="A1740" s="1" t="str">
        <f t="shared" ref="A1740:A1741" si="112">"0007WA"</f>
        <v>0007WA</v>
      </c>
      <c r="B1740" s="1" t="s">
        <v>157</v>
      </c>
      <c r="C1740" s="1" t="s">
        <v>158</v>
      </c>
      <c r="D1740" s="1" t="str">
        <f t="shared" ref="D1740:D1741" si="113">"8029482057"</f>
        <v>8029482057</v>
      </c>
      <c r="E1740" s="1">
        <v>1217.0</v>
      </c>
      <c r="F1740" s="1" t="s">
        <v>31</v>
      </c>
      <c r="G1740" s="1" t="s">
        <v>6798</v>
      </c>
      <c r="H1740" s="1">
        <v>30.0</v>
      </c>
      <c r="I1740" s="1"/>
      <c r="J1740" s="1"/>
      <c r="K1740" s="1"/>
      <c r="L1740" s="1"/>
      <c r="M1740" s="1" t="s">
        <v>6799</v>
      </c>
      <c r="N1740" s="1" t="s">
        <v>161</v>
      </c>
      <c r="O1740" s="1" t="s">
        <v>394</v>
      </c>
      <c r="P1740" s="1" t="s">
        <v>6799</v>
      </c>
      <c r="Q1740" s="3">
        <v>36892.0</v>
      </c>
      <c r="R1740" s="1"/>
      <c r="S1740" s="3">
        <v>40073.0</v>
      </c>
      <c r="T1740" s="1" t="s">
        <v>37</v>
      </c>
      <c r="U1740" s="1"/>
      <c r="V1740" s="1" t="s">
        <v>38</v>
      </c>
      <c r="W1740" s="1"/>
      <c r="X1740" s="1"/>
      <c r="Y1740" s="1" t="s">
        <v>49</v>
      </c>
      <c r="Z1740" s="1"/>
      <c r="AA1740" s="1" t="s">
        <v>40</v>
      </c>
      <c r="AB1740" s="1" t="s">
        <v>395</v>
      </c>
      <c r="AC1740" s="1">
        <v>0.0</v>
      </c>
    </row>
    <row r="1741">
      <c r="A1741" s="1" t="str">
        <f t="shared" si="112"/>
        <v>0007WA</v>
      </c>
      <c r="B1741" s="1" t="s">
        <v>157</v>
      </c>
      <c r="C1741" s="1" t="s">
        <v>158</v>
      </c>
      <c r="D1741" s="1" t="str">
        <f t="shared" si="113"/>
        <v>8029482057</v>
      </c>
      <c r="E1741" s="1">
        <v>1217.0</v>
      </c>
      <c r="F1741" s="1" t="s">
        <v>31</v>
      </c>
      <c r="G1741" s="1" t="s">
        <v>6800</v>
      </c>
      <c r="H1741" s="1">
        <v>24.0</v>
      </c>
      <c r="I1741" s="1"/>
      <c r="J1741" s="1"/>
      <c r="K1741" s="1"/>
      <c r="L1741" s="1"/>
      <c r="M1741" s="1" t="s">
        <v>6801</v>
      </c>
      <c r="N1741" s="1" t="s">
        <v>161</v>
      </c>
      <c r="O1741" s="1" t="s">
        <v>769</v>
      </c>
      <c r="P1741" s="1" t="s">
        <v>6802</v>
      </c>
      <c r="Q1741" s="3">
        <v>36892.0</v>
      </c>
      <c r="R1741" s="1"/>
      <c r="S1741" s="3">
        <v>38917.0</v>
      </c>
      <c r="T1741" s="1" t="s">
        <v>164</v>
      </c>
      <c r="U1741" s="1"/>
      <c r="V1741" s="1" t="s">
        <v>38</v>
      </c>
      <c r="W1741" s="1"/>
      <c r="X1741" s="1"/>
      <c r="Y1741" s="1" t="s">
        <v>49</v>
      </c>
      <c r="Z1741" s="1"/>
      <c r="AA1741" s="1" t="s">
        <v>40</v>
      </c>
      <c r="AB1741" s="1" t="s">
        <v>770</v>
      </c>
      <c r="AC1741" s="1">
        <v>0.0</v>
      </c>
    </row>
    <row r="1742">
      <c r="A1742" s="1" t="str">
        <f>"0008Z6"</f>
        <v>0008Z6</v>
      </c>
      <c r="B1742" s="1" t="s">
        <v>6803</v>
      </c>
      <c r="C1742" s="1" t="s">
        <v>6804</v>
      </c>
      <c r="D1742" s="1" t="str">
        <f>"8027480388"</f>
        <v>8027480388</v>
      </c>
      <c r="E1742" s="1">
        <v>3521.0</v>
      </c>
      <c r="F1742" s="1" t="s">
        <v>44</v>
      </c>
      <c r="G1742" s="1" t="s">
        <v>6805</v>
      </c>
      <c r="H1742" s="1">
        <v>0.0</v>
      </c>
      <c r="I1742" s="1"/>
      <c r="J1742" s="1"/>
      <c r="K1742" s="1"/>
      <c r="L1742" s="1"/>
      <c r="M1742" s="1" t="s">
        <v>72</v>
      </c>
      <c r="N1742" s="1" t="s">
        <v>128</v>
      </c>
      <c r="O1742" s="1" t="s">
        <v>6806</v>
      </c>
      <c r="P1742" s="1"/>
      <c r="Q1742" s="3">
        <v>36892.0</v>
      </c>
      <c r="R1742" s="1"/>
      <c r="S1742" s="1"/>
      <c r="T1742" s="1" t="s">
        <v>37</v>
      </c>
      <c r="U1742" s="1"/>
      <c r="V1742" s="1" t="s">
        <v>38</v>
      </c>
      <c r="W1742" s="1">
        <v>44.352825</v>
      </c>
      <c r="X1742" s="1">
        <v>-71.8754199999999</v>
      </c>
      <c r="Y1742" s="1" t="s">
        <v>6807</v>
      </c>
      <c r="Z1742" s="1"/>
      <c r="AA1742" s="1" t="s">
        <v>40</v>
      </c>
      <c r="AB1742" s="1" t="s">
        <v>6808</v>
      </c>
      <c r="AC1742" s="1">
        <v>5819.0</v>
      </c>
    </row>
    <row r="1743">
      <c r="A1743" s="1" t="str">
        <f>"0008X1"</f>
        <v>0008X1</v>
      </c>
      <c r="B1743" s="1" t="s">
        <v>2291</v>
      </c>
      <c r="C1743" s="1" t="s">
        <v>2292</v>
      </c>
      <c r="D1743" s="1" t="str">
        <f>"8028785992"</f>
        <v>8028785992</v>
      </c>
      <c r="E1743" s="1">
        <v>3417.0</v>
      </c>
      <c r="F1743" s="1" t="s">
        <v>44</v>
      </c>
      <c r="G1743" s="1" t="s">
        <v>6809</v>
      </c>
      <c r="H1743" s="1"/>
      <c r="I1743" s="1"/>
      <c r="J1743" s="1"/>
      <c r="K1743" s="1"/>
      <c r="L1743" s="1"/>
      <c r="M1743" s="1" t="s">
        <v>6810</v>
      </c>
      <c r="N1743" s="1" t="s">
        <v>161</v>
      </c>
      <c r="O1743" s="1" t="s">
        <v>571</v>
      </c>
      <c r="P1743" s="1"/>
      <c r="Q1743" s="3">
        <v>36892.0</v>
      </c>
      <c r="R1743" s="1"/>
      <c r="S1743" s="1"/>
      <c r="T1743" s="1" t="s">
        <v>37</v>
      </c>
      <c r="U1743" s="1"/>
      <c r="V1743" s="1" t="s">
        <v>38</v>
      </c>
      <c r="W1743" s="1"/>
      <c r="X1743" s="1"/>
      <c r="Y1743" s="1" t="s">
        <v>49</v>
      </c>
      <c r="Z1743" s="1"/>
      <c r="AA1743" s="1" t="s">
        <v>40</v>
      </c>
      <c r="AB1743" s="1" t="s">
        <v>573</v>
      </c>
      <c r="AC1743" s="1"/>
    </row>
    <row r="1744">
      <c r="A1744" s="1" t="str">
        <f>"0008XW"</f>
        <v>0008XW</v>
      </c>
      <c r="B1744" s="1" t="s">
        <v>6811</v>
      </c>
      <c r="C1744" s="1" t="s">
        <v>6812</v>
      </c>
      <c r="D1744" s="1"/>
      <c r="E1744" s="1">
        <v>3533.0</v>
      </c>
      <c r="F1744" s="1" t="s">
        <v>44</v>
      </c>
      <c r="G1744" s="1" t="s">
        <v>6813</v>
      </c>
      <c r="H1744" s="1">
        <v>2.0</v>
      </c>
      <c r="I1744" s="1"/>
      <c r="J1744" s="1"/>
      <c r="K1744" s="1"/>
      <c r="L1744" s="1"/>
      <c r="M1744" s="1" t="s">
        <v>72</v>
      </c>
      <c r="N1744" s="1" t="s">
        <v>135</v>
      </c>
      <c r="O1744" s="1" t="s">
        <v>136</v>
      </c>
      <c r="P1744" s="1"/>
      <c r="Q1744" s="3">
        <v>36892.0</v>
      </c>
      <c r="R1744" s="1"/>
      <c r="S1744" s="3">
        <v>38567.0</v>
      </c>
      <c r="T1744" s="1" t="s">
        <v>37</v>
      </c>
      <c r="U1744" s="1"/>
      <c r="V1744" s="1" t="s">
        <v>38</v>
      </c>
      <c r="W1744" s="1"/>
      <c r="X1744" s="1"/>
      <c r="Y1744" s="1" t="s">
        <v>49</v>
      </c>
      <c r="Z1744" s="1"/>
      <c r="AA1744" s="1" t="s">
        <v>40</v>
      </c>
      <c r="AB1744" s="1" t="s">
        <v>137</v>
      </c>
      <c r="AC1744" s="1"/>
    </row>
    <row r="1745">
      <c r="A1745" s="1" t="str">
        <f>"0008ZB"</f>
        <v>0008ZB</v>
      </c>
      <c r="B1745" s="1" t="s">
        <v>6814</v>
      </c>
      <c r="C1745" s="1" t="s">
        <v>6815</v>
      </c>
      <c r="D1745" s="1" t="str">
        <f>"8028882692"</f>
        <v>8028882692</v>
      </c>
      <c r="E1745" s="1">
        <v>3534.0</v>
      </c>
      <c r="F1745" s="1" t="s">
        <v>44</v>
      </c>
      <c r="G1745" s="1" t="s">
        <v>6816</v>
      </c>
      <c r="H1745" s="1"/>
      <c r="I1745" s="1"/>
      <c r="J1745" s="1"/>
      <c r="K1745" s="1"/>
      <c r="L1745" s="1"/>
      <c r="M1745" s="1" t="s">
        <v>72</v>
      </c>
      <c r="N1745" s="1" t="s">
        <v>213</v>
      </c>
      <c r="O1745" s="1" t="s">
        <v>214</v>
      </c>
      <c r="P1745" s="1"/>
      <c r="Q1745" s="3">
        <v>36892.0</v>
      </c>
      <c r="R1745" s="1"/>
      <c r="S1745" s="1"/>
      <c r="T1745" s="1" t="s">
        <v>37</v>
      </c>
      <c r="U1745" s="1"/>
      <c r="V1745" s="1" t="s">
        <v>38</v>
      </c>
      <c r="W1745" s="1"/>
      <c r="X1745" s="1"/>
      <c r="Y1745" s="1" t="s">
        <v>49</v>
      </c>
      <c r="Z1745" s="1"/>
      <c r="AA1745" s="1" t="s">
        <v>40</v>
      </c>
      <c r="AB1745" s="1" t="s">
        <v>217</v>
      </c>
      <c r="AC1745" s="1"/>
    </row>
    <row r="1746">
      <c r="A1746" s="1" t="str">
        <f>"0008ZD"</f>
        <v>0008ZD</v>
      </c>
      <c r="B1746" s="1" t="s">
        <v>6817</v>
      </c>
      <c r="C1746" s="1" t="s">
        <v>6818</v>
      </c>
      <c r="D1746" s="1" t="str">
        <f>"8024622165"</f>
        <v>8024622165</v>
      </c>
      <c r="E1746" s="1">
        <v>3537.0</v>
      </c>
      <c r="F1746" s="1" t="s">
        <v>44</v>
      </c>
      <c r="G1746" s="1" t="s">
        <v>6819</v>
      </c>
      <c r="H1746" s="1">
        <v>2.0</v>
      </c>
      <c r="I1746" s="1"/>
      <c r="J1746" s="1"/>
      <c r="K1746" s="1"/>
      <c r="L1746" s="1"/>
      <c r="M1746" s="1" t="s">
        <v>72</v>
      </c>
      <c r="N1746" s="1" t="s">
        <v>161</v>
      </c>
      <c r="O1746" s="1" t="s">
        <v>162</v>
      </c>
      <c r="P1746" s="1"/>
      <c r="Q1746" s="3">
        <v>36892.0</v>
      </c>
      <c r="R1746" s="1"/>
      <c r="S1746" s="3">
        <v>39252.0</v>
      </c>
      <c r="T1746" s="1" t="s">
        <v>37</v>
      </c>
      <c r="U1746" s="1"/>
      <c r="V1746" s="1" t="s">
        <v>38</v>
      </c>
      <c r="W1746" s="1"/>
      <c r="X1746" s="1"/>
      <c r="Y1746" s="1" t="s">
        <v>49</v>
      </c>
      <c r="Z1746" s="1"/>
      <c r="AA1746" s="1" t="s">
        <v>40</v>
      </c>
      <c r="AB1746" s="1" t="s">
        <v>166</v>
      </c>
      <c r="AC1746" s="1"/>
    </row>
    <row r="1747">
      <c r="A1747" s="1" t="str">
        <f>"0008ZF"</f>
        <v>0008ZF</v>
      </c>
      <c r="B1747" s="1" t="s">
        <v>6820</v>
      </c>
      <c r="C1747" s="1" t="s">
        <v>6821</v>
      </c>
      <c r="D1747" s="1" t="str">
        <f>"8024533418"</f>
        <v>8024533418</v>
      </c>
      <c r="E1747" s="1">
        <v>3538.0</v>
      </c>
      <c r="F1747" s="1" t="s">
        <v>117</v>
      </c>
      <c r="G1747" s="1" t="s">
        <v>6822</v>
      </c>
      <c r="H1747" s="1">
        <v>5.0</v>
      </c>
      <c r="I1747" s="2">
        <v>5.0</v>
      </c>
      <c r="J1747" s="2">
        <v>5.0</v>
      </c>
      <c r="K1747" s="2" t="s">
        <v>119</v>
      </c>
      <c r="L1747" s="1"/>
      <c r="M1747" s="1" t="s">
        <v>6823</v>
      </c>
      <c r="N1747" s="1" t="s">
        <v>161</v>
      </c>
      <c r="O1747" s="1" t="s">
        <v>307</v>
      </c>
      <c r="P1747" s="1" t="s">
        <v>6824</v>
      </c>
      <c r="Q1747" s="3">
        <v>36892.0</v>
      </c>
      <c r="R1747" s="1"/>
      <c r="S1747" s="3">
        <v>38161.0</v>
      </c>
      <c r="T1747" s="1" t="s">
        <v>37</v>
      </c>
      <c r="U1747" s="1"/>
      <c r="V1747" s="1" t="s">
        <v>38</v>
      </c>
      <c r="W1747" s="1">
        <v>44.1089261</v>
      </c>
      <c r="X1747" s="1">
        <v>-73.0764363999999</v>
      </c>
      <c r="Y1747" s="1" t="s">
        <v>6825</v>
      </c>
      <c r="Z1747" s="1"/>
      <c r="AA1747" s="1" t="s">
        <v>40</v>
      </c>
      <c r="AB1747" s="1" t="s">
        <v>308</v>
      </c>
      <c r="AC1747" s="1">
        <v>5443.0</v>
      </c>
    </row>
    <row r="1748">
      <c r="A1748" s="1" t="str">
        <f>"0008ZG"</f>
        <v>0008ZG</v>
      </c>
      <c r="B1748" s="1" t="s">
        <v>6826</v>
      </c>
      <c r="C1748" s="1" t="s">
        <v>6827</v>
      </c>
      <c r="D1748" s="1" t="str">
        <f>"8023339000"</f>
        <v>8023339000</v>
      </c>
      <c r="E1748" s="1">
        <v>3539.0</v>
      </c>
      <c r="F1748" s="1" t="s">
        <v>44</v>
      </c>
      <c r="G1748" s="1" t="s">
        <v>6828</v>
      </c>
      <c r="H1748" s="1">
        <v>7.0</v>
      </c>
      <c r="I1748" s="1"/>
      <c r="J1748" s="1"/>
      <c r="K1748" s="1"/>
      <c r="L1748" s="1"/>
      <c r="M1748" s="1" t="s">
        <v>72</v>
      </c>
      <c r="N1748" s="1" t="s">
        <v>142</v>
      </c>
      <c r="O1748" s="1" t="s">
        <v>2474</v>
      </c>
      <c r="P1748" s="1"/>
      <c r="Q1748" s="3">
        <v>36892.0</v>
      </c>
      <c r="R1748" s="1"/>
      <c r="S1748" s="3">
        <v>39932.0</v>
      </c>
      <c r="T1748" s="1" t="s">
        <v>37</v>
      </c>
      <c r="U1748" s="1"/>
      <c r="V1748" s="1" t="s">
        <v>38</v>
      </c>
      <c r="W1748" s="1">
        <v>43.9091684</v>
      </c>
      <c r="X1748" s="1">
        <v>-72.2606096</v>
      </c>
      <c r="Y1748" s="1" t="s">
        <v>6829</v>
      </c>
      <c r="Z1748" s="1"/>
      <c r="AA1748" s="1" t="s">
        <v>40</v>
      </c>
      <c r="AB1748" s="1" t="s">
        <v>2273</v>
      </c>
      <c r="AC1748" s="1">
        <v>5083.0</v>
      </c>
    </row>
    <row r="1749">
      <c r="A1749" s="1" t="str">
        <f>"0008ZH"</f>
        <v>0008ZH</v>
      </c>
      <c r="B1749" s="1" t="s">
        <v>6830</v>
      </c>
      <c r="C1749" s="1" t="s">
        <v>6831</v>
      </c>
      <c r="D1749" s="1" t="str">
        <f>"8027654083"</f>
        <v>8027654083</v>
      </c>
      <c r="E1749" s="1">
        <v>3540.0</v>
      </c>
      <c r="F1749" s="1" t="s">
        <v>117</v>
      </c>
      <c r="G1749" s="1" t="s">
        <v>6832</v>
      </c>
      <c r="H1749" s="1">
        <v>1.0</v>
      </c>
      <c r="I1749" s="2" t="s">
        <v>119</v>
      </c>
      <c r="J1749" s="2" t="s">
        <v>119</v>
      </c>
      <c r="K1749" s="2" t="s">
        <v>119</v>
      </c>
      <c r="L1749" s="1"/>
      <c r="M1749" s="1" t="s">
        <v>6833</v>
      </c>
      <c r="N1749" s="1" t="s">
        <v>142</v>
      </c>
      <c r="O1749" s="1" t="s">
        <v>243</v>
      </c>
      <c r="P1749" s="1" t="s">
        <v>6834</v>
      </c>
      <c r="Q1749" s="3">
        <v>36892.0</v>
      </c>
      <c r="R1749" s="1"/>
      <c r="S1749" s="3">
        <v>42930.0</v>
      </c>
      <c r="T1749" s="1" t="s">
        <v>37</v>
      </c>
      <c r="U1749" s="1"/>
      <c r="V1749" s="1" t="s">
        <v>38</v>
      </c>
      <c r="W1749" s="1">
        <v>43.8854906587821</v>
      </c>
      <c r="X1749" s="1">
        <v>-72.3741960525512</v>
      </c>
      <c r="Y1749" s="1" t="s">
        <v>6835</v>
      </c>
      <c r="Z1749" s="1"/>
      <c r="AA1749" s="1" t="s">
        <v>40</v>
      </c>
      <c r="AB1749" s="1" t="s">
        <v>246</v>
      </c>
      <c r="AC1749" s="1">
        <v>5072.0</v>
      </c>
    </row>
    <row r="1750">
      <c r="A1750" s="1" t="str">
        <f>"0007GY"</f>
        <v>0007GY</v>
      </c>
      <c r="B1750" s="1" t="s">
        <v>3168</v>
      </c>
      <c r="C1750" s="1" t="s">
        <v>3169</v>
      </c>
      <c r="D1750" s="1" t="str">
        <f>"8028927731"</f>
        <v>8028927731</v>
      </c>
      <c r="E1750" s="1">
        <v>3345.0</v>
      </c>
      <c r="F1750" s="1" t="s">
        <v>44</v>
      </c>
      <c r="G1750" s="1" t="s">
        <v>6836</v>
      </c>
      <c r="H1750" s="1">
        <v>3.0</v>
      </c>
      <c r="I1750" s="1"/>
      <c r="J1750" s="1"/>
      <c r="K1750" s="1"/>
      <c r="L1750" s="1"/>
      <c r="M1750" s="1" t="s">
        <v>6837</v>
      </c>
      <c r="N1750" s="1" t="s">
        <v>331</v>
      </c>
      <c r="O1750" s="1" t="s">
        <v>1015</v>
      </c>
      <c r="P1750" s="1"/>
      <c r="Q1750" s="3">
        <v>36892.0</v>
      </c>
      <c r="R1750" s="1"/>
      <c r="S1750" s="3">
        <v>38978.0</v>
      </c>
      <c r="T1750" s="1" t="s">
        <v>37</v>
      </c>
      <c r="U1750" s="1"/>
      <c r="V1750" s="1" t="s">
        <v>38</v>
      </c>
      <c r="W1750" s="1"/>
      <c r="X1750" s="1"/>
      <c r="Y1750" s="1" t="s">
        <v>49</v>
      </c>
      <c r="Z1750" s="1"/>
      <c r="AA1750" s="1" t="s">
        <v>40</v>
      </c>
      <c r="AB1750" s="1" t="s">
        <v>1016</v>
      </c>
      <c r="AC1750" s="1"/>
    </row>
    <row r="1751">
      <c r="A1751" s="1" t="str">
        <f>"0008ZK"</f>
        <v>0008ZK</v>
      </c>
      <c r="B1751" s="1" t="s">
        <v>6838</v>
      </c>
      <c r="C1751" s="1" t="s">
        <v>6839</v>
      </c>
      <c r="D1751" s="1" t="str">
        <f>"8024535315"</f>
        <v>8024535315</v>
      </c>
      <c r="E1751" s="1">
        <v>3542.0</v>
      </c>
      <c r="F1751" s="1" t="s">
        <v>44</v>
      </c>
      <c r="G1751" s="1" t="s">
        <v>6840</v>
      </c>
      <c r="H1751" s="1"/>
      <c r="I1751" s="1"/>
      <c r="J1751" s="1"/>
      <c r="K1751" s="1"/>
      <c r="L1751" s="1"/>
      <c r="M1751" s="1" t="s">
        <v>72</v>
      </c>
      <c r="N1751" s="1" t="s">
        <v>161</v>
      </c>
      <c r="O1751" s="1" t="s">
        <v>307</v>
      </c>
      <c r="P1751" s="1"/>
      <c r="Q1751" s="3">
        <v>36892.0</v>
      </c>
      <c r="R1751" s="1"/>
      <c r="S1751" s="1"/>
      <c r="T1751" s="1" t="s">
        <v>37</v>
      </c>
      <c r="U1751" s="1"/>
      <c r="V1751" s="1" t="s">
        <v>38</v>
      </c>
      <c r="W1751" s="1"/>
      <c r="X1751" s="1"/>
      <c r="Y1751" s="1" t="s">
        <v>49</v>
      </c>
      <c r="Z1751" s="1"/>
      <c r="AA1751" s="1" t="s">
        <v>40</v>
      </c>
      <c r="AB1751" s="1" t="s">
        <v>308</v>
      </c>
      <c r="AC1751" s="1"/>
    </row>
    <row r="1752">
      <c r="A1752" s="1" t="str">
        <f>"0007PC"</f>
        <v>0007PC</v>
      </c>
      <c r="B1752" s="1" t="s">
        <v>6841</v>
      </c>
      <c r="C1752" s="1" t="s">
        <v>6842</v>
      </c>
      <c r="D1752" s="1" t="str">
        <f>"8024380048"</f>
        <v>8024380048</v>
      </c>
      <c r="E1752" s="1">
        <v>3840.0</v>
      </c>
      <c r="F1752" s="1" t="s">
        <v>44</v>
      </c>
      <c r="G1752" s="1" t="s">
        <v>6843</v>
      </c>
      <c r="H1752" s="1"/>
      <c r="I1752" s="1"/>
      <c r="J1752" s="1"/>
      <c r="K1752" s="1"/>
      <c r="L1752" s="1"/>
      <c r="M1752" s="1" t="s">
        <v>72</v>
      </c>
      <c r="N1752" s="1" t="s">
        <v>78</v>
      </c>
      <c r="O1752" s="1" t="s">
        <v>6011</v>
      </c>
      <c r="P1752" s="1"/>
      <c r="Q1752" s="3">
        <v>36892.0</v>
      </c>
      <c r="R1752" s="1"/>
      <c r="S1752" s="1"/>
      <c r="T1752" s="1" t="s">
        <v>37</v>
      </c>
      <c r="U1752" s="1"/>
      <c r="V1752" s="1" t="s">
        <v>38</v>
      </c>
      <c r="W1752" s="1"/>
      <c r="X1752" s="1"/>
      <c r="Y1752" s="1" t="s">
        <v>49</v>
      </c>
      <c r="Z1752" s="1"/>
      <c r="AA1752" s="1" t="s">
        <v>40</v>
      </c>
      <c r="AB1752" s="1" t="s">
        <v>6012</v>
      </c>
      <c r="AC1752" s="1"/>
    </row>
    <row r="1753">
      <c r="A1753" s="1" t="str">
        <f>"0008ZQ"</f>
        <v>0008ZQ</v>
      </c>
      <c r="B1753" s="1" t="s">
        <v>738</v>
      </c>
      <c r="C1753" s="1" t="s">
        <v>739</v>
      </c>
      <c r="D1753" s="1" t="str">
        <f>"8022346113"</f>
        <v>8022346113</v>
      </c>
      <c r="E1753" s="1">
        <v>3547.0</v>
      </c>
      <c r="F1753" s="1" t="s">
        <v>44</v>
      </c>
      <c r="G1753" s="1" t="s">
        <v>6844</v>
      </c>
      <c r="H1753" s="1">
        <v>4.0</v>
      </c>
      <c r="I1753" s="1"/>
      <c r="J1753" s="1"/>
      <c r="K1753" s="1"/>
      <c r="L1753" s="1"/>
      <c r="M1753" s="1" t="s">
        <v>72</v>
      </c>
      <c r="N1753" s="1" t="s">
        <v>34</v>
      </c>
      <c r="O1753" s="1" t="s">
        <v>1469</v>
      </c>
      <c r="P1753" s="1"/>
      <c r="Q1753" s="3">
        <v>36892.0</v>
      </c>
      <c r="R1753" s="1"/>
      <c r="S1753" s="3">
        <v>38884.0</v>
      </c>
      <c r="T1753" s="1" t="s">
        <v>37</v>
      </c>
      <c r="U1753" s="1"/>
      <c r="V1753" s="1" t="s">
        <v>38</v>
      </c>
      <c r="W1753" s="1"/>
      <c r="X1753" s="1"/>
      <c r="Y1753" s="1" t="s">
        <v>49</v>
      </c>
      <c r="Z1753" s="1"/>
      <c r="AA1753" s="1" t="s">
        <v>40</v>
      </c>
      <c r="AB1753" s="1" t="s">
        <v>1471</v>
      </c>
      <c r="AC1753" s="1"/>
    </row>
    <row r="1754">
      <c r="A1754" s="1" t="str">
        <f>"0008ZV"</f>
        <v>0008ZV</v>
      </c>
      <c r="B1754" s="1" t="s">
        <v>6845</v>
      </c>
      <c r="C1754" s="1" t="s">
        <v>6846</v>
      </c>
      <c r="D1754" s="1" t="str">
        <f>"8022874079"</f>
        <v>8022874079</v>
      </c>
      <c r="E1754" s="1">
        <v>3548.0</v>
      </c>
      <c r="F1754" s="1" t="s">
        <v>44</v>
      </c>
      <c r="G1754" s="1" t="s">
        <v>6847</v>
      </c>
      <c r="H1754" s="1">
        <v>1.0</v>
      </c>
      <c r="I1754" s="1"/>
      <c r="J1754" s="1"/>
      <c r="K1754" s="1"/>
      <c r="L1754" s="1"/>
      <c r="M1754" s="1" t="s">
        <v>72</v>
      </c>
      <c r="N1754" s="1" t="s">
        <v>78</v>
      </c>
      <c r="O1754" s="1" t="s">
        <v>615</v>
      </c>
      <c r="P1754" s="1"/>
      <c r="Q1754" s="3">
        <v>36892.0</v>
      </c>
      <c r="R1754" s="1"/>
      <c r="S1754" s="3">
        <v>39276.0</v>
      </c>
      <c r="T1754" s="1" t="s">
        <v>37</v>
      </c>
      <c r="U1754" s="1"/>
      <c r="V1754" s="1" t="s">
        <v>38</v>
      </c>
      <c r="W1754" s="1"/>
      <c r="X1754" s="1"/>
      <c r="Y1754" s="1" t="s">
        <v>49</v>
      </c>
      <c r="Z1754" s="1"/>
      <c r="AA1754" s="1" t="s">
        <v>40</v>
      </c>
      <c r="AB1754" s="1" t="s">
        <v>616</v>
      </c>
      <c r="AC1754" s="1"/>
    </row>
    <row r="1755">
      <c r="A1755" s="1" t="str">
        <f>"0008ZW"</f>
        <v>0008ZW</v>
      </c>
      <c r="B1755" s="1" t="s">
        <v>6848</v>
      </c>
      <c r="C1755" s="1" t="s">
        <v>6849</v>
      </c>
      <c r="D1755" s="1" t="str">
        <f>"8025246910"</f>
        <v>8025246910</v>
      </c>
      <c r="E1755" s="1">
        <v>3549.0</v>
      </c>
      <c r="F1755" s="1" t="s">
        <v>44</v>
      </c>
      <c r="G1755" s="1" t="s">
        <v>6850</v>
      </c>
      <c r="H1755" s="1">
        <v>1.0</v>
      </c>
      <c r="I1755" s="2">
        <v>4.0</v>
      </c>
      <c r="J1755" s="2">
        <v>4.0</v>
      </c>
      <c r="K1755" s="2" t="s">
        <v>119</v>
      </c>
      <c r="L1755" s="1"/>
      <c r="M1755" s="1" t="s">
        <v>33</v>
      </c>
      <c r="N1755" s="1" t="s">
        <v>47</v>
      </c>
      <c r="O1755" s="1" t="s">
        <v>582</v>
      </c>
      <c r="P1755" s="1" t="s">
        <v>6851</v>
      </c>
      <c r="Q1755" s="3">
        <v>36892.0</v>
      </c>
      <c r="R1755" s="1"/>
      <c r="S1755" s="3">
        <v>38912.0</v>
      </c>
      <c r="T1755" s="1" t="s">
        <v>37</v>
      </c>
      <c r="U1755" s="1"/>
      <c r="V1755" s="1" t="s">
        <v>38</v>
      </c>
      <c r="W1755" s="1">
        <v>44.7408618144454</v>
      </c>
      <c r="X1755" s="1">
        <v>-73.1133484840393</v>
      </c>
      <c r="Y1755" s="1" t="s">
        <v>6852</v>
      </c>
      <c r="Z1755" s="1"/>
      <c r="AA1755" s="1" t="s">
        <v>40</v>
      </c>
      <c r="AB1755" s="1" t="s">
        <v>583</v>
      </c>
      <c r="AC1755" s="1" t="s">
        <v>6853</v>
      </c>
    </row>
    <row r="1756">
      <c r="A1756" s="1" t="str">
        <f>"0008ZX"</f>
        <v>0008ZX</v>
      </c>
      <c r="B1756" s="1" t="s">
        <v>6854</v>
      </c>
      <c r="C1756" s="1" t="s">
        <v>6855</v>
      </c>
      <c r="D1756" s="1" t="str">
        <f>"8024573087"</f>
        <v>8024573087</v>
      </c>
      <c r="E1756" s="1">
        <v>3550.0</v>
      </c>
      <c r="F1756" s="1" t="s">
        <v>44</v>
      </c>
      <c r="G1756" s="1" t="s">
        <v>6856</v>
      </c>
      <c r="H1756" s="1">
        <v>2.0</v>
      </c>
      <c r="I1756" s="1"/>
      <c r="J1756" s="1"/>
      <c r="K1756" s="1"/>
      <c r="L1756" s="1"/>
      <c r="M1756" s="1" t="s">
        <v>6857</v>
      </c>
      <c r="N1756" s="1" t="s">
        <v>34</v>
      </c>
      <c r="O1756" s="1" t="s">
        <v>85</v>
      </c>
      <c r="P1756" s="1"/>
      <c r="Q1756" s="3">
        <v>36892.0</v>
      </c>
      <c r="R1756" s="1"/>
      <c r="S1756" s="3">
        <v>39279.0</v>
      </c>
      <c r="T1756" s="1" t="s">
        <v>37</v>
      </c>
      <c r="U1756" s="1"/>
      <c r="V1756" s="1" t="s">
        <v>38</v>
      </c>
      <c r="W1756" s="1"/>
      <c r="X1756" s="1"/>
      <c r="Y1756" s="1" t="s">
        <v>49</v>
      </c>
      <c r="Z1756" s="1"/>
      <c r="AA1756" s="1" t="s">
        <v>40</v>
      </c>
      <c r="AB1756" s="1" t="s">
        <v>86</v>
      </c>
      <c r="AC1756" s="1"/>
    </row>
    <row r="1757">
      <c r="A1757" s="1" t="str">
        <f>"0008ZY"</f>
        <v>0008ZY</v>
      </c>
      <c r="B1757" s="1" t="s">
        <v>6858</v>
      </c>
      <c r="C1757" s="1" t="s">
        <v>6859</v>
      </c>
      <c r="D1757" s="1" t="str">
        <f>"8022889929"</f>
        <v>8022889929</v>
      </c>
      <c r="E1757" s="1">
        <v>3551.0</v>
      </c>
      <c r="F1757" s="1" t="s">
        <v>44</v>
      </c>
      <c r="G1757" s="1" t="s">
        <v>6860</v>
      </c>
      <c r="H1757" s="1">
        <v>2.0</v>
      </c>
      <c r="I1757" s="1"/>
      <c r="J1757" s="1"/>
      <c r="K1757" s="1"/>
      <c r="L1757" s="1"/>
      <c r="M1757" s="1" t="s">
        <v>72</v>
      </c>
      <c r="N1757" s="1" t="s">
        <v>57</v>
      </c>
      <c r="O1757" s="1" t="s">
        <v>559</v>
      </c>
      <c r="P1757" s="1"/>
      <c r="Q1757" s="3">
        <v>36892.0</v>
      </c>
      <c r="R1757" s="1"/>
      <c r="S1757" s="3">
        <v>40751.0</v>
      </c>
      <c r="T1757" s="1" t="s">
        <v>37</v>
      </c>
      <c r="U1757" s="1"/>
      <c r="V1757" s="1" t="s">
        <v>38</v>
      </c>
      <c r="W1757" s="1"/>
      <c r="X1757" s="1"/>
      <c r="Y1757" s="1" t="s">
        <v>49</v>
      </c>
      <c r="Z1757" s="1"/>
      <c r="AA1757" s="1" t="s">
        <v>40</v>
      </c>
      <c r="AB1757" s="1" t="s">
        <v>560</v>
      </c>
      <c r="AC1757" s="1"/>
    </row>
    <row r="1758">
      <c r="A1758" s="1" t="str">
        <f>"0008ZZ"</f>
        <v>0008ZZ</v>
      </c>
      <c r="B1758" s="1" t="s">
        <v>6861</v>
      </c>
      <c r="C1758" s="1" t="s">
        <v>6862</v>
      </c>
      <c r="D1758" s="1" t="str">
        <f>"8028237921"</f>
        <v>8028237921</v>
      </c>
      <c r="E1758" s="1">
        <v>3552.0</v>
      </c>
      <c r="F1758" s="1" t="s">
        <v>44</v>
      </c>
      <c r="G1758" s="1" t="s">
        <v>6863</v>
      </c>
      <c r="H1758" s="1"/>
      <c r="I1758" s="1"/>
      <c r="J1758" s="1"/>
      <c r="K1758" s="1"/>
      <c r="L1758" s="1"/>
      <c r="M1758" s="1" t="s">
        <v>72</v>
      </c>
      <c r="N1758" s="1" t="s">
        <v>414</v>
      </c>
      <c r="O1758" s="1" t="s">
        <v>794</v>
      </c>
      <c r="P1758" s="1"/>
      <c r="Q1758" s="3">
        <v>36892.0</v>
      </c>
      <c r="R1758" s="1"/>
      <c r="S1758" s="1"/>
      <c r="T1758" s="1" t="s">
        <v>37</v>
      </c>
      <c r="U1758" s="1"/>
      <c r="V1758" s="1" t="s">
        <v>38</v>
      </c>
      <c r="W1758" s="1"/>
      <c r="X1758" s="1"/>
      <c r="Y1758" s="1" t="s">
        <v>49</v>
      </c>
      <c r="Z1758" s="1"/>
      <c r="AA1758" s="1" t="s">
        <v>40</v>
      </c>
      <c r="AB1758" s="1" t="s">
        <v>797</v>
      </c>
      <c r="AC1758" s="1"/>
    </row>
    <row r="1759">
      <c r="A1759" s="1" t="str">
        <f>"000900"</f>
        <v>000900</v>
      </c>
      <c r="B1759" s="1" t="s">
        <v>6864</v>
      </c>
      <c r="C1759" s="1" t="s">
        <v>6865</v>
      </c>
      <c r="D1759" s="1" t="str">
        <f>"8028492232"</f>
        <v>8028492232</v>
      </c>
      <c r="E1759" s="1">
        <v>3553.0</v>
      </c>
      <c r="F1759" s="1" t="s">
        <v>44</v>
      </c>
      <c r="G1759" s="1" t="s">
        <v>6866</v>
      </c>
      <c r="H1759" s="1">
        <v>0.0</v>
      </c>
      <c r="I1759" s="1"/>
      <c r="J1759" s="1"/>
      <c r="K1759" s="1"/>
      <c r="L1759" s="1"/>
      <c r="M1759" s="1" t="s">
        <v>72</v>
      </c>
      <c r="N1759" s="1" t="s">
        <v>47</v>
      </c>
      <c r="O1759" s="1" t="s">
        <v>582</v>
      </c>
      <c r="P1759" s="1"/>
      <c r="Q1759" s="3">
        <v>36892.0</v>
      </c>
      <c r="R1759" s="1"/>
      <c r="S1759" s="1"/>
      <c r="T1759" s="1" t="s">
        <v>37</v>
      </c>
      <c r="U1759" s="1"/>
      <c r="V1759" s="1" t="s">
        <v>38</v>
      </c>
      <c r="W1759" s="1">
        <v>44.727512</v>
      </c>
      <c r="X1759" s="1">
        <v>-73.069458</v>
      </c>
      <c r="Y1759" s="1" t="s">
        <v>6867</v>
      </c>
      <c r="Z1759" s="1"/>
      <c r="AA1759" s="1" t="s">
        <v>40</v>
      </c>
      <c r="AB1759" s="1" t="s">
        <v>583</v>
      </c>
      <c r="AC1759" s="1">
        <v>5454.0</v>
      </c>
    </row>
    <row r="1760">
      <c r="A1760" s="1" t="str">
        <f>"000901"</f>
        <v>000901</v>
      </c>
      <c r="B1760" s="1" t="s">
        <v>6868</v>
      </c>
      <c r="C1760" s="1" t="s">
        <v>6869</v>
      </c>
      <c r="D1760" s="1" t="str">
        <f>"8028651794"</f>
        <v>8028651794</v>
      </c>
      <c r="E1760" s="1">
        <v>3554.0</v>
      </c>
      <c r="F1760" s="1" t="s">
        <v>44</v>
      </c>
      <c r="G1760" s="1" t="s">
        <v>6870</v>
      </c>
      <c r="H1760" s="1">
        <v>1.0</v>
      </c>
      <c r="I1760" s="1"/>
      <c r="J1760" s="1"/>
      <c r="K1760" s="1"/>
      <c r="L1760" s="1"/>
      <c r="M1760" s="1" t="s">
        <v>6871</v>
      </c>
      <c r="N1760" s="1" t="s">
        <v>57</v>
      </c>
      <c r="O1760" s="1" t="s">
        <v>175</v>
      </c>
      <c r="P1760" s="1"/>
      <c r="Q1760" s="3">
        <v>36892.0</v>
      </c>
      <c r="R1760" s="1"/>
      <c r="S1760" s="3">
        <v>39235.0</v>
      </c>
      <c r="T1760" s="1" t="s">
        <v>37</v>
      </c>
      <c r="U1760" s="1"/>
      <c r="V1760" s="1" t="s">
        <v>38</v>
      </c>
      <c r="W1760" s="1"/>
      <c r="X1760" s="1"/>
      <c r="Y1760" s="1" t="s">
        <v>49</v>
      </c>
      <c r="Z1760" s="1"/>
      <c r="AA1760" s="1" t="s">
        <v>40</v>
      </c>
      <c r="AB1760" s="1" t="s">
        <v>176</v>
      </c>
      <c r="AC1760" s="1"/>
    </row>
    <row r="1761">
      <c r="A1761" s="1" t="str">
        <f>"000902"</f>
        <v>000902</v>
      </c>
      <c r="B1761" s="1" t="s">
        <v>6872</v>
      </c>
      <c r="C1761" s="1" t="s">
        <v>6873</v>
      </c>
      <c r="D1761" s="1" t="str">
        <f>"8024574437"</f>
        <v>8024574437</v>
      </c>
      <c r="E1761" s="1">
        <v>3555.0</v>
      </c>
      <c r="F1761" s="1" t="s">
        <v>44</v>
      </c>
      <c r="G1761" s="1" t="s">
        <v>6874</v>
      </c>
      <c r="H1761" s="1"/>
      <c r="I1761" s="1"/>
      <c r="J1761" s="1"/>
      <c r="K1761" s="1"/>
      <c r="L1761" s="1"/>
      <c r="M1761" s="1" t="s">
        <v>72</v>
      </c>
      <c r="N1761" s="1" t="s">
        <v>34</v>
      </c>
      <c r="O1761" s="1" t="s">
        <v>324</v>
      </c>
      <c r="P1761" s="1"/>
      <c r="Q1761" s="3">
        <v>36892.0</v>
      </c>
      <c r="R1761" s="1"/>
      <c r="S1761" s="1"/>
      <c r="T1761" s="1" t="s">
        <v>37</v>
      </c>
      <c r="U1761" s="1"/>
      <c r="V1761" s="1" t="s">
        <v>38</v>
      </c>
      <c r="W1761" s="1"/>
      <c r="X1761" s="1"/>
      <c r="Y1761" s="1" t="s">
        <v>49</v>
      </c>
      <c r="Z1761" s="1"/>
      <c r="AA1761" s="1" t="s">
        <v>40</v>
      </c>
      <c r="AB1761" s="1" t="s">
        <v>326</v>
      </c>
      <c r="AC1761" s="1"/>
    </row>
    <row r="1762">
      <c r="A1762" s="1" t="str">
        <f>"000903"</f>
        <v>000903</v>
      </c>
      <c r="B1762" s="1" t="s">
        <v>6875</v>
      </c>
      <c r="C1762" s="1" t="s">
        <v>6876</v>
      </c>
      <c r="D1762" s="1" t="str">
        <f>"8022543601"</f>
        <v>8022543601</v>
      </c>
      <c r="E1762" s="1">
        <v>3557.0</v>
      </c>
      <c r="F1762" s="1" t="s">
        <v>31</v>
      </c>
      <c r="G1762" s="1" t="s">
        <v>6877</v>
      </c>
      <c r="H1762" s="1">
        <v>1.0</v>
      </c>
      <c r="I1762" s="1"/>
      <c r="J1762" s="1"/>
      <c r="K1762" s="1"/>
      <c r="L1762" s="1"/>
      <c r="M1762" s="1" t="s">
        <v>72</v>
      </c>
      <c r="N1762" s="1" t="s">
        <v>66</v>
      </c>
      <c r="O1762" s="1" t="s">
        <v>1256</v>
      </c>
      <c r="P1762" s="1" t="s">
        <v>6878</v>
      </c>
      <c r="Q1762" s="3">
        <v>36892.0</v>
      </c>
      <c r="R1762" s="1"/>
      <c r="S1762" s="3">
        <v>39223.0</v>
      </c>
      <c r="T1762" s="1" t="s">
        <v>37</v>
      </c>
      <c r="U1762" s="1"/>
      <c r="V1762" s="1" t="s">
        <v>38</v>
      </c>
      <c r="W1762" s="1">
        <v>42.906635</v>
      </c>
      <c r="X1762" s="1">
        <v>-72.6073678999999</v>
      </c>
      <c r="Y1762" s="1" t="s">
        <v>6879</v>
      </c>
      <c r="Z1762" s="1"/>
      <c r="AA1762" s="1" t="s">
        <v>40</v>
      </c>
      <c r="AB1762" s="1" t="s">
        <v>1257</v>
      </c>
      <c r="AC1762" s="1">
        <v>5301.0</v>
      </c>
    </row>
    <row r="1763">
      <c r="A1763" s="1" t="str">
        <f>"000904"</f>
        <v>000904</v>
      </c>
      <c r="B1763" s="1" t="s">
        <v>6880</v>
      </c>
      <c r="C1763" s="1" t="s">
        <v>6881</v>
      </c>
      <c r="D1763" s="1" t="str">
        <f>"8027284467"</f>
        <v>8027284467</v>
      </c>
      <c r="E1763" s="1">
        <v>3558.0</v>
      </c>
      <c r="F1763" s="1" t="s">
        <v>44</v>
      </c>
      <c r="G1763" s="1" t="s">
        <v>6882</v>
      </c>
      <c r="H1763" s="1"/>
      <c r="I1763" s="1"/>
      <c r="J1763" s="1"/>
      <c r="K1763" s="1"/>
      <c r="L1763" s="1"/>
      <c r="M1763" s="1" t="s">
        <v>72</v>
      </c>
      <c r="N1763" s="1" t="s">
        <v>142</v>
      </c>
      <c r="O1763" s="1" t="s">
        <v>359</v>
      </c>
      <c r="P1763" s="1"/>
      <c r="Q1763" s="3">
        <v>36892.0</v>
      </c>
      <c r="R1763" s="1"/>
      <c r="S1763" s="1"/>
      <c r="T1763" s="1" t="s">
        <v>37</v>
      </c>
      <c r="U1763" s="1"/>
      <c r="V1763" s="1" t="s">
        <v>38</v>
      </c>
      <c r="W1763" s="1"/>
      <c r="X1763" s="1"/>
      <c r="Y1763" s="1" t="s">
        <v>49</v>
      </c>
      <c r="Z1763" s="1"/>
      <c r="AA1763" s="1" t="s">
        <v>40</v>
      </c>
      <c r="AB1763" s="1" t="s">
        <v>361</v>
      </c>
      <c r="AC1763" s="1"/>
    </row>
    <row r="1764">
      <c r="A1764" s="1" t="str">
        <f>"0008XF"</f>
        <v>0008XF</v>
      </c>
      <c r="B1764" s="1" t="s">
        <v>6883</v>
      </c>
      <c r="C1764" s="1" t="s">
        <v>6884</v>
      </c>
      <c r="D1764" s="1" t="str">
        <f>"8025247115"</f>
        <v>8025247115</v>
      </c>
      <c r="E1764" s="1">
        <v>3434.0</v>
      </c>
      <c r="F1764" s="1" t="s">
        <v>44</v>
      </c>
      <c r="G1764" s="1" t="s">
        <v>6885</v>
      </c>
      <c r="H1764" s="1">
        <v>2.0</v>
      </c>
      <c r="I1764" s="1"/>
      <c r="J1764" s="1"/>
      <c r="K1764" s="1"/>
      <c r="L1764" s="1"/>
      <c r="M1764" s="1" t="s">
        <v>72</v>
      </c>
      <c r="N1764" s="1" t="s">
        <v>47</v>
      </c>
      <c r="O1764" s="1" t="s">
        <v>582</v>
      </c>
      <c r="P1764" s="1"/>
      <c r="Q1764" s="3">
        <v>36892.0</v>
      </c>
      <c r="R1764" s="1"/>
      <c r="S1764" s="3">
        <v>39226.0</v>
      </c>
      <c r="T1764" s="1" t="s">
        <v>37</v>
      </c>
      <c r="U1764" s="1"/>
      <c r="V1764" s="1" t="s">
        <v>38</v>
      </c>
      <c r="W1764" s="1"/>
      <c r="X1764" s="1"/>
      <c r="Y1764" s="1" t="s">
        <v>49</v>
      </c>
      <c r="Z1764" s="1"/>
      <c r="AA1764" s="1" t="s">
        <v>40</v>
      </c>
      <c r="AB1764" s="1" t="s">
        <v>583</v>
      </c>
      <c r="AC1764" s="1"/>
    </row>
    <row r="1765">
      <c r="A1765" s="1" t="str">
        <f>"0008VC"</f>
        <v>0008VC</v>
      </c>
      <c r="B1765" s="1" t="s">
        <v>6886</v>
      </c>
      <c r="C1765" s="1" t="s">
        <v>6887</v>
      </c>
      <c r="D1765" s="1" t="str">
        <f>"8025272131"</f>
        <v>8025272131</v>
      </c>
      <c r="E1765" s="1">
        <v>3319.0</v>
      </c>
      <c r="F1765" s="1" t="s">
        <v>44</v>
      </c>
      <c r="G1765" s="1" t="s">
        <v>6888</v>
      </c>
      <c r="H1765" s="1">
        <v>4.0</v>
      </c>
      <c r="I1765" s="1"/>
      <c r="J1765" s="1"/>
      <c r="K1765" s="1"/>
      <c r="L1765" s="1"/>
      <c r="M1765" s="1" t="s">
        <v>72</v>
      </c>
      <c r="N1765" s="1" t="s">
        <v>47</v>
      </c>
      <c r="O1765" s="1" t="s">
        <v>582</v>
      </c>
      <c r="P1765" s="1"/>
      <c r="Q1765" s="3">
        <v>36892.0</v>
      </c>
      <c r="R1765" s="1"/>
      <c r="S1765" s="3">
        <v>38089.0</v>
      </c>
      <c r="T1765" s="1" t="s">
        <v>37</v>
      </c>
      <c r="U1765" s="1"/>
      <c r="V1765" s="1" t="s">
        <v>38</v>
      </c>
      <c r="W1765" s="1"/>
      <c r="X1765" s="1"/>
      <c r="Y1765" s="1" t="s">
        <v>49</v>
      </c>
      <c r="Z1765" s="1"/>
      <c r="AA1765" s="1" t="s">
        <v>40</v>
      </c>
      <c r="AB1765" s="1" t="s">
        <v>583</v>
      </c>
      <c r="AC1765" s="1"/>
    </row>
    <row r="1766">
      <c r="A1766" s="1" t="str">
        <f>"0007WA"</f>
        <v>0007WA</v>
      </c>
      <c r="B1766" s="1" t="s">
        <v>157</v>
      </c>
      <c r="C1766" s="1" t="s">
        <v>158</v>
      </c>
      <c r="D1766" s="1" t="str">
        <f>"8029482057"</f>
        <v>8029482057</v>
      </c>
      <c r="E1766" s="1">
        <v>1217.0</v>
      </c>
      <c r="F1766" s="1" t="s">
        <v>31</v>
      </c>
      <c r="G1766" s="1" t="s">
        <v>6889</v>
      </c>
      <c r="H1766" s="1">
        <v>16.0</v>
      </c>
      <c r="I1766" s="1"/>
      <c r="J1766" s="1"/>
      <c r="K1766" s="1"/>
      <c r="L1766" s="1"/>
      <c r="M1766" s="1" t="s">
        <v>6890</v>
      </c>
      <c r="N1766" s="1" t="s">
        <v>161</v>
      </c>
      <c r="O1766" s="1" t="s">
        <v>1053</v>
      </c>
      <c r="P1766" s="1" t="s">
        <v>6890</v>
      </c>
      <c r="Q1766" s="3">
        <v>36892.0</v>
      </c>
      <c r="R1766" s="1"/>
      <c r="S1766" s="3">
        <v>38994.0</v>
      </c>
      <c r="T1766" s="1" t="s">
        <v>164</v>
      </c>
      <c r="U1766" s="1"/>
      <c r="V1766" s="1" t="s">
        <v>38</v>
      </c>
      <c r="W1766" s="1">
        <v>43.8564864</v>
      </c>
      <c r="X1766" s="1">
        <v>-73.3669873</v>
      </c>
      <c r="Y1766" s="1" t="s">
        <v>6891</v>
      </c>
      <c r="Z1766" s="1"/>
      <c r="AA1766" s="1" t="s">
        <v>40</v>
      </c>
      <c r="AB1766" s="1" t="s">
        <v>1054</v>
      </c>
      <c r="AC1766" s="1">
        <v>0.0</v>
      </c>
    </row>
    <row r="1767">
      <c r="A1767" s="1" t="str">
        <f>"00090F"</f>
        <v>00090F</v>
      </c>
      <c r="B1767" s="1" t="s">
        <v>6892</v>
      </c>
      <c r="C1767" s="1" t="s">
        <v>6893</v>
      </c>
      <c r="D1767" s="1" t="str">
        <f>"8024532792"</f>
        <v>8024532792</v>
      </c>
      <c r="E1767" s="1">
        <v>3569.0</v>
      </c>
      <c r="F1767" s="1" t="s">
        <v>117</v>
      </c>
      <c r="G1767" s="1" t="s">
        <v>6894</v>
      </c>
      <c r="H1767" s="1">
        <v>6.0</v>
      </c>
      <c r="I1767" s="2">
        <v>5.0</v>
      </c>
      <c r="J1767" s="2">
        <v>5.0</v>
      </c>
      <c r="K1767" s="2" t="s">
        <v>119</v>
      </c>
      <c r="L1767" s="1"/>
      <c r="M1767" s="1" t="s">
        <v>6895</v>
      </c>
      <c r="N1767" s="1" t="s">
        <v>161</v>
      </c>
      <c r="O1767" s="1" t="s">
        <v>180</v>
      </c>
      <c r="P1767" s="1" t="s">
        <v>6896</v>
      </c>
      <c r="Q1767" s="3">
        <v>36892.0</v>
      </c>
      <c r="R1767" s="1"/>
      <c r="S1767" s="3">
        <v>38960.0</v>
      </c>
      <c r="T1767" s="1" t="s">
        <v>37</v>
      </c>
      <c r="U1767" s="1"/>
      <c r="V1767" s="1" t="s">
        <v>38</v>
      </c>
      <c r="W1767" s="1">
        <v>44.168808</v>
      </c>
      <c r="X1767" s="1">
        <v>-73.01165</v>
      </c>
      <c r="Y1767" s="1" t="s">
        <v>6897</v>
      </c>
      <c r="Z1767" s="1"/>
      <c r="AA1767" s="1" t="s">
        <v>40</v>
      </c>
      <c r="AB1767" s="1" t="s">
        <v>308</v>
      </c>
      <c r="AC1767" s="1">
        <v>5443.0</v>
      </c>
    </row>
    <row r="1768">
      <c r="A1768" s="1" t="str">
        <f>"00090G"</f>
        <v>00090G</v>
      </c>
      <c r="B1768" s="1" t="s">
        <v>6898</v>
      </c>
      <c r="C1768" s="1" t="s">
        <v>6899</v>
      </c>
      <c r="D1768" s="1" t="str">
        <f>"8025253833"</f>
        <v>8025253833</v>
      </c>
      <c r="E1768" s="1">
        <v>3571.0</v>
      </c>
      <c r="F1768" s="1" t="s">
        <v>44</v>
      </c>
      <c r="G1768" s="1" t="s">
        <v>6900</v>
      </c>
      <c r="H1768" s="1"/>
      <c r="I1768" s="1"/>
      <c r="J1768" s="1"/>
      <c r="K1768" s="1"/>
      <c r="L1768" s="1"/>
      <c r="M1768" s="1" t="s">
        <v>72</v>
      </c>
      <c r="N1768" s="1" t="s">
        <v>94</v>
      </c>
      <c r="O1768" s="1" t="s">
        <v>6901</v>
      </c>
      <c r="P1768" s="1"/>
      <c r="Q1768" s="3">
        <v>36892.0</v>
      </c>
      <c r="R1768" s="1"/>
      <c r="S1768" s="1"/>
      <c r="T1768" s="1" t="s">
        <v>37</v>
      </c>
      <c r="U1768" s="1"/>
      <c r="V1768" s="1" t="s">
        <v>38</v>
      </c>
      <c r="W1768" s="1"/>
      <c r="X1768" s="1"/>
      <c r="Y1768" s="1" t="s">
        <v>49</v>
      </c>
      <c r="Z1768" s="1"/>
      <c r="AA1768" s="1" t="s">
        <v>40</v>
      </c>
      <c r="AB1768" s="1" t="s">
        <v>6902</v>
      </c>
      <c r="AC1768" s="1"/>
    </row>
    <row r="1769">
      <c r="A1769" s="1" t="str">
        <f>"0007Z5"</f>
        <v>0007Z5</v>
      </c>
      <c r="B1769" s="1" t="s">
        <v>6322</v>
      </c>
      <c r="C1769" s="1" t="s">
        <v>6323</v>
      </c>
      <c r="D1769" s="1" t="str">
        <f>"8026745126"</f>
        <v>8026745126</v>
      </c>
      <c r="E1769" s="1">
        <v>2834.0</v>
      </c>
      <c r="F1769" s="1" t="s">
        <v>117</v>
      </c>
      <c r="G1769" s="1" t="s">
        <v>6903</v>
      </c>
      <c r="H1769" s="1">
        <v>1.0</v>
      </c>
      <c r="I1769" s="1"/>
      <c r="J1769" s="1"/>
      <c r="K1769" s="1"/>
      <c r="L1769" s="1"/>
      <c r="M1769" s="1" t="s">
        <v>6904</v>
      </c>
      <c r="N1769" s="1" t="s">
        <v>34</v>
      </c>
      <c r="O1769" s="1" t="s">
        <v>1870</v>
      </c>
      <c r="P1769" s="1" t="s">
        <v>6905</v>
      </c>
      <c r="Q1769" s="3">
        <v>36892.0</v>
      </c>
      <c r="R1769" s="1"/>
      <c r="S1769" s="3">
        <v>38530.0</v>
      </c>
      <c r="T1769" s="1" t="s">
        <v>37</v>
      </c>
      <c r="U1769" s="1"/>
      <c r="V1769" s="1" t="s">
        <v>38</v>
      </c>
      <c r="W1769" s="1"/>
      <c r="X1769" s="1"/>
      <c r="Y1769" s="1" t="s">
        <v>49</v>
      </c>
      <c r="Z1769" s="1"/>
      <c r="AA1769" s="1" t="s">
        <v>40</v>
      </c>
      <c r="AB1769" s="1" t="s">
        <v>5328</v>
      </c>
      <c r="AC1769" s="1">
        <v>0.0</v>
      </c>
    </row>
    <row r="1770">
      <c r="A1770" s="1" t="str">
        <f>"0008W6"</f>
        <v>0008W6</v>
      </c>
      <c r="B1770" s="1" t="s">
        <v>6906</v>
      </c>
      <c r="C1770" s="1" t="s">
        <v>6907</v>
      </c>
      <c r="D1770" s="1" t="str">
        <f>"8024853901"</f>
        <v>8024853901</v>
      </c>
      <c r="E1770" s="1">
        <v>3377.0</v>
      </c>
      <c r="F1770" s="1" t="s">
        <v>31</v>
      </c>
      <c r="G1770" s="1" t="s">
        <v>6908</v>
      </c>
      <c r="H1770" s="1">
        <v>8.0</v>
      </c>
      <c r="I1770" s="1"/>
      <c r="J1770" s="1"/>
      <c r="K1770" s="1"/>
      <c r="L1770" s="1"/>
      <c r="M1770" s="1" t="s">
        <v>6909</v>
      </c>
      <c r="N1770" s="1" t="s">
        <v>135</v>
      </c>
      <c r="O1770" s="1" t="s">
        <v>279</v>
      </c>
      <c r="P1770" s="1" t="s">
        <v>6910</v>
      </c>
      <c r="Q1770" s="3">
        <v>36892.0</v>
      </c>
      <c r="R1770" s="1"/>
      <c r="S1770" s="3">
        <v>42208.0</v>
      </c>
      <c r="T1770" s="1" t="s">
        <v>37</v>
      </c>
      <c r="U1770" s="1"/>
      <c r="V1770" s="1" t="s">
        <v>38</v>
      </c>
      <c r="W1770" s="1"/>
      <c r="X1770" s="1"/>
      <c r="Y1770" s="1" t="s">
        <v>6911</v>
      </c>
      <c r="Z1770" s="1"/>
      <c r="AA1770" s="1" t="s">
        <v>40</v>
      </c>
      <c r="AB1770" s="1" t="s">
        <v>281</v>
      </c>
      <c r="AC1770" s="1">
        <v>5641.0</v>
      </c>
    </row>
    <row r="1771">
      <c r="A1771" s="1" t="str">
        <f>"00092X"</f>
        <v>00092X</v>
      </c>
      <c r="B1771" s="1" t="s">
        <v>6912</v>
      </c>
      <c r="C1771" s="1" t="s">
        <v>6913</v>
      </c>
      <c r="D1771" s="1" t="str">
        <f>"8028930042"</f>
        <v>8028930042</v>
      </c>
      <c r="E1771" s="1">
        <v>3822.0</v>
      </c>
      <c r="F1771" s="1" t="s">
        <v>44</v>
      </c>
      <c r="G1771" s="1" t="s">
        <v>6914</v>
      </c>
      <c r="H1771" s="1">
        <v>2.0</v>
      </c>
      <c r="I1771" s="1"/>
      <c r="J1771" s="1"/>
      <c r="K1771" s="1"/>
      <c r="L1771" s="1"/>
      <c r="M1771" s="1" t="s">
        <v>72</v>
      </c>
      <c r="N1771" s="1" t="s">
        <v>57</v>
      </c>
      <c r="O1771" s="1" t="s">
        <v>256</v>
      </c>
      <c r="P1771" s="1"/>
      <c r="Q1771" s="3">
        <v>36892.0</v>
      </c>
      <c r="R1771" s="1"/>
      <c r="S1771" s="3">
        <v>39623.0</v>
      </c>
      <c r="T1771" s="1" t="s">
        <v>37</v>
      </c>
      <c r="U1771" s="1"/>
      <c r="V1771" s="1" t="s">
        <v>38</v>
      </c>
      <c r="W1771" s="1"/>
      <c r="X1771" s="1"/>
      <c r="Y1771" s="1" t="s">
        <v>49</v>
      </c>
      <c r="Z1771" s="1"/>
      <c r="AA1771" s="1" t="s">
        <v>40</v>
      </c>
      <c r="AB1771" s="1" t="s">
        <v>257</v>
      </c>
      <c r="AC1771" s="1"/>
    </row>
    <row r="1772">
      <c r="A1772" s="1" t="str">
        <f>"00090H"</f>
        <v>00090H</v>
      </c>
      <c r="B1772" s="1" t="s">
        <v>2524</v>
      </c>
      <c r="C1772" s="1" t="s">
        <v>2525</v>
      </c>
      <c r="D1772" s="1" t="str">
        <f>"8024725008"</f>
        <v>8024725008</v>
      </c>
      <c r="E1772" s="1">
        <v>3572.0</v>
      </c>
      <c r="F1772" s="1" t="s">
        <v>44</v>
      </c>
      <c r="G1772" s="1" t="s">
        <v>6915</v>
      </c>
      <c r="H1772" s="1">
        <v>0.0</v>
      </c>
      <c r="I1772" s="1"/>
      <c r="J1772" s="1"/>
      <c r="K1772" s="1"/>
      <c r="L1772" s="1"/>
      <c r="M1772" s="1" t="s">
        <v>72</v>
      </c>
      <c r="N1772" s="1" t="s">
        <v>128</v>
      </c>
      <c r="O1772" s="1" t="s">
        <v>1079</v>
      </c>
      <c r="P1772" s="1"/>
      <c r="Q1772" s="3">
        <v>36892.0</v>
      </c>
      <c r="R1772" s="1"/>
      <c r="S1772" s="1"/>
      <c r="T1772" s="1" t="s">
        <v>37</v>
      </c>
      <c r="U1772" s="1"/>
      <c r="V1772" s="1" t="s">
        <v>38</v>
      </c>
      <c r="W1772" s="1">
        <v>44.48827</v>
      </c>
      <c r="X1772" s="1">
        <v>-72.34343</v>
      </c>
      <c r="Y1772" s="1" t="s">
        <v>6916</v>
      </c>
      <c r="Z1772" s="1"/>
      <c r="AA1772" s="1" t="s">
        <v>40</v>
      </c>
      <c r="AB1772" s="1" t="s">
        <v>1080</v>
      </c>
      <c r="AC1772" s="1">
        <v>5843.0</v>
      </c>
    </row>
    <row r="1773">
      <c r="A1773" s="1" t="str">
        <f>"00090J"</f>
        <v>00090J</v>
      </c>
      <c r="B1773" s="1" t="s">
        <v>6917</v>
      </c>
      <c r="C1773" s="1" t="s">
        <v>6918</v>
      </c>
      <c r="D1773" s="1" t="str">
        <f>"8026498648"</f>
        <v>8026498648</v>
      </c>
      <c r="E1773" s="1">
        <v>3573.0</v>
      </c>
      <c r="F1773" s="1" t="s">
        <v>44</v>
      </c>
      <c r="G1773" s="1" t="s">
        <v>6919</v>
      </c>
      <c r="H1773" s="1"/>
      <c r="I1773" s="1"/>
      <c r="J1773" s="1"/>
      <c r="K1773" s="1"/>
      <c r="L1773" s="1"/>
      <c r="M1773" s="1" t="s">
        <v>72</v>
      </c>
      <c r="N1773" s="1" t="s">
        <v>34</v>
      </c>
      <c r="O1773" s="1" t="s">
        <v>463</v>
      </c>
      <c r="P1773" s="1"/>
      <c r="Q1773" s="3">
        <v>36892.0</v>
      </c>
      <c r="R1773" s="1"/>
      <c r="S1773" s="1"/>
      <c r="T1773" s="1" t="s">
        <v>37</v>
      </c>
      <c r="U1773" s="1"/>
      <c r="V1773" s="1" t="s">
        <v>38</v>
      </c>
      <c r="W1773" s="1"/>
      <c r="X1773" s="1"/>
      <c r="Y1773" s="1" t="s">
        <v>49</v>
      </c>
      <c r="Z1773" s="1"/>
      <c r="AA1773" s="1" t="s">
        <v>40</v>
      </c>
      <c r="AB1773" s="1" t="s">
        <v>466</v>
      </c>
      <c r="AC1773" s="1"/>
    </row>
    <row r="1774">
      <c r="A1774" s="1" t="str">
        <f>"0007XC"</f>
        <v>0007XC</v>
      </c>
      <c r="B1774" s="1" t="s">
        <v>3966</v>
      </c>
      <c r="C1774" s="1" t="s">
        <v>3967</v>
      </c>
      <c r="D1774" s="1" t="str">
        <f>"8028776766"</f>
        <v>8028776766</v>
      </c>
      <c r="E1774" s="1">
        <v>1277.0</v>
      </c>
      <c r="F1774" s="1" t="s">
        <v>44</v>
      </c>
      <c r="G1774" s="1" t="s">
        <v>6920</v>
      </c>
      <c r="H1774" s="1">
        <v>3.0</v>
      </c>
      <c r="I1774" s="1"/>
      <c r="J1774" s="1"/>
      <c r="K1774" s="1"/>
      <c r="L1774" s="1"/>
      <c r="M1774" s="1" t="s">
        <v>6921</v>
      </c>
      <c r="N1774" s="1" t="s">
        <v>57</v>
      </c>
      <c r="O1774" s="1" t="s">
        <v>1633</v>
      </c>
      <c r="P1774" s="1"/>
      <c r="Q1774" s="3">
        <v>36892.0</v>
      </c>
      <c r="R1774" s="1"/>
      <c r="S1774" s="3">
        <v>40073.0</v>
      </c>
      <c r="T1774" s="1" t="s">
        <v>37</v>
      </c>
      <c r="U1774" s="1"/>
      <c r="V1774" s="1" t="s">
        <v>38</v>
      </c>
      <c r="W1774" s="1"/>
      <c r="X1774" s="1"/>
      <c r="Y1774" s="1" t="s">
        <v>49</v>
      </c>
      <c r="Z1774" s="1"/>
      <c r="AA1774" s="1" t="s">
        <v>40</v>
      </c>
      <c r="AB1774" s="1" t="s">
        <v>1634</v>
      </c>
      <c r="AC1774" s="1"/>
    </row>
    <row r="1775">
      <c r="A1775" s="1" t="str">
        <f>"0008P7"</f>
        <v>0008P7</v>
      </c>
      <c r="B1775" s="1" t="s">
        <v>6922</v>
      </c>
      <c r="C1775" s="1" t="s">
        <v>6923</v>
      </c>
      <c r="D1775" s="1" t="str">
        <f>"8027446386"</f>
        <v>8027446386</v>
      </c>
      <c r="E1775" s="1">
        <v>3574.0</v>
      </c>
      <c r="F1775" s="1" t="s">
        <v>44</v>
      </c>
      <c r="G1775" s="1" t="s">
        <v>6924</v>
      </c>
      <c r="H1775" s="1">
        <v>2.0</v>
      </c>
      <c r="I1775" s="1"/>
      <c r="J1775" s="1"/>
      <c r="K1775" s="1"/>
      <c r="L1775" s="1"/>
      <c r="M1775" s="1" t="s">
        <v>72</v>
      </c>
      <c r="N1775" s="1" t="s">
        <v>94</v>
      </c>
      <c r="O1775" s="1" t="s">
        <v>1058</v>
      </c>
      <c r="P1775" s="1"/>
      <c r="Q1775" s="3">
        <v>36892.0</v>
      </c>
      <c r="R1775" s="1"/>
      <c r="S1775" s="3">
        <v>38134.0</v>
      </c>
      <c r="T1775" s="1" t="s">
        <v>37</v>
      </c>
      <c r="U1775" s="1"/>
      <c r="V1775" s="1" t="s">
        <v>38</v>
      </c>
      <c r="W1775" s="1"/>
      <c r="X1775" s="1"/>
      <c r="Y1775" s="1" t="s">
        <v>49</v>
      </c>
      <c r="Z1775" s="1"/>
      <c r="AA1775" s="1" t="s">
        <v>40</v>
      </c>
      <c r="AB1775" s="1" t="s">
        <v>1059</v>
      </c>
      <c r="AC1775" s="1"/>
    </row>
    <row r="1776">
      <c r="A1776" s="1" t="str">
        <f>"0008YQ"</f>
        <v>0008YQ</v>
      </c>
      <c r="B1776" s="1" t="s">
        <v>6925</v>
      </c>
      <c r="C1776" s="1" t="s">
        <v>6926</v>
      </c>
      <c r="D1776" s="1" t="str">
        <f>"8023346904"</f>
        <v>8023346904</v>
      </c>
      <c r="E1776" s="1">
        <v>3499.0</v>
      </c>
      <c r="F1776" s="1" t="s">
        <v>44</v>
      </c>
      <c r="G1776" s="1" t="s">
        <v>6927</v>
      </c>
      <c r="H1776" s="1">
        <v>2.0</v>
      </c>
      <c r="I1776" s="1"/>
      <c r="J1776" s="1"/>
      <c r="K1776" s="1"/>
      <c r="L1776" s="1"/>
      <c r="M1776" s="1" t="s">
        <v>72</v>
      </c>
      <c r="N1776" s="1" t="s">
        <v>94</v>
      </c>
      <c r="O1776" s="1" t="s">
        <v>1582</v>
      </c>
      <c r="P1776" s="1"/>
      <c r="Q1776" s="3">
        <v>36892.0</v>
      </c>
      <c r="R1776" s="1"/>
      <c r="S1776" s="3">
        <v>38134.0</v>
      </c>
      <c r="T1776" s="1" t="s">
        <v>37</v>
      </c>
      <c r="U1776" s="1"/>
      <c r="V1776" s="1" t="s">
        <v>38</v>
      </c>
      <c r="W1776" s="1"/>
      <c r="X1776" s="1"/>
      <c r="Y1776" s="1" t="s">
        <v>49</v>
      </c>
      <c r="Z1776" s="1"/>
      <c r="AA1776" s="1" t="s">
        <v>40</v>
      </c>
      <c r="AB1776" s="1" t="s">
        <v>1583</v>
      </c>
      <c r="AC1776" s="1"/>
    </row>
    <row r="1777">
      <c r="A1777" s="1" t="str">
        <f>"0008ZC"</f>
        <v>0008ZC</v>
      </c>
      <c r="B1777" s="1" t="s">
        <v>5770</v>
      </c>
      <c r="C1777" s="1" t="s">
        <v>5771</v>
      </c>
      <c r="D1777" s="1"/>
      <c r="E1777" s="1">
        <v>3536.0</v>
      </c>
      <c r="F1777" s="1" t="s">
        <v>117</v>
      </c>
      <c r="G1777" s="1" t="s">
        <v>6928</v>
      </c>
      <c r="H1777" s="1">
        <v>0.0</v>
      </c>
      <c r="I1777" s="2" t="s">
        <v>119</v>
      </c>
      <c r="J1777" s="2" t="s">
        <v>119</v>
      </c>
      <c r="K1777" s="2" t="s">
        <v>119</v>
      </c>
      <c r="L1777" s="1"/>
      <c r="M1777" s="1" t="s">
        <v>6929</v>
      </c>
      <c r="N1777" s="1" t="s">
        <v>47</v>
      </c>
      <c r="O1777" s="1" t="s">
        <v>1112</v>
      </c>
      <c r="P1777" s="1"/>
      <c r="Q1777" s="3">
        <v>36892.0</v>
      </c>
      <c r="R1777" s="3">
        <v>42155.0</v>
      </c>
      <c r="S1777" s="3">
        <v>40302.0</v>
      </c>
      <c r="T1777" s="1" t="s">
        <v>37</v>
      </c>
      <c r="U1777" s="1"/>
      <c r="V1777" s="1" t="s">
        <v>38</v>
      </c>
      <c r="W1777" s="1">
        <v>44.9180982</v>
      </c>
      <c r="X1777" s="1">
        <v>-73.1242977</v>
      </c>
      <c r="Y1777" s="1" t="s">
        <v>49</v>
      </c>
      <c r="Z1777" s="1"/>
      <c r="AA1777" s="1" t="s">
        <v>40</v>
      </c>
      <c r="AB1777" s="1" t="s">
        <v>1115</v>
      </c>
      <c r="AC1777" s="1">
        <v>5488.0</v>
      </c>
    </row>
    <row r="1778">
      <c r="A1778" s="1" t="str">
        <f t="shared" ref="A1778:A1779" si="114">"0007WB"</f>
        <v>0007WB</v>
      </c>
      <c r="B1778" s="1" t="s">
        <v>567</v>
      </c>
      <c r="C1778" s="1" t="s">
        <v>568</v>
      </c>
      <c r="D1778" s="1" t="str">
        <f t="shared" ref="D1778:D1779" si="115">"8029895895"</f>
        <v>8029895895</v>
      </c>
      <c r="E1778" s="1">
        <v>2046.0</v>
      </c>
      <c r="F1778" s="1" t="s">
        <v>117</v>
      </c>
      <c r="G1778" s="1" t="s">
        <v>6930</v>
      </c>
      <c r="H1778" s="1">
        <v>28.0</v>
      </c>
      <c r="I1778" s="2" t="s">
        <v>119</v>
      </c>
      <c r="J1778" s="2" t="s">
        <v>119</v>
      </c>
      <c r="K1778" s="2" t="s">
        <v>119</v>
      </c>
      <c r="L1778" s="1"/>
      <c r="M1778" s="1" t="s">
        <v>6931</v>
      </c>
      <c r="N1778" s="1" t="s">
        <v>161</v>
      </c>
      <c r="O1778" s="1" t="s">
        <v>3504</v>
      </c>
      <c r="P1778" s="1" t="s">
        <v>6932</v>
      </c>
      <c r="Q1778" s="3">
        <v>36892.0</v>
      </c>
      <c r="R1778" s="1"/>
      <c r="S1778" s="3">
        <v>41929.0</v>
      </c>
      <c r="T1778" s="1" t="s">
        <v>37</v>
      </c>
      <c r="U1778" s="1"/>
      <c r="V1778" s="1" t="s">
        <v>38</v>
      </c>
      <c r="W1778" s="1">
        <v>44.126767392449</v>
      </c>
      <c r="X1778" s="1">
        <v>-73.3526805161659</v>
      </c>
      <c r="Y1778" s="1" t="s">
        <v>6933</v>
      </c>
      <c r="Z1778" s="1"/>
      <c r="AA1778" s="1" t="s">
        <v>40</v>
      </c>
      <c r="AB1778" s="1" t="s">
        <v>3507</v>
      </c>
      <c r="AC1778" s="1">
        <v>0.0</v>
      </c>
    </row>
    <row r="1779">
      <c r="A1779" s="1" t="str">
        <f t="shared" si="114"/>
        <v>0007WB</v>
      </c>
      <c r="B1779" s="1" t="s">
        <v>567</v>
      </c>
      <c r="C1779" s="1" t="s">
        <v>568</v>
      </c>
      <c r="D1779" s="1" t="str">
        <f t="shared" si="115"/>
        <v>8029895895</v>
      </c>
      <c r="E1779" s="1">
        <v>2046.0</v>
      </c>
      <c r="F1779" s="1" t="s">
        <v>117</v>
      </c>
      <c r="G1779" s="1" t="s">
        <v>6934</v>
      </c>
      <c r="H1779" s="1">
        <v>27.0</v>
      </c>
      <c r="I1779" s="2" t="s">
        <v>119</v>
      </c>
      <c r="J1779" s="2" t="s">
        <v>119</v>
      </c>
      <c r="K1779" s="2" t="s">
        <v>119</v>
      </c>
      <c r="L1779" s="1"/>
      <c r="M1779" s="1" t="s">
        <v>6935</v>
      </c>
      <c r="N1779" s="1" t="s">
        <v>161</v>
      </c>
      <c r="O1779" s="1" t="s">
        <v>3504</v>
      </c>
      <c r="P1779" s="1"/>
      <c r="Q1779" s="3">
        <v>36892.0</v>
      </c>
      <c r="R1779" s="1"/>
      <c r="S1779" s="3">
        <v>39752.0</v>
      </c>
      <c r="T1779" s="1" t="s">
        <v>37</v>
      </c>
      <c r="U1779" s="1"/>
      <c r="V1779" s="1" t="s">
        <v>38</v>
      </c>
      <c r="W1779" s="1">
        <v>44.1385694819043</v>
      </c>
      <c r="X1779" s="1">
        <v>-73.3462685583072</v>
      </c>
      <c r="Y1779" s="1" t="s">
        <v>6936</v>
      </c>
      <c r="Z1779" s="1"/>
      <c r="AA1779" s="1" t="s">
        <v>40</v>
      </c>
      <c r="AB1779" s="1" t="s">
        <v>3507</v>
      </c>
      <c r="AC1779" s="1">
        <v>5491.0</v>
      </c>
    </row>
    <row r="1780">
      <c r="A1780" s="1" t="str">
        <f>"00090N"</f>
        <v>00090N</v>
      </c>
      <c r="B1780" s="1" t="s">
        <v>6937</v>
      </c>
      <c r="C1780" s="1" t="s">
        <v>6938</v>
      </c>
      <c r="D1780" s="1" t="str">
        <f>"8026493146"</f>
        <v>8026493146</v>
      </c>
      <c r="E1780" s="1">
        <v>3600.0</v>
      </c>
      <c r="F1780" s="1" t="s">
        <v>44</v>
      </c>
      <c r="G1780" s="1" t="s">
        <v>6939</v>
      </c>
      <c r="H1780" s="1"/>
      <c r="I1780" s="1"/>
      <c r="J1780" s="1"/>
      <c r="K1780" s="1"/>
      <c r="L1780" s="1"/>
      <c r="M1780" s="1" t="s">
        <v>72</v>
      </c>
      <c r="N1780" s="1" t="s">
        <v>34</v>
      </c>
      <c r="O1780" s="1" t="s">
        <v>463</v>
      </c>
      <c r="P1780" s="1"/>
      <c r="Q1780" s="3">
        <v>36892.0</v>
      </c>
      <c r="R1780" s="1"/>
      <c r="S1780" s="1"/>
      <c r="T1780" s="1" t="s">
        <v>37</v>
      </c>
      <c r="U1780" s="1"/>
      <c r="V1780" s="1" t="s">
        <v>38</v>
      </c>
      <c r="W1780" s="1"/>
      <c r="X1780" s="1"/>
      <c r="Y1780" s="1" t="s">
        <v>49</v>
      </c>
      <c r="Z1780" s="1"/>
      <c r="AA1780" s="1" t="s">
        <v>40</v>
      </c>
      <c r="AB1780" s="1" t="s">
        <v>466</v>
      </c>
      <c r="AC1780" s="1"/>
    </row>
    <row r="1781">
      <c r="A1781" s="1" t="str">
        <f t="shared" ref="A1781:A1782" si="116">"00090Q"</f>
        <v>00090Q</v>
      </c>
      <c r="B1781" s="1" t="s">
        <v>6940</v>
      </c>
      <c r="C1781" s="1" t="s">
        <v>6941</v>
      </c>
      <c r="D1781" s="1" t="str">
        <f t="shared" ref="D1781:D1782" si="117">"8024292064"</f>
        <v>8024292064</v>
      </c>
      <c r="E1781" s="1">
        <v>3603.0</v>
      </c>
      <c r="F1781" s="1" t="s">
        <v>31</v>
      </c>
      <c r="G1781" s="1" t="s">
        <v>6942</v>
      </c>
      <c r="H1781" s="1">
        <v>5.0</v>
      </c>
      <c r="I1781" s="1"/>
      <c r="J1781" s="1"/>
      <c r="K1781" s="1"/>
      <c r="L1781" s="1"/>
      <c r="M1781" s="1" t="s">
        <v>6943</v>
      </c>
      <c r="N1781" s="1" t="s">
        <v>142</v>
      </c>
      <c r="O1781" s="1" t="s">
        <v>227</v>
      </c>
      <c r="P1781" s="1"/>
      <c r="Q1781" s="3">
        <v>36892.0</v>
      </c>
      <c r="R1781" s="1"/>
      <c r="S1781" s="3">
        <v>42271.0</v>
      </c>
      <c r="T1781" s="1" t="s">
        <v>37</v>
      </c>
      <c r="U1781" s="1"/>
      <c r="V1781" s="1" t="s">
        <v>38</v>
      </c>
      <c r="W1781" s="1">
        <v>44.0002316244094</v>
      </c>
      <c r="X1781" s="1">
        <v>-72.1183562278747</v>
      </c>
      <c r="Y1781" s="1" t="s">
        <v>6944</v>
      </c>
      <c r="Z1781" s="1"/>
      <c r="AA1781" s="1" t="s">
        <v>40</v>
      </c>
      <c r="AB1781" s="1" t="s">
        <v>228</v>
      </c>
      <c r="AC1781" s="1">
        <v>5085.0</v>
      </c>
    </row>
    <row r="1782">
      <c r="A1782" s="1" t="str">
        <f t="shared" si="116"/>
        <v>00090Q</v>
      </c>
      <c r="B1782" s="1" t="s">
        <v>6940</v>
      </c>
      <c r="C1782" s="1" t="s">
        <v>6941</v>
      </c>
      <c r="D1782" s="1" t="str">
        <f t="shared" si="117"/>
        <v>8024292064</v>
      </c>
      <c r="E1782" s="1">
        <v>3603.0</v>
      </c>
      <c r="F1782" s="1" t="s">
        <v>31</v>
      </c>
      <c r="G1782" s="1" t="s">
        <v>6945</v>
      </c>
      <c r="H1782" s="1">
        <v>4.0</v>
      </c>
      <c r="I1782" s="1"/>
      <c r="J1782" s="1"/>
      <c r="K1782" s="1"/>
      <c r="L1782" s="1"/>
      <c r="M1782" s="1" t="s">
        <v>72</v>
      </c>
      <c r="N1782" s="1" t="s">
        <v>142</v>
      </c>
      <c r="O1782" s="1" t="s">
        <v>540</v>
      </c>
      <c r="P1782" s="1" t="s">
        <v>6946</v>
      </c>
      <c r="Q1782" s="3">
        <v>36892.0</v>
      </c>
      <c r="R1782" s="1"/>
      <c r="S1782" s="3">
        <v>40304.0</v>
      </c>
      <c r="T1782" s="1" t="s">
        <v>37</v>
      </c>
      <c r="U1782" s="1"/>
      <c r="V1782" s="1" t="s">
        <v>38</v>
      </c>
      <c r="W1782" s="1">
        <v>44.053004567624</v>
      </c>
      <c r="X1782" s="1">
        <v>-72.1132171154022</v>
      </c>
      <c r="Y1782" s="1" t="s">
        <v>6947</v>
      </c>
      <c r="Z1782" s="1"/>
      <c r="AA1782" s="1" t="s">
        <v>40</v>
      </c>
      <c r="AB1782" s="1" t="s">
        <v>6797</v>
      </c>
      <c r="AC1782" s="1">
        <v>5085.0</v>
      </c>
    </row>
    <row r="1783">
      <c r="A1783" s="1" t="str">
        <f>"00090Z"</f>
        <v>00090Z</v>
      </c>
      <c r="B1783" s="1" t="s">
        <v>1060</v>
      </c>
      <c r="C1783" s="1" t="s">
        <v>1061</v>
      </c>
      <c r="D1783" s="1" t="str">
        <f>"8022351042"</f>
        <v>8022351042</v>
      </c>
      <c r="E1783" s="1">
        <v>3613.0</v>
      </c>
      <c r="F1783" s="1" t="s">
        <v>44</v>
      </c>
      <c r="G1783" s="1" t="s">
        <v>6948</v>
      </c>
      <c r="H1783" s="1"/>
      <c r="I1783" s="1"/>
      <c r="J1783" s="1"/>
      <c r="K1783" s="1"/>
      <c r="L1783" s="1"/>
      <c r="M1783" s="1" t="s">
        <v>6949</v>
      </c>
      <c r="N1783" s="1" t="s">
        <v>78</v>
      </c>
      <c r="O1783" s="1" t="s">
        <v>251</v>
      </c>
      <c r="P1783" s="1"/>
      <c r="Q1783" s="3">
        <v>36892.0</v>
      </c>
      <c r="R1783" s="1"/>
      <c r="S1783" s="1"/>
      <c r="T1783" s="1" t="s">
        <v>37</v>
      </c>
      <c r="U1783" s="1"/>
      <c r="V1783" s="1" t="s">
        <v>38</v>
      </c>
      <c r="W1783" s="1"/>
      <c r="X1783" s="1"/>
      <c r="Y1783" s="1" t="s">
        <v>49</v>
      </c>
      <c r="Z1783" s="1"/>
      <c r="AA1783" s="1" t="s">
        <v>40</v>
      </c>
      <c r="AB1783" s="1" t="s">
        <v>252</v>
      </c>
      <c r="AC1783" s="1"/>
    </row>
    <row r="1784">
      <c r="A1784" s="1" t="str">
        <f>"00090W"</f>
        <v>00090W</v>
      </c>
      <c r="B1784" s="1" t="s">
        <v>6950</v>
      </c>
      <c r="C1784" s="1" t="s">
        <v>6951</v>
      </c>
      <c r="D1784" s="1" t="str">
        <f>"8024571466"</f>
        <v>8024571466</v>
      </c>
      <c r="E1784" s="1">
        <v>3610.0</v>
      </c>
      <c r="F1784" s="1" t="s">
        <v>44</v>
      </c>
      <c r="G1784" s="1" t="s">
        <v>6952</v>
      </c>
      <c r="H1784" s="1">
        <v>2.0</v>
      </c>
      <c r="I1784" s="1"/>
      <c r="J1784" s="1"/>
      <c r="K1784" s="1"/>
      <c r="L1784" s="1"/>
      <c r="M1784" s="1" t="s">
        <v>72</v>
      </c>
      <c r="N1784" s="1" t="s">
        <v>34</v>
      </c>
      <c r="O1784" s="1" t="s">
        <v>324</v>
      </c>
      <c r="P1784" s="1"/>
      <c r="Q1784" s="3">
        <v>36892.0</v>
      </c>
      <c r="R1784" s="1"/>
      <c r="S1784" s="3">
        <v>39279.0</v>
      </c>
      <c r="T1784" s="1" t="s">
        <v>37</v>
      </c>
      <c r="U1784" s="1"/>
      <c r="V1784" s="1" t="s">
        <v>38</v>
      </c>
      <c r="W1784" s="1"/>
      <c r="X1784" s="1"/>
      <c r="Y1784" s="1" t="s">
        <v>49</v>
      </c>
      <c r="Z1784" s="1"/>
      <c r="AA1784" s="1" t="s">
        <v>40</v>
      </c>
      <c r="AB1784" s="1" t="s">
        <v>326</v>
      </c>
      <c r="AC1784" s="1"/>
    </row>
    <row r="1785">
      <c r="A1785" s="1" t="str">
        <f>"0008X0"</f>
        <v>0008X0</v>
      </c>
      <c r="B1785" s="1" t="s">
        <v>4470</v>
      </c>
      <c r="C1785" s="1" t="s">
        <v>4471</v>
      </c>
      <c r="D1785" s="1" t="str">
        <f>"8022446657"</f>
        <v>8022446657</v>
      </c>
      <c r="E1785" s="1">
        <v>3416.0</v>
      </c>
      <c r="F1785" s="1" t="s">
        <v>117</v>
      </c>
      <c r="G1785" s="1" t="s">
        <v>6953</v>
      </c>
      <c r="H1785" s="1">
        <v>5.0</v>
      </c>
      <c r="I1785" s="2">
        <v>1.0</v>
      </c>
      <c r="J1785" s="2">
        <v>1.0</v>
      </c>
      <c r="K1785" s="2" t="s">
        <v>119</v>
      </c>
      <c r="L1785" s="1"/>
      <c r="M1785" s="1" t="s">
        <v>6954</v>
      </c>
      <c r="N1785" s="1" t="s">
        <v>135</v>
      </c>
      <c r="O1785" s="1" t="s">
        <v>3300</v>
      </c>
      <c r="P1785" s="1" t="s">
        <v>6955</v>
      </c>
      <c r="Q1785" s="3">
        <v>36892.0</v>
      </c>
      <c r="R1785" s="1"/>
      <c r="S1785" s="1"/>
      <c r="T1785" s="1" t="s">
        <v>37</v>
      </c>
      <c r="U1785" s="1"/>
      <c r="V1785" s="1" t="s">
        <v>38</v>
      </c>
      <c r="W1785" s="1">
        <v>44.3430315922427</v>
      </c>
      <c r="X1785" s="1">
        <v>-72.8408440947532</v>
      </c>
      <c r="Y1785" s="1" t="s">
        <v>6956</v>
      </c>
      <c r="Z1785" s="1"/>
      <c r="AA1785" s="1" t="s">
        <v>40</v>
      </c>
      <c r="AB1785" s="1" t="s">
        <v>3301</v>
      </c>
      <c r="AC1785" s="1">
        <v>5676.0</v>
      </c>
    </row>
    <row r="1786">
      <c r="A1786" s="1" t="str">
        <f>"0007W5"</f>
        <v>0007W5</v>
      </c>
      <c r="B1786" s="1" t="s">
        <v>6957</v>
      </c>
      <c r="C1786" s="1" t="s">
        <v>6958</v>
      </c>
      <c r="D1786" s="1" t="str">
        <f>"8023758029"</f>
        <v>8023758029</v>
      </c>
      <c r="E1786" s="1">
        <v>4124.0</v>
      </c>
      <c r="F1786" s="1" t="s">
        <v>44</v>
      </c>
      <c r="G1786" s="1" t="s">
        <v>6959</v>
      </c>
      <c r="H1786" s="1">
        <v>2.0</v>
      </c>
      <c r="I1786" s="1"/>
      <c r="J1786" s="1"/>
      <c r="K1786" s="1"/>
      <c r="L1786" s="1"/>
      <c r="M1786" s="1" t="s">
        <v>72</v>
      </c>
      <c r="N1786" s="1" t="s">
        <v>414</v>
      </c>
      <c r="O1786" s="1" t="s">
        <v>2703</v>
      </c>
      <c r="P1786" s="1" t="s">
        <v>6960</v>
      </c>
      <c r="Q1786" s="3">
        <v>36892.0</v>
      </c>
      <c r="R1786" s="1"/>
      <c r="S1786" s="1"/>
      <c r="T1786" s="1" t="s">
        <v>37</v>
      </c>
      <c r="U1786" s="1"/>
      <c r="V1786" s="1" t="s">
        <v>38</v>
      </c>
      <c r="W1786" s="1">
        <v>43.1113937999999</v>
      </c>
      <c r="X1786" s="1">
        <v>-73.1180595</v>
      </c>
      <c r="Y1786" s="1" t="s">
        <v>6961</v>
      </c>
      <c r="Z1786" s="1"/>
      <c r="AA1786" s="1" t="s">
        <v>40</v>
      </c>
      <c r="AB1786" s="1" t="s">
        <v>2704</v>
      </c>
      <c r="AC1786" s="1">
        <v>5250.0</v>
      </c>
    </row>
    <row r="1787">
      <c r="A1787" s="1" t="str">
        <f>"0008KP"</f>
        <v>0008KP</v>
      </c>
      <c r="B1787" s="1" t="s">
        <v>6962</v>
      </c>
      <c r="C1787" s="1" t="s">
        <v>6963</v>
      </c>
      <c r="D1787" s="1" t="str">
        <f>"8024254414"</f>
        <v>8024254414</v>
      </c>
      <c r="E1787" s="1">
        <v>3632.0</v>
      </c>
      <c r="F1787" s="1" t="s">
        <v>44</v>
      </c>
      <c r="G1787" s="1" t="s">
        <v>6964</v>
      </c>
      <c r="H1787" s="1">
        <v>4.0</v>
      </c>
      <c r="I1787" s="1"/>
      <c r="J1787" s="1"/>
      <c r="K1787" s="1"/>
      <c r="L1787" s="1"/>
      <c r="M1787" s="1" t="s">
        <v>6965</v>
      </c>
      <c r="N1787" s="1" t="s">
        <v>57</v>
      </c>
      <c r="O1787" s="1" t="s">
        <v>1633</v>
      </c>
      <c r="P1787" s="1"/>
      <c r="Q1787" s="3">
        <v>36892.0</v>
      </c>
      <c r="R1787" s="1"/>
      <c r="S1787" s="3">
        <v>40351.0</v>
      </c>
      <c r="T1787" s="1" t="s">
        <v>37</v>
      </c>
      <c r="U1787" s="1"/>
      <c r="V1787" s="1" t="s">
        <v>38</v>
      </c>
      <c r="W1787" s="1"/>
      <c r="X1787" s="1"/>
      <c r="Y1787" s="1" t="s">
        <v>49</v>
      </c>
      <c r="Z1787" s="1"/>
      <c r="AA1787" s="1" t="s">
        <v>40</v>
      </c>
      <c r="AB1787" s="1" t="s">
        <v>1634</v>
      </c>
      <c r="AC1787" s="1"/>
    </row>
    <row r="1788">
      <c r="A1788" s="1" t="str">
        <f>"00074B"</f>
        <v>00074B</v>
      </c>
      <c r="B1788" s="1" t="s">
        <v>6966</v>
      </c>
      <c r="C1788" s="1" t="s">
        <v>6967</v>
      </c>
      <c r="D1788" s="1" t="str">
        <f>"8028885923"</f>
        <v>8028885923</v>
      </c>
      <c r="E1788" s="1">
        <v>3633.0</v>
      </c>
      <c r="F1788" s="1" t="s">
        <v>44</v>
      </c>
      <c r="G1788" s="1" t="s">
        <v>6968</v>
      </c>
      <c r="H1788" s="1"/>
      <c r="I1788" s="1"/>
      <c r="J1788" s="1"/>
      <c r="K1788" s="1"/>
      <c r="L1788" s="1"/>
      <c r="M1788" s="1" t="s">
        <v>6969</v>
      </c>
      <c r="N1788" s="1" t="s">
        <v>213</v>
      </c>
      <c r="O1788" s="1" t="s">
        <v>2562</v>
      </c>
      <c r="P1788" s="1"/>
      <c r="Q1788" s="3">
        <v>36892.0</v>
      </c>
      <c r="R1788" s="1"/>
      <c r="S1788" s="1"/>
      <c r="T1788" s="1" t="s">
        <v>37</v>
      </c>
      <c r="U1788" s="1"/>
      <c r="V1788" s="1" t="s">
        <v>38</v>
      </c>
      <c r="W1788" s="1"/>
      <c r="X1788" s="1"/>
      <c r="Y1788" s="1" t="s">
        <v>49</v>
      </c>
      <c r="Z1788" s="1"/>
      <c r="AA1788" s="1" t="s">
        <v>40</v>
      </c>
      <c r="AB1788" s="1" t="s">
        <v>2563</v>
      </c>
      <c r="AC1788" s="1"/>
    </row>
    <row r="1789">
      <c r="A1789" s="1" t="str">
        <f>"000910"</f>
        <v>000910</v>
      </c>
      <c r="B1789" s="1" t="s">
        <v>6970</v>
      </c>
      <c r="C1789" s="1" t="s">
        <v>6971</v>
      </c>
      <c r="D1789" s="1" t="str">
        <f>"8023723752"</f>
        <v>8023723752</v>
      </c>
      <c r="E1789" s="1">
        <v>3634.0</v>
      </c>
      <c r="F1789" s="1" t="s">
        <v>44</v>
      </c>
      <c r="G1789" s="1" t="s">
        <v>6972</v>
      </c>
      <c r="H1789" s="1">
        <v>0.0</v>
      </c>
      <c r="I1789" s="2" t="s">
        <v>119</v>
      </c>
      <c r="J1789" s="2">
        <v>0.0</v>
      </c>
      <c r="K1789" s="2" t="s">
        <v>119</v>
      </c>
      <c r="L1789" s="1"/>
      <c r="M1789" s="1">
        <v>1.0</v>
      </c>
      <c r="N1789" s="1" t="s">
        <v>107</v>
      </c>
      <c r="O1789" s="1" t="s">
        <v>108</v>
      </c>
      <c r="P1789" s="1" t="s">
        <v>6973</v>
      </c>
      <c r="Q1789" s="3">
        <v>36892.0</v>
      </c>
      <c r="R1789" s="1"/>
      <c r="S1789" s="3">
        <v>42564.0</v>
      </c>
      <c r="T1789" s="1" t="s">
        <v>37</v>
      </c>
      <c r="U1789" s="1"/>
      <c r="V1789" s="1" t="s">
        <v>38</v>
      </c>
      <c r="W1789" s="1">
        <v>44.687492</v>
      </c>
      <c r="X1789" s="1">
        <v>-73.3155138999999</v>
      </c>
      <c r="Y1789" s="1" t="s">
        <v>6974</v>
      </c>
      <c r="Z1789" s="1"/>
      <c r="AA1789" s="1" t="s">
        <v>40</v>
      </c>
      <c r="AB1789" s="1" t="s">
        <v>107</v>
      </c>
      <c r="AC1789" s="1">
        <v>5458.0</v>
      </c>
    </row>
    <row r="1790">
      <c r="A1790" s="1" t="str">
        <f>"000911"</f>
        <v>000911</v>
      </c>
      <c r="B1790" s="1" t="s">
        <v>6975</v>
      </c>
      <c r="C1790" s="1" t="s">
        <v>6976</v>
      </c>
      <c r="D1790" s="1" t="str">
        <f>"8023263133"</f>
        <v>8023263133</v>
      </c>
      <c r="E1790" s="1">
        <v>3636.0</v>
      </c>
      <c r="F1790" s="1" t="s">
        <v>44</v>
      </c>
      <c r="G1790" s="1" t="s">
        <v>6977</v>
      </c>
      <c r="H1790" s="1">
        <v>26.0</v>
      </c>
      <c r="I1790" s="1"/>
      <c r="J1790" s="1"/>
      <c r="K1790" s="1"/>
      <c r="L1790" s="1"/>
      <c r="M1790" s="1" t="s">
        <v>72</v>
      </c>
      <c r="N1790" s="1" t="s">
        <v>47</v>
      </c>
      <c r="O1790" s="1" t="s">
        <v>599</v>
      </c>
      <c r="P1790" s="1"/>
      <c r="Q1790" s="3">
        <v>36892.0</v>
      </c>
      <c r="R1790" s="1"/>
      <c r="S1790" s="3">
        <v>39006.0</v>
      </c>
      <c r="T1790" s="1" t="s">
        <v>37</v>
      </c>
      <c r="U1790" s="1"/>
      <c r="V1790" s="1" t="s">
        <v>38</v>
      </c>
      <c r="W1790" s="1"/>
      <c r="X1790" s="1"/>
      <c r="Y1790" s="1" t="s">
        <v>49</v>
      </c>
      <c r="Z1790" s="1"/>
      <c r="AA1790" s="1" t="s">
        <v>40</v>
      </c>
      <c r="AB1790" s="1" t="s">
        <v>602</v>
      </c>
      <c r="AC1790" s="1"/>
    </row>
    <row r="1791">
      <c r="A1791" s="1" t="str">
        <f>"000912"</f>
        <v>000912</v>
      </c>
      <c r="B1791" s="1" t="s">
        <v>6978</v>
      </c>
      <c r="C1791" s="1" t="s">
        <v>6979</v>
      </c>
      <c r="D1791" s="1" t="str">
        <f>"8024449004"</f>
        <v>8024449004</v>
      </c>
      <c r="E1791" s="1">
        <v>3637.0</v>
      </c>
      <c r="F1791" s="1" t="s">
        <v>44</v>
      </c>
      <c r="G1791" s="1" t="s">
        <v>6980</v>
      </c>
      <c r="H1791" s="1">
        <v>4.0</v>
      </c>
      <c r="I1791" s="1"/>
      <c r="J1791" s="1"/>
      <c r="K1791" s="1"/>
      <c r="L1791" s="1"/>
      <c r="M1791" s="1" t="s">
        <v>72</v>
      </c>
      <c r="N1791" s="1" t="s">
        <v>66</v>
      </c>
      <c r="O1791" s="1" t="s">
        <v>751</v>
      </c>
      <c r="P1791" s="1"/>
      <c r="Q1791" s="3">
        <v>36892.0</v>
      </c>
      <c r="R1791" s="1"/>
      <c r="S1791" s="3">
        <v>38973.0</v>
      </c>
      <c r="T1791" s="1" t="s">
        <v>37</v>
      </c>
      <c r="U1791" s="1"/>
      <c r="V1791" s="1" t="s">
        <v>38</v>
      </c>
      <c r="W1791" s="1"/>
      <c r="X1791" s="1"/>
      <c r="Y1791" s="1" t="s">
        <v>49</v>
      </c>
      <c r="Z1791" s="1"/>
      <c r="AA1791" s="1" t="s">
        <v>40</v>
      </c>
      <c r="AB1791" s="1" t="s">
        <v>754</v>
      </c>
      <c r="AC1791" s="1"/>
    </row>
    <row r="1792">
      <c r="A1792" s="1" t="str">
        <f>"000913"</f>
        <v>000913</v>
      </c>
      <c r="B1792" s="1" t="s">
        <v>6981</v>
      </c>
      <c r="C1792" s="1" t="s">
        <v>6982</v>
      </c>
      <c r="D1792" s="1" t="str">
        <f>"8023889250"</f>
        <v>8023889250</v>
      </c>
      <c r="E1792" s="1">
        <v>3638.0</v>
      </c>
      <c r="F1792" s="1" t="s">
        <v>44</v>
      </c>
      <c r="G1792" s="1" t="s">
        <v>6983</v>
      </c>
      <c r="H1792" s="1"/>
      <c r="I1792" s="1"/>
      <c r="J1792" s="1"/>
      <c r="K1792" s="1"/>
      <c r="L1792" s="1"/>
      <c r="M1792" s="1" t="s">
        <v>134</v>
      </c>
      <c r="N1792" s="1" t="s">
        <v>161</v>
      </c>
      <c r="O1792" s="1" t="s">
        <v>1501</v>
      </c>
      <c r="P1792" s="1"/>
      <c r="Q1792" s="3">
        <v>36892.0</v>
      </c>
      <c r="R1792" s="1"/>
      <c r="S1792" s="1"/>
      <c r="T1792" s="1" t="s">
        <v>37</v>
      </c>
      <c r="U1792" s="1"/>
      <c r="V1792" s="1" t="s">
        <v>38</v>
      </c>
      <c r="W1792" s="1"/>
      <c r="X1792" s="1"/>
      <c r="Y1792" s="1" t="s">
        <v>49</v>
      </c>
      <c r="Z1792" s="1"/>
      <c r="AA1792" s="1" t="s">
        <v>40</v>
      </c>
      <c r="AB1792" s="1" t="s">
        <v>1504</v>
      </c>
      <c r="AC1792" s="1"/>
    </row>
    <row r="1793">
      <c r="A1793" s="1" t="str">
        <f>"000914"</f>
        <v>000914</v>
      </c>
      <c r="B1793" s="1" t="s">
        <v>6984</v>
      </c>
      <c r="C1793" s="1" t="s">
        <v>6985</v>
      </c>
      <c r="D1793" s="1" t="str">
        <f>"8024962523"</f>
        <v>8024962523</v>
      </c>
      <c r="E1793" s="1">
        <v>3641.0</v>
      </c>
      <c r="F1793" s="1" t="s">
        <v>44</v>
      </c>
      <c r="G1793" s="1" t="s">
        <v>6986</v>
      </c>
      <c r="H1793" s="1">
        <v>1.0</v>
      </c>
      <c r="I1793" s="1"/>
      <c r="J1793" s="1"/>
      <c r="K1793" s="1"/>
      <c r="L1793" s="1"/>
      <c r="M1793" s="1" t="s">
        <v>72</v>
      </c>
      <c r="N1793" s="1" t="s">
        <v>135</v>
      </c>
      <c r="O1793" s="1" t="s">
        <v>440</v>
      </c>
      <c r="P1793" s="1"/>
      <c r="Q1793" s="3">
        <v>36892.0</v>
      </c>
      <c r="R1793" s="1"/>
      <c r="S1793" s="3">
        <v>39994.0</v>
      </c>
      <c r="T1793" s="1" t="s">
        <v>37</v>
      </c>
      <c r="U1793" s="1"/>
      <c r="V1793" s="1" t="s">
        <v>38</v>
      </c>
      <c r="W1793" s="1">
        <v>44.195137</v>
      </c>
      <c r="X1793" s="1">
        <v>-72.784851</v>
      </c>
      <c r="Y1793" s="1" t="s">
        <v>6987</v>
      </c>
      <c r="Z1793" s="1"/>
      <c r="AA1793" s="1" t="s">
        <v>40</v>
      </c>
      <c r="AB1793" s="1" t="s">
        <v>441</v>
      </c>
      <c r="AC1793" s="1">
        <v>5673.0</v>
      </c>
    </row>
    <row r="1794">
      <c r="A1794" s="1" t="str">
        <f>"00091V"</f>
        <v>00091V</v>
      </c>
      <c r="B1794" s="1" t="s">
        <v>6988</v>
      </c>
      <c r="C1794" s="1" t="s">
        <v>6989</v>
      </c>
      <c r="D1794" s="1" t="str">
        <f>"8029334734"</f>
        <v>8029334734</v>
      </c>
      <c r="E1794" s="1">
        <v>3745.0</v>
      </c>
      <c r="F1794" s="1" t="s">
        <v>44</v>
      </c>
      <c r="G1794" s="1" t="s">
        <v>6990</v>
      </c>
      <c r="H1794" s="1">
        <v>1.0</v>
      </c>
      <c r="I1794" s="1"/>
      <c r="J1794" s="1"/>
      <c r="K1794" s="1"/>
      <c r="L1794" s="1"/>
      <c r="M1794" s="1" t="s">
        <v>6991</v>
      </c>
      <c r="N1794" s="1" t="s">
        <v>47</v>
      </c>
      <c r="O1794" s="1" t="s">
        <v>48</v>
      </c>
      <c r="P1794" s="1"/>
      <c r="Q1794" s="3">
        <v>36892.0</v>
      </c>
      <c r="R1794" s="1"/>
      <c r="S1794" s="3">
        <v>39295.0</v>
      </c>
      <c r="T1794" s="1" t="s">
        <v>37</v>
      </c>
      <c r="U1794" s="1"/>
      <c r="V1794" s="1" t="s">
        <v>38</v>
      </c>
      <c r="W1794" s="1"/>
      <c r="X1794" s="1"/>
      <c r="Y1794" s="1" t="s">
        <v>49</v>
      </c>
      <c r="Z1794" s="1"/>
      <c r="AA1794" s="1" t="s">
        <v>40</v>
      </c>
      <c r="AB1794" s="1" t="s">
        <v>50</v>
      </c>
      <c r="AC1794" s="1"/>
    </row>
    <row r="1795">
      <c r="A1795" s="1" t="str">
        <f>"000917"</f>
        <v>000917</v>
      </c>
      <c r="B1795" s="1" t="s">
        <v>6992</v>
      </c>
      <c r="C1795" s="1" t="s">
        <v>6993</v>
      </c>
      <c r="D1795" s="1" t="str">
        <f>"8026749292"</f>
        <v>8026749292</v>
      </c>
      <c r="E1795" s="1">
        <v>3644.0</v>
      </c>
      <c r="F1795" s="1" t="s">
        <v>44</v>
      </c>
      <c r="G1795" s="1" t="s">
        <v>6994</v>
      </c>
      <c r="H1795" s="1">
        <v>1.0</v>
      </c>
      <c r="I1795" s="1"/>
      <c r="J1795" s="1"/>
      <c r="K1795" s="1"/>
      <c r="L1795" s="1"/>
      <c r="M1795" s="1" t="s">
        <v>72</v>
      </c>
      <c r="N1795" s="1" t="s">
        <v>34</v>
      </c>
      <c r="O1795" s="1" t="s">
        <v>1085</v>
      </c>
      <c r="P1795" s="1"/>
      <c r="Q1795" s="3">
        <v>36892.0</v>
      </c>
      <c r="R1795" s="1"/>
      <c r="S1795" s="3">
        <v>38530.0</v>
      </c>
      <c r="T1795" s="1" t="s">
        <v>37</v>
      </c>
      <c r="U1795" s="1"/>
      <c r="V1795" s="1" t="s">
        <v>38</v>
      </c>
      <c r="W1795" s="1"/>
      <c r="X1795" s="1"/>
      <c r="Y1795" s="1" t="s">
        <v>49</v>
      </c>
      <c r="Z1795" s="1"/>
      <c r="AA1795" s="1" t="s">
        <v>40</v>
      </c>
      <c r="AB1795" s="1" t="s">
        <v>1086</v>
      </c>
      <c r="AC1795" s="1"/>
    </row>
    <row r="1796">
      <c r="A1796" s="1" t="str">
        <f>"000918"</f>
        <v>000918</v>
      </c>
      <c r="B1796" s="1" t="s">
        <v>6995</v>
      </c>
      <c r="C1796" s="1" t="s">
        <v>6996</v>
      </c>
      <c r="D1796" s="1" t="str">
        <f>"8023430442"</f>
        <v>8023430442</v>
      </c>
      <c r="E1796" s="1">
        <v>3645.0</v>
      </c>
      <c r="F1796" s="1" t="s">
        <v>117</v>
      </c>
      <c r="G1796" s="1" t="s">
        <v>6997</v>
      </c>
      <c r="H1796" s="1">
        <v>3.0</v>
      </c>
      <c r="I1796" s="2" t="s">
        <v>119</v>
      </c>
      <c r="J1796" s="2">
        <v>2.0</v>
      </c>
      <c r="K1796" s="2" t="s">
        <v>119</v>
      </c>
      <c r="L1796" s="2" t="s">
        <v>6998</v>
      </c>
      <c r="M1796" s="1" t="s">
        <v>6999</v>
      </c>
      <c r="N1796" s="1" t="s">
        <v>57</v>
      </c>
      <c r="O1796" s="1" t="s">
        <v>559</v>
      </c>
      <c r="P1796" s="1" t="s">
        <v>7000</v>
      </c>
      <c r="Q1796" s="3">
        <v>36892.0</v>
      </c>
      <c r="R1796" s="1"/>
      <c r="S1796" s="3">
        <v>41389.0</v>
      </c>
      <c r="T1796" s="1" t="s">
        <v>37</v>
      </c>
      <c r="U1796" s="1"/>
      <c r="V1796" s="1" t="s">
        <v>38</v>
      </c>
      <c r="W1796" s="1"/>
      <c r="X1796" s="1"/>
      <c r="Y1796" s="1" t="s">
        <v>7001</v>
      </c>
      <c r="Z1796" s="1"/>
      <c r="AA1796" s="1" t="s">
        <v>40</v>
      </c>
      <c r="AB1796" s="1" t="s">
        <v>560</v>
      </c>
      <c r="AC1796" s="1">
        <v>5446.0</v>
      </c>
    </row>
    <row r="1797">
      <c r="A1797" s="1" t="str">
        <f>"000919"</f>
        <v>000919</v>
      </c>
      <c r="B1797" s="1" t="s">
        <v>7002</v>
      </c>
      <c r="C1797" s="1" t="s">
        <v>7003</v>
      </c>
      <c r="D1797" s="1" t="str">
        <f>"8024843821"</f>
        <v>8024843821</v>
      </c>
      <c r="E1797" s="1">
        <v>3646.0</v>
      </c>
      <c r="F1797" s="1" t="s">
        <v>44</v>
      </c>
      <c r="G1797" s="1" t="s">
        <v>7004</v>
      </c>
      <c r="H1797" s="1">
        <v>1.0</v>
      </c>
      <c r="I1797" s="1"/>
      <c r="J1797" s="1"/>
      <c r="K1797" s="1"/>
      <c r="L1797" s="1"/>
      <c r="M1797" s="1" t="s">
        <v>72</v>
      </c>
      <c r="N1797" s="1" t="s">
        <v>34</v>
      </c>
      <c r="O1797" s="1" t="s">
        <v>1870</v>
      </c>
      <c r="P1797" s="1"/>
      <c r="Q1797" s="3">
        <v>36892.0</v>
      </c>
      <c r="R1797" s="1"/>
      <c r="S1797" s="3">
        <v>38530.0</v>
      </c>
      <c r="T1797" s="1" t="s">
        <v>37</v>
      </c>
      <c r="U1797" s="1"/>
      <c r="V1797" s="1" t="s">
        <v>38</v>
      </c>
      <c r="W1797" s="1"/>
      <c r="X1797" s="1"/>
      <c r="Y1797" s="1" t="s">
        <v>49</v>
      </c>
      <c r="Z1797" s="1"/>
      <c r="AA1797" s="1" t="s">
        <v>40</v>
      </c>
      <c r="AB1797" s="1" t="s">
        <v>5328</v>
      </c>
      <c r="AC1797" s="1"/>
    </row>
    <row r="1798">
      <c r="A1798" s="1" t="str">
        <f t="shared" ref="A1798:A1799" si="118">"00077W"</f>
        <v>00077W</v>
      </c>
      <c r="B1798" s="1" t="s">
        <v>1771</v>
      </c>
      <c r="C1798" s="1" t="s">
        <v>1772</v>
      </c>
      <c r="D1798" s="1" t="str">
        <f t="shared" ref="D1798:D1799" si="119">"8024574407"</f>
        <v>8024574407</v>
      </c>
      <c r="E1798" s="1">
        <v>3587.0</v>
      </c>
      <c r="F1798" s="1" t="s">
        <v>44</v>
      </c>
      <c r="G1798" s="1" t="s">
        <v>7005</v>
      </c>
      <c r="H1798" s="1">
        <v>2.0</v>
      </c>
      <c r="I1798" s="1"/>
      <c r="J1798" s="1"/>
      <c r="K1798" s="1"/>
      <c r="L1798" s="1"/>
      <c r="M1798" s="1" t="s">
        <v>7006</v>
      </c>
      <c r="N1798" s="1" t="s">
        <v>34</v>
      </c>
      <c r="O1798" s="1" t="s">
        <v>324</v>
      </c>
      <c r="P1798" s="1"/>
      <c r="Q1798" s="3">
        <v>36892.0</v>
      </c>
      <c r="R1798" s="1"/>
      <c r="S1798" s="3">
        <v>38531.0</v>
      </c>
      <c r="T1798" s="1" t="s">
        <v>37</v>
      </c>
      <c r="U1798" s="1"/>
      <c r="V1798" s="1" t="s">
        <v>38</v>
      </c>
      <c r="W1798" s="1"/>
      <c r="X1798" s="1"/>
      <c r="Y1798" s="1" t="s">
        <v>49</v>
      </c>
      <c r="Z1798" s="1"/>
      <c r="AA1798" s="1" t="s">
        <v>40</v>
      </c>
      <c r="AB1798" s="1" t="s">
        <v>326</v>
      </c>
      <c r="AC1798" s="1"/>
    </row>
    <row r="1799">
      <c r="A1799" s="1" t="str">
        <f t="shared" si="118"/>
        <v>00077W</v>
      </c>
      <c r="B1799" s="1" t="s">
        <v>1771</v>
      </c>
      <c r="C1799" s="1" t="s">
        <v>1772</v>
      </c>
      <c r="D1799" s="1" t="str">
        <f t="shared" si="119"/>
        <v>8024574407</v>
      </c>
      <c r="E1799" s="1">
        <v>3587.0</v>
      </c>
      <c r="F1799" s="1" t="s">
        <v>44</v>
      </c>
      <c r="G1799" s="1" t="s">
        <v>7007</v>
      </c>
      <c r="H1799" s="1">
        <v>2.0</v>
      </c>
      <c r="I1799" s="1"/>
      <c r="J1799" s="1"/>
      <c r="K1799" s="1"/>
      <c r="L1799" s="1"/>
      <c r="M1799" s="1" t="s">
        <v>7008</v>
      </c>
      <c r="N1799" s="1" t="s">
        <v>34</v>
      </c>
      <c r="O1799" s="1" t="s">
        <v>324</v>
      </c>
      <c r="P1799" s="1"/>
      <c r="Q1799" s="3">
        <v>36892.0</v>
      </c>
      <c r="R1799" s="1"/>
      <c r="S1799" s="3">
        <v>38531.0</v>
      </c>
      <c r="T1799" s="1" t="s">
        <v>37</v>
      </c>
      <c r="U1799" s="1"/>
      <c r="V1799" s="1" t="s">
        <v>38</v>
      </c>
      <c r="W1799" s="1"/>
      <c r="X1799" s="1"/>
      <c r="Y1799" s="1" t="s">
        <v>49</v>
      </c>
      <c r="Z1799" s="1"/>
      <c r="AA1799" s="1" t="s">
        <v>40</v>
      </c>
      <c r="AB1799" s="1" t="s">
        <v>326</v>
      </c>
      <c r="AC1799" s="1"/>
    </row>
    <row r="1800">
      <c r="A1800" s="1" t="str">
        <f>"00091A"</f>
        <v>00091A</v>
      </c>
      <c r="B1800" s="1" t="s">
        <v>7009</v>
      </c>
      <c r="C1800" s="1" t="s">
        <v>7010</v>
      </c>
      <c r="D1800" s="1"/>
      <c r="E1800" s="1">
        <v>3647.0</v>
      </c>
      <c r="F1800" s="1" t="s">
        <v>44</v>
      </c>
      <c r="G1800" s="1" t="s">
        <v>7011</v>
      </c>
      <c r="H1800" s="1">
        <v>2.0</v>
      </c>
      <c r="I1800" s="1"/>
      <c r="J1800" s="1"/>
      <c r="K1800" s="1"/>
      <c r="L1800" s="1"/>
      <c r="M1800" s="1" t="s">
        <v>72</v>
      </c>
      <c r="N1800" s="1" t="s">
        <v>135</v>
      </c>
      <c r="O1800" s="1" t="s">
        <v>775</v>
      </c>
      <c r="P1800" s="1"/>
      <c r="Q1800" s="3">
        <v>36892.0</v>
      </c>
      <c r="R1800" s="1"/>
      <c r="S1800" s="3">
        <v>38527.0</v>
      </c>
      <c r="T1800" s="1" t="s">
        <v>37</v>
      </c>
      <c r="U1800" s="1"/>
      <c r="V1800" s="1" t="s">
        <v>38</v>
      </c>
      <c r="W1800" s="1"/>
      <c r="X1800" s="1"/>
      <c r="Y1800" s="1" t="s">
        <v>49</v>
      </c>
      <c r="Z1800" s="1"/>
      <c r="AA1800" s="1" t="s">
        <v>40</v>
      </c>
      <c r="AB1800" s="1" t="s">
        <v>776</v>
      </c>
      <c r="AC1800" s="1"/>
    </row>
    <row r="1801">
      <c r="A1801" s="1" t="str">
        <f>"0008Z7"</f>
        <v>0008Z7</v>
      </c>
      <c r="B1801" s="1" t="s">
        <v>6772</v>
      </c>
      <c r="C1801" s="1" t="s">
        <v>6773</v>
      </c>
      <c r="D1801" s="1" t="str">
        <f>"8024537666"</f>
        <v>8024537666</v>
      </c>
      <c r="E1801" s="1">
        <v>3528.0</v>
      </c>
      <c r="F1801" s="1" t="s">
        <v>44</v>
      </c>
      <c r="G1801" s="1" t="s">
        <v>7012</v>
      </c>
      <c r="H1801" s="1"/>
      <c r="I1801" s="1"/>
      <c r="J1801" s="1"/>
      <c r="K1801" s="1"/>
      <c r="L1801" s="1"/>
      <c r="M1801" s="1" t="s">
        <v>7013</v>
      </c>
      <c r="N1801" s="1" t="s">
        <v>57</v>
      </c>
      <c r="O1801" s="1" t="s">
        <v>204</v>
      </c>
      <c r="P1801" s="1"/>
      <c r="Q1801" s="3">
        <v>36892.0</v>
      </c>
      <c r="R1801" s="1"/>
      <c r="S1801" s="1"/>
      <c r="T1801" s="1" t="s">
        <v>37</v>
      </c>
      <c r="U1801" s="1"/>
      <c r="V1801" s="1" t="s">
        <v>38</v>
      </c>
      <c r="W1801" s="1"/>
      <c r="X1801" s="1"/>
      <c r="Y1801" s="1" t="s">
        <v>49</v>
      </c>
      <c r="Z1801" s="1"/>
      <c r="AA1801" s="1" t="s">
        <v>40</v>
      </c>
      <c r="AB1801" s="1" t="s">
        <v>205</v>
      </c>
      <c r="AC1801" s="1"/>
    </row>
    <row r="1802">
      <c r="A1802" s="1" t="str">
        <f>"0008DK"</f>
        <v>0008DK</v>
      </c>
      <c r="B1802" s="1" t="s">
        <v>1370</v>
      </c>
      <c r="C1802" s="1" t="s">
        <v>1371</v>
      </c>
      <c r="D1802" s="1" t="str">
        <f>"8024427968"</f>
        <v>8024427968</v>
      </c>
      <c r="E1802" s="1">
        <v>3204.0</v>
      </c>
      <c r="F1802" s="1" t="s">
        <v>44</v>
      </c>
      <c r="G1802" s="1" t="s">
        <v>7014</v>
      </c>
      <c r="H1802" s="1">
        <v>6.0</v>
      </c>
      <c r="I1802" s="2" t="s">
        <v>119</v>
      </c>
      <c r="J1802" s="2" t="s">
        <v>119</v>
      </c>
      <c r="K1802" s="2" t="s">
        <v>119</v>
      </c>
      <c r="L1802" s="1"/>
      <c r="M1802" s="1" t="s">
        <v>7015</v>
      </c>
      <c r="N1802" s="1" t="s">
        <v>414</v>
      </c>
      <c r="O1802" s="1" t="s">
        <v>1160</v>
      </c>
      <c r="P1802" s="1"/>
      <c r="Q1802" s="3">
        <v>36892.0</v>
      </c>
      <c r="R1802" s="1"/>
      <c r="S1802" s="3">
        <v>40007.0</v>
      </c>
      <c r="T1802" s="1" t="s">
        <v>37</v>
      </c>
      <c r="U1802" s="1"/>
      <c r="V1802" s="1" t="s">
        <v>38</v>
      </c>
      <c r="W1802" s="1">
        <v>42.96069</v>
      </c>
      <c r="X1802" s="1">
        <v>-73.26828</v>
      </c>
      <c r="Y1802" s="1" t="s">
        <v>49</v>
      </c>
      <c r="Z1802" s="1"/>
      <c r="AA1802" s="1" t="s">
        <v>40</v>
      </c>
      <c r="AB1802" s="1" t="s">
        <v>1161</v>
      </c>
      <c r="AC1802" s="1">
        <v>5257.0</v>
      </c>
    </row>
    <row r="1803">
      <c r="A1803" s="1" t="str">
        <f>"00090D"</f>
        <v>00090D</v>
      </c>
      <c r="B1803" s="1" t="s">
        <v>7016</v>
      </c>
      <c r="C1803" s="1" t="s">
        <v>7017</v>
      </c>
      <c r="D1803" s="1" t="str">
        <f>"8023752939"</f>
        <v>8023752939</v>
      </c>
      <c r="E1803" s="1">
        <v>3650.0</v>
      </c>
      <c r="F1803" s="1" t="s">
        <v>44</v>
      </c>
      <c r="G1803" s="1" t="s">
        <v>7018</v>
      </c>
      <c r="H1803" s="1">
        <v>1.0</v>
      </c>
      <c r="I1803" s="1"/>
      <c r="J1803" s="1"/>
      <c r="K1803" s="1"/>
      <c r="L1803" s="1"/>
      <c r="M1803" s="1" t="s">
        <v>72</v>
      </c>
      <c r="N1803" s="1" t="s">
        <v>414</v>
      </c>
      <c r="O1803" s="1" t="s">
        <v>1390</v>
      </c>
      <c r="P1803" s="1" t="s">
        <v>7019</v>
      </c>
      <c r="Q1803" s="3">
        <v>36892.0</v>
      </c>
      <c r="R1803" s="1"/>
      <c r="S1803" s="3">
        <v>38551.0</v>
      </c>
      <c r="T1803" s="1" t="s">
        <v>37</v>
      </c>
      <c r="U1803" s="1"/>
      <c r="V1803" s="1" t="s">
        <v>38</v>
      </c>
      <c r="W1803" s="1">
        <v>43.0915669</v>
      </c>
      <c r="X1803" s="1">
        <v>-73.1979539999999</v>
      </c>
      <c r="Y1803" s="1" t="s">
        <v>7020</v>
      </c>
      <c r="Z1803" s="1"/>
      <c r="AA1803" s="1" t="s">
        <v>40</v>
      </c>
      <c r="AB1803" s="1" t="s">
        <v>1391</v>
      </c>
      <c r="AC1803" s="1">
        <v>5250.0</v>
      </c>
    </row>
    <row r="1804">
      <c r="A1804" s="1" t="str">
        <f>"0008G7"</f>
        <v>0008G7</v>
      </c>
      <c r="B1804" s="1" t="s">
        <v>7021</v>
      </c>
      <c r="C1804" s="1" t="s">
        <v>7022</v>
      </c>
      <c r="D1804" s="1" t="str">
        <f>"8024726749"</f>
        <v>8024726749</v>
      </c>
      <c r="E1804" s="1">
        <v>2591.0</v>
      </c>
      <c r="F1804" s="1" t="s">
        <v>117</v>
      </c>
      <c r="G1804" s="1" t="s">
        <v>7023</v>
      </c>
      <c r="H1804" s="1">
        <v>9.0</v>
      </c>
      <c r="I1804" s="2">
        <v>4.0</v>
      </c>
      <c r="J1804" s="2">
        <v>3.0</v>
      </c>
      <c r="K1804" s="2" t="s">
        <v>119</v>
      </c>
      <c r="L1804" s="1"/>
      <c r="M1804" s="1" t="s">
        <v>7024</v>
      </c>
      <c r="N1804" s="1" t="s">
        <v>128</v>
      </c>
      <c r="O1804" s="1" t="s">
        <v>1079</v>
      </c>
      <c r="P1804" s="1" t="s">
        <v>7025</v>
      </c>
      <c r="Q1804" s="3">
        <v>36892.0</v>
      </c>
      <c r="R1804" s="1"/>
      <c r="S1804" s="3">
        <v>40658.0</v>
      </c>
      <c r="T1804" s="1" t="s">
        <v>37</v>
      </c>
      <c r="U1804" s="1"/>
      <c r="V1804" s="1" t="s">
        <v>38</v>
      </c>
      <c r="W1804" s="1">
        <v>44.5110968</v>
      </c>
      <c r="X1804" s="1">
        <v>-72.3302473</v>
      </c>
      <c r="Y1804" s="1" t="s">
        <v>7026</v>
      </c>
      <c r="Z1804" s="1"/>
      <c r="AA1804" s="1" t="s">
        <v>40</v>
      </c>
      <c r="AB1804" s="1" t="s">
        <v>1080</v>
      </c>
      <c r="AC1804" s="1">
        <v>5836.0</v>
      </c>
    </row>
    <row r="1805">
      <c r="A1805" s="1" t="str">
        <f>"000703"</f>
        <v>000703</v>
      </c>
      <c r="B1805" s="1" t="s">
        <v>7027</v>
      </c>
      <c r="C1805" s="1" t="s">
        <v>7028</v>
      </c>
      <c r="D1805" s="1" t="str">
        <f>"8028784067"</f>
        <v>8028784067</v>
      </c>
      <c r="E1805" s="1">
        <v>3654.0</v>
      </c>
      <c r="F1805" s="1" t="s">
        <v>31</v>
      </c>
      <c r="G1805" s="1" t="s">
        <v>7029</v>
      </c>
      <c r="H1805" s="1">
        <v>2.0</v>
      </c>
      <c r="I1805" s="1"/>
      <c r="J1805" s="1"/>
      <c r="K1805" s="1"/>
      <c r="L1805" s="1"/>
      <c r="M1805" s="1" t="s">
        <v>72</v>
      </c>
      <c r="N1805" s="1" t="s">
        <v>57</v>
      </c>
      <c r="O1805" s="1" t="s">
        <v>2092</v>
      </c>
      <c r="P1805" s="1" t="s">
        <v>7030</v>
      </c>
      <c r="Q1805" s="3">
        <v>36892.0</v>
      </c>
      <c r="R1805" s="1"/>
      <c r="S1805" s="3">
        <v>39275.0</v>
      </c>
      <c r="T1805" s="1" t="s">
        <v>37</v>
      </c>
      <c r="U1805" s="1"/>
      <c r="V1805" s="1" t="s">
        <v>38</v>
      </c>
      <c r="W1805" s="1"/>
      <c r="X1805" s="1"/>
      <c r="Y1805" s="1" t="s">
        <v>49</v>
      </c>
      <c r="Z1805" s="1"/>
      <c r="AA1805" s="1" t="s">
        <v>40</v>
      </c>
      <c r="AB1805" s="1" t="s">
        <v>2093</v>
      </c>
      <c r="AC1805" s="1">
        <v>5495.0</v>
      </c>
    </row>
    <row r="1806">
      <c r="A1806" s="1" t="str">
        <f>"00091B"</f>
        <v>00091B</v>
      </c>
      <c r="B1806" s="1" t="s">
        <v>7031</v>
      </c>
      <c r="C1806" s="1" t="s">
        <v>7032</v>
      </c>
      <c r="D1806" s="1" t="str">
        <f>"8024541239"</f>
        <v>8024541239</v>
      </c>
      <c r="E1806" s="1">
        <v>3655.0</v>
      </c>
      <c r="F1806" s="1" t="s">
        <v>117</v>
      </c>
      <c r="G1806" s="1" t="s">
        <v>7033</v>
      </c>
      <c r="H1806" s="1">
        <v>1.0</v>
      </c>
      <c r="I1806" s="2">
        <v>2.0</v>
      </c>
      <c r="J1806" s="2">
        <v>2.0</v>
      </c>
      <c r="K1806" s="2" t="s">
        <v>829</v>
      </c>
      <c r="L1806" s="1"/>
      <c r="M1806" s="1" t="s">
        <v>7034</v>
      </c>
      <c r="N1806" s="1" t="s">
        <v>135</v>
      </c>
      <c r="O1806" s="1" t="s">
        <v>758</v>
      </c>
      <c r="P1806" s="1" t="s">
        <v>7035</v>
      </c>
      <c r="Q1806" s="3">
        <v>36892.0</v>
      </c>
      <c r="R1806" s="1"/>
      <c r="S1806" s="3">
        <v>42144.0</v>
      </c>
      <c r="T1806" s="1" t="s">
        <v>37</v>
      </c>
      <c r="U1806" s="1"/>
      <c r="V1806" s="1" t="s">
        <v>38</v>
      </c>
      <c r="W1806" s="1">
        <v>44.233086</v>
      </c>
      <c r="X1806" s="1">
        <v>-72.4072949999999</v>
      </c>
      <c r="Y1806" s="1" t="s">
        <v>7036</v>
      </c>
      <c r="Z1806" s="1"/>
      <c r="AA1806" s="1" t="s">
        <v>40</v>
      </c>
      <c r="AB1806" s="1" t="s">
        <v>759</v>
      </c>
      <c r="AC1806" s="1">
        <v>5667.0</v>
      </c>
    </row>
    <row r="1807">
      <c r="A1807" s="1" t="str">
        <f>"00091C"</f>
        <v>00091C</v>
      </c>
      <c r="B1807" s="1" t="s">
        <v>7037</v>
      </c>
      <c r="C1807" s="1" t="s">
        <v>7038</v>
      </c>
      <c r="D1807" s="1" t="str">
        <f>"8025245878"</f>
        <v>8025245878</v>
      </c>
      <c r="E1807" s="1">
        <v>3656.0</v>
      </c>
      <c r="F1807" s="1" t="s">
        <v>31</v>
      </c>
      <c r="G1807" s="1" t="s">
        <v>7039</v>
      </c>
      <c r="H1807" s="1">
        <v>3.0</v>
      </c>
      <c r="I1807" s="1"/>
      <c r="J1807" s="1"/>
      <c r="K1807" s="1"/>
      <c r="L1807" s="1"/>
      <c r="M1807" s="1" t="s">
        <v>72</v>
      </c>
      <c r="N1807" s="1" t="s">
        <v>47</v>
      </c>
      <c r="O1807" s="1" t="s">
        <v>582</v>
      </c>
      <c r="P1807" s="1" t="s">
        <v>7040</v>
      </c>
      <c r="Q1807" s="3">
        <v>36892.0</v>
      </c>
      <c r="R1807" s="1"/>
      <c r="S1807" s="3">
        <v>39226.0</v>
      </c>
      <c r="T1807" s="1" t="s">
        <v>37</v>
      </c>
      <c r="U1807" s="1"/>
      <c r="V1807" s="1" t="s">
        <v>38</v>
      </c>
      <c r="W1807" s="1">
        <v>44.7658826686188</v>
      </c>
      <c r="X1807" s="1">
        <v>-73.1560760736465</v>
      </c>
      <c r="Y1807" s="1" t="s">
        <v>7041</v>
      </c>
      <c r="Z1807" s="1"/>
      <c r="AA1807" s="1" t="s">
        <v>40</v>
      </c>
      <c r="AB1807" s="1" t="s">
        <v>583</v>
      </c>
      <c r="AC1807" s="1">
        <v>5478.0</v>
      </c>
    </row>
    <row r="1808">
      <c r="A1808" s="1" t="str">
        <f t="shared" ref="A1808:A1809" si="120">"00091D"</f>
        <v>00091D</v>
      </c>
      <c r="B1808" s="1" t="s">
        <v>7042</v>
      </c>
      <c r="C1808" s="1" t="s">
        <v>7043</v>
      </c>
      <c r="D1808" s="1" t="str">
        <f t="shared" ref="D1808:D1809" si="121">"8026448341"</f>
        <v>8026448341</v>
      </c>
      <c r="E1808" s="1">
        <v>3657.0</v>
      </c>
      <c r="F1808" s="1" t="s">
        <v>44</v>
      </c>
      <c r="G1808" s="1" t="s">
        <v>7044</v>
      </c>
      <c r="H1808" s="1"/>
      <c r="I1808" s="1"/>
      <c r="J1808" s="1"/>
      <c r="K1808" s="1"/>
      <c r="L1808" s="1"/>
      <c r="M1808" s="1" t="s">
        <v>72</v>
      </c>
      <c r="N1808" s="1" t="s">
        <v>213</v>
      </c>
      <c r="O1808" s="1" t="s">
        <v>2171</v>
      </c>
      <c r="P1808" s="1"/>
      <c r="Q1808" s="3">
        <v>36892.0</v>
      </c>
      <c r="R1808" s="1"/>
      <c r="S1808" s="1"/>
      <c r="T1808" s="1" t="s">
        <v>37</v>
      </c>
      <c r="U1808" s="1"/>
      <c r="V1808" s="1" t="s">
        <v>38</v>
      </c>
      <c r="W1808" s="1"/>
      <c r="X1808" s="1"/>
      <c r="Y1808" s="1" t="s">
        <v>49</v>
      </c>
      <c r="Z1808" s="1"/>
      <c r="AA1808" s="1" t="s">
        <v>40</v>
      </c>
      <c r="AB1808" s="1" t="s">
        <v>2173</v>
      </c>
      <c r="AC1808" s="1"/>
    </row>
    <row r="1809">
      <c r="A1809" s="1" t="str">
        <f t="shared" si="120"/>
        <v>00091D</v>
      </c>
      <c r="B1809" s="1" t="s">
        <v>7042</v>
      </c>
      <c r="C1809" s="1" t="s">
        <v>7043</v>
      </c>
      <c r="D1809" s="1" t="str">
        <f t="shared" si="121"/>
        <v>8026448341</v>
      </c>
      <c r="E1809" s="1">
        <v>3657.0</v>
      </c>
      <c r="F1809" s="1" t="s">
        <v>44</v>
      </c>
      <c r="G1809" s="1" t="s">
        <v>7045</v>
      </c>
      <c r="H1809" s="1">
        <v>1.0</v>
      </c>
      <c r="I1809" s="1"/>
      <c r="J1809" s="1"/>
      <c r="K1809" s="1"/>
      <c r="L1809" s="1"/>
      <c r="M1809" s="1" t="s">
        <v>7046</v>
      </c>
      <c r="N1809" s="1" t="s">
        <v>213</v>
      </c>
      <c r="O1809" s="1" t="s">
        <v>620</v>
      </c>
      <c r="P1809" s="1"/>
      <c r="Q1809" s="3">
        <v>36892.0</v>
      </c>
      <c r="R1809" s="1"/>
      <c r="S1809" s="3">
        <v>38861.0</v>
      </c>
      <c r="T1809" s="1" t="s">
        <v>37</v>
      </c>
      <c r="U1809" s="1"/>
      <c r="V1809" s="1" t="s">
        <v>38</v>
      </c>
      <c r="W1809" s="1"/>
      <c r="X1809" s="1"/>
      <c r="Y1809" s="1" t="s">
        <v>49</v>
      </c>
      <c r="Z1809" s="1"/>
      <c r="AA1809" s="1" t="s">
        <v>40</v>
      </c>
      <c r="AB1809" s="1" t="s">
        <v>621</v>
      </c>
      <c r="AC1809" s="1"/>
    </row>
    <row r="1810">
      <c r="A1810" s="1" t="str">
        <f>"00091F"</f>
        <v>00091F</v>
      </c>
      <c r="B1810" s="1" t="s">
        <v>7047</v>
      </c>
      <c r="C1810" s="1" t="s">
        <v>7048</v>
      </c>
      <c r="D1810" s="1" t="str">
        <f>"8026842276"</f>
        <v>8026842276</v>
      </c>
      <c r="E1810" s="1">
        <v>3658.0</v>
      </c>
      <c r="F1810" s="1" t="s">
        <v>44</v>
      </c>
      <c r="G1810" s="1" t="s">
        <v>7049</v>
      </c>
      <c r="H1810" s="1"/>
      <c r="I1810" s="1"/>
      <c r="J1810" s="1"/>
      <c r="K1810" s="1"/>
      <c r="L1810" s="1"/>
      <c r="M1810" s="1" t="s">
        <v>72</v>
      </c>
      <c r="N1810" s="1" t="s">
        <v>128</v>
      </c>
      <c r="O1810" s="1" t="s">
        <v>129</v>
      </c>
      <c r="P1810" s="1"/>
      <c r="Q1810" s="3">
        <v>36892.0</v>
      </c>
      <c r="R1810" s="1"/>
      <c r="S1810" s="1"/>
      <c r="T1810" s="1" t="s">
        <v>37</v>
      </c>
      <c r="U1810" s="1"/>
      <c r="V1810" s="1" t="s">
        <v>38</v>
      </c>
      <c r="W1810" s="1"/>
      <c r="X1810" s="1"/>
      <c r="Y1810" s="1" t="s">
        <v>49</v>
      </c>
      <c r="Z1810" s="1"/>
      <c r="AA1810" s="1" t="s">
        <v>40</v>
      </c>
      <c r="AB1810" s="1" t="s">
        <v>130</v>
      </c>
      <c r="AC1810" s="1"/>
    </row>
    <row r="1811">
      <c r="A1811" s="1" t="str">
        <f>"00091G"</f>
        <v>00091G</v>
      </c>
      <c r="B1811" s="1" t="s">
        <v>7050</v>
      </c>
      <c r="C1811" s="1" t="s">
        <v>7051</v>
      </c>
      <c r="D1811" s="1" t="str">
        <f>"8024335919"</f>
        <v>8024335919</v>
      </c>
      <c r="E1811" s="1">
        <v>3659.0</v>
      </c>
      <c r="F1811" s="1" t="s">
        <v>44</v>
      </c>
      <c r="G1811" s="1" t="s">
        <v>7052</v>
      </c>
      <c r="H1811" s="1"/>
      <c r="I1811" s="1"/>
      <c r="J1811" s="1"/>
      <c r="K1811" s="1"/>
      <c r="L1811" s="1"/>
      <c r="M1811" s="1" t="s">
        <v>72</v>
      </c>
      <c r="N1811" s="1" t="s">
        <v>142</v>
      </c>
      <c r="O1811" s="1" t="s">
        <v>2253</v>
      </c>
      <c r="P1811" s="1"/>
      <c r="Q1811" s="3">
        <v>36892.0</v>
      </c>
      <c r="R1811" s="1"/>
      <c r="S1811" s="1"/>
      <c r="T1811" s="1" t="s">
        <v>37</v>
      </c>
      <c r="U1811" s="1"/>
      <c r="V1811" s="1" t="s">
        <v>38</v>
      </c>
      <c r="W1811" s="1"/>
      <c r="X1811" s="1"/>
      <c r="Y1811" s="1" t="s">
        <v>49</v>
      </c>
      <c r="Z1811" s="1"/>
      <c r="AA1811" s="1" t="s">
        <v>40</v>
      </c>
      <c r="AB1811" s="1" t="s">
        <v>2254</v>
      </c>
      <c r="AC1811" s="1"/>
    </row>
    <row r="1812">
      <c r="A1812" s="1" t="str">
        <f>"00091H"</f>
        <v>00091H</v>
      </c>
      <c r="B1812" s="1" t="s">
        <v>7053</v>
      </c>
      <c r="C1812" s="1" t="s">
        <v>7054</v>
      </c>
      <c r="D1812" s="1" t="str">
        <f>"8027285714"</f>
        <v>8027285714</v>
      </c>
      <c r="E1812" s="1">
        <v>3661.0</v>
      </c>
      <c r="F1812" s="1" t="s">
        <v>44</v>
      </c>
      <c r="G1812" s="1" t="s">
        <v>7055</v>
      </c>
      <c r="H1812" s="1">
        <v>6.0</v>
      </c>
      <c r="I1812" s="1"/>
      <c r="J1812" s="1"/>
      <c r="K1812" s="1"/>
      <c r="L1812" s="1"/>
      <c r="M1812" s="1" t="s">
        <v>72</v>
      </c>
      <c r="N1812" s="1" t="s">
        <v>142</v>
      </c>
      <c r="O1812" s="1" t="s">
        <v>359</v>
      </c>
      <c r="P1812" s="1"/>
      <c r="Q1812" s="3">
        <v>36892.0</v>
      </c>
      <c r="R1812" s="1"/>
      <c r="S1812" s="3">
        <v>39286.0</v>
      </c>
      <c r="T1812" s="1" t="s">
        <v>37</v>
      </c>
      <c r="U1812" s="1"/>
      <c r="V1812" s="1" t="s">
        <v>38</v>
      </c>
      <c r="W1812" s="1">
        <v>43.9558139</v>
      </c>
      <c r="X1812" s="1">
        <v>-72.725349</v>
      </c>
      <c r="Y1812" s="1" t="s">
        <v>7056</v>
      </c>
      <c r="Z1812" s="1"/>
      <c r="AA1812" s="1" t="s">
        <v>40</v>
      </c>
      <c r="AB1812" s="1" t="s">
        <v>361</v>
      </c>
      <c r="AC1812" s="1">
        <v>5060.0</v>
      </c>
    </row>
    <row r="1813">
      <c r="A1813" s="1" t="str">
        <f>"00091J"</f>
        <v>00091J</v>
      </c>
      <c r="B1813" s="1" t="s">
        <v>7057</v>
      </c>
      <c r="C1813" s="1" t="s">
        <v>7058</v>
      </c>
      <c r="D1813" s="1" t="str">
        <f>"8024252913"</f>
        <v>8024252913</v>
      </c>
      <c r="E1813" s="1">
        <v>3664.0</v>
      </c>
      <c r="F1813" s="1" t="s">
        <v>44</v>
      </c>
      <c r="G1813" s="1" t="s">
        <v>7059</v>
      </c>
      <c r="H1813" s="1"/>
      <c r="I1813" s="1"/>
      <c r="J1813" s="1"/>
      <c r="K1813" s="1"/>
      <c r="L1813" s="1"/>
      <c r="M1813" s="1" t="s">
        <v>72</v>
      </c>
      <c r="N1813" s="1" t="s">
        <v>161</v>
      </c>
      <c r="O1813" s="1" t="s">
        <v>769</v>
      </c>
      <c r="P1813" s="1"/>
      <c r="Q1813" s="3">
        <v>36892.0</v>
      </c>
      <c r="R1813" s="1"/>
      <c r="S1813" s="1"/>
      <c r="T1813" s="1" t="s">
        <v>37</v>
      </c>
      <c r="U1813" s="1"/>
      <c r="V1813" s="1" t="s">
        <v>38</v>
      </c>
      <c r="W1813" s="1"/>
      <c r="X1813" s="1"/>
      <c r="Y1813" s="1" t="s">
        <v>49</v>
      </c>
      <c r="Z1813" s="1"/>
      <c r="AA1813" s="1" t="s">
        <v>40</v>
      </c>
      <c r="AB1813" s="1" t="s">
        <v>770</v>
      </c>
      <c r="AC1813" s="1"/>
    </row>
    <row r="1814">
      <c r="A1814" s="1" t="str">
        <f>"0008V7"</f>
        <v>0008V7</v>
      </c>
      <c r="B1814" s="1" t="s">
        <v>1309</v>
      </c>
      <c r="C1814" s="1" t="s">
        <v>1310</v>
      </c>
      <c r="D1814" s="1" t="str">
        <f>"8023334571"</f>
        <v>8023334571</v>
      </c>
      <c r="E1814" s="1">
        <v>3308.0</v>
      </c>
      <c r="F1814" s="1" t="s">
        <v>44</v>
      </c>
      <c r="G1814" s="1" t="s">
        <v>7060</v>
      </c>
      <c r="H1814" s="1">
        <v>14.0</v>
      </c>
      <c r="I1814" s="1"/>
      <c r="J1814" s="1"/>
      <c r="K1814" s="1"/>
      <c r="L1814" s="1"/>
      <c r="M1814" s="1" t="s">
        <v>7061</v>
      </c>
      <c r="N1814" s="1" t="s">
        <v>34</v>
      </c>
      <c r="O1814" s="1" t="s">
        <v>463</v>
      </c>
      <c r="P1814" s="1"/>
      <c r="Q1814" s="3">
        <v>36892.0</v>
      </c>
      <c r="R1814" s="1"/>
      <c r="S1814" s="3">
        <v>38929.0</v>
      </c>
      <c r="T1814" s="1" t="s">
        <v>37</v>
      </c>
      <c r="U1814" s="1"/>
      <c r="V1814" s="1" t="s">
        <v>38</v>
      </c>
      <c r="W1814" s="1"/>
      <c r="X1814" s="1"/>
      <c r="Y1814" s="1" t="s">
        <v>49</v>
      </c>
      <c r="Z1814" s="1"/>
      <c r="AA1814" s="1" t="s">
        <v>40</v>
      </c>
      <c r="AB1814" s="1" t="s">
        <v>466</v>
      </c>
      <c r="AC1814" s="1"/>
    </row>
    <row r="1815">
      <c r="A1815" s="1" t="str">
        <f>"0008B4"</f>
        <v>0008B4</v>
      </c>
      <c r="B1815" s="1" t="s">
        <v>7062</v>
      </c>
      <c r="C1815" s="1" t="s">
        <v>7063</v>
      </c>
      <c r="D1815" s="1" t="str">
        <f>"8023094167"</f>
        <v>8023094167</v>
      </c>
      <c r="E1815" s="1">
        <v>3889.0</v>
      </c>
      <c r="F1815" s="1" t="s">
        <v>44</v>
      </c>
      <c r="G1815" s="1" t="s">
        <v>7064</v>
      </c>
      <c r="H1815" s="1"/>
      <c r="I1815" s="1"/>
      <c r="J1815" s="1"/>
      <c r="K1815" s="1"/>
      <c r="L1815" s="1"/>
      <c r="M1815" s="1" t="s">
        <v>7065</v>
      </c>
      <c r="N1815" s="1" t="s">
        <v>47</v>
      </c>
      <c r="O1815" s="1" t="s">
        <v>100</v>
      </c>
      <c r="P1815" s="1"/>
      <c r="Q1815" s="3">
        <v>36892.0</v>
      </c>
      <c r="R1815" s="1"/>
      <c r="S1815" s="1"/>
      <c r="T1815" s="1" t="s">
        <v>37</v>
      </c>
      <c r="U1815" s="1"/>
      <c r="V1815" s="1" t="s">
        <v>38</v>
      </c>
      <c r="W1815" s="1"/>
      <c r="X1815" s="1"/>
      <c r="Y1815" s="1" t="s">
        <v>49</v>
      </c>
      <c r="Z1815" s="1"/>
      <c r="AA1815" s="1" t="s">
        <v>40</v>
      </c>
      <c r="AB1815" s="1" t="s">
        <v>102</v>
      </c>
      <c r="AC1815" s="1"/>
    </row>
    <row r="1816">
      <c r="A1816" s="1" t="str">
        <f t="shared" ref="A1816:A1817" si="122">"0008V7"</f>
        <v>0008V7</v>
      </c>
      <c r="B1816" s="1" t="s">
        <v>1309</v>
      </c>
      <c r="C1816" s="1" t="s">
        <v>1310</v>
      </c>
      <c r="D1816" s="1" t="str">
        <f t="shared" ref="D1816:D1817" si="123">"8023334571"</f>
        <v>8023334571</v>
      </c>
      <c r="E1816" s="1">
        <v>3308.0</v>
      </c>
      <c r="F1816" s="1" t="s">
        <v>44</v>
      </c>
      <c r="G1816" s="1" t="s">
        <v>7066</v>
      </c>
      <c r="H1816" s="1"/>
      <c r="I1816" s="1"/>
      <c r="J1816" s="1"/>
      <c r="K1816" s="1"/>
      <c r="L1816" s="1"/>
      <c r="M1816" s="1" t="s">
        <v>7067</v>
      </c>
      <c r="N1816" s="1" t="s">
        <v>142</v>
      </c>
      <c r="O1816" s="1" t="s">
        <v>222</v>
      </c>
      <c r="P1816" s="1"/>
      <c r="Q1816" s="3">
        <v>36892.0</v>
      </c>
      <c r="R1816" s="1"/>
      <c r="S1816" s="1"/>
      <c r="T1816" s="1" t="s">
        <v>37</v>
      </c>
      <c r="U1816" s="1"/>
      <c r="V1816" s="1" t="s">
        <v>38</v>
      </c>
      <c r="W1816" s="1"/>
      <c r="X1816" s="1"/>
      <c r="Y1816" s="1" t="s">
        <v>49</v>
      </c>
      <c r="Z1816" s="1"/>
      <c r="AA1816" s="1" t="s">
        <v>40</v>
      </c>
      <c r="AB1816" s="1" t="s">
        <v>223</v>
      </c>
      <c r="AC1816" s="1"/>
    </row>
    <row r="1817">
      <c r="A1817" s="1" t="str">
        <f t="shared" si="122"/>
        <v>0008V7</v>
      </c>
      <c r="B1817" s="1" t="s">
        <v>1309</v>
      </c>
      <c r="C1817" s="1" t="s">
        <v>1310</v>
      </c>
      <c r="D1817" s="1" t="str">
        <f t="shared" si="123"/>
        <v>8023334571</v>
      </c>
      <c r="E1817" s="1">
        <v>3308.0</v>
      </c>
      <c r="F1817" s="1" t="s">
        <v>44</v>
      </c>
      <c r="G1817" s="1" t="s">
        <v>7068</v>
      </c>
      <c r="H1817" s="1">
        <v>2.0</v>
      </c>
      <c r="I1817" s="1"/>
      <c r="J1817" s="1"/>
      <c r="K1817" s="1"/>
      <c r="L1817" s="1"/>
      <c r="M1817" s="1" t="s">
        <v>7069</v>
      </c>
      <c r="N1817" s="1" t="s">
        <v>142</v>
      </c>
      <c r="O1817" s="1" t="s">
        <v>143</v>
      </c>
      <c r="P1817" s="1"/>
      <c r="Q1817" s="3">
        <v>36892.0</v>
      </c>
      <c r="R1817" s="1"/>
      <c r="S1817" s="3">
        <v>38929.0</v>
      </c>
      <c r="T1817" s="1" t="s">
        <v>37</v>
      </c>
      <c r="U1817" s="1"/>
      <c r="V1817" s="1" t="s">
        <v>38</v>
      </c>
      <c r="W1817" s="1"/>
      <c r="X1817" s="1"/>
      <c r="Y1817" s="1" t="s">
        <v>49</v>
      </c>
      <c r="Z1817" s="1"/>
      <c r="AA1817" s="1" t="s">
        <v>40</v>
      </c>
      <c r="AB1817" s="1" t="s">
        <v>146</v>
      </c>
      <c r="AC1817" s="1"/>
    </row>
    <row r="1818">
      <c r="A1818" s="1" t="str">
        <f>"00091K"</f>
        <v>00091K</v>
      </c>
      <c r="B1818" s="1" t="s">
        <v>7070</v>
      </c>
      <c r="C1818" s="1" t="s">
        <v>7071</v>
      </c>
      <c r="D1818" s="1" t="str">
        <f>"8027964323"</f>
        <v>8027964323</v>
      </c>
      <c r="E1818" s="1">
        <v>3665.0</v>
      </c>
      <c r="F1818" s="1" t="s">
        <v>44</v>
      </c>
      <c r="G1818" s="1" t="s">
        <v>7072</v>
      </c>
      <c r="H1818" s="1">
        <v>6.0</v>
      </c>
      <c r="I1818" s="1"/>
      <c r="J1818" s="1"/>
      <c r="K1818" s="1"/>
      <c r="L1818" s="1"/>
      <c r="M1818" s="1" t="s">
        <v>4774</v>
      </c>
      <c r="N1818" s="1" t="s">
        <v>107</v>
      </c>
      <c r="O1818" s="1" t="s">
        <v>2016</v>
      </c>
      <c r="P1818" s="1"/>
      <c r="Q1818" s="3">
        <v>36892.0</v>
      </c>
      <c r="R1818" s="1"/>
      <c r="S1818" s="3">
        <v>39597.0</v>
      </c>
      <c r="T1818" s="1" t="s">
        <v>37</v>
      </c>
      <c r="U1818" s="1"/>
      <c r="V1818" s="1" t="s">
        <v>38</v>
      </c>
      <c r="W1818" s="1"/>
      <c r="X1818" s="1"/>
      <c r="Y1818" s="1" t="s">
        <v>49</v>
      </c>
      <c r="Z1818" s="1"/>
      <c r="AA1818" s="1" t="s">
        <v>40</v>
      </c>
      <c r="AB1818" s="1" t="s">
        <v>2019</v>
      </c>
      <c r="AC1818" s="1"/>
    </row>
    <row r="1819">
      <c r="A1819" s="1" t="str">
        <f>"0007J9"</f>
        <v>0007J9</v>
      </c>
      <c r="B1819" s="1" t="s">
        <v>7073</v>
      </c>
      <c r="C1819" s="1" t="s">
        <v>7074</v>
      </c>
      <c r="D1819" s="1" t="str">
        <f>"8028991944"</f>
        <v>8028991944</v>
      </c>
      <c r="E1819" s="1">
        <v>3726.0</v>
      </c>
      <c r="F1819" s="1" t="s">
        <v>44</v>
      </c>
      <c r="G1819" s="1" t="s">
        <v>7075</v>
      </c>
      <c r="H1819" s="1">
        <v>1.0</v>
      </c>
      <c r="I1819" s="1"/>
      <c r="J1819" s="1"/>
      <c r="K1819" s="1"/>
      <c r="L1819" s="1"/>
      <c r="M1819" s="1" t="s">
        <v>72</v>
      </c>
      <c r="N1819" s="1" t="s">
        <v>57</v>
      </c>
      <c r="O1819" s="1" t="s">
        <v>58</v>
      </c>
      <c r="P1819" s="1"/>
      <c r="Q1819" s="3">
        <v>36892.0</v>
      </c>
      <c r="R1819" s="1"/>
      <c r="S1819" s="3">
        <v>38875.0</v>
      </c>
      <c r="T1819" s="1" t="s">
        <v>37</v>
      </c>
      <c r="U1819" s="1"/>
      <c r="V1819" s="1" t="s">
        <v>38</v>
      </c>
      <c r="W1819" s="1"/>
      <c r="X1819" s="1"/>
      <c r="Y1819" s="1" t="s">
        <v>49</v>
      </c>
      <c r="Z1819" s="1"/>
      <c r="AA1819" s="1" t="s">
        <v>40</v>
      </c>
      <c r="AB1819" s="1" t="s">
        <v>61</v>
      </c>
      <c r="AC1819" s="1"/>
    </row>
    <row r="1820">
      <c r="A1820" s="1" t="str">
        <f>"0008M5"</f>
        <v>0008M5</v>
      </c>
      <c r="B1820" s="1" t="s">
        <v>7076</v>
      </c>
      <c r="C1820" s="1" t="s">
        <v>7077</v>
      </c>
      <c r="D1820" s="1" t="str">
        <f>"8028994365"</f>
        <v>8028994365</v>
      </c>
      <c r="E1820" s="1">
        <v>3727.0</v>
      </c>
      <c r="F1820" s="1" t="s">
        <v>44</v>
      </c>
      <c r="G1820" s="1" t="s">
        <v>7078</v>
      </c>
      <c r="H1820" s="1">
        <v>1.0</v>
      </c>
      <c r="I1820" s="1"/>
      <c r="J1820" s="1"/>
      <c r="K1820" s="1"/>
      <c r="L1820" s="1"/>
      <c r="M1820" s="1" t="s">
        <v>72</v>
      </c>
      <c r="N1820" s="1" t="s">
        <v>57</v>
      </c>
      <c r="O1820" s="1" t="s">
        <v>58</v>
      </c>
      <c r="P1820" s="1"/>
      <c r="Q1820" s="3">
        <v>36892.0</v>
      </c>
      <c r="R1820" s="1"/>
      <c r="S1820" s="3">
        <v>40673.0</v>
      </c>
      <c r="T1820" s="1" t="s">
        <v>37</v>
      </c>
      <c r="U1820" s="1"/>
      <c r="V1820" s="1" t="s">
        <v>38</v>
      </c>
      <c r="W1820" s="1"/>
      <c r="X1820" s="1"/>
      <c r="Y1820" s="1" t="s">
        <v>49</v>
      </c>
      <c r="Z1820" s="1"/>
      <c r="AA1820" s="1" t="s">
        <v>40</v>
      </c>
      <c r="AB1820" s="1" t="s">
        <v>61</v>
      </c>
      <c r="AC1820" s="1"/>
    </row>
    <row r="1821">
      <c r="A1821" s="1" t="str">
        <f>"0008HH"</f>
        <v>0008HH</v>
      </c>
      <c r="B1821" s="1" t="s">
        <v>7079</v>
      </c>
      <c r="C1821" s="1" t="s">
        <v>7080</v>
      </c>
      <c r="D1821" s="1" t="str">
        <f>"8023874071"</f>
        <v>8023874071</v>
      </c>
      <c r="E1821" s="1">
        <v>3728.0</v>
      </c>
      <c r="F1821" s="1" t="s">
        <v>44</v>
      </c>
      <c r="G1821" s="1" t="s">
        <v>7081</v>
      </c>
      <c r="H1821" s="1">
        <v>8.0</v>
      </c>
      <c r="I1821" s="1"/>
      <c r="J1821" s="1"/>
      <c r="K1821" s="1"/>
      <c r="L1821" s="1"/>
      <c r="M1821" s="1" t="s">
        <v>72</v>
      </c>
      <c r="N1821" s="1" t="s">
        <v>66</v>
      </c>
      <c r="O1821" s="1" t="s">
        <v>1256</v>
      </c>
      <c r="P1821" s="1"/>
      <c r="Q1821" s="3">
        <v>36892.0</v>
      </c>
      <c r="R1821" s="1"/>
      <c r="S1821" s="3">
        <v>38882.0</v>
      </c>
      <c r="T1821" s="1" t="s">
        <v>37</v>
      </c>
      <c r="U1821" s="1"/>
      <c r="V1821" s="1" t="s">
        <v>38</v>
      </c>
      <c r="W1821" s="1"/>
      <c r="X1821" s="1"/>
      <c r="Y1821" s="1" t="s">
        <v>49</v>
      </c>
      <c r="Z1821" s="1"/>
      <c r="AA1821" s="1" t="s">
        <v>40</v>
      </c>
      <c r="AB1821" s="1" t="s">
        <v>1257</v>
      </c>
      <c r="AC1821" s="1"/>
    </row>
    <row r="1822">
      <c r="A1822" s="1" t="str">
        <f>"000722"</f>
        <v>000722</v>
      </c>
      <c r="B1822" s="1" t="s">
        <v>7082</v>
      </c>
      <c r="C1822" s="1" t="s">
        <v>7083</v>
      </c>
      <c r="D1822" s="1" t="str">
        <f>"8028747028"</f>
        <v>8028747028</v>
      </c>
      <c r="E1822" s="1">
        <v>3729.0</v>
      </c>
      <c r="F1822" s="1" t="s">
        <v>117</v>
      </c>
      <c r="G1822" s="1" t="s">
        <v>7084</v>
      </c>
      <c r="H1822" s="1">
        <v>2.0</v>
      </c>
      <c r="I1822" s="2">
        <v>0.0</v>
      </c>
      <c r="J1822" s="2">
        <v>0.0</v>
      </c>
      <c r="K1822" s="2" t="s">
        <v>119</v>
      </c>
      <c r="L1822" s="2" t="s">
        <v>4799</v>
      </c>
      <c r="M1822" s="1" t="s">
        <v>7085</v>
      </c>
      <c r="N1822" s="1" t="s">
        <v>66</v>
      </c>
      <c r="O1822" s="1" t="s">
        <v>1944</v>
      </c>
      <c r="P1822" s="1" t="s">
        <v>7086</v>
      </c>
      <c r="Q1822" s="3">
        <v>36892.0</v>
      </c>
      <c r="R1822" s="1"/>
      <c r="S1822" s="3">
        <v>38882.0</v>
      </c>
      <c r="T1822" s="1" t="s">
        <v>37</v>
      </c>
      <c r="U1822" s="1"/>
      <c r="V1822" s="1" t="s">
        <v>38</v>
      </c>
      <c r="W1822" s="1">
        <v>43.167614</v>
      </c>
      <c r="X1822" s="1">
        <v>-72.715012</v>
      </c>
      <c r="Y1822" s="1" t="s">
        <v>7087</v>
      </c>
      <c r="Z1822" s="1"/>
      <c r="AA1822" s="1" t="s">
        <v>40</v>
      </c>
      <c r="AB1822" s="1" t="s">
        <v>66</v>
      </c>
      <c r="AC1822" s="1">
        <v>5359.0</v>
      </c>
    </row>
    <row r="1823">
      <c r="A1823" s="1" t="str">
        <f>"000804"</f>
        <v>000804</v>
      </c>
      <c r="B1823" s="1" t="s">
        <v>7088</v>
      </c>
      <c r="C1823" s="1" t="s">
        <v>7089</v>
      </c>
      <c r="D1823" s="1" t="str">
        <f>"8024396524"</f>
        <v>8024396524</v>
      </c>
      <c r="E1823" s="1">
        <v>3730.0</v>
      </c>
      <c r="F1823" s="1" t="s">
        <v>44</v>
      </c>
      <c r="G1823" s="1" t="s">
        <v>7090</v>
      </c>
      <c r="H1823" s="1">
        <v>1.0</v>
      </c>
      <c r="I1823" s="1"/>
      <c r="J1823" s="1"/>
      <c r="K1823" s="1"/>
      <c r="L1823" s="1"/>
      <c r="M1823" s="1" t="s">
        <v>72</v>
      </c>
      <c r="N1823" s="1" t="s">
        <v>142</v>
      </c>
      <c r="O1823" s="1" t="s">
        <v>400</v>
      </c>
      <c r="P1823" s="1"/>
      <c r="Q1823" s="3">
        <v>36892.0</v>
      </c>
      <c r="R1823" s="1"/>
      <c r="S1823" s="3">
        <v>38880.0</v>
      </c>
      <c r="T1823" s="1" t="s">
        <v>37</v>
      </c>
      <c r="U1823" s="1"/>
      <c r="V1823" s="1" t="s">
        <v>38</v>
      </c>
      <c r="W1823" s="1"/>
      <c r="X1823" s="1"/>
      <c r="Y1823" s="1" t="s">
        <v>49</v>
      </c>
      <c r="Z1823" s="1"/>
      <c r="AA1823" s="1" t="s">
        <v>40</v>
      </c>
      <c r="AB1823" s="1" t="s">
        <v>401</v>
      </c>
      <c r="AC1823" s="1"/>
    </row>
    <row r="1824">
      <c r="A1824" s="1" t="str">
        <f>"000839"</f>
        <v>000839</v>
      </c>
      <c r="B1824" s="1" t="s">
        <v>7091</v>
      </c>
      <c r="C1824" s="1" t="s">
        <v>7092</v>
      </c>
      <c r="D1824" s="1" t="str">
        <f>"8022571378"</f>
        <v>8022571378</v>
      </c>
      <c r="E1824" s="1">
        <v>3483.0</v>
      </c>
      <c r="F1824" s="1" t="s">
        <v>44</v>
      </c>
      <c r="G1824" s="1" t="s">
        <v>7093</v>
      </c>
      <c r="H1824" s="1">
        <v>2.0</v>
      </c>
      <c r="I1824" s="1"/>
      <c r="J1824" s="1"/>
      <c r="K1824" s="1"/>
      <c r="L1824" s="1"/>
      <c r="M1824" s="1" t="s">
        <v>72</v>
      </c>
      <c r="N1824" s="1" t="s">
        <v>66</v>
      </c>
      <c r="O1824" s="1" t="s">
        <v>1136</v>
      </c>
      <c r="P1824" s="1"/>
      <c r="Q1824" s="3">
        <v>36892.0</v>
      </c>
      <c r="R1824" s="1"/>
      <c r="S1824" s="3">
        <v>38889.0</v>
      </c>
      <c r="T1824" s="1" t="s">
        <v>37</v>
      </c>
      <c r="U1824" s="1"/>
      <c r="V1824" s="1" t="s">
        <v>38</v>
      </c>
      <c r="W1824" s="1"/>
      <c r="X1824" s="1"/>
      <c r="Y1824" s="1" t="s">
        <v>49</v>
      </c>
      <c r="Z1824" s="1"/>
      <c r="AA1824" s="1" t="s">
        <v>40</v>
      </c>
      <c r="AB1824" s="1" t="s">
        <v>1137</v>
      </c>
      <c r="AC1824" s="1"/>
    </row>
    <row r="1825">
      <c r="A1825" s="1" t="str">
        <f>"0008NF"</f>
        <v>0008NF</v>
      </c>
      <c r="B1825" s="1" t="s">
        <v>7094</v>
      </c>
      <c r="C1825" s="1" t="s">
        <v>7095</v>
      </c>
      <c r="D1825" s="1" t="str">
        <f>"8028752568"</f>
        <v>8028752568</v>
      </c>
      <c r="E1825" s="1">
        <v>3731.0</v>
      </c>
      <c r="F1825" s="1" t="s">
        <v>44</v>
      </c>
      <c r="G1825" s="1" t="s">
        <v>7096</v>
      </c>
      <c r="H1825" s="1">
        <v>1.0</v>
      </c>
      <c r="I1825" s="1"/>
      <c r="J1825" s="1"/>
      <c r="K1825" s="1"/>
      <c r="L1825" s="1"/>
      <c r="M1825" s="1" t="s">
        <v>72</v>
      </c>
      <c r="N1825" s="1" t="s">
        <v>34</v>
      </c>
      <c r="O1825" s="1" t="s">
        <v>565</v>
      </c>
      <c r="P1825" s="1"/>
      <c r="Q1825" s="3">
        <v>36892.0</v>
      </c>
      <c r="R1825" s="1"/>
      <c r="S1825" s="3">
        <v>39289.0</v>
      </c>
      <c r="T1825" s="1" t="s">
        <v>37</v>
      </c>
      <c r="U1825" s="1"/>
      <c r="V1825" s="1" t="s">
        <v>38</v>
      </c>
      <c r="W1825" s="1"/>
      <c r="X1825" s="1"/>
      <c r="Y1825" s="1" t="s">
        <v>7097</v>
      </c>
      <c r="Z1825" s="1"/>
      <c r="AA1825" s="1" t="s">
        <v>40</v>
      </c>
      <c r="AB1825" s="1" t="s">
        <v>566</v>
      </c>
      <c r="AC1825" s="1" t="s">
        <v>7098</v>
      </c>
    </row>
    <row r="1826">
      <c r="A1826" s="1" t="str">
        <f>"00091N"</f>
        <v>00091N</v>
      </c>
      <c r="B1826" s="1" t="s">
        <v>7099</v>
      </c>
      <c r="C1826" s="1" t="s">
        <v>7100</v>
      </c>
      <c r="D1826" s="1" t="str">
        <f>"8029858613"</f>
        <v>8029858613</v>
      </c>
      <c r="E1826" s="1">
        <v>3741.0</v>
      </c>
      <c r="F1826" s="1" t="s">
        <v>44</v>
      </c>
      <c r="G1826" s="1" t="s">
        <v>7101</v>
      </c>
      <c r="H1826" s="1"/>
      <c r="I1826" s="1"/>
      <c r="J1826" s="1"/>
      <c r="K1826" s="1"/>
      <c r="L1826" s="1"/>
      <c r="M1826" s="1" t="s">
        <v>72</v>
      </c>
      <c r="N1826" s="1" t="s">
        <v>57</v>
      </c>
      <c r="O1826" s="1" t="s">
        <v>238</v>
      </c>
      <c r="P1826" s="1"/>
      <c r="Q1826" s="3">
        <v>36892.0</v>
      </c>
      <c r="R1826" s="1"/>
      <c r="S1826" s="1"/>
      <c r="T1826" s="1" t="s">
        <v>37</v>
      </c>
      <c r="U1826" s="1"/>
      <c r="V1826" s="1" t="s">
        <v>38</v>
      </c>
      <c r="W1826" s="1"/>
      <c r="X1826" s="1"/>
      <c r="Y1826" s="1" t="s">
        <v>49</v>
      </c>
      <c r="Z1826" s="1"/>
      <c r="AA1826" s="1" t="s">
        <v>40</v>
      </c>
      <c r="AB1826" s="1" t="s">
        <v>239</v>
      </c>
      <c r="AC1826" s="1"/>
    </row>
    <row r="1827">
      <c r="A1827" s="1" t="str">
        <f>"0007D0"</f>
        <v>0007D0</v>
      </c>
      <c r="B1827" s="1" t="s">
        <v>7102</v>
      </c>
      <c r="C1827" s="1" t="s">
        <v>7103</v>
      </c>
      <c r="D1827" s="1" t="str">
        <f>"8027963105"</f>
        <v>8027963105</v>
      </c>
      <c r="E1827" s="1">
        <v>3852.0</v>
      </c>
      <c r="F1827" s="1" t="s">
        <v>117</v>
      </c>
      <c r="G1827" s="1" t="s">
        <v>7104</v>
      </c>
      <c r="H1827" s="1">
        <v>8.0</v>
      </c>
      <c r="I1827" s="2">
        <v>6.0</v>
      </c>
      <c r="J1827" s="2">
        <v>4.0</v>
      </c>
      <c r="K1827" s="2" t="s">
        <v>119</v>
      </c>
      <c r="L1827" s="1"/>
      <c r="M1827" s="1" t="s">
        <v>7105</v>
      </c>
      <c r="N1827" s="1" t="s">
        <v>107</v>
      </c>
      <c r="O1827" s="1" t="s">
        <v>2016</v>
      </c>
      <c r="P1827" s="1" t="s">
        <v>7106</v>
      </c>
      <c r="Q1827" s="3">
        <v>36892.0</v>
      </c>
      <c r="R1827" s="1"/>
      <c r="S1827" s="3">
        <v>39293.0</v>
      </c>
      <c r="T1827" s="1" t="s">
        <v>37</v>
      </c>
      <c r="U1827" s="1"/>
      <c r="V1827" s="1" t="s">
        <v>38</v>
      </c>
      <c r="W1827" s="1">
        <v>44.9845769060609</v>
      </c>
      <c r="X1827" s="1">
        <v>-73.2954517006874</v>
      </c>
      <c r="Y1827" s="1" t="s">
        <v>7107</v>
      </c>
      <c r="Z1827" s="1"/>
      <c r="AA1827" s="1" t="s">
        <v>40</v>
      </c>
      <c r="AB1827" s="1" t="s">
        <v>2019</v>
      </c>
      <c r="AC1827" s="1">
        <v>5440.0</v>
      </c>
    </row>
    <row r="1828">
      <c r="A1828" s="1" t="str">
        <f>"00091P"</f>
        <v>00091P</v>
      </c>
      <c r="B1828" s="1" t="s">
        <v>7108</v>
      </c>
      <c r="C1828" s="1" t="s">
        <v>7109</v>
      </c>
      <c r="D1828" s="1" t="str">
        <f>"8027654060"</f>
        <v>8027654060</v>
      </c>
      <c r="E1828" s="1">
        <v>3742.0</v>
      </c>
      <c r="F1828" s="1" t="s">
        <v>117</v>
      </c>
      <c r="G1828" s="1" t="s">
        <v>7110</v>
      </c>
      <c r="H1828" s="1">
        <v>1.0</v>
      </c>
      <c r="I1828" s="2">
        <v>8.0</v>
      </c>
      <c r="J1828" s="2">
        <v>7.0</v>
      </c>
      <c r="K1828" s="2" t="s">
        <v>119</v>
      </c>
      <c r="L1828" s="1"/>
      <c r="M1828" s="1" t="s">
        <v>7111</v>
      </c>
      <c r="N1828" s="1" t="s">
        <v>142</v>
      </c>
      <c r="O1828" s="1" t="s">
        <v>243</v>
      </c>
      <c r="P1828" s="1" t="s">
        <v>7112</v>
      </c>
      <c r="Q1828" s="3">
        <v>36892.0</v>
      </c>
      <c r="R1828" s="1"/>
      <c r="S1828" s="3">
        <v>38922.0</v>
      </c>
      <c r="T1828" s="1" t="s">
        <v>37</v>
      </c>
      <c r="U1828" s="1"/>
      <c r="V1828" s="1" t="s">
        <v>38</v>
      </c>
      <c r="W1828" s="1">
        <v>43.8237776</v>
      </c>
      <c r="X1828" s="1">
        <v>-72.3333526</v>
      </c>
      <c r="Y1828" s="1" t="s">
        <v>7113</v>
      </c>
      <c r="Z1828" s="1"/>
      <c r="AA1828" s="1" t="s">
        <v>40</v>
      </c>
      <c r="AB1828" s="1" t="s">
        <v>246</v>
      </c>
      <c r="AC1828" s="1">
        <v>5070.0</v>
      </c>
    </row>
    <row r="1829">
      <c r="A1829" s="1" t="str">
        <f>"00091Q"</f>
        <v>00091Q</v>
      </c>
      <c r="B1829" s="1" t="s">
        <v>7114</v>
      </c>
      <c r="C1829" s="1" t="s">
        <v>7115</v>
      </c>
      <c r="D1829" s="1" t="str">
        <f>"8024470184"</f>
        <v>8024470184</v>
      </c>
      <c r="E1829" s="1">
        <v>3743.0</v>
      </c>
      <c r="F1829" s="1" t="s">
        <v>44</v>
      </c>
      <c r="G1829" s="1" t="s">
        <v>7116</v>
      </c>
      <c r="H1829" s="1"/>
      <c r="I1829" s="1"/>
      <c r="J1829" s="1"/>
      <c r="K1829" s="1"/>
      <c r="L1829" s="1"/>
      <c r="M1829" s="1" t="s">
        <v>7117</v>
      </c>
      <c r="N1829" s="1" t="s">
        <v>414</v>
      </c>
      <c r="O1829" s="1" t="s">
        <v>720</v>
      </c>
      <c r="P1829" s="1"/>
      <c r="Q1829" s="3">
        <v>36892.0</v>
      </c>
      <c r="R1829" s="1"/>
      <c r="S1829" s="1"/>
      <c r="T1829" s="1" t="s">
        <v>37</v>
      </c>
      <c r="U1829" s="1"/>
      <c r="V1829" s="1" t="s">
        <v>38</v>
      </c>
      <c r="W1829" s="1"/>
      <c r="X1829" s="1"/>
      <c r="Y1829" s="1" t="s">
        <v>49</v>
      </c>
      <c r="Z1829" s="1"/>
      <c r="AA1829" s="1" t="s">
        <v>40</v>
      </c>
      <c r="AB1829" s="1" t="s">
        <v>414</v>
      </c>
      <c r="AC1829" s="1"/>
    </row>
    <row r="1830">
      <c r="A1830" s="1" t="str">
        <f>"000735"</f>
        <v>000735</v>
      </c>
      <c r="B1830" s="1" t="s">
        <v>7118</v>
      </c>
      <c r="C1830" s="1" t="s">
        <v>7119</v>
      </c>
      <c r="D1830" s="1" t="str">
        <f>"8028975938"</f>
        <v>8028975938</v>
      </c>
      <c r="E1830" s="1">
        <v>3744.0</v>
      </c>
      <c r="F1830" s="1" t="s">
        <v>44</v>
      </c>
      <c r="G1830" s="1" t="s">
        <v>7120</v>
      </c>
      <c r="H1830" s="1">
        <v>2.0</v>
      </c>
      <c r="I1830" s="1"/>
      <c r="J1830" s="1"/>
      <c r="K1830" s="1"/>
      <c r="L1830" s="1"/>
      <c r="M1830" s="1" t="s">
        <v>72</v>
      </c>
      <c r="N1830" s="1" t="s">
        <v>161</v>
      </c>
      <c r="O1830" s="1" t="s">
        <v>1053</v>
      </c>
      <c r="P1830" s="1"/>
      <c r="Q1830" s="3">
        <v>36892.0</v>
      </c>
      <c r="R1830" s="1"/>
      <c r="S1830" s="3">
        <v>39986.0</v>
      </c>
      <c r="T1830" s="1" t="s">
        <v>37</v>
      </c>
      <c r="U1830" s="1"/>
      <c r="V1830" s="1" t="s">
        <v>38</v>
      </c>
      <c r="W1830" s="1"/>
      <c r="X1830" s="1"/>
      <c r="Y1830" s="1" t="s">
        <v>49</v>
      </c>
      <c r="Z1830" s="1"/>
      <c r="AA1830" s="1" t="s">
        <v>40</v>
      </c>
      <c r="AB1830" s="1" t="s">
        <v>1054</v>
      </c>
      <c r="AC1830" s="1"/>
    </row>
    <row r="1831">
      <c r="A1831" s="1" t="str">
        <f>"00091V"</f>
        <v>00091V</v>
      </c>
      <c r="B1831" s="1" t="s">
        <v>6988</v>
      </c>
      <c r="C1831" s="1" t="s">
        <v>6989</v>
      </c>
      <c r="D1831" s="1" t="str">
        <f>"8029334734"</f>
        <v>8029334734</v>
      </c>
      <c r="E1831" s="1">
        <v>3745.0</v>
      </c>
      <c r="F1831" s="1" t="s">
        <v>44</v>
      </c>
      <c r="G1831" s="1" t="s">
        <v>7121</v>
      </c>
      <c r="H1831" s="1">
        <v>3.0</v>
      </c>
      <c r="I1831" s="1"/>
      <c r="J1831" s="1"/>
      <c r="K1831" s="1"/>
      <c r="L1831" s="1"/>
      <c r="M1831" s="1" t="s">
        <v>72</v>
      </c>
      <c r="N1831" s="1" t="s">
        <v>47</v>
      </c>
      <c r="O1831" s="1" t="s">
        <v>48</v>
      </c>
      <c r="P1831" s="1"/>
      <c r="Q1831" s="3">
        <v>36892.0</v>
      </c>
      <c r="R1831" s="1"/>
      <c r="S1831" s="3">
        <v>39295.0</v>
      </c>
      <c r="T1831" s="1" t="s">
        <v>37</v>
      </c>
      <c r="U1831" s="1"/>
      <c r="V1831" s="1" t="s">
        <v>38</v>
      </c>
      <c r="W1831" s="1"/>
      <c r="X1831" s="1"/>
      <c r="Y1831" s="1" t="s">
        <v>49</v>
      </c>
      <c r="Z1831" s="1"/>
      <c r="AA1831" s="1" t="s">
        <v>40</v>
      </c>
      <c r="AB1831" s="1" t="s">
        <v>50</v>
      </c>
      <c r="AC1831" s="1"/>
    </row>
    <row r="1832">
      <c r="A1832" s="1" t="str">
        <f>"00091W"</f>
        <v>00091W</v>
      </c>
      <c r="B1832" s="1" t="s">
        <v>7122</v>
      </c>
      <c r="C1832" s="1" t="s">
        <v>7123</v>
      </c>
      <c r="D1832" s="1" t="str">
        <f>"8027654331"</f>
        <v>8027654331</v>
      </c>
      <c r="E1832" s="1">
        <v>3746.0</v>
      </c>
      <c r="F1832" s="1" t="s">
        <v>44</v>
      </c>
      <c r="G1832" s="1" t="s">
        <v>7124</v>
      </c>
      <c r="H1832" s="1">
        <v>3.0</v>
      </c>
      <c r="I1832" s="1"/>
      <c r="J1832" s="1"/>
      <c r="K1832" s="1"/>
      <c r="L1832" s="1"/>
      <c r="M1832" s="1" t="s">
        <v>72</v>
      </c>
      <c r="N1832" s="1" t="s">
        <v>142</v>
      </c>
      <c r="O1832" s="1" t="s">
        <v>243</v>
      </c>
      <c r="P1832" s="1"/>
      <c r="Q1832" s="3">
        <v>36892.0</v>
      </c>
      <c r="R1832" s="1"/>
      <c r="S1832" s="3">
        <v>38922.0</v>
      </c>
      <c r="T1832" s="1" t="s">
        <v>37</v>
      </c>
      <c r="U1832" s="1"/>
      <c r="V1832" s="1" t="s">
        <v>38</v>
      </c>
      <c r="W1832" s="1"/>
      <c r="X1832" s="1"/>
      <c r="Y1832" s="1" t="s">
        <v>49</v>
      </c>
      <c r="Z1832" s="1"/>
      <c r="AA1832" s="1" t="s">
        <v>40</v>
      </c>
      <c r="AB1832" s="1" t="s">
        <v>246</v>
      </c>
      <c r="AC1832" s="1"/>
    </row>
    <row r="1833">
      <c r="A1833" s="1" t="str">
        <f>"00091X"</f>
        <v>00091X</v>
      </c>
      <c r="B1833" s="1" t="s">
        <v>7125</v>
      </c>
      <c r="C1833" s="1" t="s">
        <v>7126</v>
      </c>
      <c r="D1833" s="1" t="str">
        <f>"8029995354"</f>
        <v>8029995354</v>
      </c>
      <c r="E1833" s="1">
        <v>3747.0</v>
      </c>
      <c r="F1833" s="1" t="s">
        <v>44</v>
      </c>
      <c r="G1833" s="1" t="s">
        <v>7127</v>
      </c>
      <c r="H1833" s="1">
        <v>3.0</v>
      </c>
      <c r="I1833" s="1"/>
      <c r="J1833" s="1"/>
      <c r="K1833" s="1"/>
      <c r="L1833" s="1"/>
      <c r="M1833" s="1" t="s">
        <v>7128</v>
      </c>
      <c r="N1833" s="1" t="s">
        <v>57</v>
      </c>
      <c r="O1833" s="1" t="s">
        <v>503</v>
      </c>
      <c r="P1833" s="1"/>
      <c r="Q1833" s="3">
        <v>36892.0</v>
      </c>
      <c r="R1833" s="1"/>
      <c r="S1833" s="3">
        <v>38924.0</v>
      </c>
      <c r="T1833" s="1" t="s">
        <v>37</v>
      </c>
      <c r="U1833" s="1"/>
      <c r="V1833" s="1" t="s">
        <v>38</v>
      </c>
      <c r="W1833" s="1"/>
      <c r="X1833" s="1"/>
      <c r="Y1833" s="1" t="s">
        <v>49</v>
      </c>
      <c r="Z1833" s="1"/>
      <c r="AA1833" s="1" t="s">
        <v>40</v>
      </c>
      <c r="AB1833" s="1" t="s">
        <v>504</v>
      </c>
      <c r="AC1833" s="1"/>
    </row>
    <row r="1834">
      <c r="A1834" s="1" t="str">
        <f>"00081P"</f>
        <v>00081P</v>
      </c>
      <c r="B1834" s="1" t="s">
        <v>7129</v>
      </c>
      <c r="C1834" s="1" t="s">
        <v>7130</v>
      </c>
      <c r="D1834" s="1" t="str">
        <f>"8023493310"</f>
        <v>8023493310</v>
      </c>
      <c r="E1834" s="1">
        <v>4003.0</v>
      </c>
      <c r="F1834" s="1" t="s">
        <v>44</v>
      </c>
      <c r="G1834" s="1" t="s">
        <v>7131</v>
      </c>
      <c r="H1834" s="1">
        <v>0.0</v>
      </c>
      <c r="I1834" s="1"/>
      <c r="J1834" s="1"/>
      <c r="K1834" s="1"/>
      <c r="L1834" s="1"/>
      <c r="M1834" s="1" t="s">
        <v>7132</v>
      </c>
      <c r="N1834" s="1" t="s">
        <v>78</v>
      </c>
      <c r="O1834" s="1" t="s">
        <v>4889</v>
      </c>
      <c r="P1834" s="1"/>
      <c r="Q1834" s="3">
        <v>36892.0</v>
      </c>
      <c r="R1834" s="1"/>
      <c r="S1834" s="3">
        <v>40759.0</v>
      </c>
      <c r="T1834" s="1" t="s">
        <v>37</v>
      </c>
      <c r="U1834" s="1"/>
      <c r="V1834" s="1" t="s">
        <v>38</v>
      </c>
      <c r="W1834" s="1"/>
      <c r="X1834" s="1"/>
      <c r="Y1834" s="1" t="s">
        <v>49</v>
      </c>
      <c r="Z1834" s="1"/>
      <c r="AA1834" s="1" t="s">
        <v>40</v>
      </c>
      <c r="AB1834" s="1" t="s">
        <v>4890</v>
      </c>
      <c r="AC1834" s="1"/>
    </row>
    <row r="1835">
      <c r="A1835" s="1" t="str">
        <f>"00084G"</f>
        <v>00084G</v>
      </c>
      <c r="B1835" s="1" t="s">
        <v>7133</v>
      </c>
      <c r="C1835" s="1" t="s">
        <v>7134</v>
      </c>
      <c r="D1835" s="1" t="str">
        <f>"8022763479"</f>
        <v>8022763479</v>
      </c>
      <c r="E1835" s="1">
        <v>4004.0</v>
      </c>
      <c r="F1835" s="1" t="s">
        <v>44</v>
      </c>
      <c r="G1835" s="1" t="s">
        <v>7135</v>
      </c>
      <c r="H1835" s="1">
        <v>4.0</v>
      </c>
      <c r="I1835" s="1"/>
      <c r="J1835" s="1"/>
      <c r="K1835" s="1"/>
      <c r="L1835" s="1"/>
      <c r="M1835" s="1" t="s">
        <v>72</v>
      </c>
      <c r="N1835" s="1" t="s">
        <v>142</v>
      </c>
      <c r="O1835" s="1" t="s">
        <v>353</v>
      </c>
      <c r="P1835" s="1"/>
      <c r="Q1835" s="3">
        <v>36892.0</v>
      </c>
      <c r="R1835" s="1"/>
      <c r="S1835" s="3">
        <v>39945.0</v>
      </c>
      <c r="T1835" s="1" t="s">
        <v>37</v>
      </c>
      <c r="U1835" s="1"/>
      <c r="V1835" s="1" t="s">
        <v>38</v>
      </c>
      <c r="W1835" s="1">
        <v>44.033806</v>
      </c>
      <c r="X1835" s="1">
        <v>-72.545975</v>
      </c>
      <c r="Y1835" s="1" t="s">
        <v>7136</v>
      </c>
      <c r="Z1835" s="1"/>
      <c r="AA1835" s="1" t="s">
        <v>40</v>
      </c>
      <c r="AB1835" s="1" t="s">
        <v>355</v>
      </c>
      <c r="AC1835" s="1">
        <v>5036.0</v>
      </c>
    </row>
    <row r="1836">
      <c r="A1836" s="1" t="str">
        <f>"00091Z"</f>
        <v>00091Z</v>
      </c>
      <c r="B1836" s="1" t="s">
        <v>7137</v>
      </c>
      <c r="C1836" s="1" t="s">
        <v>7138</v>
      </c>
      <c r="D1836" s="1" t="str">
        <f>"8023339029"</f>
        <v>8023339029</v>
      </c>
      <c r="E1836" s="1">
        <v>3753.0</v>
      </c>
      <c r="F1836" s="1" t="s">
        <v>44</v>
      </c>
      <c r="G1836" s="1" t="s">
        <v>7139</v>
      </c>
      <c r="H1836" s="1"/>
      <c r="I1836" s="1"/>
      <c r="J1836" s="1"/>
      <c r="K1836" s="1"/>
      <c r="L1836" s="1"/>
      <c r="M1836" s="1" t="s">
        <v>72</v>
      </c>
      <c r="N1836" s="1" t="s">
        <v>142</v>
      </c>
      <c r="O1836" s="1" t="s">
        <v>2474</v>
      </c>
      <c r="P1836" s="1"/>
      <c r="Q1836" s="3">
        <v>36892.0</v>
      </c>
      <c r="R1836" s="1"/>
      <c r="S1836" s="1"/>
      <c r="T1836" s="1" t="s">
        <v>37</v>
      </c>
      <c r="U1836" s="1"/>
      <c r="V1836" s="1" t="s">
        <v>38</v>
      </c>
      <c r="W1836" s="1"/>
      <c r="X1836" s="1"/>
      <c r="Y1836" s="1" t="s">
        <v>49</v>
      </c>
      <c r="Z1836" s="1"/>
      <c r="AA1836" s="1" t="s">
        <v>40</v>
      </c>
      <c r="AB1836" s="1" t="s">
        <v>2475</v>
      </c>
      <c r="AC1836" s="1"/>
    </row>
    <row r="1837">
      <c r="A1837" s="1" t="str">
        <f>"000920"</f>
        <v>000920</v>
      </c>
      <c r="B1837" s="1" t="s">
        <v>7140</v>
      </c>
      <c r="C1837" s="1" t="s">
        <v>7141</v>
      </c>
      <c r="D1837" s="1" t="str">
        <f>"8023252131"</f>
        <v>8023252131</v>
      </c>
      <c r="E1837" s="1">
        <v>3754.0</v>
      </c>
      <c r="F1837" s="1" t="s">
        <v>44</v>
      </c>
      <c r="G1837" s="1" t="s">
        <v>7142</v>
      </c>
      <c r="H1837" s="1">
        <v>1.0</v>
      </c>
      <c r="I1837" s="1"/>
      <c r="J1837" s="1"/>
      <c r="K1837" s="1"/>
      <c r="L1837" s="1"/>
      <c r="M1837" s="1" t="s">
        <v>72</v>
      </c>
      <c r="N1837" s="1" t="s">
        <v>78</v>
      </c>
      <c r="O1837" s="1" t="s">
        <v>371</v>
      </c>
      <c r="P1837" s="1"/>
      <c r="Q1837" s="3">
        <v>36892.0</v>
      </c>
      <c r="R1837" s="1"/>
      <c r="S1837" s="3">
        <v>39274.0</v>
      </c>
      <c r="T1837" s="1" t="s">
        <v>37</v>
      </c>
      <c r="U1837" s="1"/>
      <c r="V1837" s="1" t="s">
        <v>38</v>
      </c>
      <c r="W1837" s="1"/>
      <c r="X1837" s="1"/>
      <c r="Y1837" s="1" t="s">
        <v>49</v>
      </c>
      <c r="Z1837" s="1"/>
      <c r="AA1837" s="1" t="s">
        <v>40</v>
      </c>
      <c r="AB1837" s="1" t="s">
        <v>374</v>
      </c>
      <c r="AC1837" s="1"/>
    </row>
    <row r="1838">
      <c r="A1838" s="1" t="str">
        <f>"000921"</f>
        <v>000921</v>
      </c>
      <c r="B1838" s="1" t="s">
        <v>7143</v>
      </c>
      <c r="C1838" s="1" t="s">
        <v>7144</v>
      </c>
      <c r="D1838" s="1" t="str">
        <f>"8026450660"</f>
        <v>8026450660</v>
      </c>
      <c r="E1838" s="1">
        <v>3755.0</v>
      </c>
      <c r="F1838" s="1" t="s">
        <v>44</v>
      </c>
      <c r="G1838" s="1" t="s">
        <v>7145</v>
      </c>
      <c r="H1838" s="1">
        <v>2.0</v>
      </c>
      <c r="I1838" s="1"/>
      <c r="J1838" s="1"/>
      <c r="K1838" s="1"/>
      <c r="L1838" s="1"/>
      <c r="M1838" s="1" t="s">
        <v>72</v>
      </c>
      <c r="N1838" s="1" t="s">
        <v>78</v>
      </c>
      <c r="O1838" s="1" t="s">
        <v>371</v>
      </c>
      <c r="P1838" s="1"/>
      <c r="Q1838" s="3">
        <v>36892.0</v>
      </c>
      <c r="R1838" s="1"/>
      <c r="S1838" s="3">
        <v>39581.0</v>
      </c>
      <c r="T1838" s="1" t="s">
        <v>37</v>
      </c>
      <c r="U1838" s="1"/>
      <c r="V1838" s="1" t="s">
        <v>38</v>
      </c>
      <c r="W1838" s="1"/>
      <c r="X1838" s="1"/>
      <c r="Y1838" s="1" t="s">
        <v>49</v>
      </c>
      <c r="Z1838" s="1"/>
      <c r="AA1838" s="1" t="s">
        <v>40</v>
      </c>
      <c r="AB1838" s="1" t="s">
        <v>374</v>
      </c>
      <c r="AC1838" s="1"/>
    </row>
    <row r="1839">
      <c r="A1839" s="1" t="str">
        <f>"000922"</f>
        <v>000922</v>
      </c>
      <c r="B1839" s="1" t="s">
        <v>7146</v>
      </c>
      <c r="C1839" s="1" t="s">
        <v>7147</v>
      </c>
      <c r="D1839" s="1" t="str">
        <f>"8023624727"</f>
        <v>8023624727</v>
      </c>
      <c r="E1839" s="1">
        <v>3756.0</v>
      </c>
      <c r="F1839" s="1" t="s">
        <v>44</v>
      </c>
      <c r="G1839" s="1" t="s">
        <v>7148</v>
      </c>
      <c r="H1839" s="1"/>
      <c r="I1839" s="1"/>
      <c r="J1839" s="1"/>
      <c r="K1839" s="1"/>
      <c r="L1839" s="1"/>
      <c r="M1839" s="1" t="s">
        <v>72</v>
      </c>
      <c r="N1839" s="1" t="s">
        <v>414</v>
      </c>
      <c r="O1839" s="1" t="s">
        <v>2880</v>
      </c>
      <c r="P1839" s="1"/>
      <c r="Q1839" s="3">
        <v>36892.0</v>
      </c>
      <c r="R1839" s="1"/>
      <c r="S1839" s="1"/>
      <c r="T1839" s="1" t="s">
        <v>37</v>
      </c>
      <c r="U1839" s="1"/>
      <c r="V1839" s="1" t="s">
        <v>38</v>
      </c>
      <c r="W1839" s="1"/>
      <c r="X1839" s="1"/>
      <c r="Y1839" s="1" t="s">
        <v>49</v>
      </c>
      <c r="Z1839" s="1"/>
      <c r="AA1839" s="1" t="s">
        <v>40</v>
      </c>
      <c r="AB1839" s="1" t="s">
        <v>2881</v>
      </c>
      <c r="AC1839" s="1"/>
    </row>
    <row r="1840">
      <c r="A1840" s="1" t="str">
        <f>"000923"</f>
        <v>000923</v>
      </c>
      <c r="B1840" s="1" t="s">
        <v>7149</v>
      </c>
      <c r="C1840" s="1" t="s">
        <v>7150</v>
      </c>
      <c r="D1840" s="1" t="str">
        <f>"8025246249"</f>
        <v>8025246249</v>
      </c>
      <c r="E1840" s="1">
        <v>3758.0</v>
      </c>
      <c r="F1840" s="1" t="s">
        <v>44</v>
      </c>
      <c r="G1840" s="1" t="s">
        <v>7151</v>
      </c>
      <c r="H1840" s="1">
        <v>3.0</v>
      </c>
      <c r="I1840" s="1"/>
      <c r="J1840" s="1"/>
      <c r="K1840" s="1"/>
      <c r="L1840" s="1"/>
      <c r="M1840" s="1" t="s">
        <v>72</v>
      </c>
      <c r="N1840" s="1" t="s">
        <v>57</v>
      </c>
      <c r="O1840" s="1" t="s">
        <v>256</v>
      </c>
      <c r="P1840" s="1"/>
      <c r="Q1840" s="3">
        <v>36892.0</v>
      </c>
      <c r="R1840" s="1"/>
      <c r="S1840" s="3">
        <v>39000.0</v>
      </c>
      <c r="T1840" s="1" t="s">
        <v>37</v>
      </c>
      <c r="U1840" s="1"/>
      <c r="V1840" s="1" t="s">
        <v>38</v>
      </c>
      <c r="W1840" s="1"/>
      <c r="X1840" s="1"/>
      <c r="Y1840" s="1" t="s">
        <v>49</v>
      </c>
      <c r="Z1840" s="1"/>
      <c r="AA1840" s="1" t="s">
        <v>40</v>
      </c>
      <c r="AB1840" s="1" t="s">
        <v>257</v>
      </c>
      <c r="AC1840" s="1"/>
    </row>
    <row r="1841">
      <c r="A1841" s="1" t="str">
        <f>"000924"</f>
        <v>000924</v>
      </c>
      <c r="B1841" s="1" t="s">
        <v>7152</v>
      </c>
      <c r="C1841" s="1" t="s">
        <v>7153</v>
      </c>
      <c r="D1841" s="1" t="str">
        <f>"7817603238"</f>
        <v>7817603238</v>
      </c>
      <c r="E1841" s="1">
        <v>3759.0</v>
      </c>
      <c r="F1841" s="1" t="s">
        <v>44</v>
      </c>
      <c r="G1841" s="1" t="s">
        <v>7154</v>
      </c>
      <c r="H1841" s="1">
        <v>5.0</v>
      </c>
      <c r="I1841" s="1"/>
      <c r="J1841" s="1"/>
      <c r="K1841" s="1"/>
      <c r="L1841" s="1"/>
      <c r="M1841" s="1" t="s">
        <v>72</v>
      </c>
      <c r="N1841" s="1" t="s">
        <v>142</v>
      </c>
      <c r="O1841" s="1" t="s">
        <v>648</v>
      </c>
      <c r="P1841" s="1"/>
      <c r="Q1841" s="3">
        <v>36892.0</v>
      </c>
      <c r="R1841" s="1"/>
      <c r="S1841" s="3">
        <v>38988.0</v>
      </c>
      <c r="T1841" s="1" t="s">
        <v>37</v>
      </c>
      <c r="U1841" s="1"/>
      <c r="V1841" s="1" t="s">
        <v>38</v>
      </c>
      <c r="W1841" s="1">
        <v>43.922375</v>
      </c>
      <c r="X1841" s="1">
        <v>-72.511253</v>
      </c>
      <c r="Y1841" s="1" t="s">
        <v>7155</v>
      </c>
      <c r="Z1841" s="1"/>
      <c r="AA1841" s="1" t="s">
        <v>40</v>
      </c>
      <c r="AB1841" s="1" t="s">
        <v>650</v>
      </c>
      <c r="AC1841" s="1">
        <v>5077.0</v>
      </c>
    </row>
    <row r="1842">
      <c r="A1842" s="1" t="str">
        <f>"00077C"</f>
        <v>00077C</v>
      </c>
      <c r="B1842" s="1" t="s">
        <v>7156</v>
      </c>
      <c r="C1842" s="1" t="s">
        <v>7157</v>
      </c>
      <c r="D1842" s="1" t="str">
        <f>"8022461197"</f>
        <v>8022461197</v>
      </c>
      <c r="E1842" s="1">
        <v>3991.0</v>
      </c>
      <c r="F1842" s="1" t="s">
        <v>44</v>
      </c>
      <c r="G1842" s="1" t="s">
        <v>7158</v>
      </c>
      <c r="H1842" s="1"/>
      <c r="I1842" s="1"/>
      <c r="J1842" s="1"/>
      <c r="K1842" s="1"/>
      <c r="L1842" s="1"/>
      <c r="M1842" s="1" t="s">
        <v>72</v>
      </c>
      <c r="N1842" s="1" t="s">
        <v>66</v>
      </c>
      <c r="O1842" s="1" t="s">
        <v>2346</v>
      </c>
      <c r="P1842" s="1"/>
      <c r="Q1842" s="3">
        <v>36892.0</v>
      </c>
      <c r="R1842" s="1"/>
      <c r="S1842" s="1"/>
      <c r="T1842" s="1" t="s">
        <v>37</v>
      </c>
      <c r="U1842" s="1"/>
      <c r="V1842" s="1" t="s">
        <v>38</v>
      </c>
      <c r="W1842" s="1"/>
      <c r="X1842" s="1"/>
      <c r="Y1842" s="1" t="s">
        <v>49</v>
      </c>
      <c r="Z1842" s="1"/>
      <c r="AA1842" s="1" t="s">
        <v>40</v>
      </c>
      <c r="AB1842" s="1" t="s">
        <v>2349</v>
      </c>
      <c r="AC1842" s="1"/>
    </row>
    <row r="1843">
      <c r="A1843" s="1" t="str">
        <f>"000925"</f>
        <v>000925</v>
      </c>
      <c r="B1843" s="1" t="s">
        <v>2520</v>
      </c>
      <c r="C1843" s="1" t="s">
        <v>2521</v>
      </c>
      <c r="D1843" s="1" t="str">
        <f>"8022352593"</f>
        <v>8022352593</v>
      </c>
      <c r="E1843" s="1">
        <v>3760.0</v>
      </c>
      <c r="F1843" s="1" t="s">
        <v>44</v>
      </c>
      <c r="G1843" s="1" t="s">
        <v>7159</v>
      </c>
      <c r="H1843" s="1">
        <v>2.0</v>
      </c>
      <c r="I1843" s="1"/>
      <c r="J1843" s="1"/>
      <c r="K1843" s="1"/>
      <c r="L1843" s="1"/>
      <c r="M1843" s="1" t="s">
        <v>33</v>
      </c>
      <c r="N1843" s="1" t="s">
        <v>78</v>
      </c>
      <c r="O1843" s="1" t="s">
        <v>420</v>
      </c>
      <c r="P1843" s="1" t="s">
        <v>36</v>
      </c>
      <c r="Q1843" s="3">
        <v>36892.0</v>
      </c>
      <c r="R1843" s="1"/>
      <c r="S1843" s="3">
        <v>39631.0</v>
      </c>
      <c r="T1843" s="1" t="s">
        <v>37</v>
      </c>
      <c r="U1843" s="1"/>
      <c r="V1843" s="1" t="s">
        <v>38</v>
      </c>
      <c r="W1843" s="1">
        <v>43.47848</v>
      </c>
      <c r="X1843" s="1">
        <v>-73.1228499999999</v>
      </c>
      <c r="Y1843" s="1" t="s">
        <v>7160</v>
      </c>
      <c r="Z1843" s="1"/>
      <c r="AA1843" s="1" t="s">
        <v>40</v>
      </c>
      <c r="AB1843" s="1" t="s">
        <v>7161</v>
      </c>
      <c r="AC1843" s="1">
        <v>5757.0</v>
      </c>
    </row>
    <row r="1844">
      <c r="A1844" s="1" t="str">
        <f>"000927"</f>
        <v>000927</v>
      </c>
      <c r="B1844" s="1" t="s">
        <v>7162</v>
      </c>
      <c r="C1844" s="1" t="s">
        <v>7163</v>
      </c>
      <c r="D1844" s="1" t="str">
        <f>"8028744873"</f>
        <v>8028744873</v>
      </c>
      <c r="E1844" s="1">
        <v>3762.0</v>
      </c>
      <c r="F1844" s="1" t="s">
        <v>44</v>
      </c>
      <c r="G1844" s="1" t="s">
        <v>7164</v>
      </c>
      <c r="H1844" s="1">
        <v>1.0</v>
      </c>
      <c r="I1844" s="1"/>
      <c r="J1844" s="1"/>
      <c r="K1844" s="1"/>
      <c r="L1844" s="1"/>
      <c r="M1844" s="1" t="s">
        <v>72</v>
      </c>
      <c r="N1844" s="1" t="s">
        <v>66</v>
      </c>
      <c r="O1844" s="1" t="s">
        <v>751</v>
      </c>
      <c r="P1844" s="1"/>
      <c r="Q1844" s="3">
        <v>36892.0</v>
      </c>
      <c r="R1844" s="1"/>
      <c r="S1844" s="3">
        <v>41793.0</v>
      </c>
      <c r="T1844" s="1" t="s">
        <v>37</v>
      </c>
      <c r="U1844" s="1"/>
      <c r="V1844" s="1" t="s">
        <v>38</v>
      </c>
      <c r="W1844" s="1">
        <v>43.0780679999999</v>
      </c>
      <c r="X1844" s="1">
        <v>-72.750084</v>
      </c>
      <c r="Y1844" s="1" t="s">
        <v>7165</v>
      </c>
      <c r="Z1844" s="1"/>
      <c r="AA1844" s="1" t="s">
        <v>40</v>
      </c>
      <c r="AB1844" s="1" t="s">
        <v>754</v>
      </c>
      <c r="AC1844" s="1">
        <v>5343.0</v>
      </c>
    </row>
    <row r="1845">
      <c r="A1845" s="1" t="str">
        <f>"000928"</f>
        <v>000928</v>
      </c>
      <c r="B1845" s="1" t="s">
        <v>7166</v>
      </c>
      <c r="C1845" s="1" t="s">
        <v>7167</v>
      </c>
      <c r="D1845" s="1" t="str">
        <f>"8028888866"</f>
        <v>8028888866</v>
      </c>
      <c r="E1845" s="1">
        <v>3763.0</v>
      </c>
      <c r="F1845" s="1" t="s">
        <v>44</v>
      </c>
      <c r="G1845" s="1" t="s">
        <v>7168</v>
      </c>
      <c r="H1845" s="1">
        <v>2.0</v>
      </c>
      <c r="I1845" s="1"/>
      <c r="J1845" s="1"/>
      <c r="K1845" s="1"/>
      <c r="L1845" s="1"/>
      <c r="M1845" s="1" t="s">
        <v>72</v>
      </c>
      <c r="N1845" s="1" t="s">
        <v>213</v>
      </c>
      <c r="O1845" s="1" t="s">
        <v>214</v>
      </c>
      <c r="P1845" s="1"/>
      <c r="Q1845" s="3">
        <v>36892.0</v>
      </c>
      <c r="R1845" s="1"/>
      <c r="S1845" s="3">
        <v>39273.0</v>
      </c>
      <c r="T1845" s="1" t="s">
        <v>37</v>
      </c>
      <c r="U1845" s="1"/>
      <c r="V1845" s="1" t="s">
        <v>38</v>
      </c>
      <c r="W1845" s="1">
        <v>44.5331</v>
      </c>
      <c r="X1845" s="1">
        <v>-72.5647349999999</v>
      </c>
      <c r="Y1845" s="1" t="s">
        <v>7169</v>
      </c>
      <c r="Z1845" s="1"/>
      <c r="AA1845" s="1" t="s">
        <v>40</v>
      </c>
      <c r="AB1845" s="1" t="s">
        <v>217</v>
      </c>
      <c r="AC1845" s="1">
        <v>5661.0</v>
      </c>
    </row>
    <row r="1846">
      <c r="A1846" s="1" t="str">
        <f>"000929"</f>
        <v>000929</v>
      </c>
      <c r="B1846" s="1" t="s">
        <v>7170</v>
      </c>
      <c r="C1846" s="1" t="s">
        <v>7171</v>
      </c>
      <c r="D1846" s="1" t="str">
        <f>"8028245708"</f>
        <v>8028245708</v>
      </c>
      <c r="E1846" s="1">
        <v>3764.0</v>
      </c>
      <c r="F1846" s="1" t="s">
        <v>44</v>
      </c>
      <c r="G1846" s="1" t="s">
        <v>7172</v>
      </c>
      <c r="H1846" s="1">
        <v>5.0</v>
      </c>
      <c r="I1846" s="1"/>
      <c r="J1846" s="1"/>
      <c r="K1846" s="1"/>
      <c r="L1846" s="1"/>
      <c r="M1846" s="1" t="s">
        <v>72</v>
      </c>
      <c r="N1846" s="1" t="s">
        <v>66</v>
      </c>
      <c r="O1846" s="1" t="s">
        <v>900</v>
      </c>
      <c r="P1846" s="1"/>
      <c r="Q1846" s="3">
        <v>36892.0</v>
      </c>
      <c r="R1846" s="1"/>
      <c r="S1846" s="3">
        <v>39321.0</v>
      </c>
      <c r="T1846" s="1" t="s">
        <v>37</v>
      </c>
      <c r="U1846" s="1"/>
      <c r="V1846" s="1" t="s">
        <v>38</v>
      </c>
      <c r="W1846" s="1"/>
      <c r="X1846" s="1"/>
      <c r="Y1846" s="1" t="s">
        <v>49</v>
      </c>
      <c r="Z1846" s="1"/>
      <c r="AA1846" s="1" t="s">
        <v>40</v>
      </c>
      <c r="AB1846" s="1" t="s">
        <v>901</v>
      </c>
      <c r="AC1846" s="1"/>
    </row>
    <row r="1847">
      <c r="A1847" s="1" t="str">
        <f>"0008QZ"</f>
        <v>0008QZ</v>
      </c>
      <c r="B1847" s="1" t="s">
        <v>7173</v>
      </c>
      <c r="C1847" s="1" t="s">
        <v>7174</v>
      </c>
      <c r="D1847" s="1" t="str">
        <f>"8027284093"</f>
        <v>8027284093</v>
      </c>
      <c r="E1847" s="1">
        <v>3296.0</v>
      </c>
      <c r="F1847" s="1" t="s">
        <v>44</v>
      </c>
      <c r="G1847" s="1" t="s">
        <v>7175</v>
      </c>
      <c r="H1847" s="1">
        <v>0.0</v>
      </c>
      <c r="I1847" s="1"/>
      <c r="J1847" s="1"/>
      <c r="K1847" s="1"/>
      <c r="L1847" s="1"/>
      <c r="M1847" s="1" t="s">
        <v>72</v>
      </c>
      <c r="N1847" s="1" t="s">
        <v>142</v>
      </c>
      <c r="O1847" s="1" t="s">
        <v>359</v>
      </c>
      <c r="P1847" s="1"/>
      <c r="Q1847" s="3">
        <v>36892.0</v>
      </c>
      <c r="R1847" s="1"/>
      <c r="S1847" s="3">
        <v>39286.0</v>
      </c>
      <c r="T1847" s="1" t="s">
        <v>37</v>
      </c>
      <c r="U1847" s="1"/>
      <c r="V1847" s="1" t="s">
        <v>38</v>
      </c>
      <c r="W1847" s="1"/>
      <c r="X1847" s="1"/>
      <c r="Y1847" s="1" t="s">
        <v>49</v>
      </c>
      <c r="Z1847" s="1"/>
      <c r="AA1847" s="1" t="s">
        <v>40</v>
      </c>
      <c r="AB1847" s="1" t="s">
        <v>361</v>
      </c>
      <c r="AC1847" s="1"/>
    </row>
    <row r="1848">
      <c r="A1848" s="1" t="str">
        <f>"00092A"</f>
        <v>00092A</v>
      </c>
      <c r="B1848" s="1" t="s">
        <v>7176</v>
      </c>
      <c r="C1848" s="1" t="s">
        <v>7177</v>
      </c>
      <c r="D1848" s="1" t="str">
        <f>"8022961087"</f>
        <v>8022961087</v>
      </c>
      <c r="E1848" s="1">
        <v>3765.0</v>
      </c>
      <c r="F1848" s="1" t="s">
        <v>117</v>
      </c>
      <c r="G1848" s="1" t="s">
        <v>7178</v>
      </c>
      <c r="H1848" s="1">
        <v>1.0</v>
      </c>
      <c r="I1848" s="2">
        <v>2.0</v>
      </c>
      <c r="J1848" s="2">
        <v>2.0</v>
      </c>
      <c r="K1848" s="2" t="s">
        <v>119</v>
      </c>
      <c r="L1848" s="1"/>
      <c r="M1848" s="1" t="s">
        <v>7179</v>
      </c>
      <c r="N1848" s="1" t="s">
        <v>34</v>
      </c>
      <c r="O1848" s="1" t="s">
        <v>953</v>
      </c>
      <c r="P1848" s="1" t="s">
        <v>7180</v>
      </c>
      <c r="Q1848" s="3">
        <v>36892.0</v>
      </c>
      <c r="R1848" s="1"/>
      <c r="S1848" s="1"/>
      <c r="T1848" s="1" t="s">
        <v>37</v>
      </c>
      <c r="U1848" s="1"/>
      <c r="V1848" s="1" t="s">
        <v>38</v>
      </c>
      <c r="W1848" s="1">
        <v>43.660627</v>
      </c>
      <c r="X1848" s="1">
        <v>-72.317805</v>
      </c>
      <c r="Y1848" s="1" t="s">
        <v>7181</v>
      </c>
      <c r="Z1848" s="1"/>
      <c r="AA1848" s="1" t="s">
        <v>40</v>
      </c>
      <c r="AB1848" s="1" t="s">
        <v>954</v>
      </c>
      <c r="AC1848" s="1">
        <v>5001.0</v>
      </c>
    </row>
    <row r="1849">
      <c r="A1849" s="1" t="str">
        <f t="shared" ref="A1849:A1850" si="124">"000911"</f>
        <v>000911</v>
      </c>
      <c r="B1849" s="1" t="s">
        <v>6975</v>
      </c>
      <c r="C1849" s="1" t="s">
        <v>6976</v>
      </c>
      <c r="D1849" s="1" t="str">
        <f t="shared" ref="D1849:D1850" si="125">"8023263133"</f>
        <v>8023263133</v>
      </c>
      <c r="E1849" s="1">
        <v>3636.0</v>
      </c>
      <c r="F1849" s="1" t="s">
        <v>44</v>
      </c>
      <c r="G1849" s="1" t="s">
        <v>7182</v>
      </c>
      <c r="H1849" s="1"/>
      <c r="I1849" s="1"/>
      <c r="J1849" s="1"/>
      <c r="K1849" s="1"/>
      <c r="L1849" s="1"/>
      <c r="M1849" s="1" t="s">
        <v>7183</v>
      </c>
      <c r="N1849" s="1" t="s">
        <v>47</v>
      </c>
      <c r="O1849" s="1" t="s">
        <v>599</v>
      </c>
      <c r="P1849" s="1"/>
      <c r="Q1849" s="3">
        <v>36892.0</v>
      </c>
      <c r="R1849" s="1"/>
      <c r="S1849" s="1"/>
      <c r="T1849" s="1" t="s">
        <v>37</v>
      </c>
      <c r="U1849" s="1"/>
      <c r="V1849" s="1" t="s">
        <v>38</v>
      </c>
      <c r="W1849" s="1"/>
      <c r="X1849" s="1"/>
      <c r="Y1849" s="1" t="s">
        <v>49</v>
      </c>
      <c r="Z1849" s="1"/>
      <c r="AA1849" s="1" t="s">
        <v>40</v>
      </c>
      <c r="AB1849" s="1" t="s">
        <v>602</v>
      </c>
      <c r="AC1849" s="1"/>
    </row>
    <row r="1850">
      <c r="A1850" s="1" t="str">
        <f t="shared" si="124"/>
        <v>000911</v>
      </c>
      <c r="B1850" s="1" t="s">
        <v>6975</v>
      </c>
      <c r="C1850" s="1" t="s">
        <v>6976</v>
      </c>
      <c r="D1850" s="1" t="str">
        <f t="shared" si="125"/>
        <v>8023263133</v>
      </c>
      <c r="E1850" s="1">
        <v>3636.0</v>
      </c>
      <c r="F1850" s="1" t="s">
        <v>44</v>
      </c>
      <c r="G1850" s="1" t="s">
        <v>7184</v>
      </c>
      <c r="H1850" s="1"/>
      <c r="I1850" s="1"/>
      <c r="J1850" s="1"/>
      <c r="K1850" s="1"/>
      <c r="L1850" s="1"/>
      <c r="M1850" s="1" t="s">
        <v>7185</v>
      </c>
      <c r="N1850" s="1" t="s">
        <v>47</v>
      </c>
      <c r="O1850" s="1" t="s">
        <v>599</v>
      </c>
      <c r="P1850" s="1"/>
      <c r="Q1850" s="3">
        <v>36892.0</v>
      </c>
      <c r="R1850" s="1"/>
      <c r="S1850" s="1"/>
      <c r="T1850" s="1" t="s">
        <v>37</v>
      </c>
      <c r="U1850" s="1"/>
      <c r="V1850" s="1" t="s">
        <v>38</v>
      </c>
      <c r="W1850" s="1"/>
      <c r="X1850" s="1"/>
      <c r="Y1850" s="1" t="s">
        <v>49</v>
      </c>
      <c r="Z1850" s="1"/>
      <c r="AA1850" s="1" t="s">
        <v>40</v>
      </c>
      <c r="AB1850" s="1" t="s">
        <v>602</v>
      </c>
      <c r="AC1850" s="1"/>
    </row>
    <row r="1851">
      <c r="A1851" s="1" t="str">
        <f>"00092D"</f>
        <v>00092D</v>
      </c>
      <c r="B1851" s="1" t="s">
        <v>7186</v>
      </c>
      <c r="C1851" s="1" t="s">
        <v>7187</v>
      </c>
      <c r="D1851" s="1" t="str">
        <f>"8028883017"</f>
        <v>8028883017</v>
      </c>
      <c r="E1851" s="1">
        <v>3768.0</v>
      </c>
      <c r="F1851" s="1" t="s">
        <v>44</v>
      </c>
      <c r="G1851" s="1" t="s">
        <v>7188</v>
      </c>
      <c r="H1851" s="1">
        <v>7.0</v>
      </c>
      <c r="I1851" s="1"/>
      <c r="J1851" s="1"/>
      <c r="K1851" s="1"/>
      <c r="L1851" s="1"/>
      <c r="M1851" s="1" t="s">
        <v>72</v>
      </c>
      <c r="N1851" s="1" t="s">
        <v>213</v>
      </c>
      <c r="O1851" s="1" t="s">
        <v>214</v>
      </c>
      <c r="P1851" s="1"/>
      <c r="Q1851" s="3">
        <v>36892.0</v>
      </c>
      <c r="R1851" s="1"/>
      <c r="S1851" s="3">
        <v>39968.0</v>
      </c>
      <c r="T1851" s="1" t="s">
        <v>37</v>
      </c>
      <c r="U1851" s="1"/>
      <c r="V1851" s="1" t="s">
        <v>38</v>
      </c>
      <c r="W1851" s="1"/>
      <c r="X1851" s="1"/>
      <c r="Y1851" s="1" t="s">
        <v>49</v>
      </c>
      <c r="Z1851" s="1"/>
      <c r="AA1851" s="1" t="s">
        <v>40</v>
      </c>
      <c r="AB1851" s="1" t="s">
        <v>217</v>
      </c>
      <c r="AC1851" s="1"/>
    </row>
    <row r="1852">
      <c r="A1852" s="1" t="str">
        <f>"0007DJ"</f>
        <v>0007DJ</v>
      </c>
      <c r="B1852" s="1" t="s">
        <v>5582</v>
      </c>
      <c r="C1852" s="1" t="s">
        <v>5583</v>
      </c>
      <c r="D1852" s="1" t="str">
        <f>"8023494279"</f>
        <v>8023494279</v>
      </c>
      <c r="E1852" s="1">
        <v>2870.0</v>
      </c>
      <c r="F1852" s="1" t="s">
        <v>117</v>
      </c>
      <c r="G1852" s="1" t="s">
        <v>7189</v>
      </c>
      <c r="H1852" s="1">
        <v>1.0</v>
      </c>
      <c r="I1852" s="2">
        <v>0.0</v>
      </c>
      <c r="J1852" s="2">
        <v>0.0</v>
      </c>
      <c r="K1852" s="2" t="s">
        <v>119</v>
      </c>
      <c r="L1852" s="1"/>
      <c r="M1852" s="1" t="s">
        <v>7190</v>
      </c>
      <c r="N1852" s="1" t="s">
        <v>161</v>
      </c>
      <c r="O1852" s="1" t="s">
        <v>571</v>
      </c>
      <c r="P1852" s="1" t="s">
        <v>7191</v>
      </c>
      <c r="Q1852" s="3">
        <v>36892.0</v>
      </c>
      <c r="R1852" s="1"/>
      <c r="S1852" s="1"/>
      <c r="T1852" s="1" t="s">
        <v>37</v>
      </c>
      <c r="U1852" s="1"/>
      <c r="V1852" s="1" t="s">
        <v>38</v>
      </c>
      <c r="W1852" s="1">
        <v>44.0748528887094</v>
      </c>
      <c r="X1852" s="1">
        <v>-72.9662775993347</v>
      </c>
      <c r="Y1852" s="1" t="s">
        <v>7192</v>
      </c>
      <c r="Z1852" s="1"/>
      <c r="AA1852" s="1" t="s">
        <v>40</v>
      </c>
      <c r="AB1852" s="1" t="s">
        <v>573</v>
      </c>
      <c r="AC1852" s="1">
        <v>5443.0</v>
      </c>
    </row>
    <row r="1853">
      <c r="A1853" s="1" t="str">
        <f t="shared" ref="A1853:A1857" si="126">"0008XD"</f>
        <v>0008XD</v>
      </c>
      <c r="B1853" s="1" t="s">
        <v>4803</v>
      </c>
      <c r="C1853" s="1" t="s">
        <v>4804</v>
      </c>
      <c r="D1853" s="1" t="str">
        <f t="shared" ref="D1853:D1857" si="127">"8024622338"</f>
        <v>8024622338</v>
      </c>
      <c r="E1853" s="1">
        <v>3773.0</v>
      </c>
      <c r="F1853" s="1" t="s">
        <v>44</v>
      </c>
      <c r="G1853" s="1" t="s">
        <v>7193</v>
      </c>
      <c r="H1853" s="1"/>
      <c r="I1853" s="1"/>
      <c r="J1853" s="1"/>
      <c r="K1853" s="1"/>
      <c r="L1853" s="1"/>
      <c r="M1853" s="1" t="s">
        <v>7194</v>
      </c>
      <c r="N1853" s="1" t="s">
        <v>161</v>
      </c>
      <c r="O1853" s="1" t="s">
        <v>185</v>
      </c>
      <c r="P1853" s="1"/>
      <c r="Q1853" s="3">
        <v>36892.0</v>
      </c>
      <c r="R1853" s="1"/>
      <c r="S1853" s="1"/>
      <c r="T1853" s="1" t="s">
        <v>37</v>
      </c>
      <c r="U1853" s="1"/>
      <c r="V1853" s="1" t="s">
        <v>38</v>
      </c>
      <c r="W1853" s="1"/>
      <c r="X1853" s="1"/>
      <c r="Y1853" s="1" t="s">
        <v>49</v>
      </c>
      <c r="Z1853" s="1"/>
      <c r="AA1853" s="1" t="s">
        <v>40</v>
      </c>
      <c r="AB1853" s="1" t="s">
        <v>186</v>
      </c>
      <c r="AC1853" s="1"/>
    </row>
    <row r="1854">
      <c r="A1854" s="1" t="str">
        <f t="shared" si="126"/>
        <v>0008XD</v>
      </c>
      <c r="B1854" s="1" t="s">
        <v>4803</v>
      </c>
      <c r="C1854" s="1" t="s">
        <v>4804</v>
      </c>
      <c r="D1854" s="1" t="str">
        <f t="shared" si="127"/>
        <v>8024622338</v>
      </c>
      <c r="E1854" s="1">
        <v>3773.0</v>
      </c>
      <c r="F1854" s="1" t="s">
        <v>44</v>
      </c>
      <c r="G1854" s="1" t="s">
        <v>7195</v>
      </c>
      <c r="H1854" s="1"/>
      <c r="I1854" s="1"/>
      <c r="J1854" s="1"/>
      <c r="K1854" s="1"/>
      <c r="L1854" s="1"/>
      <c r="M1854" s="1" t="s">
        <v>7196</v>
      </c>
      <c r="N1854" s="1" t="s">
        <v>161</v>
      </c>
      <c r="O1854" s="1" t="s">
        <v>185</v>
      </c>
      <c r="P1854" s="1"/>
      <c r="Q1854" s="3">
        <v>36892.0</v>
      </c>
      <c r="R1854" s="1"/>
      <c r="S1854" s="1"/>
      <c r="T1854" s="1" t="s">
        <v>37</v>
      </c>
      <c r="U1854" s="1"/>
      <c r="V1854" s="1" t="s">
        <v>38</v>
      </c>
      <c r="W1854" s="1"/>
      <c r="X1854" s="1"/>
      <c r="Y1854" s="1" t="s">
        <v>49</v>
      </c>
      <c r="Z1854" s="1"/>
      <c r="AA1854" s="1" t="s">
        <v>40</v>
      </c>
      <c r="AB1854" s="1" t="s">
        <v>186</v>
      </c>
      <c r="AC1854" s="1"/>
    </row>
    <row r="1855">
      <c r="A1855" s="1" t="str">
        <f t="shared" si="126"/>
        <v>0008XD</v>
      </c>
      <c r="B1855" s="1" t="s">
        <v>4803</v>
      </c>
      <c r="C1855" s="1" t="s">
        <v>4804</v>
      </c>
      <c r="D1855" s="1" t="str">
        <f t="shared" si="127"/>
        <v>8024622338</v>
      </c>
      <c r="E1855" s="1">
        <v>3773.0</v>
      </c>
      <c r="F1855" s="1" t="s">
        <v>44</v>
      </c>
      <c r="G1855" s="1" t="s">
        <v>7197</v>
      </c>
      <c r="H1855" s="1"/>
      <c r="I1855" s="1"/>
      <c r="J1855" s="1"/>
      <c r="K1855" s="1"/>
      <c r="L1855" s="1"/>
      <c r="M1855" s="1" t="s">
        <v>7198</v>
      </c>
      <c r="N1855" s="1" t="s">
        <v>161</v>
      </c>
      <c r="O1855" s="1" t="s">
        <v>1761</v>
      </c>
      <c r="P1855" s="1"/>
      <c r="Q1855" s="3">
        <v>36892.0</v>
      </c>
      <c r="R1855" s="1"/>
      <c r="S1855" s="1"/>
      <c r="T1855" s="1" t="s">
        <v>37</v>
      </c>
      <c r="U1855" s="1"/>
      <c r="V1855" s="1" t="s">
        <v>38</v>
      </c>
      <c r="W1855" s="1"/>
      <c r="X1855" s="1"/>
      <c r="Y1855" s="1" t="s">
        <v>49</v>
      </c>
      <c r="Z1855" s="1"/>
      <c r="AA1855" s="1" t="s">
        <v>40</v>
      </c>
      <c r="AB1855" s="1" t="s">
        <v>1763</v>
      </c>
      <c r="AC1855" s="1"/>
    </row>
    <row r="1856">
      <c r="A1856" s="1" t="str">
        <f t="shared" si="126"/>
        <v>0008XD</v>
      </c>
      <c r="B1856" s="1" t="s">
        <v>4803</v>
      </c>
      <c r="C1856" s="1" t="s">
        <v>4804</v>
      </c>
      <c r="D1856" s="1" t="str">
        <f t="shared" si="127"/>
        <v>8024622338</v>
      </c>
      <c r="E1856" s="1">
        <v>3773.0</v>
      </c>
      <c r="F1856" s="1" t="s">
        <v>44</v>
      </c>
      <c r="G1856" s="1" t="s">
        <v>7199</v>
      </c>
      <c r="H1856" s="1"/>
      <c r="I1856" s="1"/>
      <c r="J1856" s="1"/>
      <c r="K1856" s="1"/>
      <c r="L1856" s="1"/>
      <c r="M1856" s="1" t="s">
        <v>7200</v>
      </c>
      <c r="N1856" s="1" t="s">
        <v>161</v>
      </c>
      <c r="O1856" s="1" t="s">
        <v>162</v>
      </c>
      <c r="P1856" s="1"/>
      <c r="Q1856" s="3">
        <v>36892.0</v>
      </c>
      <c r="R1856" s="1"/>
      <c r="S1856" s="1"/>
      <c r="T1856" s="1" t="s">
        <v>37</v>
      </c>
      <c r="U1856" s="1"/>
      <c r="V1856" s="1" t="s">
        <v>38</v>
      </c>
      <c r="W1856" s="1"/>
      <c r="X1856" s="1"/>
      <c r="Y1856" s="1" t="s">
        <v>49</v>
      </c>
      <c r="Z1856" s="1"/>
      <c r="AA1856" s="1" t="s">
        <v>40</v>
      </c>
      <c r="AB1856" s="1" t="s">
        <v>166</v>
      </c>
      <c r="AC1856" s="1"/>
    </row>
    <row r="1857">
      <c r="A1857" s="1" t="str">
        <f t="shared" si="126"/>
        <v>0008XD</v>
      </c>
      <c r="B1857" s="1" t="s">
        <v>4803</v>
      </c>
      <c r="C1857" s="1" t="s">
        <v>4804</v>
      </c>
      <c r="D1857" s="1" t="str">
        <f t="shared" si="127"/>
        <v>8024622338</v>
      </c>
      <c r="E1857" s="1">
        <v>3773.0</v>
      </c>
      <c r="F1857" s="1" t="s">
        <v>44</v>
      </c>
      <c r="G1857" s="1" t="s">
        <v>7201</v>
      </c>
      <c r="H1857" s="1"/>
      <c r="I1857" s="1"/>
      <c r="J1857" s="1"/>
      <c r="K1857" s="1"/>
      <c r="L1857" s="1"/>
      <c r="M1857" s="1" t="s">
        <v>7202</v>
      </c>
      <c r="N1857" s="1" t="s">
        <v>161</v>
      </c>
      <c r="O1857" s="1" t="s">
        <v>162</v>
      </c>
      <c r="P1857" s="1"/>
      <c r="Q1857" s="3">
        <v>36892.0</v>
      </c>
      <c r="R1857" s="1"/>
      <c r="S1857" s="1"/>
      <c r="T1857" s="1" t="s">
        <v>37</v>
      </c>
      <c r="U1857" s="1"/>
      <c r="V1857" s="1" t="s">
        <v>38</v>
      </c>
      <c r="W1857" s="1"/>
      <c r="X1857" s="1"/>
      <c r="Y1857" s="1" t="s">
        <v>49</v>
      </c>
      <c r="Z1857" s="1"/>
      <c r="AA1857" s="1" t="s">
        <v>40</v>
      </c>
      <c r="AB1857" s="1" t="s">
        <v>166</v>
      </c>
      <c r="AC1857" s="1"/>
    </row>
    <row r="1858">
      <c r="A1858" s="1" t="str">
        <f t="shared" ref="A1858:A1859" si="128">"00092F"</f>
        <v>00092F</v>
      </c>
      <c r="B1858" s="1" t="s">
        <v>7203</v>
      </c>
      <c r="C1858" s="1" t="s">
        <v>7204</v>
      </c>
      <c r="D1858" s="1" t="str">
        <f t="shared" ref="D1858:D1859" si="129">"8028936103"</f>
        <v>8028936103</v>
      </c>
      <c r="E1858" s="1">
        <v>3774.0</v>
      </c>
      <c r="F1858" s="1" t="s">
        <v>44</v>
      </c>
      <c r="G1858" s="1" t="s">
        <v>7205</v>
      </c>
      <c r="H1858" s="1"/>
      <c r="I1858" s="1"/>
      <c r="J1858" s="1"/>
      <c r="K1858" s="1"/>
      <c r="L1858" s="1"/>
      <c r="M1858" s="1" t="s">
        <v>7206</v>
      </c>
      <c r="N1858" s="1" t="s">
        <v>57</v>
      </c>
      <c r="O1858" s="1" t="s">
        <v>256</v>
      </c>
      <c r="P1858" s="1"/>
      <c r="Q1858" s="3">
        <v>36892.0</v>
      </c>
      <c r="R1858" s="1"/>
      <c r="S1858" s="1"/>
      <c r="T1858" s="1" t="s">
        <v>37</v>
      </c>
      <c r="U1858" s="1"/>
      <c r="V1858" s="1" t="s">
        <v>38</v>
      </c>
      <c r="W1858" s="1"/>
      <c r="X1858" s="1"/>
      <c r="Y1858" s="1" t="s">
        <v>49</v>
      </c>
      <c r="Z1858" s="1"/>
      <c r="AA1858" s="1" t="s">
        <v>40</v>
      </c>
      <c r="AB1858" s="1" t="s">
        <v>257</v>
      </c>
      <c r="AC1858" s="1"/>
    </row>
    <row r="1859">
      <c r="A1859" s="1" t="str">
        <f t="shared" si="128"/>
        <v>00092F</v>
      </c>
      <c r="B1859" s="1" t="s">
        <v>7203</v>
      </c>
      <c r="C1859" s="1" t="s">
        <v>7204</v>
      </c>
      <c r="D1859" s="1" t="str">
        <f t="shared" si="129"/>
        <v>8028936103</v>
      </c>
      <c r="E1859" s="1">
        <v>3774.0</v>
      </c>
      <c r="F1859" s="1" t="s">
        <v>44</v>
      </c>
      <c r="G1859" s="1" t="s">
        <v>7207</v>
      </c>
      <c r="H1859" s="1"/>
      <c r="I1859" s="1"/>
      <c r="J1859" s="1"/>
      <c r="K1859" s="1"/>
      <c r="L1859" s="1"/>
      <c r="M1859" s="1" t="s">
        <v>7208</v>
      </c>
      <c r="N1859" s="1" t="s">
        <v>57</v>
      </c>
      <c r="O1859" s="1" t="s">
        <v>256</v>
      </c>
      <c r="P1859" s="1"/>
      <c r="Q1859" s="3">
        <v>36892.0</v>
      </c>
      <c r="R1859" s="1"/>
      <c r="S1859" s="1"/>
      <c r="T1859" s="1" t="s">
        <v>37</v>
      </c>
      <c r="U1859" s="1"/>
      <c r="V1859" s="1" t="s">
        <v>38</v>
      </c>
      <c r="W1859" s="1"/>
      <c r="X1859" s="1"/>
      <c r="Y1859" s="1" t="s">
        <v>49</v>
      </c>
      <c r="Z1859" s="1"/>
      <c r="AA1859" s="1" t="s">
        <v>40</v>
      </c>
      <c r="AB1859" s="1" t="s">
        <v>257</v>
      </c>
      <c r="AC1859" s="1"/>
    </row>
    <row r="1860">
      <c r="A1860" s="1" t="str">
        <f>"00092G"</f>
        <v>00092G</v>
      </c>
      <c r="B1860" s="1" t="s">
        <v>7209</v>
      </c>
      <c r="C1860" s="1" t="s">
        <v>7210</v>
      </c>
      <c r="D1860" s="1" t="str">
        <f>"8029853918"</f>
        <v>8029853918</v>
      </c>
      <c r="E1860" s="1">
        <v>3775.0</v>
      </c>
      <c r="F1860" s="1" t="s">
        <v>117</v>
      </c>
      <c r="G1860" s="1" t="s">
        <v>7211</v>
      </c>
      <c r="H1860" s="1">
        <v>2.0</v>
      </c>
      <c r="I1860" s="2">
        <v>2.0</v>
      </c>
      <c r="J1860" s="2">
        <v>2.0</v>
      </c>
      <c r="K1860" s="2" t="s">
        <v>119</v>
      </c>
      <c r="L1860" s="1"/>
      <c r="M1860" s="1" t="s">
        <v>7212</v>
      </c>
      <c r="N1860" s="1" t="s">
        <v>57</v>
      </c>
      <c r="O1860" s="1" t="s">
        <v>238</v>
      </c>
      <c r="P1860" s="1" t="s">
        <v>7213</v>
      </c>
      <c r="Q1860" s="3">
        <v>36892.0</v>
      </c>
      <c r="R1860" s="1"/>
      <c r="S1860" s="1"/>
      <c r="T1860" s="1" t="s">
        <v>37</v>
      </c>
      <c r="U1860" s="1"/>
      <c r="V1860" s="1" t="s">
        <v>38</v>
      </c>
      <c r="W1860" s="1">
        <v>44.366344</v>
      </c>
      <c r="X1860" s="1">
        <v>-73.2175189999999</v>
      </c>
      <c r="Y1860" s="1" t="s">
        <v>7214</v>
      </c>
      <c r="Z1860" s="1"/>
      <c r="AA1860" s="1" t="s">
        <v>40</v>
      </c>
      <c r="AB1860" s="1" t="s">
        <v>239</v>
      </c>
      <c r="AC1860" s="1">
        <v>5482.0</v>
      </c>
    </row>
    <row r="1861">
      <c r="A1861" s="1" t="str">
        <f>"00092H"</f>
        <v>00092H</v>
      </c>
      <c r="B1861" s="1" t="s">
        <v>7215</v>
      </c>
      <c r="C1861" s="1" t="s">
        <v>7216</v>
      </c>
      <c r="D1861" s="1" t="str">
        <f>"8023524416"</f>
        <v>8023524416</v>
      </c>
      <c r="E1861" s="1">
        <v>3776.0</v>
      </c>
      <c r="F1861" s="1" t="s">
        <v>44</v>
      </c>
      <c r="G1861" s="1" t="s">
        <v>7217</v>
      </c>
      <c r="H1861" s="1">
        <v>6.0</v>
      </c>
      <c r="I1861" s="1"/>
      <c r="J1861" s="1"/>
      <c r="K1861" s="1"/>
      <c r="L1861" s="1"/>
      <c r="M1861" s="1" t="s">
        <v>72</v>
      </c>
      <c r="N1861" s="1" t="s">
        <v>161</v>
      </c>
      <c r="O1861" s="1" t="s">
        <v>3313</v>
      </c>
      <c r="P1861" s="1"/>
      <c r="Q1861" s="3">
        <v>36892.0</v>
      </c>
      <c r="R1861" s="1"/>
      <c r="S1861" s="3">
        <v>39248.0</v>
      </c>
      <c r="T1861" s="1" t="s">
        <v>37</v>
      </c>
      <c r="U1861" s="1"/>
      <c r="V1861" s="1" t="s">
        <v>38</v>
      </c>
      <c r="W1861" s="1"/>
      <c r="X1861" s="1"/>
      <c r="Y1861" s="1" t="s">
        <v>49</v>
      </c>
      <c r="Z1861" s="1"/>
      <c r="AA1861" s="1" t="s">
        <v>40</v>
      </c>
      <c r="AB1861" s="1" t="s">
        <v>3314</v>
      </c>
      <c r="AC1861" s="1"/>
    </row>
    <row r="1862">
      <c r="A1862" s="1" t="str">
        <f>"00092J"</f>
        <v>00092J</v>
      </c>
      <c r="B1862" s="1" t="s">
        <v>7218</v>
      </c>
      <c r="C1862" s="1" t="s">
        <v>7219</v>
      </c>
      <c r="D1862" s="1" t="str">
        <f>"8027284764"</f>
        <v>8027284764</v>
      </c>
      <c r="E1862" s="1">
        <v>3777.0</v>
      </c>
      <c r="F1862" s="1" t="s">
        <v>44</v>
      </c>
      <c r="G1862" s="1" t="s">
        <v>7220</v>
      </c>
      <c r="H1862" s="1">
        <v>0.0</v>
      </c>
      <c r="I1862" s="1"/>
      <c r="J1862" s="1"/>
      <c r="K1862" s="1"/>
      <c r="L1862" s="1"/>
      <c r="M1862" s="1" t="s">
        <v>72</v>
      </c>
      <c r="N1862" s="1" t="s">
        <v>142</v>
      </c>
      <c r="O1862" s="1" t="s">
        <v>474</v>
      </c>
      <c r="P1862" s="1"/>
      <c r="Q1862" s="3">
        <v>36892.0</v>
      </c>
      <c r="R1862" s="1"/>
      <c r="S1862" s="3">
        <v>39286.0</v>
      </c>
      <c r="T1862" s="1" t="s">
        <v>37</v>
      </c>
      <c r="U1862" s="1"/>
      <c r="V1862" s="1" t="s">
        <v>38</v>
      </c>
      <c r="W1862" s="1">
        <v>43.9301989999999</v>
      </c>
      <c r="X1862" s="1">
        <v>-72.67218</v>
      </c>
      <c r="Y1862" s="1" t="s">
        <v>7221</v>
      </c>
      <c r="Z1862" s="1"/>
      <c r="AA1862" s="1" t="s">
        <v>40</v>
      </c>
      <c r="AB1862" s="1" t="s">
        <v>475</v>
      </c>
      <c r="AC1862" s="1">
        <v>5060.0</v>
      </c>
    </row>
    <row r="1863">
      <c r="A1863" s="1" t="str">
        <f>"00097V"</f>
        <v>00097V</v>
      </c>
      <c r="B1863" s="1" t="s">
        <v>7222</v>
      </c>
      <c r="C1863" s="1" t="s">
        <v>7223</v>
      </c>
      <c r="D1863" s="1" t="str">
        <f>"8022725070"</f>
        <v>8022725070</v>
      </c>
      <c r="E1863" s="1">
        <v>4042.0</v>
      </c>
      <c r="F1863" s="1" t="s">
        <v>44</v>
      </c>
      <c r="G1863" s="1" t="s">
        <v>7224</v>
      </c>
      <c r="H1863" s="1">
        <v>0.0</v>
      </c>
      <c r="I1863" s="1"/>
      <c r="J1863" s="1"/>
      <c r="K1863" s="1"/>
      <c r="L1863" s="1"/>
      <c r="M1863" s="1" t="s">
        <v>72</v>
      </c>
      <c r="N1863" s="1" t="s">
        <v>142</v>
      </c>
      <c r="O1863" s="1" t="s">
        <v>353</v>
      </c>
      <c r="P1863" s="1"/>
      <c r="Q1863" s="3">
        <v>36892.0</v>
      </c>
      <c r="R1863" s="1"/>
      <c r="S1863" s="1"/>
      <c r="T1863" s="1" t="s">
        <v>37</v>
      </c>
      <c r="U1863" s="1"/>
      <c r="V1863" s="1" t="s">
        <v>38</v>
      </c>
      <c r="W1863" s="1">
        <v>44.056133</v>
      </c>
      <c r="X1863" s="1">
        <v>-72.5478489999999</v>
      </c>
      <c r="Y1863" s="1" t="s">
        <v>7225</v>
      </c>
      <c r="Z1863" s="1"/>
      <c r="AA1863" s="1" t="s">
        <v>40</v>
      </c>
      <c r="AB1863" s="1" t="s">
        <v>355</v>
      </c>
      <c r="AC1863" s="1">
        <v>5036.0</v>
      </c>
    </row>
    <row r="1864">
      <c r="A1864" s="1" t="str">
        <f>"00092N"</f>
        <v>00092N</v>
      </c>
      <c r="B1864" s="1" t="s">
        <v>7226</v>
      </c>
      <c r="C1864" s="1" t="s">
        <v>7227</v>
      </c>
      <c r="D1864" s="1" t="str">
        <f>"8029858581"</f>
        <v>8029858581</v>
      </c>
      <c r="E1864" s="1">
        <v>3780.0</v>
      </c>
      <c r="F1864" s="1" t="s">
        <v>44</v>
      </c>
      <c r="G1864" s="1" t="s">
        <v>7228</v>
      </c>
      <c r="H1864" s="1"/>
      <c r="I1864" s="1"/>
      <c r="J1864" s="1"/>
      <c r="K1864" s="1"/>
      <c r="L1864" s="1"/>
      <c r="M1864" s="1" t="s">
        <v>7229</v>
      </c>
      <c r="N1864" s="1" t="s">
        <v>57</v>
      </c>
      <c r="O1864" s="1" t="s">
        <v>1633</v>
      </c>
      <c r="P1864" s="1"/>
      <c r="Q1864" s="3">
        <v>36892.0</v>
      </c>
      <c r="R1864" s="1"/>
      <c r="S1864" s="1"/>
      <c r="T1864" s="1" t="s">
        <v>37</v>
      </c>
      <c r="U1864" s="1"/>
      <c r="V1864" s="1" t="s">
        <v>38</v>
      </c>
      <c r="W1864" s="1"/>
      <c r="X1864" s="1"/>
      <c r="Y1864" s="1" t="s">
        <v>49</v>
      </c>
      <c r="Z1864" s="1"/>
      <c r="AA1864" s="1" t="s">
        <v>40</v>
      </c>
      <c r="AB1864" s="1" t="s">
        <v>1634</v>
      </c>
      <c r="AC1864" s="1"/>
    </row>
    <row r="1865">
      <c r="A1865" s="1" t="str">
        <f>"00092P"</f>
        <v>00092P</v>
      </c>
      <c r="B1865" s="1" t="s">
        <v>7230</v>
      </c>
      <c r="C1865" s="1" t="s">
        <v>7231</v>
      </c>
      <c r="D1865" s="1" t="str">
        <f>"8023632971"</f>
        <v>8023632971</v>
      </c>
      <c r="E1865" s="1">
        <v>3781.0</v>
      </c>
      <c r="F1865" s="1" t="s">
        <v>44</v>
      </c>
      <c r="G1865" s="1" t="s">
        <v>7232</v>
      </c>
      <c r="H1865" s="1">
        <v>1.0</v>
      </c>
      <c r="I1865" s="1"/>
      <c r="J1865" s="1"/>
      <c r="K1865" s="1"/>
      <c r="L1865" s="1"/>
      <c r="M1865" s="1" t="s">
        <v>72</v>
      </c>
      <c r="N1865" s="1" t="s">
        <v>57</v>
      </c>
      <c r="O1865" s="1" t="s">
        <v>1633</v>
      </c>
      <c r="P1865" s="1"/>
      <c r="Q1865" s="3">
        <v>36892.0</v>
      </c>
      <c r="R1865" s="1"/>
      <c r="S1865" s="3">
        <v>39707.0</v>
      </c>
      <c r="T1865" s="1" t="s">
        <v>37</v>
      </c>
      <c r="U1865" s="1"/>
      <c r="V1865" s="1" t="s">
        <v>38</v>
      </c>
      <c r="W1865" s="1"/>
      <c r="X1865" s="1"/>
      <c r="Y1865" s="1" t="s">
        <v>49</v>
      </c>
      <c r="Z1865" s="1"/>
      <c r="AA1865" s="1" t="s">
        <v>40</v>
      </c>
      <c r="AB1865" s="1" t="s">
        <v>1634</v>
      </c>
      <c r="AC1865" s="1"/>
    </row>
    <row r="1866">
      <c r="A1866" s="1" t="str">
        <f t="shared" ref="A1866:A1869" si="130">"00092Q"</f>
        <v>00092Q</v>
      </c>
      <c r="B1866" s="1" t="s">
        <v>7233</v>
      </c>
      <c r="C1866" s="1" t="s">
        <v>7234</v>
      </c>
      <c r="D1866" s="1" t="str">
        <f t="shared" ref="D1866:D1869" si="131">"9732393434"</f>
        <v>9732393434</v>
      </c>
      <c r="E1866" s="1">
        <v>3782.0</v>
      </c>
      <c r="F1866" s="1" t="s">
        <v>117</v>
      </c>
      <c r="G1866" s="1" t="s">
        <v>7235</v>
      </c>
      <c r="H1866" s="1">
        <v>6.0</v>
      </c>
      <c r="I1866" s="2">
        <v>0.0</v>
      </c>
      <c r="J1866" s="2">
        <v>0.0</v>
      </c>
      <c r="K1866" s="2" t="s">
        <v>119</v>
      </c>
      <c r="L1866" s="1"/>
      <c r="M1866" s="1" t="s">
        <v>7236</v>
      </c>
      <c r="N1866" s="1" t="s">
        <v>161</v>
      </c>
      <c r="O1866" s="1" t="s">
        <v>576</v>
      </c>
      <c r="P1866" s="1" t="s">
        <v>7237</v>
      </c>
      <c r="Q1866" s="3">
        <v>36892.0</v>
      </c>
      <c r="R1866" s="1"/>
      <c r="S1866" s="1"/>
      <c r="T1866" s="1" t="s">
        <v>37</v>
      </c>
      <c r="U1866" s="1"/>
      <c r="V1866" s="1" t="s">
        <v>38</v>
      </c>
      <c r="W1866" s="1">
        <v>44.1158549</v>
      </c>
      <c r="X1866" s="1">
        <v>-73.2936096</v>
      </c>
      <c r="Y1866" s="1" t="s">
        <v>7238</v>
      </c>
      <c r="Z1866" s="1"/>
      <c r="AA1866" s="1" t="s">
        <v>40</v>
      </c>
      <c r="AB1866" s="1" t="s">
        <v>161</v>
      </c>
      <c r="AC1866" s="1">
        <v>0.0</v>
      </c>
    </row>
    <row r="1867">
      <c r="A1867" s="1" t="str">
        <f t="shared" si="130"/>
        <v>00092Q</v>
      </c>
      <c r="B1867" s="1" t="s">
        <v>7233</v>
      </c>
      <c r="C1867" s="1" t="s">
        <v>7234</v>
      </c>
      <c r="D1867" s="1" t="str">
        <f t="shared" si="131"/>
        <v>9732393434</v>
      </c>
      <c r="E1867" s="1">
        <v>3782.0</v>
      </c>
      <c r="F1867" s="1" t="s">
        <v>117</v>
      </c>
      <c r="G1867" s="1" t="s">
        <v>7239</v>
      </c>
      <c r="H1867" s="1">
        <v>6.0</v>
      </c>
      <c r="I1867" s="2" t="s">
        <v>119</v>
      </c>
      <c r="J1867" s="2" t="s">
        <v>119</v>
      </c>
      <c r="K1867" s="2" t="s">
        <v>119</v>
      </c>
      <c r="L1867" s="1"/>
      <c r="M1867" s="1" t="s">
        <v>7240</v>
      </c>
      <c r="N1867" s="1" t="s">
        <v>161</v>
      </c>
      <c r="O1867" s="1" t="s">
        <v>307</v>
      </c>
      <c r="P1867" s="1" t="s">
        <v>7241</v>
      </c>
      <c r="Q1867" s="3">
        <v>36892.0</v>
      </c>
      <c r="R1867" s="1"/>
      <c r="S1867" s="3">
        <v>39331.0</v>
      </c>
      <c r="T1867" s="1" t="s">
        <v>37</v>
      </c>
      <c r="U1867" s="1"/>
      <c r="V1867" s="1" t="s">
        <v>38</v>
      </c>
      <c r="W1867" s="1">
        <v>44.167564</v>
      </c>
      <c r="X1867" s="1">
        <v>-73.116577</v>
      </c>
      <c r="Y1867" s="1" t="s">
        <v>7242</v>
      </c>
      <c r="Z1867" s="1"/>
      <c r="AA1867" s="1" t="s">
        <v>40</v>
      </c>
      <c r="AB1867" s="1" t="s">
        <v>308</v>
      </c>
      <c r="AC1867" s="1">
        <v>5443.0</v>
      </c>
    </row>
    <row r="1868">
      <c r="A1868" s="1" t="str">
        <f t="shared" si="130"/>
        <v>00092Q</v>
      </c>
      <c r="B1868" s="1" t="s">
        <v>7233</v>
      </c>
      <c r="C1868" s="1" t="s">
        <v>7234</v>
      </c>
      <c r="D1868" s="1" t="str">
        <f t="shared" si="131"/>
        <v>9732393434</v>
      </c>
      <c r="E1868" s="1">
        <v>3782.0</v>
      </c>
      <c r="F1868" s="1" t="s">
        <v>117</v>
      </c>
      <c r="G1868" s="1" t="s">
        <v>7243</v>
      </c>
      <c r="H1868" s="1">
        <v>14.0</v>
      </c>
      <c r="I1868" s="2" t="s">
        <v>119</v>
      </c>
      <c r="J1868" s="2">
        <v>5.0</v>
      </c>
      <c r="K1868" s="2" t="s">
        <v>119</v>
      </c>
      <c r="L1868" s="1"/>
      <c r="M1868" s="1" t="s">
        <v>7244</v>
      </c>
      <c r="N1868" s="1" t="s">
        <v>161</v>
      </c>
      <c r="O1868" s="1" t="s">
        <v>185</v>
      </c>
      <c r="P1868" s="1" t="s">
        <v>7241</v>
      </c>
      <c r="Q1868" s="3">
        <v>36892.0</v>
      </c>
      <c r="R1868" s="1"/>
      <c r="S1868" s="1"/>
      <c r="T1868" s="1" t="s">
        <v>37</v>
      </c>
      <c r="U1868" s="1"/>
      <c r="V1868" s="1" t="s">
        <v>38</v>
      </c>
      <c r="W1868" s="1"/>
      <c r="X1868" s="1"/>
      <c r="Y1868" s="1" t="s">
        <v>7245</v>
      </c>
      <c r="Z1868" s="1"/>
      <c r="AA1868" s="1" t="s">
        <v>40</v>
      </c>
      <c r="AB1868" s="1" t="s">
        <v>186</v>
      </c>
      <c r="AC1868" s="1">
        <v>0.0</v>
      </c>
    </row>
    <row r="1869">
      <c r="A1869" s="1" t="str">
        <f t="shared" si="130"/>
        <v>00092Q</v>
      </c>
      <c r="B1869" s="1" t="s">
        <v>7233</v>
      </c>
      <c r="C1869" s="1" t="s">
        <v>7234</v>
      </c>
      <c r="D1869" s="1" t="str">
        <f t="shared" si="131"/>
        <v>9732393434</v>
      </c>
      <c r="E1869" s="1">
        <v>3782.0</v>
      </c>
      <c r="F1869" s="1" t="s">
        <v>117</v>
      </c>
      <c r="G1869" s="1" t="s">
        <v>7246</v>
      </c>
      <c r="H1869" s="1">
        <v>8.0</v>
      </c>
      <c r="I1869" s="2" t="s">
        <v>119</v>
      </c>
      <c r="J1869" s="2">
        <v>2.0</v>
      </c>
      <c r="K1869" s="2" t="s">
        <v>119</v>
      </c>
      <c r="L1869" s="1"/>
      <c r="M1869" s="1" t="s">
        <v>7247</v>
      </c>
      <c r="N1869" s="1" t="s">
        <v>161</v>
      </c>
      <c r="O1869" s="1" t="s">
        <v>943</v>
      </c>
      <c r="P1869" s="1" t="s">
        <v>7237</v>
      </c>
      <c r="Q1869" s="3">
        <v>36892.0</v>
      </c>
      <c r="R1869" s="1"/>
      <c r="S1869" s="3">
        <v>39331.0</v>
      </c>
      <c r="T1869" s="1" t="s">
        <v>37</v>
      </c>
      <c r="U1869" s="1"/>
      <c r="V1869" s="1" t="s">
        <v>38</v>
      </c>
      <c r="W1869" s="1">
        <v>44.0153371</v>
      </c>
      <c r="X1869" s="1">
        <v>-73.1673399999999</v>
      </c>
      <c r="Y1869" s="1" t="s">
        <v>7248</v>
      </c>
      <c r="Z1869" s="1"/>
      <c r="AA1869" s="1" t="s">
        <v>40</v>
      </c>
      <c r="AB1869" s="1" t="s">
        <v>945</v>
      </c>
      <c r="AC1869" s="1">
        <v>5753.0</v>
      </c>
    </row>
    <row r="1870">
      <c r="A1870" s="1" t="str">
        <f>"00092W"</f>
        <v>00092W</v>
      </c>
      <c r="B1870" s="1" t="s">
        <v>7249</v>
      </c>
      <c r="C1870" s="1" t="s">
        <v>7250</v>
      </c>
      <c r="D1870" s="1" t="str">
        <f>"8027638999"</f>
        <v>8027638999</v>
      </c>
      <c r="E1870" s="1">
        <v>3785.0</v>
      </c>
      <c r="F1870" s="1" t="s">
        <v>44</v>
      </c>
      <c r="G1870" s="1" t="s">
        <v>7251</v>
      </c>
      <c r="H1870" s="1">
        <v>6.0</v>
      </c>
      <c r="I1870" s="1"/>
      <c r="J1870" s="1"/>
      <c r="K1870" s="1"/>
      <c r="L1870" s="1"/>
      <c r="M1870" s="1" t="s">
        <v>72</v>
      </c>
      <c r="N1870" s="1" t="s">
        <v>34</v>
      </c>
      <c r="O1870" s="1" t="s">
        <v>35</v>
      </c>
      <c r="P1870" s="1"/>
      <c r="Q1870" s="3">
        <v>36892.0</v>
      </c>
      <c r="R1870" s="1"/>
      <c r="S1870" s="3">
        <v>39339.0</v>
      </c>
      <c r="T1870" s="1" t="s">
        <v>37</v>
      </c>
      <c r="U1870" s="1"/>
      <c r="V1870" s="1" t="s">
        <v>38</v>
      </c>
      <c r="W1870" s="1">
        <v>43.80563</v>
      </c>
      <c r="X1870" s="1">
        <v>-72.544327</v>
      </c>
      <c r="Y1870" s="1" t="s">
        <v>7252</v>
      </c>
      <c r="Z1870" s="1"/>
      <c r="AA1870" s="1" t="s">
        <v>40</v>
      </c>
      <c r="AB1870" s="1" t="s">
        <v>345</v>
      </c>
      <c r="AC1870" s="1">
        <v>5068.0</v>
      </c>
    </row>
    <row r="1871">
      <c r="A1871" s="1" t="str">
        <f>"0007GN"</f>
        <v>0007GN</v>
      </c>
      <c r="B1871" s="1" t="s">
        <v>7253</v>
      </c>
      <c r="C1871" s="1" t="s">
        <v>7254</v>
      </c>
      <c r="D1871" s="1" t="str">
        <f>"8024343983"</f>
        <v>8024343983</v>
      </c>
      <c r="E1871" s="1">
        <v>4001.0</v>
      </c>
      <c r="F1871" s="1" t="s">
        <v>44</v>
      </c>
      <c r="G1871" s="1" t="s">
        <v>7255</v>
      </c>
      <c r="H1871" s="1"/>
      <c r="I1871" s="1"/>
      <c r="J1871" s="1"/>
      <c r="K1871" s="1"/>
      <c r="L1871" s="1"/>
      <c r="M1871" s="1" t="s">
        <v>72</v>
      </c>
      <c r="N1871" s="1" t="s">
        <v>57</v>
      </c>
      <c r="O1871" s="1" t="s">
        <v>201</v>
      </c>
      <c r="P1871" s="1"/>
      <c r="Q1871" s="3">
        <v>36892.0</v>
      </c>
      <c r="R1871" s="1"/>
      <c r="S1871" s="1"/>
      <c r="T1871" s="1" t="s">
        <v>37</v>
      </c>
      <c r="U1871" s="1"/>
      <c r="V1871" s="1" t="s">
        <v>38</v>
      </c>
      <c r="W1871" s="1"/>
      <c r="X1871" s="1"/>
      <c r="Y1871" s="1" t="s">
        <v>49</v>
      </c>
      <c r="Z1871" s="1"/>
      <c r="AA1871" s="1" t="s">
        <v>40</v>
      </c>
      <c r="AB1871" s="1" t="s">
        <v>202</v>
      </c>
      <c r="AC1871" s="1"/>
    </row>
    <row r="1872">
      <c r="A1872" s="1" t="str">
        <f>"00092Z"</f>
        <v>00092Z</v>
      </c>
      <c r="B1872" s="1" t="s">
        <v>7256</v>
      </c>
      <c r="C1872" s="1" t="s">
        <v>7257</v>
      </c>
      <c r="D1872" s="1" t="str">
        <f>"8029623330"</f>
        <v>8029623330</v>
      </c>
      <c r="E1872" s="1">
        <v>3789.0</v>
      </c>
      <c r="F1872" s="1" t="s">
        <v>44</v>
      </c>
      <c r="G1872" s="1" t="s">
        <v>7258</v>
      </c>
      <c r="H1872" s="1"/>
      <c r="I1872" s="1"/>
      <c r="J1872" s="1"/>
      <c r="K1872" s="1"/>
      <c r="L1872" s="1"/>
      <c r="M1872" s="1" t="s">
        <v>72</v>
      </c>
      <c r="N1872" s="1" t="s">
        <v>331</v>
      </c>
      <c r="O1872" s="1" t="s">
        <v>7259</v>
      </c>
      <c r="P1872" s="1"/>
      <c r="Q1872" s="3">
        <v>36892.0</v>
      </c>
      <c r="R1872" s="1"/>
      <c r="S1872" s="1"/>
      <c r="T1872" s="1" t="s">
        <v>37</v>
      </c>
      <c r="U1872" s="1"/>
      <c r="V1872" s="1" t="s">
        <v>38</v>
      </c>
      <c r="W1872" s="1"/>
      <c r="X1872" s="1"/>
      <c r="Y1872" s="1" t="s">
        <v>49</v>
      </c>
      <c r="Z1872" s="1"/>
      <c r="AA1872" s="1" t="s">
        <v>40</v>
      </c>
      <c r="AB1872" s="1" t="s">
        <v>7260</v>
      </c>
      <c r="AC1872" s="1"/>
    </row>
    <row r="1873">
      <c r="A1873" s="1" t="str">
        <f>"000930"</f>
        <v>000930</v>
      </c>
      <c r="B1873" s="1" t="s">
        <v>7261</v>
      </c>
      <c r="C1873" s="1" t="s">
        <v>7262</v>
      </c>
      <c r="D1873" s="1" t="str">
        <f>"8024847438"</f>
        <v>8024847438</v>
      </c>
      <c r="E1873" s="1">
        <v>3790.0</v>
      </c>
      <c r="F1873" s="1" t="s">
        <v>117</v>
      </c>
      <c r="G1873" s="1" t="s">
        <v>7263</v>
      </c>
      <c r="H1873" s="1">
        <v>2.0</v>
      </c>
      <c r="I1873" s="1"/>
      <c r="J1873" s="1"/>
      <c r="K1873" s="1"/>
      <c r="L1873" s="1"/>
      <c r="M1873" s="1" t="s">
        <v>7264</v>
      </c>
      <c r="N1873" s="1" t="s">
        <v>34</v>
      </c>
      <c r="O1873" s="1" t="s">
        <v>1870</v>
      </c>
      <c r="P1873" s="1" t="s">
        <v>7265</v>
      </c>
      <c r="Q1873" s="3">
        <v>36892.0</v>
      </c>
      <c r="R1873" s="1"/>
      <c r="S1873" s="1"/>
      <c r="T1873" s="1" t="s">
        <v>37</v>
      </c>
      <c r="U1873" s="1"/>
      <c r="V1873" s="1" t="s">
        <v>38</v>
      </c>
      <c r="W1873" s="1">
        <v>43.503574</v>
      </c>
      <c r="X1873" s="1">
        <v>-72.4813689999999</v>
      </c>
      <c r="Y1873" s="1" t="s">
        <v>7266</v>
      </c>
      <c r="Z1873" s="1"/>
      <c r="AA1873" s="1" t="s">
        <v>40</v>
      </c>
      <c r="AB1873" s="1" t="s">
        <v>5328</v>
      </c>
      <c r="AC1873" s="1">
        <v>5089.0</v>
      </c>
    </row>
    <row r="1874">
      <c r="A1874" s="1" t="str">
        <f>"000931"</f>
        <v>000931</v>
      </c>
      <c r="B1874" s="1" t="s">
        <v>7267</v>
      </c>
      <c r="C1874" s="1" t="s">
        <v>7268</v>
      </c>
      <c r="D1874" s="1" t="str">
        <f>"8023524371"</f>
        <v>8023524371</v>
      </c>
      <c r="E1874" s="1">
        <v>3791.0</v>
      </c>
      <c r="F1874" s="1" t="s">
        <v>44</v>
      </c>
      <c r="G1874" s="1" t="s">
        <v>7269</v>
      </c>
      <c r="H1874" s="1">
        <v>2.0</v>
      </c>
      <c r="I1874" s="1"/>
      <c r="J1874" s="1"/>
      <c r="K1874" s="1"/>
      <c r="L1874" s="1"/>
      <c r="M1874" s="1" t="s">
        <v>72</v>
      </c>
      <c r="N1874" s="1" t="s">
        <v>161</v>
      </c>
      <c r="O1874" s="1" t="s">
        <v>3313</v>
      </c>
      <c r="P1874" s="1"/>
      <c r="Q1874" s="3">
        <v>36892.0</v>
      </c>
      <c r="R1874" s="1"/>
      <c r="S1874" s="3">
        <v>39919.0</v>
      </c>
      <c r="T1874" s="1" t="s">
        <v>37</v>
      </c>
      <c r="U1874" s="1"/>
      <c r="V1874" s="1" t="s">
        <v>38</v>
      </c>
      <c r="W1874" s="1"/>
      <c r="X1874" s="1"/>
      <c r="Y1874" s="1" t="s">
        <v>49</v>
      </c>
      <c r="Z1874" s="1"/>
      <c r="AA1874" s="1" t="s">
        <v>40</v>
      </c>
      <c r="AB1874" s="1" t="s">
        <v>3314</v>
      </c>
      <c r="AC1874" s="1"/>
    </row>
    <row r="1875">
      <c r="A1875" s="1" t="str">
        <f>"000932"</f>
        <v>000932</v>
      </c>
      <c r="B1875" s="1" t="s">
        <v>7270</v>
      </c>
      <c r="C1875" s="1" t="s">
        <v>7271</v>
      </c>
      <c r="D1875" s="1" t="str">
        <f>"8022448779"</f>
        <v>8022448779</v>
      </c>
      <c r="E1875" s="1">
        <v>3792.0</v>
      </c>
      <c r="F1875" s="1" t="s">
        <v>44</v>
      </c>
      <c r="G1875" s="1" t="s">
        <v>7272</v>
      </c>
      <c r="H1875" s="1">
        <v>3.0</v>
      </c>
      <c r="I1875" s="1"/>
      <c r="J1875" s="1"/>
      <c r="K1875" s="1"/>
      <c r="L1875" s="1"/>
      <c r="M1875" s="1" t="s">
        <v>33</v>
      </c>
      <c r="N1875" s="1" t="s">
        <v>135</v>
      </c>
      <c r="O1875" s="1" t="s">
        <v>775</v>
      </c>
      <c r="P1875" s="1" t="s">
        <v>36</v>
      </c>
      <c r="Q1875" s="3">
        <v>36892.0</v>
      </c>
      <c r="R1875" s="1"/>
      <c r="S1875" s="3">
        <v>39629.0</v>
      </c>
      <c r="T1875" s="1" t="s">
        <v>37</v>
      </c>
      <c r="U1875" s="1"/>
      <c r="V1875" s="1" t="s">
        <v>38</v>
      </c>
      <c r="W1875" s="1">
        <v>44.371994</v>
      </c>
      <c r="X1875" s="1">
        <v>-72.7231469999999</v>
      </c>
      <c r="Y1875" s="1" t="s">
        <v>7273</v>
      </c>
      <c r="Z1875" s="1"/>
      <c r="AA1875" s="1" t="s">
        <v>40</v>
      </c>
      <c r="AB1875" s="1" t="s">
        <v>3755</v>
      </c>
      <c r="AC1875" s="1">
        <v>5677.0</v>
      </c>
    </row>
    <row r="1876">
      <c r="A1876" s="1" t="str">
        <f>"000933"</f>
        <v>000933</v>
      </c>
      <c r="B1876" s="1" t="s">
        <v>7274</v>
      </c>
      <c r="C1876" s="1" t="s">
        <v>7275</v>
      </c>
      <c r="D1876" s="1" t="str">
        <f>"8024673812"</f>
        <v>8024673812</v>
      </c>
      <c r="E1876" s="1">
        <v>3793.0</v>
      </c>
      <c r="F1876" s="1" t="s">
        <v>31</v>
      </c>
      <c r="G1876" s="1" t="s">
        <v>7276</v>
      </c>
      <c r="H1876" s="1">
        <v>1.0</v>
      </c>
      <c r="I1876" s="1"/>
      <c r="J1876" s="1"/>
      <c r="K1876" s="1"/>
      <c r="L1876" s="1"/>
      <c r="M1876" s="1" t="s">
        <v>72</v>
      </c>
      <c r="N1876" s="1" t="s">
        <v>128</v>
      </c>
      <c r="O1876" s="1" t="s">
        <v>2616</v>
      </c>
      <c r="P1876" s="1"/>
      <c r="Q1876" s="3">
        <v>36892.0</v>
      </c>
      <c r="R1876" s="1"/>
      <c r="S1876" s="1"/>
      <c r="T1876" s="1" t="s">
        <v>37</v>
      </c>
      <c r="U1876" s="1"/>
      <c r="V1876" s="1" t="s">
        <v>38</v>
      </c>
      <c r="W1876" s="1">
        <v>44.6784023</v>
      </c>
      <c r="X1876" s="1">
        <v>-71.9049969999999</v>
      </c>
      <c r="Y1876" s="1" t="s">
        <v>7277</v>
      </c>
      <c r="Z1876" s="1"/>
      <c r="AA1876" s="1" t="s">
        <v>40</v>
      </c>
      <c r="AB1876" s="1" t="s">
        <v>2617</v>
      </c>
      <c r="AC1876" s="1">
        <v>5871.0</v>
      </c>
    </row>
    <row r="1877">
      <c r="A1877" s="1" t="str">
        <f>"000912"</f>
        <v>000912</v>
      </c>
      <c r="B1877" s="1" t="s">
        <v>6978</v>
      </c>
      <c r="C1877" s="1" t="s">
        <v>6979</v>
      </c>
      <c r="D1877" s="1" t="str">
        <f>"8024449004"</f>
        <v>8024449004</v>
      </c>
      <c r="E1877" s="1">
        <v>3637.0</v>
      </c>
      <c r="F1877" s="1" t="s">
        <v>44</v>
      </c>
      <c r="G1877" s="1" t="s">
        <v>7278</v>
      </c>
      <c r="H1877" s="1"/>
      <c r="I1877" s="1"/>
      <c r="J1877" s="1"/>
      <c r="K1877" s="1"/>
      <c r="L1877" s="1"/>
      <c r="M1877" s="1" t="s">
        <v>7279</v>
      </c>
      <c r="N1877" s="1" t="s">
        <v>66</v>
      </c>
      <c r="O1877" s="1" t="s">
        <v>751</v>
      </c>
      <c r="P1877" s="1"/>
      <c r="Q1877" s="3">
        <v>36892.0</v>
      </c>
      <c r="R1877" s="1"/>
      <c r="S1877" s="1"/>
      <c r="T1877" s="1" t="s">
        <v>37</v>
      </c>
      <c r="U1877" s="1"/>
      <c r="V1877" s="1" t="s">
        <v>38</v>
      </c>
      <c r="W1877" s="1"/>
      <c r="X1877" s="1"/>
      <c r="Y1877" s="1" t="s">
        <v>49</v>
      </c>
      <c r="Z1877" s="1"/>
      <c r="AA1877" s="1" t="s">
        <v>40</v>
      </c>
      <c r="AB1877" s="1" t="s">
        <v>754</v>
      </c>
      <c r="AC1877" s="1"/>
    </row>
    <row r="1878">
      <c r="A1878" s="1" t="str">
        <f>"000934"</f>
        <v>000934</v>
      </c>
      <c r="B1878" s="1" t="s">
        <v>7280</v>
      </c>
      <c r="C1878" s="1" t="s">
        <v>7281</v>
      </c>
      <c r="D1878" s="1" t="str">
        <f>"8024346131"</f>
        <v>8024346131</v>
      </c>
      <c r="E1878" s="1">
        <v>3794.0</v>
      </c>
      <c r="F1878" s="1" t="s">
        <v>117</v>
      </c>
      <c r="G1878" s="1" t="s">
        <v>7282</v>
      </c>
      <c r="H1878" s="1">
        <v>2.0</v>
      </c>
      <c r="I1878" s="2">
        <v>3.0</v>
      </c>
      <c r="J1878" s="2">
        <v>2.0</v>
      </c>
      <c r="K1878" s="2" t="s">
        <v>119</v>
      </c>
      <c r="L1878" s="2" t="s">
        <v>2923</v>
      </c>
      <c r="M1878" s="1" t="s">
        <v>7283</v>
      </c>
      <c r="N1878" s="1" t="s">
        <v>57</v>
      </c>
      <c r="O1878" s="1" t="s">
        <v>201</v>
      </c>
      <c r="P1878" s="1" t="s">
        <v>7284</v>
      </c>
      <c r="Q1878" s="3">
        <v>36892.0</v>
      </c>
      <c r="R1878" s="1"/>
      <c r="S1878" s="3">
        <v>39191.0</v>
      </c>
      <c r="T1878" s="1" t="s">
        <v>37</v>
      </c>
      <c r="U1878" s="1"/>
      <c r="V1878" s="1" t="s">
        <v>38</v>
      </c>
      <c r="W1878" s="1">
        <v>44.3713244094568</v>
      </c>
      <c r="X1878" s="1">
        <v>-72.9463863372802</v>
      </c>
      <c r="Y1878" s="1" t="s">
        <v>7285</v>
      </c>
      <c r="Z1878" s="1"/>
      <c r="AA1878" s="1" t="s">
        <v>40</v>
      </c>
      <c r="AB1878" s="1" t="s">
        <v>202</v>
      </c>
      <c r="AC1878" s="1">
        <v>5477.0</v>
      </c>
    </row>
    <row r="1879">
      <c r="A1879" s="1" t="str">
        <f>"000935"</f>
        <v>000935</v>
      </c>
      <c r="B1879" s="1" t="s">
        <v>7286</v>
      </c>
      <c r="C1879" s="1" t="s">
        <v>7287</v>
      </c>
      <c r="D1879" s="1" t="str">
        <f>"8025392111"</f>
        <v>8025392111</v>
      </c>
      <c r="E1879" s="1">
        <v>3795.0</v>
      </c>
      <c r="F1879" s="1" t="s">
        <v>117</v>
      </c>
      <c r="G1879" s="1" t="s">
        <v>7288</v>
      </c>
      <c r="H1879" s="1">
        <v>3.0</v>
      </c>
      <c r="I1879" s="2">
        <v>3.0</v>
      </c>
      <c r="J1879" s="2">
        <v>2.0</v>
      </c>
      <c r="K1879" s="2" t="s">
        <v>119</v>
      </c>
      <c r="L1879" s="1"/>
      <c r="M1879" s="1" t="s">
        <v>7289</v>
      </c>
      <c r="N1879" s="1" t="s">
        <v>57</v>
      </c>
      <c r="O1879" s="1" t="s">
        <v>1633</v>
      </c>
      <c r="P1879" s="1" t="s">
        <v>7290</v>
      </c>
      <c r="Q1879" s="3">
        <v>36892.0</v>
      </c>
      <c r="R1879" s="1"/>
      <c r="S1879" s="3">
        <v>42627.0</v>
      </c>
      <c r="T1879" s="1" t="s">
        <v>37</v>
      </c>
      <c r="U1879" s="1"/>
      <c r="V1879" s="1" t="s">
        <v>38</v>
      </c>
      <c r="W1879" s="1">
        <v>44.2844675808299</v>
      </c>
      <c r="X1879" s="1">
        <v>-73.2564282417297</v>
      </c>
      <c r="Y1879" s="1" t="s">
        <v>7291</v>
      </c>
      <c r="Z1879" s="1"/>
      <c r="AA1879" s="1" t="s">
        <v>40</v>
      </c>
      <c r="AB1879" s="1" t="s">
        <v>1634</v>
      </c>
      <c r="AC1879" s="1">
        <v>5445.0</v>
      </c>
    </row>
    <row r="1880">
      <c r="A1880" s="1" t="str">
        <f>"000936"</f>
        <v>000936</v>
      </c>
      <c r="B1880" s="1" t="s">
        <v>7292</v>
      </c>
      <c r="C1880" s="1" t="s">
        <v>7293</v>
      </c>
      <c r="D1880" s="1" t="str">
        <f>"8027662646"</f>
        <v>8027662646</v>
      </c>
      <c r="E1880" s="1">
        <v>3797.0</v>
      </c>
      <c r="F1880" s="1" t="s">
        <v>117</v>
      </c>
      <c r="G1880" s="1" t="s">
        <v>7294</v>
      </c>
      <c r="H1880" s="1">
        <v>3.0</v>
      </c>
      <c r="I1880" s="2">
        <v>10.0</v>
      </c>
      <c r="J1880" s="2" t="s">
        <v>119</v>
      </c>
      <c r="K1880" s="2">
        <v>10.0</v>
      </c>
      <c r="L1880" s="1"/>
      <c r="M1880" s="1" t="s">
        <v>7295</v>
      </c>
      <c r="N1880" s="1" t="s">
        <v>94</v>
      </c>
      <c r="O1880" s="1" t="s">
        <v>1019</v>
      </c>
      <c r="P1880" s="1" t="s">
        <v>7296</v>
      </c>
      <c r="Q1880" s="3">
        <v>36892.0</v>
      </c>
      <c r="R1880" s="1"/>
      <c r="S1880" s="1"/>
      <c r="T1880" s="1" t="s">
        <v>37</v>
      </c>
      <c r="U1880" s="1"/>
      <c r="V1880" s="1" t="s">
        <v>38</v>
      </c>
      <c r="W1880" s="1">
        <v>44.9774478</v>
      </c>
      <c r="X1880" s="1">
        <v>-72.0702056</v>
      </c>
      <c r="Y1880" s="1" t="s">
        <v>7297</v>
      </c>
      <c r="Z1880" s="1"/>
      <c r="AA1880" s="1" t="s">
        <v>40</v>
      </c>
      <c r="AB1880" s="1" t="s">
        <v>1978</v>
      </c>
      <c r="AC1880" s="1">
        <v>5829.0</v>
      </c>
    </row>
    <row r="1881">
      <c r="A1881" s="1" t="str">
        <f>"000937"</f>
        <v>000937</v>
      </c>
      <c r="B1881" s="1" t="s">
        <v>7298</v>
      </c>
      <c r="C1881" s="1" t="s">
        <v>7299</v>
      </c>
      <c r="D1881" s="1" t="str">
        <f>"8024922258"</f>
        <v>8024922258</v>
      </c>
      <c r="E1881" s="1">
        <v>3798.0</v>
      </c>
      <c r="F1881" s="1" t="s">
        <v>44</v>
      </c>
      <c r="G1881" s="1" t="s">
        <v>7300</v>
      </c>
      <c r="H1881" s="1">
        <v>2.0</v>
      </c>
      <c r="I1881" s="1"/>
      <c r="J1881" s="1"/>
      <c r="K1881" s="1"/>
      <c r="L1881" s="1"/>
      <c r="M1881" s="1" t="s">
        <v>72</v>
      </c>
      <c r="N1881" s="1" t="s">
        <v>78</v>
      </c>
      <c r="O1881" s="1" t="s">
        <v>1303</v>
      </c>
      <c r="P1881" s="1"/>
      <c r="Q1881" s="3">
        <v>36892.0</v>
      </c>
      <c r="R1881" s="1"/>
      <c r="S1881" s="3">
        <v>39332.0</v>
      </c>
      <c r="T1881" s="1" t="s">
        <v>37</v>
      </c>
      <c r="U1881" s="1"/>
      <c r="V1881" s="1" t="s">
        <v>38</v>
      </c>
      <c r="W1881" s="1"/>
      <c r="X1881" s="1"/>
      <c r="Y1881" s="1" t="s">
        <v>49</v>
      </c>
      <c r="Z1881" s="1"/>
      <c r="AA1881" s="1" t="s">
        <v>40</v>
      </c>
      <c r="AB1881" s="1" t="s">
        <v>1304</v>
      </c>
      <c r="AC1881" s="1"/>
    </row>
    <row r="1882">
      <c r="A1882" s="1" t="str">
        <f>"000938"</f>
        <v>000938</v>
      </c>
      <c r="B1882" s="1" t="s">
        <v>7301</v>
      </c>
      <c r="C1882" s="1" t="s">
        <v>7302</v>
      </c>
      <c r="D1882" s="1" t="str">
        <f>"8025843595"</f>
        <v>8025843595</v>
      </c>
      <c r="E1882" s="1">
        <v>3799.0</v>
      </c>
      <c r="F1882" s="1" t="s">
        <v>44</v>
      </c>
      <c r="G1882" s="1" t="s">
        <v>7303</v>
      </c>
      <c r="H1882" s="1">
        <v>1.0</v>
      </c>
      <c r="I1882" s="2" t="s">
        <v>119</v>
      </c>
      <c r="J1882" s="2" t="s">
        <v>119</v>
      </c>
      <c r="K1882" s="2" t="s">
        <v>119</v>
      </c>
      <c r="L1882" s="1"/>
      <c r="M1882" s="1" t="s">
        <v>33</v>
      </c>
      <c r="N1882" s="1" t="s">
        <v>128</v>
      </c>
      <c r="O1882" s="1" t="s">
        <v>1333</v>
      </c>
      <c r="P1882" s="1" t="s">
        <v>36</v>
      </c>
      <c r="Q1882" s="3">
        <v>36892.0</v>
      </c>
      <c r="R1882" s="1"/>
      <c r="S1882" s="1"/>
      <c r="T1882" s="1" t="s">
        <v>37</v>
      </c>
      <c r="U1882" s="1"/>
      <c r="V1882" s="1" t="s">
        <v>38</v>
      </c>
      <c r="W1882" s="1">
        <v>44.275688</v>
      </c>
      <c r="X1882" s="1">
        <v>-72.203913</v>
      </c>
      <c r="Y1882" s="1" t="s">
        <v>7304</v>
      </c>
      <c r="Z1882" s="1"/>
      <c r="AA1882" s="1" t="s">
        <v>40</v>
      </c>
      <c r="AB1882" s="1" t="s">
        <v>1334</v>
      </c>
      <c r="AC1882" s="1">
        <v>5046.0</v>
      </c>
    </row>
    <row r="1883">
      <c r="A1883" s="1" t="str">
        <f>"000939"</f>
        <v>000939</v>
      </c>
      <c r="B1883" s="1" t="s">
        <v>7305</v>
      </c>
      <c r="C1883" s="1" t="s">
        <v>7306</v>
      </c>
      <c r="D1883" s="1" t="str">
        <f>"8028773217"</f>
        <v>8028773217</v>
      </c>
      <c r="E1883" s="1">
        <v>3800.0</v>
      </c>
      <c r="F1883" s="1" t="s">
        <v>44</v>
      </c>
      <c r="G1883" s="1" t="s">
        <v>7307</v>
      </c>
      <c r="H1883" s="1">
        <v>2.0</v>
      </c>
      <c r="I1883" s="1"/>
      <c r="J1883" s="1"/>
      <c r="K1883" s="1"/>
      <c r="L1883" s="1"/>
      <c r="M1883" s="1" t="s">
        <v>72</v>
      </c>
      <c r="N1883" s="1" t="s">
        <v>161</v>
      </c>
      <c r="O1883" s="1" t="s">
        <v>769</v>
      </c>
      <c r="P1883" s="1"/>
      <c r="Q1883" s="3">
        <v>36892.0</v>
      </c>
      <c r="R1883" s="1"/>
      <c r="S1883" s="3">
        <v>39272.0</v>
      </c>
      <c r="T1883" s="1" t="s">
        <v>37</v>
      </c>
      <c r="U1883" s="1"/>
      <c r="V1883" s="1" t="s">
        <v>38</v>
      </c>
      <c r="W1883" s="1"/>
      <c r="X1883" s="1"/>
      <c r="Y1883" s="1" t="s">
        <v>49</v>
      </c>
      <c r="Z1883" s="1"/>
      <c r="AA1883" s="1" t="s">
        <v>40</v>
      </c>
      <c r="AB1883" s="1" t="s">
        <v>770</v>
      </c>
      <c r="AC1883" s="1"/>
    </row>
    <row r="1884">
      <c r="A1884" s="1" t="str">
        <f>"00093A"</f>
        <v>00093A</v>
      </c>
      <c r="B1884" s="1" t="s">
        <v>7308</v>
      </c>
      <c r="C1884" s="1" t="s">
        <v>7309</v>
      </c>
      <c r="D1884" s="1" t="str">
        <f>"8024858915"</f>
        <v>8024858915</v>
      </c>
      <c r="E1884" s="1">
        <v>3805.0</v>
      </c>
      <c r="F1884" s="1" t="s">
        <v>44</v>
      </c>
      <c r="G1884" s="1" t="s">
        <v>7310</v>
      </c>
      <c r="H1884" s="1"/>
      <c r="I1884" s="1"/>
      <c r="J1884" s="1"/>
      <c r="K1884" s="1"/>
      <c r="L1884" s="1"/>
      <c r="M1884" s="1" t="s">
        <v>72</v>
      </c>
      <c r="N1884" s="1" t="s">
        <v>57</v>
      </c>
      <c r="O1884" s="1" t="s">
        <v>238</v>
      </c>
      <c r="P1884" s="1"/>
      <c r="Q1884" s="3">
        <v>36892.0</v>
      </c>
      <c r="R1884" s="1"/>
      <c r="S1884" s="1"/>
      <c r="T1884" s="1" t="s">
        <v>37</v>
      </c>
      <c r="U1884" s="1"/>
      <c r="V1884" s="1" t="s">
        <v>38</v>
      </c>
      <c r="W1884" s="1"/>
      <c r="X1884" s="1"/>
      <c r="Y1884" s="1" t="s">
        <v>49</v>
      </c>
      <c r="Z1884" s="1"/>
      <c r="AA1884" s="1" t="s">
        <v>40</v>
      </c>
      <c r="AB1884" s="1" t="s">
        <v>239</v>
      </c>
      <c r="AC1884" s="1"/>
    </row>
    <row r="1885">
      <c r="A1885" s="1" t="str">
        <f t="shared" ref="A1885:A1888" si="132">"00093B"</f>
        <v>00093B</v>
      </c>
      <c r="B1885" s="1" t="s">
        <v>7311</v>
      </c>
      <c r="C1885" s="1" t="s">
        <v>7312</v>
      </c>
      <c r="D1885" s="1" t="str">
        <f t="shared" ref="D1885:D1888" si="133">"8022542657"</f>
        <v>8022542657</v>
      </c>
      <c r="E1885" s="1">
        <v>3806.0</v>
      </c>
      <c r="F1885" s="1" t="s">
        <v>44</v>
      </c>
      <c r="G1885" s="1" t="s">
        <v>7313</v>
      </c>
      <c r="H1885" s="1"/>
      <c r="I1885" s="1"/>
      <c r="J1885" s="1"/>
      <c r="K1885" s="1"/>
      <c r="L1885" s="1"/>
      <c r="M1885" s="1" t="s">
        <v>72</v>
      </c>
      <c r="N1885" s="1" t="s">
        <v>66</v>
      </c>
      <c r="O1885" s="1" t="s">
        <v>1877</v>
      </c>
      <c r="P1885" s="1"/>
      <c r="Q1885" s="3">
        <v>36892.0</v>
      </c>
      <c r="R1885" s="1"/>
      <c r="S1885" s="1"/>
      <c r="T1885" s="1" t="s">
        <v>37</v>
      </c>
      <c r="U1885" s="1"/>
      <c r="V1885" s="1" t="s">
        <v>38</v>
      </c>
      <c r="W1885" s="1"/>
      <c r="X1885" s="1"/>
      <c r="Y1885" s="1" t="s">
        <v>49</v>
      </c>
      <c r="Z1885" s="1"/>
      <c r="AA1885" s="1" t="s">
        <v>40</v>
      </c>
      <c r="AB1885" s="1" t="s">
        <v>1878</v>
      </c>
      <c r="AC1885" s="1"/>
    </row>
    <row r="1886">
      <c r="A1886" s="1" t="str">
        <f t="shared" si="132"/>
        <v>00093B</v>
      </c>
      <c r="B1886" s="1" t="s">
        <v>7311</v>
      </c>
      <c r="C1886" s="1" t="s">
        <v>7312</v>
      </c>
      <c r="D1886" s="1" t="str">
        <f t="shared" si="133"/>
        <v>8022542657</v>
      </c>
      <c r="E1886" s="1">
        <v>3806.0</v>
      </c>
      <c r="F1886" s="1" t="s">
        <v>44</v>
      </c>
      <c r="G1886" s="1" t="s">
        <v>7314</v>
      </c>
      <c r="H1886" s="1">
        <v>20.0</v>
      </c>
      <c r="I1886" s="1"/>
      <c r="J1886" s="1"/>
      <c r="K1886" s="1"/>
      <c r="L1886" s="1"/>
      <c r="M1886" s="1" t="s">
        <v>7315</v>
      </c>
      <c r="N1886" s="1" t="s">
        <v>66</v>
      </c>
      <c r="O1886" s="1" t="s">
        <v>1877</v>
      </c>
      <c r="P1886" s="1"/>
      <c r="Q1886" s="3">
        <v>36892.0</v>
      </c>
      <c r="R1886" s="1"/>
      <c r="S1886" s="3">
        <v>39259.0</v>
      </c>
      <c r="T1886" s="1" t="s">
        <v>37</v>
      </c>
      <c r="U1886" s="1"/>
      <c r="V1886" s="1" t="s">
        <v>38</v>
      </c>
      <c r="W1886" s="1"/>
      <c r="X1886" s="1"/>
      <c r="Y1886" s="1" t="s">
        <v>49</v>
      </c>
      <c r="Z1886" s="1"/>
      <c r="AA1886" s="1" t="s">
        <v>40</v>
      </c>
      <c r="AB1886" s="1" t="s">
        <v>1878</v>
      </c>
      <c r="AC1886" s="1"/>
    </row>
    <row r="1887">
      <c r="A1887" s="1" t="str">
        <f t="shared" si="132"/>
        <v>00093B</v>
      </c>
      <c r="B1887" s="1" t="s">
        <v>7311</v>
      </c>
      <c r="C1887" s="1" t="s">
        <v>7312</v>
      </c>
      <c r="D1887" s="1" t="str">
        <f t="shared" si="133"/>
        <v>8022542657</v>
      </c>
      <c r="E1887" s="1">
        <v>3806.0</v>
      </c>
      <c r="F1887" s="1" t="s">
        <v>44</v>
      </c>
      <c r="G1887" s="1" t="s">
        <v>7316</v>
      </c>
      <c r="H1887" s="1">
        <v>19.0</v>
      </c>
      <c r="I1887" s="1"/>
      <c r="J1887" s="1"/>
      <c r="K1887" s="1"/>
      <c r="L1887" s="1"/>
      <c r="M1887" s="1" t="s">
        <v>7315</v>
      </c>
      <c r="N1887" s="1" t="s">
        <v>66</v>
      </c>
      <c r="O1887" s="1" t="s">
        <v>1877</v>
      </c>
      <c r="P1887" s="1"/>
      <c r="Q1887" s="3">
        <v>36892.0</v>
      </c>
      <c r="R1887" s="1"/>
      <c r="S1887" s="3">
        <v>39259.0</v>
      </c>
      <c r="T1887" s="1" t="s">
        <v>37</v>
      </c>
      <c r="U1887" s="1"/>
      <c r="V1887" s="1" t="s">
        <v>38</v>
      </c>
      <c r="W1887" s="1"/>
      <c r="X1887" s="1"/>
      <c r="Y1887" s="1" t="s">
        <v>49</v>
      </c>
      <c r="Z1887" s="1"/>
      <c r="AA1887" s="1" t="s">
        <v>40</v>
      </c>
      <c r="AB1887" s="1" t="s">
        <v>1878</v>
      </c>
      <c r="AC1887" s="1"/>
    </row>
    <row r="1888">
      <c r="A1888" s="1" t="str">
        <f t="shared" si="132"/>
        <v>00093B</v>
      </c>
      <c r="B1888" s="1" t="s">
        <v>7311</v>
      </c>
      <c r="C1888" s="1" t="s">
        <v>7312</v>
      </c>
      <c r="D1888" s="1" t="str">
        <f t="shared" si="133"/>
        <v>8022542657</v>
      </c>
      <c r="E1888" s="1">
        <v>3806.0</v>
      </c>
      <c r="F1888" s="1" t="s">
        <v>44</v>
      </c>
      <c r="G1888" s="1" t="s">
        <v>7317</v>
      </c>
      <c r="H1888" s="1">
        <v>7.0</v>
      </c>
      <c r="I1888" s="1"/>
      <c r="J1888" s="1"/>
      <c r="K1888" s="1"/>
      <c r="L1888" s="1"/>
      <c r="M1888" s="1" t="s">
        <v>7318</v>
      </c>
      <c r="N1888" s="1" t="s">
        <v>66</v>
      </c>
      <c r="O1888" s="1" t="s">
        <v>1877</v>
      </c>
      <c r="P1888" s="1"/>
      <c r="Q1888" s="3">
        <v>36892.0</v>
      </c>
      <c r="R1888" s="1"/>
      <c r="S1888" s="3">
        <v>39259.0</v>
      </c>
      <c r="T1888" s="1" t="s">
        <v>37</v>
      </c>
      <c r="U1888" s="1"/>
      <c r="V1888" s="1" t="s">
        <v>38</v>
      </c>
      <c r="W1888" s="1"/>
      <c r="X1888" s="1"/>
      <c r="Y1888" s="1" t="s">
        <v>49</v>
      </c>
      <c r="Z1888" s="1"/>
      <c r="AA1888" s="1" t="s">
        <v>40</v>
      </c>
      <c r="AB1888" s="1" t="s">
        <v>1878</v>
      </c>
      <c r="AC1888" s="1"/>
    </row>
    <row r="1889">
      <c r="A1889" s="1" t="str">
        <f>"00093C"</f>
        <v>00093C</v>
      </c>
      <c r="B1889" s="1" t="s">
        <v>7319</v>
      </c>
      <c r="C1889" s="1" t="s">
        <v>7320</v>
      </c>
      <c r="D1889" s="1" t="str">
        <f>"8023723291"</f>
        <v>8023723291</v>
      </c>
      <c r="E1889" s="1">
        <v>3807.0</v>
      </c>
      <c r="F1889" s="1" t="s">
        <v>117</v>
      </c>
      <c r="G1889" s="1" t="s">
        <v>7321</v>
      </c>
      <c r="H1889" s="1">
        <v>2.0</v>
      </c>
      <c r="I1889" s="2">
        <v>2.0</v>
      </c>
      <c r="J1889" s="2" t="s">
        <v>119</v>
      </c>
      <c r="K1889" s="2" t="s">
        <v>119</v>
      </c>
      <c r="L1889" s="1"/>
      <c r="M1889" s="1" t="s">
        <v>7322</v>
      </c>
      <c r="N1889" s="1" t="s">
        <v>107</v>
      </c>
      <c r="O1889" s="1" t="s">
        <v>108</v>
      </c>
      <c r="P1889" s="1" t="s">
        <v>7323</v>
      </c>
      <c r="Q1889" s="3">
        <v>36892.0</v>
      </c>
      <c r="R1889" s="1"/>
      <c r="S1889" s="3">
        <v>39296.0</v>
      </c>
      <c r="T1889" s="1" t="s">
        <v>37</v>
      </c>
      <c r="U1889" s="1"/>
      <c r="V1889" s="1" t="s">
        <v>38</v>
      </c>
      <c r="W1889" s="1">
        <v>44.6935104771154</v>
      </c>
      <c r="X1889" s="1">
        <v>-73.3296900987625</v>
      </c>
      <c r="Y1889" s="1" t="s">
        <v>7324</v>
      </c>
      <c r="Z1889" s="1"/>
      <c r="AA1889" s="1" t="s">
        <v>40</v>
      </c>
      <c r="AB1889" s="1" t="s">
        <v>107</v>
      </c>
      <c r="AC1889" s="1">
        <v>5458.0</v>
      </c>
    </row>
    <row r="1890">
      <c r="A1890" s="1" t="str">
        <f>"00093D"</f>
        <v>00093D</v>
      </c>
      <c r="B1890" s="1" t="s">
        <v>7325</v>
      </c>
      <c r="C1890" s="1" t="s">
        <v>7326</v>
      </c>
      <c r="D1890" s="1" t="str">
        <f>"8023882613"</f>
        <v>8023882613</v>
      </c>
      <c r="E1890" s="1">
        <v>3808.0</v>
      </c>
      <c r="F1890" s="1" t="s">
        <v>44</v>
      </c>
      <c r="G1890" s="1" t="s">
        <v>7327</v>
      </c>
      <c r="H1890" s="1">
        <v>15.0</v>
      </c>
      <c r="I1890" s="1"/>
      <c r="J1890" s="1"/>
      <c r="K1890" s="1"/>
      <c r="L1890" s="1"/>
      <c r="M1890" s="1" t="s">
        <v>33</v>
      </c>
      <c r="N1890" s="1" t="s">
        <v>161</v>
      </c>
      <c r="O1890" s="1" t="s">
        <v>943</v>
      </c>
      <c r="P1890" s="1" t="s">
        <v>36</v>
      </c>
      <c r="Q1890" s="3">
        <v>36892.0</v>
      </c>
      <c r="R1890" s="1"/>
      <c r="S1890" s="3">
        <v>39331.0</v>
      </c>
      <c r="T1890" s="1" t="s">
        <v>37</v>
      </c>
      <c r="U1890" s="1"/>
      <c r="V1890" s="1" t="s">
        <v>38</v>
      </c>
      <c r="W1890" s="1">
        <v>44.03212</v>
      </c>
      <c r="X1890" s="1">
        <v>-73.09474</v>
      </c>
      <c r="Y1890" s="1" t="s">
        <v>7328</v>
      </c>
      <c r="Z1890" s="1"/>
      <c r="AA1890" s="1" t="s">
        <v>40</v>
      </c>
      <c r="AB1890" s="1" t="s">
        <v>7329</v>
      </c>
      <c r="AC1890" s="1">
        <v>5753.0</v>
      </c>
    </row>
    <row r="1891">
      <c r="A1891" s="1" t="str">
        <f>"000927"</f>
        <v>000927</v>
      </c>
      <c r="B1891" s="1" t="s">
        <v>7162</v>
      </c>
      <c r="C1891" s="1" t="s">
        <v>7163</v>
      </c>
      <c r="D1891" s="1" t="str">
        <f>"8028744873"</f>
        <v>8028744873</v>
      </c>
      <c r="E1891" s="1">
        <v>3762.0</v>
      </c>
      <c r="F1891" s="1" t="s">
        <v>44</v>
      </c>
      <c r="G1891" s="1" t="s">
        <v>7330</v>
      </c>
      <c r="H1891" s="1"/>
      <c r="I1891" s="1"/>
      <c r="J1891" s="1"/>
      <c r="K1891" s="1"/>
      <c r="L1891" s="1"/>
      <c r="M1891" s="1" t="s">
        <v>7331</v>
      </c>
      <c r="N1891" s="1" t="s">
        <v>66</v>
      </c>
      <c r="O1891" s="1" t="s">
        <v>751</v>
      </c>
      <c r="P1891" s="1"/>
      <c r="Q1891" s="3">
        <v>36892.0</v>
      </c>
      <c r="R1891" s="1"/>
      <c r="S1891" s="1"/>
      <c r="T1891" s="1" t="s">
        <v>37</v>
      </c>
      <c r="U1891" s="1"/>
      <c r="V1891" s="1" t="s">
        <v>38</v>
      </c>
      <c r="W1891" s="1"/>
      <c r="X1891" s="1"/>
      <c r="Y1891" s="1" t="s">
        <v>49</v>
      </c>
      <c r="Z1891" s="1"/>
      <c r="AA1891" s="1" t="s">
        <v>40</v>
      </c>
      <c r="AB1891" s="1" t="s">
        <v>754</v>
      </c>
      <c r="AC1891" s="1"/>
    </row>
    <row r="1892">
      <c r="A1892" s="1" t="str">
        <f>"00093H"</f>
        <v>00093H</v>
      </c>
      <c r="B1892" s="1" t="s">
        <v>7332</v>
      </c>
      <c r="C1892" s="1" t="s">
        <v>7333</v>
      </c>
      <c r="D1892" s="1" t="str">
        <f>"8024253301"</f>
        <v>8024253301</v>
      </c>
      <c r="E1892" s="1">
        <v>3813.0</v>
      </c>
      <c r="F1892" s="1" t="s">
        <v>44</v>
      </c>
      <c r="G1892" s="1" t="s">
        <v>7334</v>
      </c>
      <c r="H1892" s="1"/>
      <c r="I1892" s="1"/>
      <c r="J1892" s="1"/>
      <c r="K1892" s="1"/>
      <c r="L1892" s="1"/>
      <c r="M1892" s="1" t="s">
        <v>72</v>
      </c>
      <c r="N1892" s="1" t="s">
        <v>57</v>
      </c>
      <c r="O1892" s="1" t="s">
        <v>1633</v>
      </c>
      <c r="P1892" s="1"/>
      <c r="Q1892" s="3">
        <v>36892.0</v>
      </c>
      <c r="R1892" s="1"/>
      <c r="S1892" s="1"/>
      <c r="T1892" s="1" t="s">
        <v>37</v>
      </c>
      <c r="U1892" s="1"/>
      <c r="V1892" s="1" t="s">
        <v>38</v>
      </c>
      <c r="W1892" s="1"/>
      <c r="X1892" s="1"/>
      <c r="Y1892" s="1" t="s">
        <v>49</v>
      </c>
      <c r="Z1892" s="1"/>
      <c r="AA1892" s="1" t="s">
        <v>40</v>
      </c>
      <c r="AB1892" s="1" t="s">
        <v>1634</v>
      </c>
      <c r="AC1892" s="1"/>
    </row>
    <row r="1893">
      <c r="A1893" s="1" t="str">
        <f>"00093K"</f>
        <v>00093K</v>
      </c>
      <c r="B1893" s="1" t="s">
        <v>7335</v>
      </c>
      <c r="C1893" s="1" t="s">
        <v>7336</v>
      </c>
      <c r="D1893" s="1" t="str">
        <f>"8028853273"</f>
        <v>8028853273</v>
      </c>
      <c r="E1893" s="1">
        <v>3815.0</v>
      </c>
      <c r="F1893" s="1" t="s">
        <v>44</v>
      </c>
      <c r="G1893" s="1" t="s">
        <v>7337</v>
      </c>
      <c r="H1893" s="1">
        <v>1.0</v>
      </c>
      <c r="I1893" s="1"/>
      <c r="J1893" s="1"/>
      <c r="K1893" s="1"/>
      <c r="L1893" s="1"/>
      <c r="M1893" s="1" t="s">
        <v>72</v>
      </c>
      <c r="N1893" s="1" t="s">
        <v>34</v>
      </c>
      <c r="O1893" s="1" t="s">
        <v>642</v>
      </c>
      <c r="P1893" s="1"/>
      <c r="Q1893" s="3">
        <v>36892.0</v>
      </c>
      <c r="R1893" s="1"/>
      <c r="S1893" s="3">
        <v>40058.0</v>
      </c>
      <c r="T1893" s="1" t="s">
        <v>37</v>
      </c>
      <c r="U1893" s="1"/>
      <c r="V1893" s="1" t="s">
        <v>38</v>
      </c>
      <c r="W1893" s="1"/>
      <c r="X1893" s="1"/>
      <c r="Y1893" s="1" t="s">
        <v>49</v>
      </c>
      <c r="Z1893" s="1"/>
      <c r="AA1893" s="1" t="s">
        <v>40</v>
      </c>
      <c r="AB1893" s="1" t="s">
        <v>643</v>
      </c>
      <c r="AC1893" s="1"/>
    </row>
    <row r="1894">
      <c r="A1894" s="1" t="str">
        <f t="shared" ref="A1894:A1897" si="134">"00093M"</f>
        <v>00093M</v>
      </c>
      <c r="B1894" s="1" t="s">
        <v>7338</v>
      </c>
      <c r="C1894" s="1" t="s">
        <v>7339</v>
      </c>
      <c r="D1894" s="1" t="str">
        <f t="shared" ref="D1894:D1897" si="135">"8022451011"</f>
        <v>8022451011</v>
      </c>
      <c r="E1894" s="1">
        <v>3816.0</v>
      </c>
      <c r="F1894" s="1" t="s">
        <v>44</v>
      </c>
      <c r="G1894" s="1" t="s">
        <v>7340</v>
      </c>
      <c r="H1894" s="1">
        <v>7.0</v>
      </c>
      <c r="I1894" s="1"/>
      <c r="J1894" s="1"/>
      <c r="K1894" s="1"/>
      <c r="L1894" s="1"/>
      <c r="M1894" s="1" t="s">
        <v>7341</v>
      </c>
      <c r="N1894" s="1" t="s">
        <v>78</v>
      </c>
      <c r="O1894" s="1" t="s">
        <v>272</v>
      </c>
      <c r="P1894" s="1"/>
      <c r="Q1894" s="3">
        <v>36892.0</v>
      </c>
      <c r="R1894" s="1"/>
      <c r="S1894" s="3">
        <v>39254.0</v>
      </c>
      <c r="T1894" s="1" t="s">
        <v>37</v>
      </c>
      <c r="U1894" s="1"/>
      <c r="V1894" s="1" t="s">
        <v>38</v>
      </c>
      <c r="W1894" s="1"/>
      <c r="X1894" s="1"/>
      <c r="Y1894" s="1" t="s">
        <v>49</v>
      </c>
      <c r="Z1894" s="1"/>
      <c r="AA1894" s="1" t="s">
        <v>40</v>
      </c>
      <c r="AB1894" s="1" t="s">
        <v>275</v>
      </c>
      <c r="AC1894" s="1"/>
    </row>
    <row r="1895">
      <c r="A1895" s="1" t="str">
        <f t="shared" si="134"/>
        <v>00093M</v>
      </c>
      <c r="B1895" s="1" t="s">
        <v>7338</v>
      </c>
      <c r="C1895" s="1" t="s">
        <v>7339</v>
      </c>
      <c r="D1895" s="1" t="str">
        <f t="shared" si="135"/>
        <v>8022451011</v>
      </c>
      <c r="E1895" s="1">
        <v>3816.0</v>
      </c>
      <c r="F1895" s="1" t="s">
        <v>44</v>
      </c>
      <c r="G1895" s="1" t="s">
        <v>7342</v>
      </c>
      <c r="H1895" s="1">
        <v>4.0</v>
      </c>
      <c r="I1895" s="1"/>
      <c r="J1895" s="1"/>
      <c r="K1895" s="1"/>
      <c r="L1895" s="1"/>
      <c r="M1895" s="1" t="s">
        <v>7343</v>
      </c>
      <c r="N1895" s="1" t="s">
        <v>34</v>
      </c>
      <c r="O1895" s="1" t="s">
        <v>4105</v>
      </c>
      <c r="P1895" s="1"/>
      <c r="Q1895" s="3">
        <v>36892.0</v>
      </c>
      <c r="R1895" s="1"/>
      <c r="S1895" s="3">
        <v>41123.0</v>
      </c>
      <c r="T1895" s="1" t="s">
        <v>37</v>
      </c>
      <c r="U1895" s="1"/>
      <c r="V1895" s="1" t="s">
        <v>38</v>
      </c>
      <c r="W1895" s="1"/>
      <c r="X1895" s="1"/>
      <c r="Y1895" s="1" t="s">
        <v>49</v>
      </c>
      <c r="Z1895" s="1"/>
      <c r="AA1895" s="1" t="s">
        <v>40</v>
      </c>
      <c r="AB1895" s="1" t="s">
        <v>4106</v>
      </c>
      <c r="AC1895" s="1"/>
    </row>
    <row r="1896">
      <c r="A1896" s="1" t="str">
        <f t="shared" si="134"/>
        <v>00093M</v>
      </c>
      <c r="B1896" s="1" t="s">
        <v>7338</v>
      </c>
      <c r="C1896" s="1" t="s">
        <v>7339</v>
      </c>
      <c r="D1896" s="1" t="str">
        <f t="shared" si="135"/>
        <v>8022451011</v>
      </c>
      <c r="E1896" s="1">
        <v>3816.0</v>
      </c>
      <c r="F1896" s="1" t="s">
        <v>44</v>
      </c>
      <c r="G1896" s="1" t="s">
        <v>7344</v>
      </c>
      <c r="H1896" s="1">
        <v>2.0</v>
      </c>
      <c r="I1896" s="1"/>
      <c r="J1896" s="1"/>
      <c r="K1896" s="1"/>
      <c r="L1896" s="1"/>
      <c r="M1896" s="1" t="s">
        <v>7345</v>
      </c>
      <c r="N1896" s="1" t="s">
        <v>34</v>
      </c>
      <c r="O1896" s="1" t="s">
        <v>4105</v>
      </c>
      <c r="P1896" s="1"/>
      <c r="Q1896" s="3">
        <v>36892.0</v>
      </c>
      <c r="R1896" s="1"/>
      <c r="S1896" s="3">
        <v>39254.0</v>
      </c>
      <c r="T1896" s="1" t="s">
        <v>37</v>
      </c>
      <c r="U1896" s="1"/>
      <c r="V1896" s="1" t="s">
        <v>38</v>
      </c>
      <c r="W1896" s="1"/>
      <c r="X1896" s="1"/>
      <c r="Y1896" s="1" t="s">
        <v>49</v>
      </c>
      <c r="Z1896" s="1"/>
      <c r="AA1896" s="1" t="s">
        <v>40</v>
      </c>
      <c r="AB1896" s="1" t="s">
        <v>4106</v>
      </c>
      <c r="AC1896" s="1"/>
    </row>
    <row r="1897">
      <c r="A1897" s="1" t="str">
        <f t="shared" si="134"/>
        <v>00093M</v>
      </c>
      <c r="B1897" s="1" t="s">
        <v>7338</v>
      </c>
      <c r="C1897" s="1" t="s">
        <v>7339</v>
      </c>
      <c r="D1897" s="1" t="str">
        <f t="shared" si="135"/>
        <v>8022451011</v>
      </c>
      <c r="E1897" s="1">
        <v>3816.0</v>
      </c>
      <c r="F1897" s="1" t="s">
        <v>44</v>
      </c>
      <c r="G1897" s="1" t="s">
        <v>7346</v>
      </c>
      <c r="H1897" s="1">
        <v>8.0</v>
      </c>
      <c r="I1897" s="1"/>
      <c r="J1897" s="1"/>
      <c r="K1897" s="1"/>
      <c r="L1897" s="1"/>
      <c r="M1897" s="1" t="s">
        <v>7347</v>
      </c>
      <c r="N1897" s="1" t="s">
        <v>34</v>
      </c>
      <c r="O1897" s="1" t="s">
        <v>4105</v>
      </c>
      <c r="P1897" s="1"/>
      <c r="Q1897" s="3">
        <v>36892.0</v>
      </c>
      <c r="R1897" s="1"/>
      <c r="S1897" s="3">
        <v>41471.0</v>
      </c>
      <c r="T1897" s="1" t="s">
        <v>37</v>
      </c>
      <c r="U1897" s="1"/>
      <c r="V1897" s="1" t="s">
        <v>38</v>
      </c>
      <c r="W1897" s="1"/>
      <c r="X1897" s="1"/>
      <c r="Y1897" s="1" t="s">
        <v>49</v>
      </c>
      <c r="Z1897" s="1"/>
      <c r="AA1897" s="1" t="s">
        <v>40</v>
      </c>
      <c r="AB1897" s="1" t="s">
        <v>4106</v>
      </c>
      <c r="AC1897" s="1"/>
    </row>
    <row r="1898">
      <c r="A1898" s="1" t="str">
        <f>"00093N"</f>
        <v>00093N</v>
      </c>
      <c r="B1898" s="1" t="s">
        <v>7348</v>
      </c>
      <c r="C1898" s="1" t="s">
        <v>7349</v>
      </c>
      <c r="D1898" s="1" t="str">
        <f>"8028952804"</f>
        <v>8028952804</v>
      </c>
      <c r="E1898" s="1">
        <v>3817.0</v>
      </c>
      <c r="F1898" s="1" t="s">
        <v>31</v>
      </c>
      <c r="G1898" s="1" t="s">
        <v>7350</v>
      </c>
      <c r="H1898" s="1">
        <v>5.0</v>
      </c>
      <c r="I1898" s="1"/>
      <c r="J1898" s="1"/>
      <c r="K1898" s="1"/>
      <c r="L1898" s="1"/>
      <c r="M1898" s="1" t="s">
        <v>72</v>
      </c>
      <c r="N1898" s="1" t="s">
        <v>94</v>
      </c>
      <c r="O1898" s="1" t="s">
        <v>1651</v>
      </c>
      <c r="P1898" s="1"/>
      <c r="Q1898" s="3">
        <v>36892.0</v>
      </c>
      <c r="R1898" s="1"/>
      <c r="S1898" s="3">
        <v>39658.0</v>
      </c>
      <c r="T1898" s="1" t="s">
        <v>37</v>
      </c>
      <c r="U1898" s="1"/>
      <c r="V1898" s="1" t="s">
        <v>38</v>
      </c>
      <c r="W1898" s="1">
        <v>44.8489497</v>
      </c>
      <c r="X1898" s="1">
        <v>-72.0186883</v>
      </c>
      <c r="Y1898" s="1" t="s">
        <v>7351</v>
      </c>
      <c r="Z1898" s="1"/>
      <c r="AA1898" s="1" t="s">
        <v>40</v>
      </c>
      <c r="AB1898" s="1" t="s">
        <v>7352</v>
      </c>
      <c r="AC1898" s="1">
        <v>5833.0</v>
      </c>
    </row>
    <row r="1899">
      <c r="A1899" s="1" t="str">
        <f>"00093P"</f>
        <v>00093P</v>
      </c>
      <c r="B1899" s="1" t="s">
        <v>7353</v>
      </c>
      <c r="C1899" s="1" t="s">
        <v>7354</v>
      </c>
      <c r="D1899" s="1" t="str">
        <f>"8028589320"</f>
        <v>8028589320</v>
      </c>
      <c r="E1899" s="1">
        <v>3818.0</v>
      </c>
      <c r="F1899" s="1" t="s">
        <v>44</v>
      </c>
      <c r="G1899" s="1" t="s">
        <v>7355</v>
      </c>
      <c r="H1899" s="1">
        <v>2.0</v>
      </c>
      <c r="I1899" s="2" t="s">
        <v>119</v>
      </c>
      <c r="J1899" s="2" t="s">
        <v>119</v>
      </c>
      <c r="K1899" s="2" t="s">
        <v>119</v>
      </c>
      <c r="L1899" s="1"/>
      <c r="M1899" s="1" t="s">
        <v>7356</v>
      </c>
      <c r="N1899" s="1" t="s">
        <v>57</v>
      </c>
      <c r="O1899" s="1" t="s">
        <v>745</v>
      </c>
      <c r="P1899" s="1" t="s">
        <v>3087</v>
      </c>
      <c r="Q1899" s="3">
        <v>36892.0</v>
      </c>
      <c r="R1899" s="1"/>
      <c r="S1899" s="3">
        <v>39933.0</v>
      </c>
      <c r="T1899" s="1" t="s">
        <v>37</v>
      </c>
      <c r="U1899" s="1"/>
      <c r="V1899" s="1" t="s">
        <v>38</v>
      </c>
      <c r="W1899" s="1">
        <v>44.444864</v>
      </c>
      <c r="X1899" s="1">
        <v>-72.990161</v>
      </c>
      <c r="Y1899" s="1" t="s">
        <v>7357</v>
      </c>
      <c r="Z1899" s="1"/>
      <c r="AA1899" s="1" t="s">
        <v>40</v>
      </c>
      <c r="AB1899" s="1" t="s">
        <v>746</v>
      </c>
      <c r="AC1899" s="1">
        <v>5465.0</v>
      </c>
    </row>
    <row r="1900">
      <c r="A1900" s="1" t="str">
        <f>"00093Q"</f>
        <v>00093Q</v>
      </c>
      <c r="B1900" s="1" t="s">
        <v>7358</v>
      </c>
      <c r="C1900" s="1" t="s">
        <v>7359</v>
      </c>
      <c r="D1900" s="1" t="str">
        <f>"8023759031"</f>
        <v>8023759031</v>
      </c>
      <c r="E1900" s="1">
        <v>3819.0</v>
      </c>
      <c r="F1900" s="1" t="s">
        <v>44</v>
      </c>
      <c r="G1900" s="1" t="s">
        <v>7360</v>
      </c>
      <c r="H1900" s="1">
        <v>1.0</v>
      </c>
      <c r="I1900" s="1"/>
      <c r="J1900" s="1"/>
      <c r="K1900" s="1"/>
      <c r="L1900" s="1"/>
      <c r="M1900" s="1" t="s">
        <v>72</v>
      </c>
      <c r="N1900" s="1" t="s">
        <v>414</v>
      </c>
      <c r="O1900" s="1" t="s">
        <v>3034</v>
      </c>
      <c r="P1900" s="1"/>
      <c r="Q1900" s="3">
        <v>36892.0</v>
      </c>
      <c r="R1900" s="1"/>
      <c r="S1900" s="3">
        <v>39981.0</v>
      </c>
      <c r="T1900" s="1" t="s">
        <v>37</v>
      </c>
      <c r="U1900" s="1"/>
      <c r="V1900" s="1" t="s">
        <v>38</v>
      </c>
      <c r="W1900" s="1"/>
      <c r="X1900" s="1"/>
      <c r="Y1900" s="1" t="s">
        <v>49</v>
      </c>
      <c r="Z1900" s="1"/>
      <c r="AA1900" s="1" t="s">
        <v>40</v>
      </c>
      <c r="AB1900" s="1" t="s">
        <v>3036</v>
      </c>
      <c r="AC1900" s="1"/>
    </row>
    <row r="1901">
      <c r="A1901" s="1" t="str">
        <f>"00093V"</f>
        <v>00093V</v>
      </c>
      <c r="B1901" s="1" t="s">
        <v>7361</v>
      </c>
      <c r="C1901" s="1" t="s">
        <v>7362</v>
      </c>
      <c r="D1901" s="1" t="str">
        <f>"8027673289"</f>
        <v>8027673289</v>
      </c>
      <c r="E1901" s="1">
        <v>3820.0</v>
      </c>
      <c r="F1901" s="1" t="s">
        <v>44</v>
      </c>
      <c r="G1901" s="1" t="s">
        <v>7363</v>
      </c>
      <c r="H1901" s="1">
        <v>1.0</v>
      </c>
      <c r="I1901" s="1"/>
      <c r="J1901" s="1"/>
      <c r="K1901" s="1"/>
      <c r="L1901" s="1"/>
      <c r="M1901" s="1" t="s">
        <v>72</v>
      </c>
      <c r="N1901" s="1" t="s">
        <v>34</v>
      </c>
      <c r="O1901" s="1" t="s">
        <v>1277</v>
      </c>
      <c r="P1901" s="1"/>
      <c r="Q1901" s="3">
        <v>36892.0</v>
      </c>
      <c r="R1901" s="1"/>
      <c r="S1901" s="3">
        <v>39659.0</v>
      </c>
      <c r="T1901" s="1" t="s">
        <v>37</v>
      </c>
      <c r="U1901" s="1"/>
      <c r="V1901" s="1" t="s">
        <v>38</v>
      </c>
      <c r="W1901" s="1">
        <v>43.830273</v>
      </c>
      <c r="X1901" s="1">
        <v>-72.778076</v>
      </c>
      <c r="Y1901" s="1" t="s">
        <v>7364</v>
      </c>
      <c r="Z1901" s="1"/>
      <c r="AA1901" s="1" t="s">
        <v>40</v>
      </c>
      <c r="AB1901" s="1" t="s">
        <v>1278</v>
      </c>
      <c r="AC1901" s="1">
        <v>5767.0</v>
      </c>
    </row>
    <row r="1902">
      <c r="A1902" s="1" t="str">
        <f>"00092Y"</f>
        <v>00092Y</v>
      </c>
      <c r="B1902" s="1" t="s">
        <v>7365</v>
      </c>
      <c r="C1902" s="1" t="s">
        <v>7366</v>
      </c>
      <c r="D1902" s="1" t="str">
        <f>"8024483945"</f>
        <v>8024483945</v>
      </c>
      <c r="E1902" s="1">
        <v>3823.0</v>
      </c>
      <c r="F1902" s="1" t="s">
        <v>117</v>
      </c>
      <c r="G1902" s="1" t="s">
        <v>7367</v>
      </c>
      <c r="H1902" s="1">
        <v>2.0</v>
      </c>
      <c r="I1902" s="2" t="s">
        <v>119</v>
      </c>
      <c r="J1902" s="2" t="s">
        <v>119</v>
      </c>
      <c r="K1902" s="2" t="s">
        <v>119</v>
      </c>
      <c r="L1902" s="1"/>
      <c r="M1902" s="1" t="s">
        <v>7368</v>
      </c>
      <c r="N1902" s="1" t="s">
        <v>57</v>
      </c>
      <c r="O1902" s="1" t="s">
        <v>238</v>
      </c>
      <c r="P1902" s="1" t="s">
        <v>7369</v>
      </c>
      <c r="Q1902" s="3">
        <v>36892.0</v>
      </c>
      <c r="R1902" s="1"/>
      <c r="S1902" s="1"/>
      <c r="T1902" s="1" t="s">
        <v>37</v>
      </c>
      <c r="U1902" s="1"/>
      <c r="V1902" s="1" t="s">
        <v>38</v>
      </c>
      <c r="W1902" s="1">
        <v>44.6524899008453</v>
      </c>
      <c r="X1902" s="1">
        <v>-72.8993725776672</v>
      </c>
      <c r="Y1902" s="1" t="s">
        <v>7370</v>
      </c>
      <c r="Z1902" s="1"/>
      <c r="AA1902" s="1" t="s">
        <v>40</v>
      </c>
      <c r="AB1902" s="1" t="s">
        <v>239</v>
      </c>
      <c r="AC1902" s="1">
        <v>5482.0</v>
      </c>
    </row>
    <row r="1903">
      <c r="A1903" s="1" t="str">
        <f>"00093W"</f>
        <v>00093W</v>
      </c>
      <c r="B1903" s="1" t="s">
        <v>7371</v>
      </c>
      <c r="C1903" s="1" t="s">
        <v>7372</v>
      </c>
      <c r="D1903" s="1" t="str">
        <f>"8028857242"</f>
        <v>8028857242</v>
      </c>
      <c r="E1903" s="1">
        <v>3824.0</v>
      </c>
      <c r="F1903" s="1" t="s">
        <v>44</v>
      </c>
      <c r="G1903" s="1" t="s">
        <v>7373</v>
      </c>
      <c r="H1903" s="1"/>
      <c r="I1903" s="1"/>
      <c r="J1903" s="1"/>
      <c r="K1903" s="1"/>
      <c r="L1903" s="1"/>
      <c r="M1903" s="1" t="s">
        <v>72</v>
      </c>
      <c r="N1903" s="1" t="s">
        <v>34</v>
      </c>
      <c r="O1903" s="1" t="s">
        <v>642</v>
      </c>
      <c r="P1903" s="1"/>
      <c r="Q1903" s="3">
        <v>36892.0</v>
      </c>
      <c r="R1903" s="1"/>
      <c r="S1903" s="1"/>
      <c r="T1903" s="1" t="s">
        <v>37</v>
      </c>
      <c r="U1903" s="1"/>
      <c r="V1903" s="1" t="s">
        <v>38</v>
      </c>
      <c r="W1903" s="1"/>
      <c r="X1903" s="1"/>
      <c r="Y1903" s="1" t="s">
        <v>49</v>
      </c>
      <c r="Z1903" s="1"/>
      <c r="AA1903" s="1" t="s">
        <v>40</v>
      </c>
      <c r="AB1903" s="1" t="s">
        <v>643</v>
      </c>
      <c r="AC1903" s="1"/>
    </row>
    <row r="1904">
      <c r="A1904" s="1" t="str">
        <f>"0008BZ"</f>
        <v>0008BZ</v>
      </c>
      <c r="B1904" s="1" t="s">
        <v>1889</v>
      </c>
      <c r="C1904" s="1" t="s">
        <v>1890</v>
      </c>
      <c r="D1904" s="1" t="str">
        <f>"8022575833"</f>
        <v>8022575833</v>
      </c>
      <c r="E1904" s="1">
        <v>2019.0</v>
      </c>
      <c r="F1904" s="1" t="s">
        <v>44</v>
      </c>
      <c r="G1904" s="1" t="s">
        <v>7374</v>
      </c>
      <c r="H1904" s="1"/>
      <c r="I1904" s="1"/>
      <c r="J1904" s="1"/>
      <c r="K1904" s="1"/>
      <c r="L1904" s="1"/>
      <c r="M1904" s="1" t="s">
        <v>7375</v>
      </c>
      <c r="N1904" s="1" t="s">
        <v>66</v>
      </c>
      <c r="O1904" s="1" t="s">
        <v>1256</v>
      </c>
      <c r="P1904" s="1"/>
      <c r="Q1904" s="3">
        <v>36892.0</v>
      </c>
      <c r="R1904" s="1"/>
      <c r="S1904" s="1"/>
      <c r="T1904" s="1" t="s">
        <v>37</v>
      </c>
      <c r="U1904" s="1"/>
      <c r="V1904" s="1" t="s">
        <v>38</v>
      </c>
      <c r="W1904" s="1"/>
      <c r="X1904" s="1"/>
      <c r="Y1904" s="1" t="s">
        <v>49</v>
      </c>
      <c r="Z1904" s="1"/>
      <c r="AA1904" s="1" t="s">
        <v>40</v>
      </c>
      <c r="AB1904" s="1" t="s">
        <v>1257</v>
      </c>
      <c r="AC1904" s="1"/>
    </row>
    <row r="1905">
      <c r="A1905" s="1" t="str">
        <f>"00093X"</f>
        <v>00093X</v>
      </c>
      <c r="B1905" s="1" t="s">
        <v>7376</v>
      </c>
      <c r="C1905" s="1" t="s">
        <v>7377</v>
      </c>
      <c r="D1905" s="1" t="str">
        <f>"8024574167"</f>
        <v>8024574167</v>
      </c>
      <c r="E1905" s="1">
        <v>3825.0</v>
      </c>
      <c r="F1905" s="1" t="s">
        <v>44</v>
      </c>
      <c r="G1905" s="1" t="s">
        <v>7378</v>
      </c>
      <c r="H1905" s="1">
        <v>0.0</v>
      </c>
      <c r="I1905" s="1"/>
      <c r="J1905" s="1"/>
      <c r="K1905" s="1"/>
      <c r="L1905" s="1"/>
      <c r="M1905" s="1" t="s">
        <v>72</v>
      </c>
      <c r="N1905" s="1" t="s">
        <v>34</v>
      </c>
      <c r="O1905" s="1" t="s">
        <v>324</v>
      </c>
      <c r="P1905" s="1"/>
      <c r="Q1905" s="3">
        <v>36892.0</v>
      </c>
      <c r="R1905" s="1"/>
      <c r="S1905" s="1"/>
      <c r="T1905" s="1" t="s">
        <v>37</v>
      </c>
      <c r="U1905" s="1"/>
      <c r="V1905" s="1" t="s">
        <v>38</v>
      </c>
      <c r="W1905" s="1">
        <v>43.612731</v>
      </c>
      <c r="X1905" s="1">
        <v>-72.568397</v>
      </c>
      <c r="Y1905" s="1" t="s">
        <v>7379</v>
      </c>
      <c r="Z1905" s="1"/>
      <c r="AA1905" s="1" t="s">
        <v>40</v>
      </c>
      <c r="AB1905" s="1" t="s">
        <v>326</v>
      </c>
      <c r="AC1905" s="1">
        <v>5091.0</v>
      </c>
    </row>
    <row r="1906">
      <c r="A1906" s="1" t="str">
        <f>"00093Y"</f>
        <v>00093Y</v>
      </c>
      <c r="B1906" s="1" t="s">
        <v>7380</v>
      </c>
      <c r="C1906" s="1" t="s">
        <v>7381</v>
      </c>
      <c r="D1906" s="1" t="str">
        <f>"8026854459"</f>
        <v>8026854459</v>
      </c>
      <c r="E1906" s="1">
        <v>3826.0</v>
      </c>
      <c r="F1906" s="1" t="s">
        <v>44</v>
      </c>
      <c r="G1906" s="1" t="s">
        <v>7382</v>
      </c>
      <c r="H1906" s="1">
        <v>3.0</v>
      </c>
      <c r="I1906" s="1"/>
      <c r="J1906" s="1"/>
      <c r="K1906" s="1"/>
      <c r="L1906" s="1"/>
      <c r="M1906" s="1" t="s">
        <v>72</v>
      </c>
      <c r="N1906" s="1" t="s">
        <v>142</v>
      </c>
      <c r="O1906" s="1" t="s">
        <v>844</v>
      </c>
      <c r="P1906" s="1"/>
      <c r="Q1906" s="3">
        <v>36892.0</v>
      </c>
      <c r="R1906" s="1"/>
      <c r="S1906" s="3">
        <v>39932.0</v>
      </c>
      <c r="T1906" s="1" t="s">
        <v>37</v>
      </c>
      <c r="U1906" s="1"/>
      <c r="V1906" s="1" t="s">
        <v>38</v>
      </c>
      <c r="W1906" s="1"/>
      <c r="X1906" s="1"/>
      <c r="Y1906" s="1" t="s">
        <v>49</v>
      </c>
      <c r="Z1906" s="1"/>
      <c r="AA1906" s="1" t="s">
        <v>40</v>
      </c>
      <c r="AB1906" s="1" t="s">
        <v>847</v>
      </c>
      <c r="AC1906" s="1"/>
    </row>
    <row r="1907">
      <c r="A1907" s="1" t="str">
        <f>"00093Z"</f>
        <v>00093Z</v>
      </c>
      <c r="B1907" s="1" t="s">
        <v>7383</v>
      </c>
      <c r="C1907" s="1" t="s">
        <v>7384</v>
      </c>
      <c r="D1907" s="1" t="str">
        <f>"8026854391"</f>
        <v>8026854391</v>
      </c>
      <c r="E1907" s="1">
        <v>3827.0</v>
      </c>
      <c r="F1907" s="1" t="s">
        <v>44</v>
      </c>
      <c r="G1907" s="1" t="s">
        <v>7385</v>
      </c>
      <c r="H1907" s="1">
        <v>1.0</v>
      </c>
      <c r="I1907" s="1"/>
      <c r="J1907" s="1"/>
      <c r="K1907" s="1"/>
      <c r="L1907" s="1"/>
      <c r="M1907" s="1" t="s">
        <v>7386</v>
      </c>
      <c r="N1907" s="1" t="s">
        <v>142</v>
      </c>
      <c r="O1907" s="1" t="s">
        <v>844</v>
      </c>
      <c r="P1907" s="1"/>
      <c r="Q1907" s="3">
        <v>36892.0</v>
      </c>
      <c r="R1907" s="1"/>
      <c r="S1907" s="3">
        <v>39282.0</v>
      </c>
      <c r="T1907" s="1" t="s">
        <v>37</v>
      </c>
      <c r="U1907" s="1"/>
      <c r="V1907" s="1" t="s">
        <v>38</v>
      </c>
      <c r="W1907" s="1">
        <v>43.9883292</v>
      </c>
      <c r="X1907" s="1">
        <v>-72.4463193</v>
      </c>
      <c r="Y1907" s="1" t="s">
        <v>7387</v>
      </c>
      <c r="Z1907" s="1"/>
      <c r="AA1907" s="1" t="s">
        <v>40</v>
      </c>
      <c r="AB1907" s="1" t="s">
        <v>847</v>
      </c>
      <c r="AC1907" s="1">
        <v>5038.0</v>
      </c>
    </row>
    <row r="1908">
      <c r="A1908" s="1" t="str">
        <f>"000943"</f>
        <v>000943</v>
      </c>
      <c r="B1908" s="1" t="s">
        <v>7388</v>
      </c>
      <c r="C1908" s="1" t="s">
        <v>7389</v>
      </c>
      <c r="D1908" s="1" t="str">
        <f>"8024263039"</f>
        <v>8024263039</v>
      </c>
      <c r="E1908" s="1">
        <v>3844.0</v>
      </c>
      <c r="F1908" s="1" t="s">
        <v>44</v>
      </c>
      <c r="G1908" s="1" t="s">
        <v>7390</v>
      </c>
      <c r="H1908" s="1"/>
      <c r="I1908" s="1"/>
      <c r="J1908" s="1"/>
      <c r="K1908" s="1"/>
      <c r="L1908" s="1"/>
      <c r="M1908" s="1" t="s">
        <v>72</v>
      </c>
      <c r="N1908" s="1" t="s">
        <v>135</v>
      </c>
      <c r="O1908" s="1" t="s">
        <v>409</v>
      </c>
      <c r="P1908" s="1"/>
      <c r="Q1908" s="3">
        <v>36892.0</v>
      </c>
      <c r="R1908" s="1"/>
      <c r="S1908" s="1"/>
      <c r="T1908" s="1" t="s">
        <v>37</v>
      </c>
      <c r="U1908" s="1"/>
      <c r="V1908" s="1" t="s">
        <v>38</v>
      </c>
      <c r="W1908" s="1"/>
      <c r="X1908" s="1"/>
      <c r="Y1908" s="1" t="s">
        <v>49</v>
      </c>
      <c r="Z1908" s="1"/>
      <c r="AA1908" s="1" t="s">
        <v>40</v>
      </c>
      <c r="AB1908" s="1" t="s">
        <v>410</v>
      </c>
      <c r="AC1908" s="1"/>
    </row>
    <row r="1909">
      <c r="A1909" s="1" t="str">
        <f>"0007HH"</f>
        <v>0007HH</v>
      </c>
      <c r="B1909" s="1" t="s">
        <v>1748</v>
      </c>
      <c r="C1909" s="1" t="s">
        <v>1749</v>
      </c>
      <c r="D1909" s="1" t="str">
        <f>"8028996736"</f>
        <v>8028996736</v>
      </c>
      <c r="E1909" s="1">
        <v>2979.0</v>
      </c>
      <c r="F1909" s="1" t="s">
        <v>44</v>
      </c>
      <c r="G1909" s="1" t="s">
        <v>7391</v>
      </c>
      <c r="H1909" s="1"/>
      <c r="I1909" s="1"/>
      <c r="J1909" s="1"/>
      <c r="K1909" s="1"/>
      <c r="L1909" s="1"/>
      <c r="M1909" s="1" t="s">
        <v>7392</v>
      </c>
      <c r="N1909" s="1" t="s">
        <v>57</v>
      </c>
      <c r="O1909" s="1" t="s">
        <v>58</v>
      </c>
      <c r="P1909" s="1"/>
      <c r="Q1909" s="3">
        <v>36892.0</v>
      </c>
      <c r="R1909" s="1"/>
      <c r="S1909" s="1"/>
      <c r="T1909" s="1" t="s">
        <v>37</v>
      </c>
      <c r="U1909" s="1"/>
      <c r="V1909" s="1" t="s">
        <v>38</v>
      </c>
      <c r="W1909" s="1"/>
      <c r="X1909" s="1"/>
      <c r="Y1909" s="1" t="s">
        <v>49</v>
      </c>
      <c r="Z1909" s="1"/>
      <c r="AA1909" s="1" t="s">
        <v>40</v>
      </c>
      <c r="AB1909" s="1" t="s">
        <v>61</v>
      </c>
      <c r="AC1909" s="1"/>
    </row>
    <row r="1910">
      <c r="A1910" s="1" t="str">
        <f>"0007DC"</f>
        <v>0007DC</v>
      </c>
      <c r="B1910" s="1" t="s">
        <v>4899</v>
      </c>
      <c r="C1910" s="1" t="s">
        <v>4900</v>
      </c>
      <c r="D1910" s="1" t="str">
        <f>"8023884145"</f>
        <v>8023884145</v>
      </c>
      <c r="E1910" s="1">
        <v>3343.0</v>
      </c>
      <c r="F1910" s="1" t="s">
        <v>44</v>
      </c>
      <c r="G1910" s="1" t="s">
        <v>7393</v>
      </c>
      <c r="H1910" s="1"/>
      <c r="I1910" s="1"/>
      <c r="J1910" s="1"/>
      <c r="K1910" s="1"/>
      <c r="L1910" s="1"/>
      <c r="M1910" s="1" t="s">
        <v>7394</v>
      </c>
      <c r="N1910" s="1" t="s">
        <v>161</v>
      </c>
      <c r="O1910" s="1" t="s">
        <v>943</v>
      </c>
      <c r="P1910" s="1"/>
      <c r="Q1910" s="3">
        <v>36892.0</v>
      </c>
      <c r="R1910" s="1"/>
      <c r="S1910" s="1"/>
      <c r="T1910" s="1"/>
      <c r="U1910" s="1"/>
      <c r="V1910" s="1" t="s">
        <v>38</v>
      </c>
      <c r="W1910" s="1"/>
      <c r="X1910" s="1"/>
      <c r="Y1910" s="1" t="s">
        <v>49</v>
      </c>
      <c r="Z1910" s="1"/>
      <c r="AA1910" s="1" t="s">
        <v>40</v>
      </c>
      <c r="AB1910" s="1" t="s">
        <v>945</v>
      </c>
      <c r="AC1910" s="1"/>
    </row>
    <row r="1911">
      <c r="A1911" s="1" t="str">
        <f>"000944"</f>
        <v>000944</v>
      </c>
      <c r="B1911" s="1" t="s">
        <v>7395</v>
      </c>
      <c r="C1911" s="1" t="s">
        <v>7396</v>
      </c>
      <c r="D1911" s="1" t="str">
        <f>"8024855567"</f>
        <v>8024855567</v>
      </c>
      <c r="E1911" s="1">
        <v>3836.0</v>
      </c>
      <c r="F1911" s="1" t="s">
        <v>44</v>
      </c>
      <c r="G1911" s="1" t="s">
        <v>7397</v>
      </c>
      <c r="H1911" s="1">
        <v>1.0</v>
      </c>
      <c r="I1911" s="1"/>
      <c r="J1911" s="1"/>
      <c r="K1911" s="1"/>
      <c r="L1911" s="1"/>
      <c r="M1911" s="1" t="s">
        <v>33</v>
      </c>
      <c r="N1911" s="1" t="s">
        <v>135</v>
      </c>
      <c r="O1911" s="1" t="s">
        <v>136</v>
      </c>
      <c r="P1911" s="1" t="s">
        <v>36</v>
      </c>
      <c r="Q1911" s="3">
        <v>36892.0</v>
      </c>
      <c r="R1911" s="1"/>
      <c r="S1911" s="1"/>
      <c r="T1911" s="1" t="s">
        <v>37</v>
      </c>
      <c r="U1911" s="1"/>
      <c r="V1911" s="1" t="s">
        <v>38</v>
      </c>
      <c r="W1911" s="1">
        <v>44.1297175</v>
      </c>
      <c r="X1911" s="1">
        <v>-72.7167413999999</v>
      </c>
      <c r="Y1911" s="1" t="s">
        <v>7398</v>
      </c>
      <c r="Z1911" s="1"/>
      <c r="AA1911" s="1" t="s">
        <v>40</v>
      </c>
      <c r="AB1911" s="1" t="s">
        <v>137</v>
      </c>
      <c r="AC1911" s="1">
        <v>5663.0</v>
      </c>
    </row>
    <row r="1912">
      <c r="A1912" s="1" t="str">
        <f>"000945"</f>
        <v>000945</v>
      </c>
      <c r="B1912" s="1" t="s">
        <v>7399</v>
      </c>
      <c r="C1912" s="1" t="s">
        <v>7400</v>
      </c>
      <c r="D1912" s="1" t="str">
        <f>"8025270602"</f>
        <v>8025270602</v>
      </c>
      <c r="E1912" s="1">
        <v>3837.0</v>
      </c>
      <c r="F1912" s="1" t="s">
        <v>44</v>
      </c>
      <c r="G1912" s="1" t="s">
        <v>7401</v>
      </c>
      <c r="H1912" s="1">
        <v>6.0</v>
      </c>
      <c r="I1912" s="1"/>
      <c r="J1912" s="1"/>
      <c r="K1912" s="1"/>
      <c r="L1912" s="1"/>
      <c r="M1912" s="1" t="s">
        <v>33</v>
      </c>
      <c r="N1912" s="1" t="s">
        <v>47</v>
      </c>
      <c r="O1912" s="1" t="s">
        <v>2837</v>
      </c>
      <c r="P1912" s="1" t="s">
        <v>36</v>
      </c>
      <c r="Q1912" s="3">
        <v>36892.0</v>
      </c>
      <c r="R1912" s="1"/>
      <c r="S1912" s="3">
        <v>39532.0</v>
      </c>
      <c r="T1912" s="1" t="s">
        <v>37</v>
      </c>
      <c r="U1912" s="1"/>
      <c r="V1912" s="1" t="s">
        <v>38</v>
      </c>
      <c r="W1912" s="1"/>
      <c r="X1912" s="1"/>
      <c r="Y1912" s="1" t="s">
        <v>49</v>
      </c>
      <c r="Z1912" s="1"/>
      <c r="AA1912" s="1" t="s">
        <v>40</v>
      </c>
      <c r="AB1912" s="1" t="s">
        <v>2838</v>
      </c>
      <c r="AC1912" s="1"/>
    </row>
    <row r="1913">
      <c r="A1913" s="1" t="str">
        <f>"000946"</f>
        <v>000946</v>
      </c>
      <c r="B1913" s="1" t="s">
        <v>7402</v>
      </c>
      <c r="C1913" s="1" t="s">
        <v>7403</v>
      </c>
      <c r="D1913" s="1" t="str">
        <f>"8025987255"</f>
        <v>8025987255</v>
      </c>
      <c r="E1913" s="1">
        <v>3838.0</v>
      </c>
      <c r="F1913" s="1" t="s">
        <v>44</v>
      </c>
      <c r="G1913" s="1" t="s">
        <v>7404</v>
      </c>
      <c r="H1913" s="1">
        <v>2.0</v>
      </c>
      <c r="I1913" s="1"/>
      <c r="J1913" s="1"/>
      <c r="K1913" s="1"/>
      <c r="L1913" s="1"/>
      <c r="M1913" s="1" t="s">
        <v>72</v>
      </c>
      <c r="N1913" s="1" t="s">
        <v>57</v>
      </c>
      <c r="O1913" s="1" t="s">
        <v>204</v>
      </c>
      <c r="P1913" s="1"/>
      <c r="Q1913" s="3">
        <v>36892.0</v>
      </c>
      <c r="R1913" s="1"/>
      <c r="S1913" s="3">
        <v>39598.0</v>
      </c>
      <c r="T1913" s="1" t="s">
        <v>37</v>
      </c>
      <c r="U1913" s="1"/>
      <c r="V1913" s="1" t="s">
        <v>38</v>
      </c>
      <c r="W1913" s="1"/>
      <c r="X1913" s="1"/>
      <c r="Y1913" s="1" t="s">
        <v>49</v>
      </c>
      <c r="Z1913" s="1"/>
      <c r="AA1913" s="1" t="s">
        <v>40</v>
      </c>
      <c r="AB1913" s="1" t="s">
        <v>205</v>
      </c>
      <c r="AC1913" s="1"/>
    </row>
    <row r="1914">
      <c r="A1914" s="1" t="str">
        <f>"000947"</f>
        <v>000947</v>
      </c>
      <c r="B1914" s="1" t="s">
        <v>7405</v>
      </c>
      <c r="C1914" s="1" t="s">
        <v>7406</v>
      </c>
      <c r="D1914" s="1" t="str">
        <f>"8028880146"</f>
        <v>8028880146</v>
      </c>
      <c r="E1914" s="1">
        <v>3839.0</v>
      </c>
      <c r="F1914" s="1" t="s">
        <v>44</v>
      </c>
      <c r="G1914" s="1" t="s">
        <v>7407</v>
      </c>
      <c r="H1914" s="1">
        <v>2.0</v>
      </c>
      <c r="I1914" s="1"/>
      <c r="J1914" s="1"/>
      <c r="K1914" s="1"/>
      <c r="L1914" s="1"/>
      <c r="M1914" s="1" t="s">
        <v>72</v>
      </c>
      <c r="N1914" s="1" t="s">
        <v>213</v>
      </c>
      <c r="O1914" s="1" t="s">
        <v>214</v>
      </c>
      <c r="P1914" s="1"/>
      <c r="Q1914" s="3">
        <v>36892.0</v>
      </c>
      <c r="R1914" s="1"/>
      <c r="S1914" s="3">
        <v>39968.0</v>
      </c>
      <c r="T1914" s="1" t="s">
        <v>37</v>
      </c>
      <c r="U1914" s="1"/>
      <c r="V1914" s="1" t="s">
        <v>38</v>
      </c>
      <c r="W1914" s="1"/>
      <c r="X1914" s="1"/>
      <c r="Y1914" s="1" t="s">
        <v>49</v>
      </c>
      <c r="Z1914" s="1"/>
      <c r="AA1914" s="1" t="s">
        <v>40</v>
      </c>
      <c r="AB1914" s="1" t="s">
        <v>217</v>
      </c>
      <c r="AC1914" s="1"/>
    </row>
    <row r="1915">
      <c r="A1915" s="1" t="str">
        <f>"0008HV"</f>
        <v>0008HV</v>
      </c>
      <c r="B1915" s="1" t="s">
        <v>7408</v>
      </c>
      <c r="C1915" s="1" t="s">
        <v>7409</v>
      </c>
      <c r="D1915" s="1" t="str">
        <f>"8025277565"</f>
        <v>8025277565</v>
      </c>
      <c r="E1915" s="1">
        <v>3850.0</v>
      </c>
      <c r="F1915" s="1" t="s">
        <v>117</v>
      </c>
      <c r="G1915" s="1" t="s">
        <v>7410</v>
      </c>
      <c r="H1915" s="1">
        <v>1.0</v>
      </c>
      <c r="I1915" s="2">
        <v>0.0</v>
      </c>
      <c r="J1915" s="2">
        <v>0.0</v>
      </c>
      <c r="K1915" s="2" t="s">
        <v>119</v>
      </c>
      <c r="L1915" s="1"/>
      <c r="M1915" s="1" t="s">
        <v>7411</v>
      </c>
      <c r="N1915" s="1" t="s">
        <v>47</v>
      </c>
      <c r="O1915" s="1" t="s">
        <v>378</v>
      </c>
      <c r="P1915" s="1" t="s">
        <v>7412</v>
      </c>
      <c r="Q1915" s="3">
        <v>36892.0</v>
      </c>
      <c r="R1915" s="1"/>
      <c r="S1915" s="3">
        <v>42639.0</v>
      </c>
      <c r="T1915" s="1" t="s">
        <v>37</v>
      </c>
      <c r="U1915" s="1"/>
      <c r="V1915" s="1" t="s">
        <v>38</v>
      </c>
      <c r="W1915" s="1">
        <v>44.644509</v>
      </c>
      <c r="X1915" s="1">
        <v>-72.8962389999999</v>
      </c>
      <c r="Y1915" s="1" t="s">
        <v>7413</v>
      </c>
      <c r="Z1915" s="1"/>
      <c r="AA1915" s="1" t="s">
        <v>40</v>
      </c>
      <c r="AB1915" s="1" t="s">
        <v>381</v>
      </c>
      <c r="AC1915" s="1">
        <v>5444.0</v>
      </c>
    </row>
    <row r="1916">
      <c r="A1916" s="1" t="str">
        <f>"0007G9"</f>
        <v>0007G9</v>
      </c>
      <c r="B1916" s="1" t="s">
        <v>7414</v>
      </c>
      <c r="C1916" s="1" t="s">
        <v>7415</v>
      </c>
      <c r="D1916" s="1" t="str">
        <f>"8028245958"</f>
        <v>8028245958</v>
      </c>
      <c r="E1916" s="1">
        <v>3851.0</v>
      </c>
      <c r="F1916" s="1" t="s">
        <v>44</v>
      </c>
      <c r="G1916" s="1" t="s">
        <v>7416</v>
      </c>
      <c r="H1916" s="1">
        <v>2.0</v>
      </c>
      <c r="I1916" s="1"/>
      <c r="J1916" s="1"/>
      <c r="K1916" s="1"/>
      <c r="L1916" s="1"/>
      <c r="M1916" s="1" t="s">
        <v>72</v>
      </c>
      <c r="N1916" s="1" t="s">
        <v>66</v>
      </c>
      <c r="O1916" s="1" t="s">
        <v>900</v>
      </c>
      <c r="P1916" s="1"/>
      <c r="Q1916" s="3">
        <v>36892.0</v>
      </c>
      <c r="R1916" s="1"/>
      <c r="S1916" s="3">
        <v>39321.0</v>
      </c>
      <c r="T1916" s="1" t="s">
        <v>37</v>
      </c>
      <c r="U1916" s="1"/>
      <c r="V1916" s="1" t="s">
        <v>38</v>
      </c>
      <c r="W1916" s="1"/>
      <c r="X1916" s="1"/>
      <c r="Y1916" s="1" t="s">
        <v>49</v>
      </c>
      <c r="Z1916" s="1"/>
      <c r="AA1916" s="1" t="s">
        <v>40</v>
      </c>
      <c r="AB1916" s="1" t="s">
        <v>901</v>
      </c>
      <c r="AC1916" s="1"/>
    </row>
    <row r="1917">
      <c r="A1917" s="1" t="str">
        <f>"000949"</f>
        <v>000949</v>
      </c>
      <c r="B1917" s="1" t="s">
        <v>7417</v>
      </c>
      <c r="C1917" s="1" t="s">
        <v>7418</v>
      </c>
      <c r="D1917" s="1" t="str">
        <f>"8023935239"</f>
        <v>8023935239</v>
      </c>
      <c r="E1917" s="1">
        <v>3854.0</v>
      </c>
      <c r="F1917" s="1" t="s">
        <v>44</v>
      </c>
      <c r="G1917" s="1" t="s">
        <v>7419</v>
      </c>
      <c r="H1917" s="1">
        <v>2.0</v>
      </c>
      <c r="I1917" s="2">
        <v>2.0</v>
      </c>
      <c r="J1917" s="2" t="s">
        <v>119</v>
      </c>
      <c r="K1917" s="2" t="s">
        <v>119</v>
      </c>
      <c r="L1917" s="1"/>
      <c r="M1917" s="1" t="s">
        <v>72</v>
      </c>
      <c r="N1917" s="1" t="s">
        <v>47</v>
      </c>
      <c r="O1917" s="1" t="s">
        <v>100</v>
      </c>
      <c r="P1917" s="1" t="s">
        <v>7420</v>
      </c>
      <c r="Q1917" s="3">
        <v>36892.0</v>
      </c>
      <c r="R1917" s="1"/>
      <c r="S1917" s="3">
        <v>39979.0</v>
      </c>
      <c r="T1917" s="1" t="s">
        <v>37</v>
      </c>
      <c r="U1917" s="1"/>
      <c r="V1917" s="1" t="s">
        <v>38</v>
      </c>
      <c r="W1917" s="1">
        <v>44.795414</v>
      </c>
      <c r="X1917" s="1">
        <v>-72.979874</v>
      </c>
      <c r="Y1917" s="1" t="s">
        <v>7421</v>
      </c>
      <c r="Z1917" s="1"/>
      <c r="AA1917" s="1" t="s">
        <v>40</v>
      </c>
      <c r="AB1917" s="1" t="s">
        <v>102</v>
      </c>
      <c r="AC1917" s="1">
        <v>5455.0</v>
      </c>
    </row>
    <row r="1918">
      <c r="A1918" s="1" t="str">
        <f>"00094A"</f>
        <v>00094A</v>
      </c>
      <c r="B1918" s="1" t="s">
        <v>7422</v>
      </c>
      <c r="C1918" s="1" t="s">
        <v>7423</v>
      </c>
      <c r="D1918" s="1" t="str">
        <f>"8024382801"</f>
        <v>8024382801</v>
      </c>
      <c r="E1918" s="1">
        <v>3855.0</v>
      </c>
      <c r="F1918" s="1" t="s">
        <v>117</v>
      </c>
      <c r="G1918" s="1" t="s">
        <v>7424</v>
      </c>
      <c r="H1918" s="1">
        <v>1.0</v>
      </c>
      <c r="I1918" s="2" t="s">
        <v>119</v>
      </c>
      <c r="J1918" s="2" t="s">
        <v>119</v>
      </c>
      <c r="K1918" s="2" t="s">
        <v>119</v>
      </c>
      <c r="L1918" s="1"/>
      <c r="M1918" s="1" t="s">
        <v>799</v>
      </c>
      <c r="N1918" s="1" t="s">
        <v>78</v>
      </c>
      <c r="O1918" s="1" t="s">
        <v>79</v>
      </c>
      <c r="P1918" s="1" t="s">
        <v>7425</v>
      </c>
      <c r="Q1918" s="3">
        <v>36892.0</v>
      </c>
      <c r="R1918" s="1"/>
      <c r="S1918" s="3">
        <v>39660.0</v>
      </c>
      <c r="T1918" s="1" t="s">
        <v>37</v>
      </c>
      <c r="U1918" s="1"/>
      <c r="V1918" s="1" t="s">
        <v>38</v>
      </c>
      <c r="W1918" s="1"/>
      <c r="X1918" s="1"/>
      <c r="Y1918" s="1" t="s">
        <v>49</v>
      </c>
      <c r="Z1918" s="1"/>
      <c r="AA1918" s="1" t="s">
        <v>40</v>
      </c>
      <c r="AB1918" s="1" t="s">
        <v>80</v>
      </c>
      <c r="AC1918" s="1">
        <v>0.0</v>
      </c>
    </row>
    <row r="1919">
      <c r="A1919" s="1" t="str">
        <f>"00094B"</f>
        <v>00094B</v>
      </c>
      <c r="B1919" s="1" t="s">
        <v>7426</v>
      </c>
      <c r="C1919" s="1" t="s">
        <v>7427</v>
      </c>
      <c r="D1919" s="1" t="str">
        <f>"8024535072"</f>
        <v>8024535072</v>
      </c>
      <c r="E1919" s="1">
        <v>3857.0</v>
      </c>
      <c r="F1919" s="1" t="s">
        <v>44</v>
      </c>
      <c r="G1919" s="1" t="s">
        <v>7428</v>
      </c>
      <c r="H1919" s="1">
        <v>2.0</v>
      </c>
      <c r="I1919" s="1"/>
      <c r="J1919" s="1"/>
      <c r="K1919" s="1"/>
      <c r="L1919" s="1"/>
      <c r="M1919" s="1" t="s">
        <v>72</v>
      </c>
      <c r="N1919" s="1" t="s">
        <v>161</v>
      </c>
      <c r="O1919" s="1" t="s">
        <v>307</v>
      </c>
      <c r="P1919" s="1" t="s">
        <v>7429</v>
      </c>
      <c r="Q1919" s="3">
        <v>36892.0</v>
      </c>
      <c r="R1919" s="1"/>
      <c r="S1919" s="3">
        <v>39325.0</v>
      </c>
      <c r="T1919" s="1" t="s">
        <v>37</v>
      </c>
      <c r="U1919" s="1"/>
      <c r="V1919" s="1" t="s">
        <v>38</v>
      </c>
      <c r="W1919" s="1">
        <v>44.160965</v>
      </c>
      <c r="X1919" s="1">
        <v>-73.0050279999999</v>
      </c>
      <c r="Y1919" s="1" t="s">
        <v>7430</v>
      </c>
      <c r="Z1919" s="1"/>
      <c r="AA1919" s="1" t="s">
        <v>40</v>
      </c>
      <c r="AB1919" s="1" t="s">
        <v>308</v>
      </c>
      <c r="AC1919" s="1">
        <v>5443.0</v>
      </c>
    </row>
    <row r="1920">
      <c r="A1920" s="1" t="str">
        <f t="shared" ref="A1920:A1922" si="136">"00093D"</f>
        <v>00093D</v>
      </c>
      <c r="B1920" s="1" t="s">
        <v>7325</v>
      </c>
      <c r="C1920" s="1" t="s">
        <v>7326</v>
      </c>
      <c r="D1920" s="1" t="str">
        <f t="shared" ref="D1920:D1922" si="137">"8023882613"</f>
        <v>8023882613</v>
      </c>
      <c r="E1920" s="1">
        <v>3808.0</v>
      </c>
      <c r="F1920" s="1" t="s">
        <v>44</v>
      </c>
      <c r="G1920" s="1" t="s">
        <v>7431</v>
      </c>
      <c r="H1920" s="1">
        <v>10.0</v>
      </c>
      <c r="I1920" s="1"/>
      <c r="J1920" s="1"/>
      <c r="K1920" s="1"/>
      <c r="L1920" s="1"/>
      <c r="M1920" s="1" t="s">
        <v>7432</v>
      </c>
      <c r="N1920" s="1" t="s">
        <v>161</v>
      </c>
      <c r="O1920" s="1" t="s">
        <v>943</v>
      </c>
      <c r="P1920" s="1"/>
      <c r="Q1920" s="3">
        <v>36892.0</v>
      </c>
      <c r="R1920" s="1"/>
      <c r="S1920" s="3">
        <v>39331.0</v>
      </c>
      <c r="T1920" s="1" t="s">
        <v>37</v>
      </c>
      <c r="U1920" s="1"/>
      <c r="V1920" s="1" t="s">
        <v>38</v>
      </c>
      <c r="W1920" s="1"/>
      <c r="X1920" s="1"/>
      <c r="Y1920" s="1" t="s">
        <v>49</v>
      </c>
      <c r="Z1920" s="1"/>
      <c r="AA1920" s="1" t="s">
        <v>40</v>
      </c>
      <c r="AB1920" s="1" t="s">
        <v>945</v>
      </c>
      <c r="AC1920" s="1"/>
    </row>
    <row r="1921">
      <c r="A1921" s="1" t="str">
        <f t="shared" si="136"/>
        <v>00093D</v>
      </c>
      <c r="B1921" s="1" t="s">
        <v>7325</v>
      </c>
      <c r="C1921" s="1" t="s">
        <v>7326</v>
      </c>
      <c r="D1921" s="1" t="str">
        <f t="shared" si="137"/>
        <v>8023882613</v>
      </c>
      <c r="E1921" s="1">
        <v>3808.0</v>
      </c>
      <c r="F1921" s="1" t="s">
        <v>44</v>
      </c>
      <c r="G1921" s="1" t="s">
        <v>7433</v>
      </c>
      <c r="H1921" s="1">
        <v>9.0</v>
      </c>
      <c r="I1921" s="1"/>
      <c r="J1921" s="1"/>
      <c r="K1921" s="1"/>
      <c r="L1921" s="1"/>
      <c r="M1921" s="1" t="s">
        <v>7434</v>
      </c>
      <c r="N1921" s="1" t="s">
        <v>161</v>
      </c>
      <c r="O1921" s="1" t="s">
        <v>943</v>
      </c>
      <c r="P1921" s="1"/>
      <c r="Q1921" s="3">
        <v>36892.0</v>
      </c>
      <c r="R1921" s="1"/>
      <c r="S1921" s="3">
        <v>39331.0</v>
      </c>
      <c r="T1921" s="1" t="s">
        <v>37</v>
      </c>
      <c r="U1921" s="1"/>
      <c r="V1921" s="1" t="s">
        <v>38</v>
      </c>
      <c r="W1921" s="1"/>
      <c r="X1921" s="1"/>
      <c r="Y1921" s="1" t="s">
        <v>49</v>
      </c>
      <c r="Z1921" s="1"/>
      <c r="AA1921" s="1" t="s">
        <v>40</v>
      </c>
      <c r="AB1921" s="1" t="s">
        <v>945</v>
      </c>
      <c r="AC1921" s="1"/>
    </row>
    <row r="1922">
      <c r="A1922" s="1" t="str">
        <f t="shared" si="136"/>
        <v>00093D</v>
      </c>
      <c r="B1922" s="1" t="s">
        <v>7325</v>
      </c>
      <c r="C1922" s="1" t="s">
        <v>7326</v>
      </c>
      <c r="D1922" s="1" t="str">
        <f t="shared" si="137"/>
        <v>8023882613</v>
      </c>
      <c r="E1922" s="1">
        <v>3808.0</v>
      </c>
      <c r="F1922" s="1" t="s">
        <v>44</v>
      </c>
      <c r="G1922" s="1" t="s">
        <v>7435</v>
      </c>
      <c r="H1922" s="1">
        <v>8.0</v>
      </c>
      <c r="I1922" s="1"/>
      <c r="J1922" s="1"/>
      <c r="K1922" s="1"/>
      <c r="L1922" s="1"/>
      <c r="M1922" s="1" t="s">
        <v>7436</v>
      </c>
      <c r="N1922" s="1" t="s">
        <v>161</v>
      </c>
      <c r="O1922" s="1" t="s">
        <v>3313</v>
      </c>
      <c r="P1922" s="1"/>
      <c r="Q1922" s="3">
        <v>36892.0</v>
      </c>
      <c r="R1922" s="1"/>
      <c r="S1922" s="3">
        <v>39331.0</v>
      </c>
      <c r="T1922" s="1" t="s">
        <v>37</v>
      </c>
      <c r="U1922" s="1"/>
      <c r="V1922" s="1" t="s">
        <v>38</v>
      </c>
      <c r="W1922" s="1"/>
      <c r="X1922" s="1"/>
      <c r="Y1922" s="1" t="s">
        <v>49</v>
      </c>
      <c r="Z1922" s="1"/>
      <c r="AA1922" s="1" t="s">
        <v>40</v>
      </c>
      <c r="AB1922" s="1" t="s">
        <v>3314</v>
      </c>
      <c r="AC1922" s="1"/>
    </row>
    <row r="1923">
      <c r="A1923" s="1" t="str">
        <f>"00094C"</f>
        <v>00094C</v>
      </c>
      <c r="B1923" s="1" t="s">
        <v>7437</v>
      </c>
      <c r="C1923" s="1" t="s">
        <v>7438</v>
      </c>
      <c r="D1923" s="1" t="str">
        <f>"8025245233"</f>
        <v>8025245233</v>
      </c>
      <c r="E1923" s="1">
        <v>3859.0</v>
      </c>
      <c r="F1923" s="1" t="s">
        <v>44</v>
      </c>
      <c r="G1923" s="1" t="s">
        <v>7439</v>
      </c>
      <c r="H1923" s="1"/>
      <c r="I1923" s="1"/>
      <c r="J1923" s="1"/>
      <c r="K1923" s="1"/>
      <c r="L1923" s="1"/>
      <c r="M1923" s="1" t="s">
        <v>72</v>
      </c>
      <c r="N1923" s="1" t="s">
        <v>47</v>
      </c>
      <c r="O1923" s="1" t="s">
        <v>100</v>
      </c>
      <c r="P1923" s="1"/>
      <c r="Q1923" s="3">
        <v>36892.0</v>
      </c>
      <c r="R1923" s="1"/>
      <c r="S1923" s="1"/>
      <c r="T1923" s="1" t="s">
        <v>37</v>
      </c>
      <c r="U1923" s="1"/>
      <c r="V1923" s="1" t="s">
        <v>38</v>
      </c>
      <c r="W1923" s="1"/>
      <c r="X1923" s="1"/>
      <c r="Y1923" s="1" t="s">
        <v>49</v>
      </c>
      <c r="Z1923" s="1"/>
      <c r="AA1923" s="1" t="s">
        <v>40</v>
      </c>
      <c r="AB1923" s="1" t="s">
        <v>102</v>
      </c>
      <c r="AC1923" s="1"/>
    </row>
    <row r="1924">
      <c r="A1924" s="1" t="str">
        <f>"0008C6"</f>
        <v>0008C6</v>
      </c>
      <c r="B1924" s="1" t="s">
        <v>7440</v>
      </c>
      <c r="C1924" s="1" t="s">
        <v>7441</v>
      </c>
      <c r="D1924" s="1" t="str">
        <f>"8023682383"</f>
        <v>8023682383</v>
      </c>
      <c r="E1924" s="1">
        <v>3869.0</v>
      </c>
      <c r="F1924" s="1" t="s">
        <v>117</v>
      </c>
      <c r="G1924" s="1" t="s">
        <v>7442</v>
      </c>
      <c r="H1924" s="1">
        <v>8.0</v>
      </c>
      <c r="I1924" s="2">
        <v>8.0</v>
      </c>
      <c r="J1924" s="2">
        <v>8.0</v>
      </c>
      <c r="K1924" s="2" t="s">
        <v>119</v>
      </c>
      <c r="L1924" s="1"/>
      <c r="M1924" s="1" t="s">
        <v>7443</v>
      </c>
      <c r="N1924" s="1" t="s">
        <v>66</v>
      </c>
      <c r="O1924" s="1" t="s">
        <v>788</v>
      </c>
      <c r="P1924" s="1" t="s">
        <v>7444</v>
      </c>
      <c r="Q1924" s="3">
        <v>36892.0</v>
      </c>
      <c r="R1924" s="1"/>
      <c r="S1924" s="3">
        <v>39370.0</v>
      </c>
      <c r="T1924" s="1" t="s">
        <v>37</v>
      </c>
      <c r="U1924" s="1"/>
      <c r="V1924" s="1" t="s">
        <v>38</v>
      </c>
      <c r="W1924" s="1">
        <v>42.808735</v>
      </c>
      <c r="X1924" s="1">
        <v>-72.880966</v>
      </c>
      <c r="Y1924" s="1" t="s">
        <v>7445</v>
      </c>
      <c r="Z1924" s="1"/>
      <c r="AA1924" s="1" t="s">
        <v>40</v>
      </c>
      <c r="AB1924" s="1" t="s">
        <v>789</v>
      </c>
      <c r="AC1924" s="1">
        <v>5361.0</v>
      </c>
    </row>
    <row r="1925">
      <c r="A1925" s="1" t="str">
        <f>"0007VG"</f>
        <v>0007VG</v>
      </c>
      <c r="B1925" s="1" t="s">
        <v>7446</v>
      </c>
      <c r="C1925" s="1" t="s">
        <v>7447</v>
      </c>
      <c r="D1925" s="1" t="str">
        <f>"8024252482"</f>
        <v>8024252482</v>
      </c>
      <c r="E1925" s="1">
        <v>3871.0</v>
      </c>
      <c r="F1925" s="1" t="s">
        <v>31</v>
      </c>
      <c r="G1925" s="1" t="s">
        <v>7448</v>
      </c>
      <c r="H1925" s="1">
        <v>1.0</v>
      </c>
      <c r="I1925" s="1"/>
      <c r="J1925" s="1"/>
      <c r="K1925" s="1"/>
      <c r="L1925" s="1"/>
      <c r="M1925" s="1" t="s">
        <v>72</v>
      </c>
      <c r="N1925" s="1" t="s">
        <v>161</v>
      </c>
      <c r="O1925" s="1" t="s">
        <v>769</v>
      </c>
      <c r="P1925" s="1"/>
      <c r="Q1925" s="3">
        <v>36892.0</v>
      </c>
      <c r="R1925" s="1"/>
      <c r="S1925" s="1"/>
      <c r="T1925" s="1" t="s">
        <v>37</v>
      </c>
      <c r="U1925" s="1"/>
      <c r="V1925" s="1" t="s">
        <v>38</v>
      </c>
      <c r="W1925" s="1">
        <v>44.5588028</v>
      </c>
      <c r="X1925" s="1">
        <v>-72.5778414999999</v>
      </c>
      <c r="Y1925" s="1" t="s">
        <v>49</v>
      </c>
      <c r="Z1925" s="1"/>
      <c r="AA1925" s="1" t="s">
        <v>40</v>
      </c>
      <c r="AB1925" s="1" t="s">
        <v>770</v>
      </c>
      <c r="AC1925" s="1">
        <v>5661.0</v>
      </c>
    </row>
    <row r="1926">
      <c r="A1926" s="1" t="str">
        <f>"00094D"</f>
        <v>00094D</v>
      </c>
      <c r="B1926" s="1" t="s">
        <v>7449</v>
      </c>
      <c r="C1926" s="1" t="s">
        <v>7450</v>
      </c>
      <c r="D1926" s="1" t="str">
        <f>"8022474917"</f>
        <v>8022474917</v>
      </c>
      <c r="E1926" s="1">
        <v>3872.0</v>
      </c>
      <c r="F1926" s="1" t="s">
        <v>44</v>
      </c>
      <c r="G1926" s="1" t="s">
        <v>7451</v>
      </c>
      <c r="H1926" s="1">
        <v>3.0</v>
      </c>
      <c r="I1926" s="1"/>
      <c r="J1926" s="1"/>
      <c r="K1926" s="1"/>
      <c r="L1926" s="1"/>
      <c r="M1926" s="1" t="s">
        <v>72</v>
      </c>
      <c r="N1926" s="1" t="s">
        <v>78</v>
      </c>
      <c r="O1926" s="1" t="s">
        <v>2574</v>
      </c>
      <c r="P1926" s="1"/>
      <c r="Q1926" s="3">
        <v>36892.0</v>
      </c>
      <c r="R1926" s="1"/>
      <c r="S1926" s="3">
        <v>39660.0</v>
      </c>
      <c r="T1926" s="1" t="s">
        <v>37</v>
      </c>
      <c r="U1926" s="1"/>
      <c r="V1926" s="1" t="s">
        <v>38</v>
      </c>
      <c r="W1926" s="1"/>
      <c r="X1926" s="1"/>
      <c r="Y1926" s="1" t="s">
        <v>49</v>
      </c>
      <c r="Z1926" s="1"/>
      <c r="AA1926" s="1" t="s">
        <v>40</v>
      </c>
      <c r="AB1926" s="1" t="s">
        <v>2575</v>
      </c>
      <c r="AC1926" s="1"/>
    </row>
    <row r="1927">
      <c r="A1927" s="1" t="str">
        <f>"00094F"</f>
        <v>00094F</v>
      </c>
      <c r="B1927" s="1" t="s">
        <v>7452</v>
      </c>
      <c r="C1927" s="1" t="s">
        <v>7453</v>
      </c>
      <c r="D1927" s="1" t="str">
        <f>"8024856344"</f>
        <v>8024856344</v>
      </c>
      <c r="E1927" s="1">
        <v>3873.0</v>
      </c>
      <c r="F1927" s="1" t="s">
        <v>44</v>
      </c>
      <c r="G1927" s="1" t="s">
        <v>7454</v>
      </c>
      <c r="H1927" s="1">
        <v>1.0</v>
      </c>
      <c r="I1927" s="1"/>
      <c r="J1927" s="1"/>
      <c r="K1927" s="1"/>
      <c r="L1927" s="1"/>
      <c r="M1927" s="1" t="s">
        <v>72</v>
      </c>
      <c r="N1927" s="1" t="s">
        <v>135</v>
      </c>
      <c r="O1927" s="1" t="s">
        <v>136</v>
      </c>
      <c r="P1927" s="1"/>
      <c r="Q1927" s="3">
        <v>36892.0</v>
      </c>
      <c r="R1927" s="1"/>
      <c r="S1927" s="3">
        <v>39954.0</v>
      </c>
      <c r="T1927" s="1" t="s">
        <v>37</v>
      </c>
      <c r="U1927" s="1"/>
      <c r="V1927" s="1" t="s">
        <v>38</v>
      </c>
      <c r="W1927" s="1"/>
      <c r="X1927" s="1"/>
      <c r="Y1927" s="1" t="s">
        <v>49</v>
      </c>
      <c r="Z1927" s="1"/>
      <c r="AA1927" s="1" t="s">
        <v>40</v>
      </c>
      <c r="AB1927" s="1" t="s">
        <v>137</v>
      </c>
      <c r="AC1927" s="1"/>
    </row>
    <row r="1928">
      <c r="A1928" s="1" t="str">
        <f>"00094G"</f>
        <v>00094G</v>
      </c>
      <c r="B1928" s="1" t="s">
        <v>7455</v>
      </c>
      <c r="C1928" s="1" t="s">
        <v>7456</v>
      </c>
      <c r="D1928" s="1" t="str">
        <f>"8027518988"</f>
        <v>8027518988</v>
      </c>
      <c r="E1928" s="1">
        <v>3874.0</v>
      </c>
      <c r="F1928" s="1" t="s">
        <v>44</v>
      </c>
      <c r="G1928" s="1" t="s">
        <v>7457</v>
      </c>
      <c r="H1928" s="1"/>
      <c r="I1928" s="1"/>
      <c r="J1928" s="1"/>
      <c r="K1928" s="1"/>
      <c r="L1928" s="1"/>
      <c r="M1928" s="1" t="s">
        <v>72</v>
      </c>
      <c r="N1928" s="1" t="s">
        <v>128</v>
      </c>
      <c r="O1928" s="1" t="s">
        <v>129</v>
      </c>
      <c r="P1928" s="1"/>
      <c r="Q1928" s="3">
        <v>36892.0</v>
      </c>
      <c r="R1928" s="1"/>
      <c r="S1928" s="1"/>
      <c r="T1928" s="1" t="s">
        <v>37</v>
      </c>
      <c r="U1928" s="1"/>
      <c r="V1928" s="1" t="s">
        <v>38</v>
      </c>
      <c r="W1928" s="1"/>
      <c r="X1928" s="1"/>
      <c r="Y1928" s="1" t="s">
        <v>49</v>
      </c>
      <c r="Z1928" s="1"/>
      <c r="AA1928" s="1" t="s">
        <v>40</v>
      </c>
      <c r="AB1928" s="1" t="s">
        <v>130</v>
      </c>
      <c r="AC1928" s="1"/>
    </row>
    <row r="1929">
      <c r="A1929" s="1" t="str">
        <f>"00094H"</f>
        <v>00094H</v>
      </c>
      <c r="B1929" s="1" t="s">
        <v>7458</v>
      </c>
      <c r="C1929" s="1" t="s">
        <v>7459</v>
      </c>
      <c r="D1929" s="1" t="str">
        <f>"8022763965"</f>
        <v>8022763965</v>
      </c>
      <c r="E1929" s="1">
        <v>3875.0</v>
      </c>
      <c r="F1929" s="1" t="s">
        <v>44</v>
      </c>
      <c r="G1929" s="1" t="s">
        <v>7460</v>
      </c>
      <c r="H1929" s="1">
        <v>3.0</v>
      </c>
      <c r="I1929" s="1"/>
      <c r="J1929" s="1"/>
      <c r="K1929" s="1"/>
      <c r="L1929" s="1"/>
      <c r="M1929" s="1" t="s">
        <v>7461</v>
      </c>
      <c r="N1929" s="1" t="s">
        <v>142</v>
      </c>
      <c r="O1929" s="1" t="s">
        <v>353</v>
      </c>
      <c r="P1929" s="1"/>
      <c r="Q1929" s="3">
        <v>36892.0</v>
      </c>
      <c r="R1929" s="1"/>
      <c r="S1929" s="3">
        <v>39702.0</v>
      </c>
      <c r="T1929" s="1" t="s">
        <v>37</v>
      </c>
      <c r="U1929" s="1"/>
      <c r="V1929" s="1" t="s">
        <v>38</v>
      </c>
      <c r="W1929" s="1">
        <v>44.007687</v>
      </c>
      <c r="X1929" s="1">
        <v>-72.54248</v>
      </c>
      <c r="Y1929" s="1" t="s">
        <v>7462</v>
      </c>
      <c r="Z1929" s="1"/>
      <c r="AA1929" s="1" t="s">
        <v>40</v>
      </c>
      <c r="AB1929" s="1" t="s">
        <v>355</v>
      </c>
      <c r="AC1929" s="1">
        <v>5036.0</v>
      </c>
    </row>
    <row r="1930">
      <c r="A1930" s="1" t="str">
        <f>"00094J"</f>
        <v>00094J</v>
      </c>
      <c r="B1930" s="1" t="s">
        <v>7463</v>
      </c>
      <c r="C1930" s="1" t="s">
        <v>7464</v>
      </c>
      <c r="D1930" s="1" t="str">
        <f>"8653606806"</f>
        <v>8653606806</v>
      </c>
      <c r="E1930" s="1">
        <v>3876.0</v>
      </c>
      <c r="F1930" s="1" t="s">
        <v>44</v>
      </c>
      <c r="G1930" s="1" t="s">
        <v>7465</v>
      </c>
      <c r="H1930" s="1">
        <v>2.0</v>
      </c>
      <c r="I1930" s="2" t="s">
        <v>119</v>
      </c>
      <c r="J1930" s="2">
        <v>2.0</v>
      </c>
      <c r="K1930" s="2" t="s">
        <v>119</v>
      </c>
      <c r="L1930" s="1"/>
      <c r="M1930" s="1" t="s">
        <v>72</v>
      </c>
      <c r="N1930" s="1" t="s">
        <v>57</v>
      </c>
      <c r="O1930" s="1" t="s">
        <v>1633</v>
      </c>
      <c r="P1930" s="1" t="s">
        <v>3944</v>
      </c>
      <c r="Q1930" s="3">
        <v>36892.0</v>
      </c>
      <c r="R1930" s="1"/>
      <c r="S1930" s="3">
        <v>40039.0</v>
      </c>
      <c r="T1930" s="1" t="s">
        <v>37</v>
      </c>
      <c r="U1930" s="1"/>
      <c r="V1930" s="1" t="s">
        <v>38</v>
      </c>
      <c r="W1930" s="1">
        <v>44.321991</v>
      </c>
      <c r="X1930" s="1">
        <v>-73.17617</v>
      </c>
      <c r="Y1930" s="1" t="s">
        <v>7466</v>
      </c>
      <c r="Z1930" s="1"/>
      <c r="AA1930" s="1" t="s">
        <v>40</v>
      </c>
      <c r="AB1930" s="1" t="s">
        <v>1634</v>
      </c>
      <c r="AC1930" s="1">
        <v>5445.0</v>
      </c>
    </row>
    <row r="1931">
      <c r="A1931" s="1" t="str">
        <f>"0008GW"</f>
        <v>0008GW</v>
      </c>
      <c r="B1931" s="1" t="s">
        <v>7467</v>
      </c>
      <c r="C1931" s="1" t="s">
        <v>7468</v>
      </c>
      <c r="D1931" s="1" t="str">
        <f>"8027734886"</f>
        <v>8027734886</v>
      </c>
      <c r="E1931" s="1">
        <v>2725.0</v>
      </c>
      <c r="F1931" s="1" t="s">
        <v>117</v>
      </c>
      <c r="G1931" s="1" t="s">
        <v>7469</v>
      </c>
      <c r="H1931" s="1">
        <v>20.0</v>
      </c>
      <c r="I1931" s="2" t="s">
        <v>119</v>
      </c>
      <c r="J1931" s="2" t="s">
        <v>119</v>
      </c>
      <c r="K1931" s="2" t="s">
        <v>119</v>
      </c>
      <c r="L1931" s="1"/>
      <c r="M1931" s="1" t="s">
        <v>7470</v>
      </c>
      <c r="N1931" s="1" t="s">
        <v>78</v>
      </c>
      <c r="O1931" s="1" t="s">
        <v>4889</v>
      </c>
      <c r="P1931" s="1" t="s">
        <v>7471</v>
      </c>
      <c r="Q1931" s="3">
        <v>36892.0</v>
      </c>
      <c r="R1931" s="1"/>
      <c r="S1931" s="3">
        <v>42236.0</v>
      </c>
      <c r="T1931" s="1" t="s">
        <v>37</v>
      </c>
      <c r="U1931" s="1"/>
      <c r="V1931" s="1" t="s">
        <v>38</v>
      </c>
      <c r="W1931" s="1">
        <v>43.721846626727</v>
      </c>
      <c r="X1931" s="1">
        <v>-73.1305146217346</v>
      </c>
      <c r="Y1931" s="1" t="s">
        <v>7472</v>
      </c>
      <c r="Z1931" s="1"/>
      <c r="AA1931" s="1" t="s">
        <v>40</v>
      </c>
      <c r="AB1931" s="1" t="s">
        <v>4890</v>
      </c>
      <c r="AC1931" s="1">
        <v>5753.0</v>
      </c>
    </row>
    <row r="1932">
      <c r="A1932" s="1" t="str">
        <f>"00094P"</f>
        <v>00094P</v>
      </c>
      <c r="B1932" s="1" t="s">
        <v>7473</v>
      </c>
      <c r="C1932" s="1" t="s">
        <v>7474</v>
      </c>
      <c r="D1932" s="1" t="str">
        <f>"8022570478"</f>
        <v>8022570478</v>
      </c>
      <c r="E1932" s="1">
        <v>3882.0</v>
      </c>
      <c r="F1932" s="1" t="s">
        <v>117</v>
      </c>
      <c r="G1932" s="1" t="s">
        <v>7475</v>
      </c>
      <c r="H1932" s="1">
        <v>1.0</v>
      </c>
      <c r="I1932" s="2">
        <v>1.0</v>
      </c>
      <c r="J1932" s="2" t="s">
        <v>119</v>
      </c>
      <c r="K1932" s="2" t="s">
        <v>119</v>
      </c>
      <c r="L1932" s="5" t="s">
        <v>4799</v>
      </c>
      <c r="M1932" s="1" t="s">
        <v>7476</v>
      </c>
      <c r="N1932" s="1" t="s">
        <v>66</v>
      </c>
      <c r="O1932" s="1" t="s">
        <v>2346</v>
      </c>
      <c r="P1932" s="1" t="s">
        <v>7477</v>
      </c>
      <c r="Q1932" s="3">
        <v>36892.0</v>
      </c>
      <c r="R1932" s="1"/>
      <c r="S1932" s="1"/>
      <c r="T1932" s="1" t="s">
        <v>37</v>
      </c>
      <c r="U1932" s="1"/>
      <c r="V1932" s="1" t="s">
        <v>38</v>
      </c>
      <c r="W1932" s="1">
        <v>42.852033</v>
      </c>
      <c r="X1932" s="1">
        <v>-72.5919149999999</v>
      </c>
      <c r="Y1932" s="1" t="s">
        <v>7478</v>
      </c>
      <c r="Z1932" s="1"/>
      <c r="AA1932" s="1" t="s">
        <v>40</v>
      </c>
      <c r="AB1932" s="1" t="s">
        <v>2349</v>
      </c>
      <c r="AC1932" s="1">
        <v>5301.0</v>
      </c>
    </row>
    <row r="1933">
      <c r="A1933" s="1" t="str">
        <f>"00094Q"</f>
        <v>00094Q</v>
      </c>
      <c r="B1933" s="1" t="s">
        <v>7479</v>
      </c>
      <c r="C1933" s="1" t="s">
        <v>7480</v>
      </c>
      <c r="D1933" s="1" t="str">
        <f>"8024535128"</f>
        <v>8024535128</v>
      </c>
      <c r="E1933" s="1">
        <v>3883.0</v>
      </c>
      <c r="F1933" s="1" t="s">
        <v>117</v>
      </c>
      <c r="G1933" s="1" t="s">
        <v>7481</v>
      </c>
      <c r="H1933" s="1">
        <v>1.0</v>
      </c>
      <c r="I1933" s="2" t="s">
        <v>119</v>
      </c>
      <c r="J1933" s="2" t="s">
        <v>119</v>
      </c>
      <c r="K1933" s="2" t="s">
        <v>119</v>
      </c>
      <c r="L1933" s="1"/>
      <c r="M1933" s="1" t="s">
        <v>7482</v>
      </c>
      <c r="N1933" s="1" t="s">
        <v>161</v>
      </c>
      <c r="O1933" s="1" t="s">
        <v>180</v>
      </c>
      <c r="P1933" s="1" t="s">
        <v>7483</v>
      </c>
      <c r="Q1933" s="3">
        <v>36892.0</v>
      </c>
      <c r="R1933" s="1"/>
      <c r="S1933" s="3">
        <v>39647.0</v>
      </c>
      <c r="T1933" s="1" t="s">
        <v>37</v>
      </c>
      <c r="U1933" s="1"/>
      <c r="V1933" s="1" t="s">
        <v>38</v>
      </c>
      <c r="W1933" s="1">
        <v>44.223531</v>
      </c>
      <c r="X1933" s="1">
        <v>-72.9633729999999</v>
      </c>
      <c r="Y1933" s="1" t="s">
        <v>7484</v>
      </c>
      <c r="Z1933" s="1"/>
      <c r="AA1933" s="1" t="s">
        <v>40</v>
      </c>
      <c r="AB1933" s="1" t="s">
        <v>181</v>
      </c>
      <c r="AC1933" s="1">
        <v>5487.0</v>
      </c>
    </row>
    <row r="1934">
      <c r="A1934" s="1" t="str">
        <f t="shared" ref="A1934:A1936" si="138">"00085C"</f>
        <v>00085C</v>
      </c>
      <c r="B1934" s="1" t="s">
        <v>2320</v>
      </c>
      <c r="C1934" s="1" t="s">
        <v>2321</v>
      </c>
      <c r="D1934" s="1" t="str">
        <f t="shared" ref="D1934:D1936" si="139">"8024683036"</f>
        <v>8024683036</v>
      </c>
      <c r="E1934" s="1">
        <v>3672.0</v>
      </c>
      <c r="F1934" s="1" t="s">
        <v>44</v>
      </c>
      <c r="G1934" s="1" t="s">
        <v>7485</v>
      </c>
      <c r="H1934" s="1"/>
      <c r="I1934" s="1"/>
      <c r="J1934" s="1"/>
      <c r="K1934" s="1"/>
      <c r="L1934" s="1"/>
      <c r="M1934" s="1" t="s">
        <v>7486</v>
      </c>
      <c r="N1934" s="1" t="s">
        <v>78</v>
      </c>
      <c r="O1934" s="1" t="s">
        <v>6059</v>
      </c>
      <c r="P1934" s="1"/>
      <c r="Q1934" s="3">
        <v>36892.0</v>
      </c>
      <c r="R1934" s="1"/>
      <c r="S1934" s="1"/>
      <c r="T1934" s="1" t="s">
        <v>37</v>
      </c>
      <c r="U1934" s="1"/>
      <c r="V1934" s="1" t="s">
        <v>38</v>
      </c>
      <c r="W1934" s="1"/>
      <c r="X1934" s="1"/>
      <c r="Y1934" s="1" t="s">
        <v>49</v>
      </c>
      <c r="Z1934" s="1"/>
      <c r="AA1934" s="1" t="s">
        <v>40</v>
      </c>
      <c r="AB1934" s="1" t="s">
        <v>6062</v>
      </c>
      <c r="AC1934" s="1"/>
    </row>
    <row r="1935">
      <c r="A1935" s="1" t="str">
        <f t="shared" si="138"/>
        <v>00085C</v>
      </c>
      <c r="B1935" s="1" t="s">
        <v>2320</v>
      </c>
      <c r="C1935" s="1" t="s">
        <v>2321</v>
      </c>
      <c r="D1935" s="1" t="str">
        <f t="shared" si="139"/>
        <v>8024683036</v>
      </c>
      <c r="E1935" s="1">
        <v>3672.0</v>
      </c>
      <c r="F1935" s="1" t="s">
        <v>44</v>
      </c>
      <c r="G1935" s="1" t="s">
        <v>7487</v>
      </c>
      <c r="H1935" s="1"/>
      <c r="I1935" s="1"/>
      <c r="J1935" s="1"/>
      <c r="K1935" s="1"/>
      <c r="L1935" s="1"/>
      <c r="M1935" s="1" t="s">
        <v>7488</v>
      </c>
      <c r="N1935" s="1" t="s">
        <v>78</v>
      </c>
      <c r="O1935" s="1" t="s">
        <v>6059</v>
      </c>
      <c r="P1935" s="1"/>
      <c r="Q1935" s="3">
        <v>36892.0</v>
      </c>
      <c r="R1935" s="1"/>
      <c r="S1935" s="1"/>
      <c r="T1935" s="1" t="s">
        <v>37</v>
      </c>
      <c r="U1935" s="1"/>
      <c r="V1935" s="1" t="s">
        <v>38</v>
      </c>
      <c r="W1935" s="1"/>
      <c r="X1935" s="1"/>
      <c r="Y1935" s="1" t="s">
        <v>49</v>
      </c>
      <c r="Z1935" s="1"/>
      <c r="AA1935" s="1" t="s">
        <v>40</v>
      </c>
      <c r="AB1935" s="1" t="s">
        <v>6062</v>
      </c>
      <c r="AC1935" s="1"/>
    </row>
    <row r="1936">
      <c r="A1936" s="1" t="str">
        <f t="shared" si="138"/>
        <v>00085C</v>
      </c>
      <c r="B1936" s="1" t="s">
        <v>2320</v>
      </c>
      <c r="C1936" s="1" t="s">
        <v>2321</v>
      </c>
      <c r="D1936" s="1" t="str">
        <f t="shared" si="139"/>
        <v>8024683036</v>
      </c>
      <c r="E1936" s="1">
        <v>3672.0</v>
      </c>
      <c r="F1936" s="1" t="s">
        <v>44</v>
      </c>
      <c r="G1936" s="1" t="s">
        <v>7489</v>
      </c>
      <c r="H1936" s="1"/>
      <c r="I1936" s="1"/>
      <c r="J1936" s="1"/>
      <c r="K1936" s="1"/>
      <c r="L1936" s="1"/>
      <c r="M1936" s="1" t="s">
        <v>7490</v>
      </c>
      <c r="N1936" s="1" t="s">
        <v>78</v>
      </c>
      <c r="O1936" s="1" t="s">
        <v>855</v>
      </c>
      <c r="P1936" s="1"/>
      <c r="Q1936" s="3">
        <v>36892.0</v>
      </c>
      <c r="R1936" s="1"/>
      <c r="S1936" s="1"/>
      <c r="T1936" s="1" t="s">
        <v>37</v>
      </c>
      <c r="U1936" s="1"/>
      <c r="V1936" s="1" t="s">
        <v>38</v>
      </c>
      <c r="W1936" s="1"/>
      <c r="X1936" s="1"/>
      <c r="Y1936" s="1" t="s">
        <v>49</v>
      </c>
      <c r="Z1936" s="1"/>
      <c r="AA1936" s="1" t="s">
        <v>40</v>
      </c>
      <c r="AB1936" s="1" t="s">
        <v>857</v>
      </c>
      <c r="AC1936" s="1"/>
    </row>
    <row r="1937">
      <c r="A1937" s="1" t="str">
        <f>"00094V"</f>
        <v>00094V</v>
      </c>
      <c r="B1937" s="1" t="s">
        <v>7491</v>
      </c>
      <c r="C1937" s="1" t="s">
        <v>7492</v>
      </c>
      <c r="D1937" s="1" t="str">
        <f>"8022345960"</f>
        <v>8022345960</v>
      </c>
      <c r="E1937" s="1">
        <v>3884.0</v>
      </c>
      <c r="F1937" s="1" t="s">
        <v>44</v>
      </c>
      <c r="G1937" s="1" t="s">
        <v>7493</v>
      </c>
      <c r="H1937" s="1">
        <v>1.0</v>
      </c>
      <c r="I1937" s="1"/>
      <c r="J1937" s="1"/>
      <c r="K1937" s="1"/>
      <c r="L1937" s="1"/>
      <c r="M1937" s="1" t="s">
        <v>72</v>
      </c>
      <c r="N1937" s="1" t="s">
        <v>34</v>
      </c>
      <c r="O1937" s="1" t="s">
        <v>150</v>
      </c>
      <c r="P1937" s="1"/>
      <c r="Q1937" s="3">
        <v>36892.0</v>
      </c>
      <c r="R1937" s="1"/>
      <c r="S1937" s="3">
        <v>39659.0</v>
      </c>
      <c r="T1937" s="1" t="s">
        <v>37</v>
      </c>
      <c r="U1937" s="1"/>
      <c r="V1937" s="1" t="s">
        <v>38</v>
      </c>
      <c r="W1937" s="1">
        <v>43.826511</v>
      </c>
      <c r="X1937" s="1">
        <v>-72.7178139999999</v>
      </c>
      <c r="Y1937" s="1" t="s">
        <v>7494</v>
      </c>
      <c r="Z1937" s="1"/>
      <c r="AA1937" s="1" t="s">
        <v>40</v>
      </c>
      <c r="AB1937" s="1" t="s">
        <v>151</v>
      </c>
      <c r="AC1937" s="1">
        <v>5032.0</v>
      </c>
    </row>
    <row r="1938">
      <c r="A1938" s="1" t="str">
        <f>"00094W"</f>
        <v>00094W</v>
      </c>
      <c r="B1938" s="1" t="s">
        <v>7495</v>
      </c>
      <c r="C1938" s="1" t="s">
        <v>7496</v>
      </c>
      <c r="D1938" s="1" t="str">
        <f>"8024535383"</f>
        <v>8024535383</v>
      </c>
      <c r="E1938" s="1">
        <v>3885.0</v>
      </c>
      <c r="F1938" s="1" t="s">
        <v>44</v>
      </c>
      <c r="G1938" s="1" t="s">
        <v>7497</v>
      </c>
      <c r="H1938" s="1">
        <v>3.0</v>
      </c>
      <c r="I1938" s="1"/>
      <c r="J1938" s="1"/>
      <c r="K1938" s="1"/>
      <c r="L1938" s="1"/>
      <c r="M1938" s="1" t="s">
        <v>72</v>
      </c>
      <c r="N1938" s="1" t="s">
        <v>161</v>
      </c>
      <c r="O1938" s="1" t="s">
        <v>185</v>
      </c>
      <c r="P1938" s="1"/>
      <c r="Q1938" s="3">
        <v>36892.0</v>
      </c>
      <c r="R1938" s="1"/>
      <c r="S1938" s="3">
        <v>39645.0</v>
      </c>
      <c r="T1938" s="1" t="s">
        <v>37</v>
      </c>
      <c r="U1938" s="1"/>
      <c r="V1938" s="1" t="s">
        <v>38</v>
      </c>
      <c r="W1938" s="1"/>
      <c r="X1938" s="1"/>
      <c r="Y1938" s="1" t="s">
        <v>49</v>
      </c>
      <c r="Z1938" s="1"/>
      <c r="AA1938" s="1" t="s">
        <v>40</v>
      </c>
      <c r="AB1938" s="1" t="s">
        <v>186</v>
      </c>
      <c r="AC1938" s="1"/>
    </row>
    <row r="1939">
      <c r="A1939" s="1" t="str">
        <f>"00094Y"</f>
        <v>00094Y</v>
      </c>
      <c r="B1939" s="1" t="s">
        <v>7498</v>
      </c>
      <c r="C1939" s="1" t="s">
        <v>7499</v>
      </c>
      <c r="D1939" s="1" t="str">
        <f>"8023333298"</f>
        <v>8023333298</v>
      </c>
      <c r="E1939" s="1">
        <v>3891.0</v>
      </c>
      <c r="F1939" s="1" t="s">
        <v>44</v>
      </c>
      <c r="G1939" s="1" t="s">
        <v>7500</v>
      </c>
      <c r="H1939" s="1"/>
      <c r="I1939" s="1"/>
      <c r="J1939" s="1"/>
      <c r="K1939" s="1"/>
      <c r="L1939" s="1"/>
      <c r="M1939" s="1" t="s">
        <v>72</v>
      </c>
      <c r="N1939" s="1" t="s">
        <v>142</v>
      </c>
      <c r="O1939" s="1" t="s">
        <v>2474</v>
      </c>
      <c r="P1939" s="1"/>
      <c r="Q1939" s="3">
        <v>36892.0</v>
      </c>
      <c r="R1939" s="1"/>
      <c r="S1939" s="1"/>
      <c r="T1939" s="1" t="s">
        <v>37</v>
      </c>
      <c r="U1939" s="1"/>
      <c r="V1939" s="1" t="s">
        <v>38</v>
      </c>
      <c r="W1939" s="1"/>
      <c r="X1939" s="1"/>
      <c r="Y1939" s="1" t="s">
        <v>49</v>
      </c>
      <c r="Z1939" s="1"/>
      <c r="AA1939" s="1" t="s">
        <v>40</v>
      </c>
      <c r="AB1939" s="1" t="s">
        <v>2475</v>
      </c>
      <c r="AC1939" s="1"/>
    </row>
    <row r="1940">
      <c r="A1940" s="1" t="str">
        <f>"00094Z"</f>
        <v>00094Z</v>
      </c>
      <c r="B1940" s="1" t="s">
        <v>7501</v>
      </c>
      <c r="C1940" s="1" t="s">
        <v>7502</v>
      </c>
      <c r="D1940" s="1" t="str">
        <f>"8022352707"</f>
        <v>8022352707</v>
      </c>
      <c r="E1940" s="1">
        <v>3892.0</v>
      </c>
      <c r="F1940" s="1" t="s">
        <v>44</v>
      </c>
      <c r="G1940" s="1" t="s">
        <v>7503</v>
      </c>
      <c r="H1940" s="1">
        <v>2.0</v>
      </c>
      <c r="I1940" s="2" t="s">
        <v>119</v>
      </c>
      <c r="J1940" s="2" t="s">
        <v>119</v>
      </c>
      <c r="K1940" s="2" t="s">
        <v>119</v>
      </c>
      <c r="L1940" s="1"/>
      <c r="M1940" s="1">
        <v>1.0</v>
      </c>
      <c r="N1940" s="1" t="s">
        <v>78</v>
      </c>
      <c r="O1940" s="1"/>
      <c r="P1940" s="1" t="s">
        <v>7504</v>
      </c>
      <c r="Q1940" s="3">
        <v>36892.0</v>
      </c>
      <c r="R1940" s="1"/>
      <c r="S1940" s="1"/>
      <c r="T1940" s="1" t="s">
        <v>37</v>
      </c>
      <c r="U1940" s="1"/>
      <c r="V1940" s="1" t="s">
        <v>38</v>
      </c>
      <c r="W1940" s="1">
        <v>43.6106237</v>
      </c>
      <c r="X1940" s="1">
        <v>-72.9726064999999</v>
      </c>
      <c r="Y1940" s="1" t="s">
        <v>49</v>
      </c>
      <c r="Z1940" s="1"/>
      <c r="AA1940" s="1" t="s">
        <v>40</v>
      </c>
      <c r="AB1940" s="1" t="s">
        <v>78</v>
      </c>
      <c r="AC1940" s="1">
        <v>5757.0</v>
      </c>
    </row>
    <row r="1941">
      <c r="A1941" s="1" t="str">
        <f>"000950"</f>
        <v>000950</v>
      </c>
      <c r="B1941" s="1" t="s">
        <v>7505</v>
      </c>
      <c r="C1941" s="1" t="s">
        <v>7506</v>
      </c>
      <c r="D1941" s="1" t="str">
        <f>"8022352561"</f>
        <v>8022352561</v>
      </c>
      <c r="E1941" s="1">
        <v>3893.0</v>
      </c>
      <c r="F1941" s="1" t="s">
        <v>117</v>
      </c>
      <c r="G1941" s="1" t="s">
        <v>7507</v>
      </c>
      <c r="H1941" s="1">
        <v>2.0</v>
      </c>
      <c r="I1941" s="1"/>
      <c r="J1941" s="1"/>
      <c r="K1941" s="1"/>
      <c r="L1941" s="1"/>
      <c r="M1941" s="1" t="s">
        <v>7508</v>
      </c>
      <c r="N1941" s="1" t="s">
        <v>78</v>
      </c>
      <c r="O1941" s="1" t="s">
        <v>420</v>
      </c>
      <c r="P1941" s="1" t="s">
        <v>7509</v>
      </c>
      <c r="Q1941" s="3">
        <v>36892.0</v>
      </c>
      <c r="R1941" s="1"/>
      <c r="S1941" s="3">
        <v>39631.0</v>
      </c>
      <c r="T1941" s="1" t="s">
        <v>37</v>
      </c>
      <c r="U1941" s="1"/>
      <c r="V1941" s="1" t="s">
        <v>38</v>
      </c>
      <c r="W1941" s="1">
        <v>43.482158</v>
      </c>
      <c r="X1941" s="1">
        <v>-73.1171479999999</v>
      </c>
      <c r="Y1941" s="1" t="s">
        <v>7510</v>
      </c>
      <c r="Z1941" s="1"/>
      <c r="AA1941" s="1" t="s">
        <v>40</v>
      </c>
      <c r="AB1941" s="1" t="s">
        <v>7161</v>
      </c>
      <c r="AC1941" s="1">
        <v>5757.0</v>
      </c>
    </row>
    <row r="1942">
      <c r="A1942" s="1" t="str">
        <f>"000951"</f>
        <v>000951</v>
      </c>
      <c r="B1942" s="1" t="s">
        <v>7511</v>
      </c>
      <c r="C1942" s="1" t="s">
        <v>7512</v>
      </c>
      <c r="D1942" s="1" t="str">
        <f>"8022235776"</f>
        <v>8022235776</v>
      </c>
      <c r="E1942" s="1">
        <v>3894.0</v>
      </c>
      <c r="F1942" s="1" t="s">
        <v>117</v>
      </c>
      <c r="G1942" s="1" t="s">
        <v>7513</v>
      </c>
      <c r="H1942" s="1">
        <v>2.0</v>
      </c>
      <c r="I1942" s="2">
        <v>2.0</v>
      </c>
      <c r="J1942" s="2">
        <v>1.0</v>
      </c>
      <c r="K1942" s="2" t="s">
        <v>119</v>
      </c>
      <c r="L1942" s="2" t="s">
        <v>7514</v>
      </c>
      <c r="M1942" s="1" t="s">
        <v>7515</v>
      </c>
      <c r="N1942" s="1" t="s">
        <v>135</v>
      </c>
      <c r="O1942" s="1" t="s">
        <v>2713</v>
      </c>
      <c r="P1942" s="1" t="s">
        <v>7516</v>
      </c>
      <c r="Q1942" s="3">
        <v>36892.0</v>
      </c>
      <c r="R1942" s="1"/>
      <c r="S1942" s="3">
        <v>39734.0</v>
      </c>
      <c r="T1942" s="1" t="s">
        <v>37</v>
      </c>
      <c r="U1942" s="1"/>
      <c r="V1942" s="1" t="s">
        <v>38</v>
      </c>
      <c r="W1942" s="1">
        <v>44.351929</v>
      </c>
      <c r="X1942" s="1">
        <v>-72.601082</v>
      </c>
      <c r="Y1942" s="1" t="s">
        <v>7517</v>
      </c>
      <c r="Z1942" s="1"/>
      <c r="AA1942" s="1" t="s">
        <v>40</v>
      </c>
      <c r="AB1942" s="1" t="s">
        <v>2715</v>
      </c>
      <c r="AC1942" s="1">
        <v>5602.0</v>
      </c>
    </row>
    <row r="1943">
      <c r="A1943" s="1" t="str">
        <f>"000953"</f>
        <v>000953</v>
      </c>
      <c r="B1943" s="1" t="s">
        <v>7518</v>
      </c>
      <c r="C1943" s="1" t="s">
        <v>7519</v>
      </c>
      <c r="D1943" s="1" t="str">
        <f>"8028235871"</f>
        <v>8028235871</v>
      </c>
      <c r="E1943" s="1">
        <v>3896.0</v>
      </c>
      <c r="F1943" s="1" t="s">
        <v>44</v>
      </c>
      <c r="G1943" s="1" t="s">
        <v>7520</v>
      </c>
      <c r="H1943" s="1">
        <v>1.0</v>
      </c>
      <c r="I1943" s="1"/>
      <c r="J1943" s="1"/>
      <c r="K1943" s="1"/>
      <c r="L1943" s="1"/>
      <c r="M1943" s="1" t="s">
        <v>72</v>
      </c>
      <c r="N1943" s="1" t="s">
        <v>414</v>
      </c>
      <c r="O1943" s="1" t="s">
        <v>794</v>
      </c>
      <c r="P1943" s="1"/>
      <c r="Q1943" s="3">
        <v>36892.0</v>
      </c>
      <c r="R1943" s="1"/>
      <c r="S1943" s="1"/>
      <c r="T1943" s="1" t="s">
        <v>37</v>
      </c>
      <c r="U1943" s="1"/>
      <c r="V1943" s="1" t="s">
        <v>38</v>
      </c>
      <c r="W1943" s="1">
        <v>42.7585643</v>
      </c>
      <c r="X1943" s="1">
        <v>-73.2277667999999</v>
      </c>
      <c r="Y1943" s="1" t="s">
        <v>7521</v>
      </c>
      <c r="Z1943" s="1"/>
      <c r="AA1943" s="1" t="s">
        <v>40</v>
      </c>
      <c r="AB1943" s="1" t="s">
        <v>797</v>
      </c>
      <c r="AC1943" s="1">
        <v>5261.0</v>
      </c>
    </row>
    <row r="1944">
      <c r="A1944" s="1" t="str">
        <f>"0007QA"</f>
        <v>0007QA</v>
      </c>
      <c r="B1944" s="1" t="s">
        <v>3875</v>
      </c>
      <c r="C1944" s="1" t="s">
        <v>3876</v>
      </c>
      <c r="D1944" s="1" t="str">
        <f>"8022639562"</f>
        <v>8022639562</v>
      </c>
      <c r="E1944" s="1">
        <v>3977.0</v>
      </c>
      <c r="F1944" s="1" t="s">
        <v>44</v>
      </c>
      <c r="G1944" s="1" t="s">
        <v>7522</v>
      </c>
      <c r="H1944" s="1">
        <v>1.0</v>
      </c>
      <c r="I1944" s="1"/>
      <c r="J1944" s="1"/>
      <c r="K1944" s="1"/>
      <c r="L1944" s="1"/>
      <c r="M1944" s="1" t="s">
        <v>7523</v>
      </c>
      <c r="N1944" s="1" t="s">
        <v>34</v>
      </c>
      <c r="O1944" s="1" t="s">
        <v>1085</v>
      </c>
      <c r="P1944" s="1"/>
      <c r="Q1944" s="3">
        <v>36892.0</v>
      </c>
      <c r="R1944" s="1"/>
      <c r="S1944" s="3">
        <v>39721.0</v>
      </c>
      <c r="T1944" s="1" t="s">
        <v>37</v>
      </c>
      <c r="U1944" s="1"/>
      <c r="V1944" s="1" t="s">
        <v>38</v>
      </c>
      <c r="W1944" s="1"/>
      <c r="X1944" s="1"/>
      <c r="Y1944" s="1" t="s">
        <v>49</v>
      </c>
      <c r="Z1944" s="1"/>
      <c r="AA1944" s="1" t="s">
        <v>40</v>
      </c>
      <c r="AB1944" s="1" t="s">
        <v>1086</v>
      </c>
      <c r="AC1944" s="1"/>
    </row>
    <row r="1945">
      <c r="A1945" s="1" t="str">
        <f t="shared" ref="A1945:A1946" si="140">"000955"</f>
        <v>000955</v>
      </c>
      <c r="B1945" s="1" t="s">
        <v>7524</v>
      </c>
      <c r="C1945" s="1" t="s">
        <v>7525</v>
      </c>
      <c r="D1945" s="1" t="str">
        <f t="shared" ref="D1945:D1946" si="141">"8024395340"</f>
        <v>8024395340</v>
      </c>
      <c r="E1945" s="1">
        <v>3898.0</v>
      </c>
      <c r="F1945" s="1" t="s">
        <v>117</v>
      </c>
      <c r="G1945" s="1" t="s">
        <v>7526</v>
      </c>
      <c r="H1945" s="1">
        <v>1.0</v>
      </c>
      <c r="I1945" s="2">
        <v>2.0</v>
      </c>
      <c r="J1945" s="2">
        <v>1.0</v>
      </c>
      <c r="K1945" s="2" t="s">
        <v>119</v>
      </c>
      <c r="L1945" s="1"/>
      <c r="M1945" s="1" t="s">
        <v>7527</v>
      </c>
      <c r="N1945" s="1" t="s">
        <v>142</v>
      </c>
      <c r="O1945" s="1" t="s">
        <v>2376</v>
      </c>
      <c r="P1945" s="1" t="s">
        <v>7528</v>
      </c>
      <c r="Q1945" s="3">
        <v>36892.0</v>
      </c>
      <c r="R1945" s="1"/>
      <c r="S1945" s="1"/>
      <c r="T1945" s="1" t="s">
        <v>37</v>
      </c>
      <c r="U1945" s="1"/>
      <c r="V1945" s="1" t="s">
        <v>38</v>
      </c>
      <c r="W1945" s="1">
        <v>44.1399246999999</v>
      </c>
      <c r="X1945" s="1">
        <v>-72.3458559</v>
      </c>
      <c r="Y1945" s="1" t="s">
        <v>7529</v>
      </c>
      <c r="Z1945" s="1"/>
      <c r="AA1945" s="1" t="s">
        <v>40</v>
      </c>
      <c r="AB1945" s="1" t="s">
        <v>142</v>
      </c>
      <c r="AC1945" s="1">
        <v>5086.0</v>
      </c>
    </row>
    <row r="1946">
      <c r="A1946" s="1" t="str">
        <f t="shared" si="140"/>
        <v>000955</v>
      </c>
      <c r="B1946" s="1" t="s">
        <v>7524</v>
      </c>
      <c r="C1946" s="1" t="s">
        <v>7525</v>
      </c>
      <c r="D1946" s="1" t="str">
        <f t="shared" si="141"/>
        <v>8024395340</v>
      </c>
      <c r="E1946" s="1">
        <v>3898.0</v>
      </c>
      <c r="F1946" s="1" t="s">
        <v>117</v>
      </c>
      <c r="G1946" s="1" t="s">
        <v>7530</v>
      </c>
      <c r="H1946" s="1">
        <v>1.0</v>
      </c>
      <c r="I1946" s="2">
        <v>1.0</v>
      </c>
      <c r="J1946" s="2">
        <v>1.0</v>
      </c>
      <c r="K1946" s="2" t="s">
        <v>119</v>
      </c>
      <c r="L1946" s="1"/>
      <c r="M1946" s="1" t="s">
        <v>7531</v>
      </c>
      <c r="N1946" s="1" t="s">
        <v>142</v>
      </c>
      <c r="O1946" s="1" t="s">
        <v>222</v>
      </c>
      <c r="P1946" s="1" t="s">
        <v>2083</v>
      </c>
      <c r="Q1946" s="3">
        <v>36892.0</v>
      </c>
      <c r="R1946" s="1"/>
      <c r="S1946" s="1"/>
      <c r="T1946" s="1" t="s">
        <v>37</v>
      </c>
      <c r="U1946" s="1"/>
      <c r="V1946" s="1" t="s">
        <v>38</v>
      </c>
      <c r="W1946" s="1">
        <v>44.0616804881186</v>
      </c>
      <c r="X1946" s="1">
        <v>-72.249064296484</v>
      </c>
      <c r="Y1946" s="1" t="s">
        <v>49</v>
      </c>
      <c r="Z1946" s="1"/>
      <c r="AA1946" s="1" t="s">
        <v>40</v>
      </c>
      <c r="AB1946" s="1" t="s">
        <v>223</v>
      </c>
      <c r="AC1946" s="1">
        <v>5039.0</v>
      </c>
    </row>
    <row r="1947">
      <c r="A1947" s="1" t="str">
        <f>"000956"</f>
        <v>000956</v>
      </c>
      <c r="B1947" s="1" t="s">
        <v>7532</v>
      </c>
      <c r="C1947" s="1" t="s">
        <v>7533</v>
      </c>
      <c r="D1947" s="1" t="str">
        <f>"8022345040"</f>
        <v>8022345040</v>
      </c>
      <c r="E1947" s="1">
        <v>3899.0</v>
      </c>
      <c r="F1947" s="1" t="s">
        <v>44</v>
      </c>
      <c r="G1947" s="1" t="s">
        <v>7534</v>
      </c>
      <c r="H1947" s="1">
        <v>1.0</v>
      </c>
      <c r="I1947" s="1"/>
      <c r="J1947" s="1"/>
      <c r="K1947" s="1"/>
      <c r="L1947" s="1"/>
      <c r="M1947" s="1" t="s">
        <v>72</v>
      </c>
      <c r="N1947" s="1" t="s">
        <v>34</v>
      </c>
      <c r="O1947" s="1" t="s">
        <v>551</v>
      </c>
      <c r="P1947" s="1"/>
      <c r="Q1947" s="3">
        <v>36892.0</v>
      </c>
      <c r="R1947" s="1"/>
      <c r="S1947" s="3">
        <v>39617.0</v>
      </c>
      <c r="T1947" s="1" t="s">
        <v>37</v>
      </c>
      <c r="U1947" s="1"/>
      <c r="V1947" s="1" t="s">
        <v>38</v>
      </c>
      <c r="W1947" s="1">
        <v>43.723389</v>
      </c>
      <c r="X1947" s="1">
        <v>-72.6017229999999</v>
      </c>
      <c r="Y1947" s="1" t="s">
        <v>7535</v>
      </c>
      <c r="Z1947" s="1"/>
      <c r="AA1947" s="1" t="s">
        <v>40</v>
      </c>
      <c r="AB1947" s="1" t="s">
        <v>552</v>
      </c>
      <c r="AC1947" s="1">
        <v>5031.0</v>
      </c>
    </row>
    <row r="1948">
      <c r="A1948" s="1" t="str">
        <f>"000957"</f>
        <v>000957</v>
      </c>
      <c r="B1948" s="1" t="s">
        <v>7536</v>
      </c>
      <c r="C1948" s="1" t="s">
        <v>7537</v>
      </c>
      <c r="D1948" s="1" t="str">
        <f>"8026601974"</f>
        <v>8026601974</v>
      </c>
      <c r="E1948" s="1">
        <v>3900.0</v>
      </c>
      <c r="F1948" s="1" t="s">
        <v>44</v>
      </c>
      <c r="G1948" s="1" t="s">
        <v>7538</v>
      </c>
      <c r="H1948" s="1"/>
      <c r="I1948" s="1"/>
      <c r="J1948" s="1"/>
      <c r="K1948" s="1"/>
      <c r="L1948" s="1"/>
      <c r="M1948" s="1" t="s">
        <v>72</v>
      </c>
      <c r="N1948" s="1" t="s">
        <v>57</v>
      </c>
      <c r="O1948" s="1" t="s">
        <v>503</v>
      </c>
      <c r="P1948" s="1"/>
      <c r="Q1948" s="3">
        <v>36892.0</v>
      </c>
      <c r="R1948" s="1"/>
      <c r="S1948" s="1"/>
      <c r="T1948" s="1" t="s">
        <v>37</v>
      </c>
      <c r="U1948" s="1"/>
      <c r="V1948" s="1" t="s">
        <v>38</v>
      </c>
      <c r="W1948" s="1"/>
      <c r="X1948" s="1"/>
      <c r="Y1948" s="1" t="s">
        <v>49</v>
      </c>
      <c r="Z1948" s="1"/>
      <c r="AA1948" s="1" t="s">
        <v>40</v>
      </c>
      <c r="AB1948" s="1" t="s">
        <v>504</v>
      </c>
      <c r="AC1948" s="1"/>
    </row>
    <row r="1949">
      <c r="A1949" s="1" t="str">
        <f>"000958"</f>
        <v>000958</v>
      </c>
      <c r="B1949" s="1" t="s">
        <v>7539</v>
      </c>
      <c r="C1949" s="1" t="s">
        <v>7540</v>
      </c>
      <c r="D1949" s="1" t="str">
        <f>"8023728266"</f>
        <v>8023728266</v>
      </c>
      <c r="E1949" s="1">
        <v>3901.0</v>
      </c>
      <c r="F1949" s="1" t="s">
        <v>44</v>
      </c>
      <c r="G1949" s="1" t="s">
        <v>7541</v>
      </c>
      <c r="H1949" s="1">
        <v>3.0</v>
      </c>
      <c r="I1949" s="1"/>
      <c r="J1949" s="1"/>
      <c r="K1949" s="1"/>
      <c r="L1949" s="1"/>
      <c r="M1949" s="1" t="s">
        <v>33</v>
      </c>
      <c r="N1949" s="1" t="s">
        <v>107</v>
      </c>
      <c r="O1949" s="1" t="s">
        <v>108</v>
      </c>
      <c r="P1949" s="1" t="s">
        <v>36</v>
      </c>
      <c r="Q1949" s="3">
        <v>36892.0</v>
      </c>
      <c r="R1949" s="1"/>
      <c r="S1949" s="1"/>
      <c r="T1949" s="1" t="s">
        <v>37</v>
      </c>
      <c r="U1949" s="1"/>
      <c r="V1949" s="1" t="s">
        <v>38</v>
      </c>
      <c r="W1949" s="1"/>
      <c r="X1949" s="1"/>
      <c r="Y1949" s="1" t="s">
        <v>49</v>
      </c>
      <c r="Z1949" s="1"/>
      <c r="AA1949" s="1" t="s">
        <v>40</v>
      </c>
      <c r="AB1949" s="1" t="s">
        <v>107</v>
      </c>
      <c r="AC1949" s="1"/>
    </row>
    <row r="1950">
      <c r="A1950" s="1" t="str">
        <f>"000959"</f>
        <v>000959</v>
      </c>
      <c r="B1950" s="1" t="s">
        <v>7542</v>
      </c>
      <c r="C1950" s="1" t="s">
        <v>7543</v>
      </c>
      <c r="D1950" s="1" t="str">
        <f>"8024984994"</f>
        <v>8024984994</v>
      </c>
      <c r="E1950" s="1">
        <v>3902.0</v>
      </c>
      <c r="F1950" s="1" t="s">
        <v>44</v>
      </c>
      <c r="G1950" s="1" t="s">
        <v>7544</v>
      </c>
      <c r="H1950" s="1"/>
      <c r="I1950" s="1"/>
      <c r="J1950" s="1"/>
      <c r="K1950" s="1"/>
      <c r="L1950" s="1"/>
      <c r="M1950" s="1" t="s">
        <v>72</v>
      </c>
      <c r="N1950" s="1" t="s">
        <v>135</v>
      </c>
      <c r="O1950" s="1" t="s">
        <v>1142</v>
      </c>
      <c r="P1950" s="1"/>
      <c r="Q1950" s="3">
        <v>36892.0</v>
      </c>
      <c r="R1950" s="1"/>
      <c r="S1950" s="1"/>
      <c r="T1950" s="1" t="s">
        <v>37</v>
      </c>
      <c r="U1950" s="1"/>
      <c r="V1950" s="1" t="s">
        <v>38</v>
      </c>
      <c r="W1950" s="1"/>
      <c r="X1950" s="1"/>
      <c r="Y1950" s="1" t="s">
        <v>49</v>
      </c>
      <c r="Z1950" s="1"/>
      <c r="AA1950" s="1" t="s">
        <v>40</v>
      </c>
      <c r="AB1950" s="1" t="s">
        <v>1145</v>
      </c>
      <c r="AC1950" s="1"/>
    </row>
    <row r="1951">
      <c r="A1951" s="1" t="str">
        <f>"00095A"</f>
        <v>00095A</v>
      </c>
      <c r="B1951" s="1" t="s">
        <v>7545</v>
      </c>
      <c r="C1951" s="1" t="s">
        <v>7546</v>
      </c>
      <c r="D1951" s="1" t="str">
        <f>"8028240042"</f>
        <v>8028240042</v>
      </c>
      <c r="E1951" s="1">
        <v>3903.0</v>
      </c>
      <c r="F1951" s="1" t="s">
        <v>44</v>
      </c>
      <c r="G1951" s="1" t="s">
        <v>7547</v>
      </c>
      <c r="H1951" s="1">
        <v>2.0</v>
      </c>
      <c r="I1951" s="1"/>
      <c r="J1951" s="1"/>
      <c r="K1951" s="1"/>
      <c r="L1951" s="1"/>
      <c r="M1951" s="1" t="s">
        <v>72</v>
      </c>
      <c r="N1951" s="1" t="s">
        <v>66</v>
      </c>
      <c r="O1951" s="1" t="s">
        <v>900</v>
      </c>
      <c r="P1951" s="1"/>
      <c r="Q1951" s="3">
        <v>36892.0</v>
      </c>
      <c r="R1951" s="1"/>
      <c r="S1951" s="3">
        <v>39689.0</v>
      </c>
      <c r="T1951" s="1" t="s">
        <v>37</v>
      </c>
      <c r="U1951" s="1"/>
      <c r="V1951" s="1" t="s">
        <v>38</v>
      </c>
      <c r="W1951" s="1"/>
      <c r="X1951" s="1"/>
      <c r="Y1951" s="1" t="s">
        <v>49</v>
      </c>
      <c r="Z1951" s="1"/>
      <c r="AA1951" s="1" t="s">
        <v>40</v>
      </c>
      <c r="AB1951" s="1" t="s">
        <v>901</v>
      </c>
      <c r="AC1951" s="1"/>
    </row>
    <row r="1952">
      <c r="A1952" s="1" t="str">
        <f>"00095B"</f>
        <v>00095B</v>
      </c>
      <c r="B1952" s="1" t="s">
        <v>7548</v>
      </c>
      <c r="C1952" s="1" t="s">
        <v>7549</v>
      </c>
      <c r="D1952" s="1" t="str">
        <f>"8023724616"</f>
        <v>8023724616</v>
      </c>
      <c r="E1952" s="1">
        <v>3904.0</v>
      </c>
      <c r="F1952" s="1" t="s">
        <v>44</v>
      </c>
      <c r="G1952" s="1" t="s">
        <v>7550</v>
      </c>
      <c r="H1952" s="1"/>
      <c r="I1952" s="1"/>
      <c r="J1952" s="1"/>
      <c r="K1952" s="1"/>
      <c r="L1952" s="1"/>
      <c r="M1952" s="1" t="s">
        <v>72</v>
      </c>
      <c r="N1952" s="1" t="s">
        <v>107</v>
      </c>
      <c r="O1952" s="1" t="s">
        <v>821</v>
      </c>
      <c r="P1952" s="1"/>
      <c r="Q1952" s="3">
        <v>36892.0</v>
      </c>
      <c r="R1952" s="1"/>
      <c r="S1952" s="1"/>
      <c r="T1952" s="1" t="s">
        <v>37</v>
      </c>
      <c r="U1952" s="1"/>
      <c r="V1952" s="1" t="s">
        <v>38</v>
      </c>
      <c r="W1952" s="1"/>
      <c r="X1952" s="1"/>
      <c r="Y1952" s="1" t="s">
        <v>49</v>
      </c>
      <c r="Z1952" s="1"/>
      <c r="AA1952" s="1" t="s">
        <v>40</v>
      </c>
      <c r="AB1952" s="1" t="s">
        <v>822</v>
      </c>
      <c r="AC1952" s="1"/>
    </row>
    <row r="1953">
      <c r="A1953" s="1" t="str">
        <f>"00095D"</f>
        <v>00095D</v>
      </c>
      <c r="B1953" s="1" t="s">
        <v>7551</v>
      </c>
      <c r="C1953" s="1" t="s">
        <v>7552</v>
      </c>
      <c r="D1953" s="1" t="str">
        <f>"8024393022"</f>
        <v>8024393022</v>
      </c>
      <c r="E1953" s="1">
        <v>3906.0</v>
      </c>
      <c r="F1953" s="1" t="s">
        <v>44</v>
      </c>
      <c r="G1953" s="1" t="s">
        <v>7553</v>
      </c>
      <c r="H1953" s="1"/>
      <c r="I1953" s="1"/>
      <c r="J1953" s="1"/>
      <c r="K1953" s="1"/>
      <c r="L1953" s="1"/>
      <c r="M1953" s="1" t="s">
        <v>72</v>
      </c>
      <c r="N1953" s="1" t="s">
        <v>142</v>
      </c>
      <c r="O1953" s="1" t="s">
        <v>400</v>
      </c>
      <c r="P1953" s="1"/>
      <c r="Q1953" s="3">
        <v>36892.0</v>
      </c>
      <c r="R1953" s="1"/>
      <c r="S1953" s="1"/>
      <c r="T1953" s="1" t="s">
        <v>37</v>
      </c>
      <c r="U1953" s="1"/>
      <c r="V1953" s="1" t="s">
        <v>38</v>
      </c>
      <c r="W1953" s="1"/>
      <c r="X1953" s="1"/>
      <c r="Y1953" s="1" t="s">
        <v>49</v>
      </c>
      <c r="Z1953" s="1"/>
      <c r="AA1953" s="1" t="s">
        <v>40</v>
      </c>
      <c r="AB1953" s="1" t="s">
        <v>401</v>
      </c>
      <c r="AC1953" s="1"/>
    </row>
    <row r="1954">
      <c r="A1954" s="1" t="str">
        <f>"00095F"</f>
        <v>00095F</v>
      </c>
      <c r="B1954" s="1" t="s">
        <v>7554</v>
      </c>
      <c r="C1954" s="1" t="s">
        <v>7555</v>
      </c>
      <c r="D1954" s="1" t="str">
        <f>"8027673776"</f>
        <v>8027673776</v>
      </c>
      <c r="E1954" s="1">
        <v>3907.0</v>
      </c>
      <c r="F1954" s="1" t="s">
        <v>44</v>
      </c>
      <c r="G1954" s="1" t="s">
        <v>7556</v>
      </c>
      <c r="H1954" s="1">
        <v>0.0</v>
      </c>
      <c r="I1954" s="1"/>
      <c r="J1954" s="1"/>
      <c r="K1954" s="1"/>
      <c r="L1954" s="1"/>
      <c r="M1954" s="1" t="s">
        <v>7557</v>
      </c>
      <c r="N1954" s="1" t="s">
        <v>34</v>
      </c>
      <c r="O1954" s="1" t="s">
        <v>1277</v>
      </c>
      <c r="P1954" s="1" t="s">
        <v>7558</v>
      </c>
      <c r="Q1954" s="3">
        <v>36892.0</v>
      </c>
      <c r="R1954" s="1"/>
      <c r="S1954" s="1"/>
      <c r="T1954" s="1" t="s">
        <v>37</v>
      </c>
      <c r="U1954" s="1"/>
      <c r="V1954" s="1" t="s">
        <v>38</v>
      </c>
      <c r="W1954" s="1">
        <v>43.927399</v>
      </c>
      <c r="X1954" s="1">
        <v>-72.795837</v>
      </c>
      <c r="Y1954" s="1" t="s">
        <v>7559</v>
      </c>
      <c r="Z1954" s="1"/>
      <c r="AA1954" s="1" t="s">
        <v>40</v>
      </c>
      <c r="AB1954" s="1" t="s">
        <v>1278</v>
      </c>
      <c r="AC1954" s="1">
        <v>5767.0</v>
      </c>
    </row>
    <row r="1955">
      <c r="A1955" s="1" t="str">
        <f>"00095G"</f>
        <v>00095G</v>
      </c>
      <c r="B1955" s="1" t="s">
        <v>7560</v>
      </c>
      <c r="C1955" s="1" t="s">
        <v>7561</v>
      </c>
      <c r="D1955" s="1" t="str">
        <f>"8026351707"</f>
        <v>8026351707</v>
      </c>
      <c r="E1955" s="1">
        <v>3908.0</v>
      </c>
      <c r="F1955" s="1" t="s">
        <v>117</v>
      </c>
      <c r="G1955" s="1" t="s">
        <v>7562</v>
      </c>
      <c r="H1955" s="1">
        <v>5.0</v>
      </c>
      <c r="I1955" s="2">
        <v>1.0</v>
      </c>
      <c r="J1955" s="2">
        <v>0.0</v>
      </c>
      <c r="K1955" s="2" t="s">
        <v>829</v>
      </c>
      <c r="L1955" s="1"/>
      <c r="M1955" s="1" t="s">
        <v>7563</v>
      </c>
      <c r="N1955" s="1" t="s">
        <v>213</v>
      </c>
      <c r="O1955" s="1" t="s">
        <v>4949</v>
      </c>
      <c r="P1955" s="1" t="s">
        <v>7564</v>
      </c>
      <c r="Q1955" s="3">
        <v>36892.0</v>
      </c>
      <c r="R1955" s="1"/>
      <c r="S1955" s="3">
        <v>39687.0</v>
      </c>
      <c r="T1955" s="1" t="s">
        <v>37</v>
      </c>
      <c r="U1955" s="1"/>
      <c r="V1955" s="1" t="s">
        <v>38</v>
      </c>
      <c r="W1955" s="1">
        <v>44.75238</v>
      </c>
      <c r="X1955" s="1">
        <v>-72.58346</v>
      </c>
      <c r="Y1955" s="1" t="s">
        <v>7565</v>
      </c>
      <c r="Z1955" s="1"/>
      <c r="AA1955" s="1" t="s">
        <v>40</v>
      </c>
      <c r="AB1955" s="1" t="s">
        <v>4950</v>
      </c>
      <c r="AC1955" s="1">
        <v>0.0</v>
      </c>
    </row>
    <row r="1956">
      <c r="A1956" s="1" t="str">
        <f>"00095H"</f>
        <v>00095H</v>
      </c>
      <c r="B1956" s="1" t="s">
        <v>7566</v>
      </c>
      <c r="C1956" s="1" t="s">
        <v>7567</v>
      </c>
      <c r="D1956" s="1" t="str">
        <f>"8024922225"</f>
        <v>8024922225</v>
      </c>
      <c r="E1956" s="1">
        <v>3909.0</v>
      </c>
      <c r="F1956" s="1" t="s">
        <v>44</v>
      </c>
      <c r="G1956" s="1" t="s">
        <v>7568</v>
      </c>
      <c r="H1956" s="1">
        <v>1.0</v>
      </c>
      <c r="I1956" s="1"/>
      <c r="J1956" s="1"/>
      <c r="K1956" s="1"/>
      <c r="L1956" s="1"/>
      <c r="M1956" s="1" t="s">
        <v>72</v>
      </c>
      <c r="N1956" s="1" t="s">
        <v>78</v>
      </c>
      <c r="O1956" s="1" t="s">
        <v>1303</v>
      </c>
      <c r="P1956" s="1"/>
      <c r="Q1956" s="3">
        <v>36892.0</v>
      </c>
      <c r="R1956" s="1"/>
      <c r="S1956" s="3">
        <v>39689.0</v>
      </c>
      <c r="T1956" s="1" t="s">
        <v>37</v>
      </c>
      <c r="U1956" s="1"/>
      <c r="V1956" s="1" t="s">
        <v>38</v>
      </c>
      <c r="W1956" s="1">
        <v>43.48959</v>
      </c>
      <c r="X1956" s="1">
        <v>-72.8831018999999</v>
      </c>
      <c r="Y1956" s="1" t="s">
        <v>7569</v>
      </c>
      <c r="Z1956" s="1"/>
      <c r="AA1956" s="1" t="s">
        <v>40</v>
      </c>
      <c r="AB1956" s="1" t="s">
        <v>1175</v>
      </c>
      <c r="AC1956" s="1">
        <v>5738.0</v>
      </c>
    </row>
    <row r="1957">
      <c r="A1957" s="1" t="str">
        <f>"00095J"</f>
        <v>00095J</v>
      </c>
      <c r="B1957" s="1" t="s">
        <v>7570</v>
      </c>
      <c r="C1957" s="1" t="s">
        <v>7571</v>
      </c>
      <c r="D1957" s="1" t="str">
        <f>"8029852215"</f>
        <v>8029852215</v>
      </c>
      <c r="E1957" s="1">
        <v>3910.0</v>
      </c>
      <c r="F1957" s="1" t="s">
        <v>117</v>
      </c>
      <c r="G1957" s="1" t="s">
        <v>7572</v>
      </c>
      <c r="H1957" s="1">
        <v>6.0</v>
      </c>
      <c r="I1957" s="2">
        <v>2.0</v>
      </c>
      <c r="J1957" s="2">
        <v>2.0</v>
      </c>
      <c r="K1957" s="2" t="s">
        <v>119</v>
      </c>
      <c r="L1957" s="1"/>
      <c r="M1957" s="1" t="s">
        <v>7573</v>
      </c>
      <c r="N1957" s="1" t="s">
        <v>57</v>
      </c>
      <c r="O1957" s="1" t="s">
        <v>238</v>
      </c>
      <c r="P1957" s="1" t="s">
        <v>7574</v>
      </c>
      <c r="Q1957" s="3">
        <v>36892.0</v>
      </c>
      <c r="R1957" s="1"/>
      <c r="S1957" s="3">
        <v>42556.0</v>
      </c>
      <c r="T1957" s="1" t="s">
        <v>37</v>
      </c>
      <c r="U1957" s="1"/>
      <c r="V1957" s="1" t="s">
        <v>38</v>
      </c>
      <c r="W1957" s="1"/>
      <c r="X1957" s="1"/>
      <c r="Y1957" s="1" t="s">
        <v>49</v>
      </c>
      <c r="Z1957" s="1"/>
      <c r="AA1957" s="1" t="s">
        <v>40</v>
      </c>
      <c r="AB1957" s="1" t="s">
        <v>239</v>
      </c>
      <c r="AC1957" s="1">
        <v>5482.0</v>
      </c>
    </row>
    <row r="1958">
      <c r="A1958" s="1" t="str">
        <f>"00095K"</f>
        <v>00095K</v>
      </c>
      <c r="B1958" s="1" t="s">
        <v>7575</v>
      </c>
      <c r="C1958" s="1" t="s">
        <v>7576</v>
      </c>
      <c r="D1958" s="1" t="str">
        <f>"8024254265"</f>
        <v>8024254265</v>
      </c>
      <c r="E1958" s="1">
        <v>3911.0</v>
      </c>
      <c r="F1958" s="1" t="s">
        <v>44</v>
      </c>
      <c r="G1958" s="1" t="s">
        <v>7577</v>
      </c>
      <c r="H1958" s="1">
        <v>2.0</v>
      </c>
      <c r="I1958" s="1"/>
      <c r="J1958" s="1"/>
      <c r="K1958" s="1"/>
      <c r="L1958" s="1"/>
      <c r="M1958" s="1" t="s">
        <v>72</v>
      </c>
      <c r="N1958" s="1" t="s">
        <v>57</v>
      </c>
      <c r="O1958" s="1" t="s">
        <v>1633</v>
      </c>
      <c r="P1958" s="1" t="s">
        <v>36</v>
      </c>
      <c r="Q1958" s="3">
        <v>36892.0</v>
      </c>
      <c r="R1958" s="1"/>
      <c r="S1958" s="3">
        <v>40351.0</v>
      </c>
      <c r="T1958" s="1" t="s">
        <v>37</v>
      </c>
      <c r="U1958" s="1"/>
      <c r="V1958" s="1" t="s">
        <v>38</v>
      </c>
      <c r="W1958" s="1"/>
      <c r="X1958" s="1"/>
      <c r="Y1958" s="1" t="s">
        <v>49</v>
      </c>
      <c r="Z1958" s="1"/>
      <c r="AA1958" s="1" t="s">
        <v>40</v>
      </c>
      <c r="AB1958" s="1" t="s">
        <v>1634</v>
      </c>
      <c r="AC1958" s="1"/>
    </row>
    <row r="1959">
      <c r="A1959" s="1" t="str">
        <f>"00095M"</f>
        <v>00095M</v>
      </c>
      <c r="B1959" s="1" t="s">
        <v>7578</v>
      </c>
      <c r="C1959" s="1" t="s">
        <v>7579</v>
      </c>
      <c r="D1959" s="1" t="str">
        <f>"8023668131"</f>
        <v>8023668131</v>
      </c>
      <c r="E1959" s="1">
        <v>3912.0</v>
      </c>
      <c r="F1959" s="1" t="s">
        <v>117</v>
      </c>
      <c r="G1959" s="1" t="s">
        <v>7580</v>
      </c>
      <c r="H1959" s="1">
        <v>3.0</v>
      </c>
      <c r="I1959" s="2">
        <v>6.0</v>
      </c>
      <c r="J1959" s="2">
        <v>6.0</v>
      </c>
      <c r="K1959" s="2" t="s">
        <v>829</v>
      </c>
      <c r="L1959" s="1"/>
      <c r="M1959" s="1" t="s">
        <v>7581</v>
      </c>
      <c r="N1959" s="1" t="s">
        <v>414</v>
      </c>
      <c r="O1959" s="1" t="s">
        <v>2880</v>
      </c>
      <c r="P1959" s="1" t="s">
        <v>7582</v>
      </c>
      <c r="Q1959" s="3">
        <v>36892.0</v>
      </c>
      <c r="R1959" s="1"/>
      <c r="S1959" s="1"/>
      <c r="T1959" s="1" t="s">
        <v>37</v>
      </c>
      <c r="U1959" s="1"/>
      <c r="V1959" s="1" t="s">
        <v>38</v>
      </c>
      <c r="W1959" s="1">
        <v>43.1956968513616</v>
      </c>
      <c r="X1959" s="1">
        <v>-73.0771493911743</v>
      </c>
      <c r="Y1959" s="1" t="s">
        <v>7583</v>
      </c>
      <c r="Z1959" s="1"/>
      <c r="AA1959" s="1" t="s">
        <v>40</v>
      </c>
      <c r="AB1959" s="1" t="s">
        <v>2881</v>
      </c>
      <c r="AC1959" s="1">
        <v>5254.0</v>
      </c>
    </row>
    <row r="1960">
      <c r="A1960" s="1" t="str">
        <f>"00095N"</f>
        <v>00095N</v>
      </c>
      <c r="B1960" s="1" t="s">
        <v>7584</v>
      </c>
      <c r="C1960" s="1" t="s">
        <v>7585</v>
      </c>
      <c r="D1960" s="1" t="str">
        <f>"8022346724"</f>
        <v>8022346724</v>
      </c>
      <c r="E1960" s="1">
        <v>3913.0</v>
      </c>
      <c r="F1960" s="1" t="s">
        <v>44</v>
      </c>
      <c r="G1960" s="1" t="s">
        <v>7586</v>
      </c>
      <c r="H1960" s="1">
        <v>2.0</v>
      </c>
      <c r="I1960" s="1"/>
      <c r="J1960" s="1"/>
      <c r="K1960" s="1"/>
      <c r="L1960" s="1"/>
      <c r="M1960" s="1" t="s">
        <v>72</v>
      </c>
      <c r="N1960" s="1" t="s">
        <v>34</v>
      </c>
      <c r="O1960" s="1" t="s">
        <v>1469</v>
      </c>
      <c r="P1960" s="1"/>
      <c r="Q1960" s="3">
        <v>36892.0</v>
      </c>
      <c r="R1960" s="1"/>
      <c r="S1960" s="3">
        <v>39659.0</v>
      </c>
      <c r="T1960" s="1" t="s">
        <v>37</v>
      </c>
      <c r="U1960" s="1"/>
      <c r="V1960" s="1" t="s">
        <v>38</v>
      </c>
      <c r="W1960" s="1"/>
      <c r="X1960" s="1"/>
      <c r="Y1960" s="1" t="s">
        <v>49</v>
      </c>
      <c r="Z1960" s="1"/>
      <c r="AA1960" s="1" t="s">
        <v>40</v>
      </c>
      <c r="AB1960" s="1" t="s">
        <v>1471</v>
      </c>
      <c r="AC1960" s="1"/>
    </row>
    <row r="1961">
      <c r="A1961" s="1" t="str">
        <f t="shared" ref="A1961:A1962" si="142">"00095P"</f>
        <v>00095P</v>
      </c>
      <c r="B1961" s="1" t="s">
        <v>7587</v>
      </c>
      <c r="C1961" s="1" t="s">
        <v>7588</v>
      </c>
      <c r="D1961" s="1" t="str">
        <f t="shared" ref="D1961:D1962" si="143">"8023729769"</f>
        <v>8023729769</v>
      </c>
      <c r="E1961" s="1">
        <v>3914.0</v>
      </c>
      <c r="F1961" s="1" t="s">
        <v>44</v>
      </c>
      <c r="G1961" s="1" t="s">
        <v>7589</v>
      </c>
      <c r="H1961" s="1"/>
      <c r="I1961" s="1"/>
      <c r="J1961" s="1"/>
      <c r="K1961" s="1"/>
      <c r="L1961" s="1"/>
      <c r="M1961" s="1" t="s">
        <v>72</v>
      </c>
      <c r="N1961" s="1" t="s">
        <v>107</v>
      </c>
      <c r="O1961" s="1" t="s">
        <v>108</v>
      </c>
      <c r="P1961" s="1"/>
      <c r="Q1961" s="3">
        <v>36892.0</v>
      </c>
      <c r="R1961" s="1"/>
      <c r="S1961" s="1"/>
      <c r="T1961" s="1" t="s">
        <v>37</v>
      </c>
      <c r="U1961" s="1"/>
      <c r="V1961" s="1" t="s">
        <v>38</v>
      </c>
      <c r="W1961" s="1"/>
      <c r="X1961" s="1"/>
      <c r="Y1961" s="1" t="s">
        <v>49</v>
      </c>
      <c r="Z1961" s="1"/>
      <c r="AA1961" s="1" t="s">
        <v>40</v>
      </c>
      <c r="AB1961" s="1" t="s">
        <v>107</v>
      </c>
      <c r="AC1961" s="1"/>
    </row>
    <row r="1962">
      <c r="A1962" s="1" t="str">
        <f t="shared" si="142"/>
        <v>00095P</v>
      </c>
      <c r="B1962" s="1" t="s">
        <v>7587</v>
      </c>
      <c r="C1962" s="1" t="s">
        <v>7588</v>
      </c>
      <c r="D1962" s="1" t="str">
        <f t="shared" si="143"/>
        <v>8023729769</v>
      </c>
      <c r="E1962" s="1">
        <v>3914.0</v>
      </c>
      <c r="F1962" s="1" t="s">
        <v>44</v>
      </c>
      <c r="G1962" s="1" t="s">
        <v>7590</v>
      </c>
      <c r="H1962" s="1"/>
      <c r="I1962" s="1"/>
      <c r="J1962" s="1"/>
      <c r="K1962" s="1"/>
      <c r="L1962" s="1"/>
      <c r="M1962" s="1" t="s">
        <v>7591</v>
      </c>
      <c r="N1962" s="1" t="s">
        <v>107</v>
      </c>
      <c r="O1962" s="1" t="s">
        <v>108</v>
      </c>
      <c r="P1962" s="1"/>
      <c r="Q1962" s="3">
        <v>36892.0</v>
      </c>
      <c r="R1962" s="1"/>
      <c r="S1962" s="1"/>
      <c r="T1962" s="1" t="s">
        <v>37</v>
      </c>
      <c r="U1962" s="1"/>
      <c r="V1962" s="1" t="s">
        <v>38</v>
      </c>
      <c r="W1962" s="1"/>
      <c r="X1962" s="1"/>
      <c r="Y1962" s="1" t="s">
        <v>49</v>
      </c>
      <c r="Z1962" s="1"/>
      <c r="AA1962" s="1" t="s">
        <v>40</v>
      </c>
      <c r="AB1962" s="1" t="s">
        <v>107</v>
      </c>
      <c r="AC1962" s="1"/>
    </row>
    <row r="1963">
      <c r="A1963" s="1" t="str">
        <f>"00095Q"</f>
        <v>00095Q</v>
      </c>
      <c r="B1963" s="1" t="s">
        <v>7592</v>
      </c>
      <c r="C1963" s="1" t="s">
        <v>7593</v>
      </c>
      <c r="D1963" s="1" t="str">
        <f>"8025632073"</f>
        <v>8025632073</v>
      </c>
      <c r="E1963" s="1">
        <v>3915.0</v>
      </c>
      <c r="F1963" s="1" t="s">
        <v>44</v>
      </c>
      <c r="G1963" s="1" t="s">
        <v>7594</v>
      </c>
      <c r="H1963" s="1">
        <v>1.0</v>
      </c>
      <c r="I1963" s="1"/>
      <c r="J1963" s="1"/>
      <c r="K1963" s="1"/>
      <c r="L1963" s="1"/>
      <c r="M1963" s="1" t="s">
        <v>72</v>
      </c>
      <c r="N1963" s="1" t="s">
        <v>135</v>
      </c>
      <c r="O1963" s="1" t="s">
        <v>409</v>
      </c>
      <c r="P1963" s="1"/>
      <c r="Q1963" s="3">
        <v>36892.0</v>
      </c>
      <c r="R1963" s="1"/>
      <c r="S1963" s="3">
        <v>42156.0</v>
      </c>
      <c r="T1963" s="1" t="s">
        <v>37</v>
      </c>
      <c r="U1963" s="1"/>
      <c r="V1963" s="1" t="s">
        <v>38</v>
      </c>
      <c r="W1963" s="1">
        <v>44.3960099</v>
      </c>
      <c r="X1963" s="1">
        <v>-72.2753789999999</v>
      </c>
      <c r="Y1963" s="1" t="s">
        <v>7595</v>
      </c>
      <c r="Z1963" s="1"/>
      <c r="AA1963" s="1" t="s">
        <v>40</v>
      </c>
      <c r="AB1963" s="1" t="s">
        <v>410</v>
      </c>
      <c r="AC1963" s="1">
        <v>5647.0</v>
      </c>
    </row>
    <row r="1964">
      <c r="A1964" s="1" t="str">
        <f>"00095V"</f>
        <v>00095V</v>
      </c>
      <c r="B1964" s="1" t="s">
        <v>7596</v>
      </c>
      <c r="C1964" s="1" t="s">
        <v>7359</v>
      </c>
      <c r="D1964" s="1" t="str">
        <f>"8023759031"</f>
        <v>8023759031</v>
      </c>
      <c r="E1964" s="1">
        <v>3916.0</v>
      </c>
      <c r="F1964" s="1" t="s">
        <v>44</v>
      </c>
      <c r="G1964" s="1" t="s">
        <v>7597</v>
      </c>
      <c r="H1964" s="1"/>
      <c r="I1964" s="1"/>
      <c r="J1964" s="1"/>
      <c r="K1964" s="1"/>
      <c r="L1964" s="1"/>
      <c r="M1964" s="1" t="s">
        <v>72</v>
      </c>
      <c r="N1964" s="1" t="s">
        <v>414</v>
      </c>
      <c r="O1964" s="1" t="s">
        <v>3034</v>
      </c>
      <c r="P1964" s="1"/>
      <c r="Q1964" s="3">
        <v>36892.0</v>
      </c>
      <c r="R1964" s="1"/>
      <c r="S1964" s="1"/>
      <c r="T1964" s="1" t="s">
        <v>37</v>
      </c>
      <c r="U1964" s="1"/>
      <c r="V1964" s="1" t="s">
        <v>38</v>
      </c>
      <c r="W1964" s="1"/>
      <c r="X1964" s="1"/>
      <c r="Y1964" s="1" t="s">
        <v>49</v>
      </c>
      <c r="Z1964" s="1"/>
      <c r="AA1964" s="1" t="s">
        <v>40</v>
      </c>
      <c r="AB1964" s="1" t="s">
        <v>3036</v>
      </c>
      <c r="AC1964" s="1"/>
    </row>
    <row r="1965">
      <c r="A1965" s="1" t="str">
        <f>"00095W"</f>
        <v>00095W</v>
      </c>
      <c r="B1965" s="1" t="s">
        <v>7598</v>
      </c>
      <c r="C1965" s="1" t="s">
        <v>7599</v>
      </c>
      <c r="D1965" s="1" t="str">
        <f>"8024252500"</f>
        <v>8024252500</v>
      </c>
      <c r="E1965" s="1">
        <v>3917.0</v>
      </c>
      <c r="F1965" s="1" t="s">
        <v>117</v>
      </c>
      <c r="G1965" s="1" t="s">
        <v>7600</v>
      </c>
      <c r="H1965" s="1">
        <v>6.0</v>
      </c>
      <c r="I1965" s="2">
        <v>0.0</v>
      </c>
      <c r="J1965" s="2">
        <v>0.0</v>
      </c>
      <c r="K1965" s="2" t="s">
        <v>119</v>
      </c>
      <c r="L1965" s="1"/>
      <c r="M1965" s="1" t="s">
        <v>7601</v>
      </c>
      <c r="N1965" s="1" t="s">
        <v>57</v>
      </c>
      <c r="O1965" s="1" t="s">
        <v>1633</v>
      </c>
      <c r="P1965" s="1" t="s">
        <v>7602</v>
      </c>
      <c r="Q1965" s="3">
        <v>36892.0</v>
      </c>
      <c r="R1965" s="1"/>
      <c r="S1965" s="1"/>
      <c r="T1965" s="1" t="s">
        <v>37</v>
      </c>
      <c r="U1965" s="1"/>
      <c r="V1965" s="1" t="s">
        <v>38</v>
      </c>
      <c r="W1965" s="1">
        <v>44.273216</v>
      </c>
      <c r="X1965" s="1">
        <v>-73.2493819999999</v>
      </c>
      <c r="Y1965" s="1" t="s">
        <v>7603</v>
      </c>
      <c r="Z1965" s="1"/>
      <c r="AA1965" s="1" t="s">
        <v>40</v>
      </c>
      <c r="AB1965" s="1" t="s">
        <v>1634</v>
      </c>
      <c r="AC1965" s="1">
        <v>5445.0</v>
      </c>
    </row>
    <row r="1966">
      <c r="A1966" s="1" t="str">
        <f>"00095X"</f>
        <v>00095X</v>
      </c>
      <c r="B1966" s="1" t="s">
        <v>7604</v>
      </c>
      <c r="C1966" s="1" t="s">
        <v>7605</v>
      </c>
      <c r="D1966" s="1" t="str">
        <f>"8024859020"</f>
        <v>8024859020</v>
      </c>
      <c r="E1966" s="1">
        <v>3919.0</v>
      </c>
      <c r="F1966" s="1" t="s">
        <v>44</v>
      </c>
      <c r="G1966" s="1" t="s">
        <v>7606</v>
      </c>
      <c r="H1966" s="1">
        <v>3.0</v>
      </c>
      <c r="I1966" s="1"/>
      <c r="J1966" s="1"/>
      <c r="K1966" s="1"/>
      <c r="L1966" s="1"/>
      <c r="M1966" s="1" t="s">
        <v>72</v>
      </c>
      <c r="N1966" s="1" t="s">
        <v>135</v>
      </c>
      <c r="O1966" s="1" t="s">
        <v>136</v>
      </c>
      <c r="P1966" s="1"/>
      <c r="Q1966" s="3">
        <v>36892.0</v>
      </c>
      <c r="R1966" s="1"/>
      <c r="S1966" s="3">
        <v>39954.0</v>
      </c>
      <c r="T1966" s="1" t="s">
        <v>37</v>
      </c>
      <c r="U1966" s="1"/>
      <c r="V1966" s="1" t="s">
        <v>38</v>
      </c>
      <c r="W1966" s="1"/>
      <c r="X1966" s="1"/>
      <c r="Y1966" s="1" t="s">
        <v>49</v>
      </c>
      <c r="Z1966" s="1"/>
      <c r="AA1966" s="1" t="s">
        <v>40</v>
      </c>
      <c r="AB1966" s="1" t="s">
        <v>137</v>
      </c>
      <c r="AC1966" s="1">
        <v>0.0</v>
      </c>
    </row>
    <row r="1967">
      <c r="A1967" s="1" t="str">
        <f>"00095Y"</f>
        <v>00095Y</v>
      </c>
      <c r="B1967" s="1" t="s">
        <v>7607</v>
      </c>
      <c r="C1967" s="1" t="s">
        <v>7608</v>
      </c>
      <c r="D1967" s="1" t="str">
        <f>"8028651774"</f>
        <v>8028651774</v>
      </c>
      <c r="E1967" s="1">
        <v>3920.0</v>
      </c>
      <c r="F1967" s="1" t="s">
        <v>44</v>
      </c>
      <c r="G1967" s="1" t="s">
        <v>7609</v>
      </c>
      <c r="H1967" s="1">
        <v>2.0</v>
      </c>
      <c r="I1967" s="1"/>
      <c r="J1967" s="1"/>
      <c r="K1967" s="1"/>
      <c r="L1967" s="1"/>
      <c r="M1967" s="1" t="s">
        <v>7610</v>
      </c>
      <c r="N1967" s="1" t="s">
        <v>57</v>
      </c>
      <c r="O1967" s="1" t="s">
        <v>175</v>
      </c>
      <c r="P1967" s="1"/>
      <c r="Q1967" s="3">
        <v>36892.0</v>
      </c>
      <c r="R1967" s="1"/>
      <c r="S1967" s="1"/>
      <c r="T1967" s="1" t="s">
        <v>37</v>
      </c>
      <c r="U1967" s="1"/>
      <c r="V1967" s="1" t="s">
        <v>38</v>
      </c>
      <c r="W1967" s="1">
        <v>44.4659906147407</v>
      </c>
      <c r="X1967" s="1">
        <v>-73.2163506746292</v>
      </c>
      <c r="Y1967" s="1" t="s">
        <v>7611</v>
      </c>
      <c r="Z1967" s="1"/>
      <c r="AA1967" s="1" t="s">
        <v>40</v>
      </c>
      <c r="AB1967" s="1" t="s">
        <v>176</v>
      </c>
      <c r="AC1967" s="1">
        <v>5401.0</v>
      </c>
    </row>
    <row r="1968">
      <c r="A1968" s="1" t="str">
        <f>"00095Z"</f>
        <v>00095Z</v>
      </c>
      <c r="B1968" s="1" t="s">
        <v>7612</v>
      </c>
      <c r="C1968" s="1" t="s">
        <v>7613</v>
      </c>
      <c r="D1968" s="1" t="str">
        <f>"8028492909"</f>
        <v>8028492909</v>
      </c>
      <c r="E1968" s="1">
        <v>3921.0</v>
      </c>
      <c r="F1968" s="1" t="s">
        <v>117</v>
      </c>
      <c r="G1968" s="1" t="s">
        <v>7614</v>
      </c>
      <c r="H1968" s="1">
        <v>3.0</v>
      </c>
      <c r="I1968" s="2">
        <v>2.0</v>
      </c>
      <c r="J1968" s="2">
        <v>2.0</v>
      </c>
      <c r="K1968" s="2" t="s">
        <v>119</v>
      </c>
      <c r="L1968" s="2" t="s">
        <v>7615</v>
      </c>
      <c r="M1968" s="1" t="s">
        <v>7616</v>
      </c>
      <c r="N1968" s="1" t="s">
        <v>47</v>
      </c>
      <c r="O1968" s="1" t="s">
        <v>763</v>
      </c>
      <c r="P1968" s="1" t="s">
        <v>7617</v>
      </c>
      <c r="Q1968" s="3">
        <v>36892.0</v>
      </c>
      <c r="R1968" s="1"/>
      <c r="S1968" s="3">
        <v>41497.0</v>
      </c>
      <c r="T1968" s="1" t="s">
        <v>37</v>
      </c>
      <c r="U1968" s="1"/>
      <c r="V1968" s="1" t="s">
        <v>38</v>
      </c>
      <c r="W1968" s="1">
        <v>44.70472</v>
      </c>
      <c r="X1968" s="1">
        <v>-72.8993699999999</v>
      </c>
      <c r="Y1968" s="1" t="s">
        <v>7618</v>
      </c>
      <c r="Z1968" s="1"/>
      <c r="AA1968" s="1" t="s">
        <v>40</v>
      </c>
      <c r="AB1968" s="1" t="s">
        <v>764</v>
      </c>
      <c r="AC1968" s="1">
        <v>5464.0</v>
      </c>
    </row>
    <row r="1969">
      <c r="A1969" s="1" t="str">
        <f>"000960"</f>
        <v>000960</v>
      </c>
      <c r="B1969" s="1" t="s">
        <v>7619</v>
      </c>
      <c r="C1969" s="1" t="s">
        <v>7620</v>
      </c>
      <c r="D1969" s="1" t="str">
        <f>"8022235396"</f>
        <v>8022235396</v>
      </c>
      <c r="E1969" s="1">
        <v>3922.0</v>
      </c>
      <c r="F1969" s="1" t="s">
        <v>44</v>
      </c>
      <c r="G1969" s="1" t="s">
        <v>7621</v>
      </c>
      <c r="H1969" s="1"/>
      <c r="I1969" s="1"/>
      <c r="J1969" s="1"/>
      <c r="K1969" s="1"/>
      <c r="L1969" s="1"/>
      <c r="M1969" s="1" t="s">
        <v>72</v>
      </c>
      <c r="N1969" s="1" t="s">
        <v>135</v>
      </c>
      <c r="O1969" s="1" t="s">
        <v>805</v>
      </c>
      <c r="P1969" s="1"/>
      <c r="Q1969" s="3">
        <v>36892.0</v>
      </c>
      <c r="R1969" s="1"/>
      <c r="S1969" s="1"/>
      <c r="T1969" s="1" t="s">
        <v>37</v>
      </c>
      <c r="U1969" s="1"/>
      <c r="V1969" s="1" t="s">
        <v>38</v>
      </c>
      <c r="W1969" s="1"/>
      <c r="X1969" s="1"/>
      <c r="Y1969" s="1" t="s">
        <v>49</v>
      </c>
      <c r="Z1969" s="1"/>
      <c r="AA1969" s="1" t="s">
        <v>40</v>
      </c>
      <c r="AB1969" s="1" t="s">
        <v>806</v>
      </c>
      <c r="AC1969" s="1"/>
    </row>
    <row r="1970">
      <c r="A1970" s="1" t="str">
        <f>"000961"</f>
        <v>000961</v>
      </c>
      <c r="B1970" s="1" t="s">
        <v>7622</v>
      </c>
      <c r="C1970" s="1" t="s">
        <v>7623</v>
      </c>
      <c r="D1970" s="1" t="str">
        <f>"8023725175"</f>
        <v>8023725175</v>
      </c>
      <c r="E1970" s="1">
        <v>3923.0</v>
      </c>
      <c r="F1970" s="1" t="s">
        <v>44</v>
      </c>
      <c r="G1970" s="1" t="s">
        <v>7624</v>
      </c>
      <c r="H1970" s="1"/>
      <c r="I1970" s="1"/>
      <c r="J1970" s="1"/>
      <c r="K1970" s="1"/>
      <c r="L1970" s="1"/>
      <c r="M1970" s="1" t="s">
        <v>72</v>
      </c>
      <c r="N1970" s="1" t="s">
        <v>107</v>
      </c>
      <c r="O1970" s="1" t="s">
        <v>108</v>
      </c>
      <c r="P1970" s="1"/>
      <c r="Q1970" s="3">
        <v>36892.0</v>
      </c>
      <c r="R1970" s="1"/>
      <c r="S1970" s="1"/>
      <c r="T1970" s="1" t="s">
        <v>37</v>
      </c>
      <c r="U1970" s="1"/>
      <c r="V1970" s="1" t="s">
        <v>38</v>
      </c>
      <c r="W1970" s="1"/>
      <c r="X1970" s="1"/>
      <c r="Y1970" s="1" t="s">
        <v>49</v>
      </c>
      <c r="Z1970" s="1"/>
      <c r="AA1970" s="1" t="s">
        <v>40</v>
      </c>
      <c r="AB1970" s="1" t="s">
        <v>107</v>
      </c>
      <c r="AC1970" s="1"/>
    </row>
    <row r="1971">
      <c r="A1971" s="1" t="str">
        <f>"000962"</f>
        <v>000962</v>
      </c>
      <c r="B1971" s="1" t="s">
        <v>7625</v>
      </c>
      <c r="C1971" s="1" t="s">
        <v>7626</v>
      </c>
      <c r="D1971" s="1" t="str">
        <f>"8022492711"</f>
        <v>8022492711</v>
      </c>
      <c r="E1971" s="1">
        <v>3924.0</v>
      </c>
      <c r="F1971" s="1" t="s">
        <v>44</v>
      </c>
      <c r="G1971" s="1" t="s">
        <v>7627</v>
      </c>
      <c r="H1971" s="1">
        <v>2.0</v>
      </c>
      <c r="I1971" s="1"/>
      <c r="J1971" s="1"/>
      <c r="K1971" s="1"/>
      <c r="L1971" s="1"/>
      <c r="M1971" s="1" t="s">
        <v>72</v>
      </c>
      <c r="N1971" s="1" t="s">
        <v>135</v>
      </c>
      <c r="O1971" s="1" t="s">
        <v>2713</v>
      </c>
      <c r="P1971" s="1"/>
      <c r="Q1971" s="3">
        <v>36892.0</v>
      </c>
      <c r="R1971" s="1"/>
      <c r="S1971" s="3">
        <v>39727.0</v>
      </c>
      <c r="T1971" s="1" t="s">
        <v>37</v>
      </c>
      <c r="U1971" s="1"/>
      <c r="V1971" s="1" t="s">
        <v>38</v>
      </c>
      <c r="W1971" s="1">
        <v>44.3162685</v>
      </c>
      <c r="X1971" s="1">
        <v>-72.5906724999999</v>
      </c>
      <c r="Y1971" s="1" t="s">
        <v>7628</v>
      </c>
      <c r="Z1971" s="1"/>
      <c r="AA1971" s="1" t="s">
        <v>40</v>
      </c>
      <c r="AB1971" s="1" t="s">
        <v>2715</v>
      </c>
      <c r="AC1971" s="1">
        <v>5602.0</v>
      </c>
    </row>
    <row r="1972">
      <c r="A1972" s="1" t="str">
        <f>"000963"</f>
        <v>000963</v>
      </c>
      <c r="B1972" s="1" t="s">
        <v>7629</v>
      </c>
      <c r="C1972" s="1" t="s">
        <v>7630</v>
      </c>
      <c r="D1972" s="1" t="str">
        <f>"8024252856"</f>
        <v>8024252856</v>
      </c>
      <c r="E1972" s="1">
        <v>3925.0</v>
      </c>
      <c r="F1972" s="1" t="s">
        <v>44</v>
      </c>
      <c r="G1972" s="1" t="s">
        <v>7631</v>
      </c>
      <c r="H1972" s="1">
        <v>1.0</v>
      </c>
      <c r="I1972" s="1"/>
      <c r="J1972" s="1"/>
      <c r="K1972" s="1"/>
      <c r="L1972" s="1"/>
      <c r="M1972" s="1" t="s">
        <v>33</v>
      </c>
      <c r="N1972" s="1" t="s">
        <v>57</v>
      </c>
      <c r="O1972" s="1" t="s">
        <v>1633</v>
      </c>
      <c r="P1972" s="1" t="s">
        <v>7632</v>
      </c>
      <c r="Q1972" s="3">
        <v>36892.0</v>
      </c>
      <c r="R1972" s="1"/>
      <c r="S1972" s="3">
        <v>40351.0</v>
      </c>
      <c r="T1972" s="1" t="s">
        <v>37</v>
      </c>
      <c r="U1972" s="1"/>
      <c r="V1972" s="1" t="s">
        <v>38</v>
      </c>
      <c r="W1972" s="1">
        <v>44.308418</v>
      </c>
      <c r="X1972" s="1">
        <v>-73.2598269999999</v>
      </c>
      <c r="Y1972" s="1" t="s">
        <v>7633</v>
      </c>
      <c r="Z1972" s="1"/>
      <c r="AA1972" s="1" t="s">
        <v>40</v>
      </c>
      <c r="AB1972" s="1" t="s">
        <v>1634</v>
      </c>
      <c r="AC1972" s="1">
        <v>5445.0</v>
      </c>
    </row>
    <row r="1973">
      <c r="A1973" s="1" t="str">
        <f>"000964"</f>
        <v>000964</v>
      </c>
      <c r="B1973" s="1" t="s">
        <v>7634</v>
      </c>
      <c r="C1973" s="1" t="s">
        <v>7635</v>
      </c>
      <c r="D1973" s="1" t="str">
        <f>"8024477433"</f>
        <v>8024477433</v>
      </c>
      <c r="E1973" s="1">
        <v>3926.0</v>
      </c>
      <c r="F1973" s="1" t="s">
        <v>44</v>
      </c>
      <c r="G1973" s="1" t="s">
        <v>7636</v>
      </c>
      <c r="H1973" s="1"/>
      <c r="I1973" s="1"/>
      <c r="J1973" s="1"/>
      <c r="K1973" s="1"/>
      <c r="L1973" s="1"/>
      <c r="M1973" s="1" t="s">
        <v>72</v>
      </c>
      <c r="N1973" s="1" t="s">
        <v>414</v>
      </c>
      <c r="O1973" s="1" t="s">
        <v>720</v>
      </c>
      <c r="P1973" s="1"/>
      <c r="Q1973" s="3">
        <v>36892.0</v>
      </c>
      <c r="R1973" s="1"/>
      <c r="S1973" s="1"/>
      <c r="T1973" s="1" t="s">
        <v>37</v>
      </c>
      <c r="U1973" s="1"/>
      <c r="V1973" s="1" t="s">
        <v>38</v>
      </c>
      <c r="W1973" s="1"/>
      <c r="X1973" s="1"/>
      <c r="Y1973" s="1" t="s">
        <v>49</v>
      </c>
      <c r="Z1973" s="1"/>
      <c r="AA1973" s="1" t="s">
        <v>40</v>
      </c>
      <c r="AB1973" s="1" t="s">
        <v>414</v>
      </c>
      <c r="AC1973" s="1"/>
    </row>
    <row r="1974">
      <c r="A1974" s="1" t="str">
        <f>"000965"</f>
        <v>000965</v>
      </c>
      <c r="B1974" s="1" t="s">
        <v>7637</v>
      </c>
      <c r="C1974" s="1" t="s">
        <v>7638</v>
      </c>
      <c r="D1974" s="1" t="str">
        <f>"8023262098"</f>
        <v>8023262098</v>
      </c>
      <c r="E1974" s="1">
        <v>3927.0</v>
      </c>
      <c r="F1974" s="1" t="s">
        <v>44</v>
      </c>
      <c r="G1974" s="1" t="s">
        <v>7639</v>
      </c>
      <c r="H1974" s="1"/>
      <c r="I1974" s="1"/>
      <c r="J1974" s="1"/>
      <c r="K1974" s="1"/>
      <c r="L1974" s="1"/>
      <c r="M1974" s="1" t="s">
        <v>72</v>
      </c>
      <c r="N1974" s="1" t="s">
        <v>47</v>
      </c>
      <c r="O1974" s="1" t="s">
        <v>599</v>
      </c>
      <c r="P1974" s="1"/>
      <c r="Q1974" s="3">
        <v>36892.0</v>
      </c>
      <c r="R1974" s="1"/>
      <c r="S1974" s="1"/>
      <c r="T1974" s="1" t="s">
        <v>37</v>
      </c>
      <c r="U1974" s="1"/>
      <c r="V1974" s="1" t="s">
        <v>38</v>
      </c>
      <c r="W1974" s="1"/>
      <c r="X1974" s="1"/>
      <c r="Y1974" s="1" t="s">
        <v>49</v>
      </c>
      <c r="Z1974" s="1"/>
      <c r="AA1974" s="1" t="s">
        <v>40</v>
      </c>
      <c r="AB1974" s="1" t="s">
        <v>602</v>
      </c>
      <c r="AC1974" s="1"/>
    </row>
    <row r="1975">
      <c r="A1975" s="1" t="str">
        <f>"000966"</f>
        <v>000966</v>
      </c>
      <c r="B1975" s="1" t="s">
        <v>7640</v>
      </c>
      <c r="C1975" s="1" t="s">
        <v>7641</v>
      </c>
      <c r="D1975" s="1" t="str">
        <f>"8028814979"</f>
        <v>8028814979</v>
      </c>
      <c r="E1975" s="1">
        <v>3929.0</v>
      </c>
      <c r="F1975" s="1" t="s">
        <v>44</v>
      </c>
      <c r="G1975" s="1" t="s">
        <v>7642</v>
      </c>
      <c r="H1975" s="1"/>
      <c r="I1975" s="1"/>
      <c r="J1975" s="1"/>
      <c r="K1975" s="1"/>
      <c r="L1975" s="1"/>
      <c r="M1975" s="1" t="s">
        <v>7643</v>
      </c>
      <c r="N1975" s="1" t="s">
        <v>161</v>
      </c>
      <c r="O1975" s="1" t="s">
        <v>3580</v>
      </c>
      <c r="P1975" s="1"/>
      <c r="Q1975" s="3">
        <v>36892.0</v>
      </c>
      <c r="R1975" s="1"/>
      <c r="S1975" s="1"/>
      <c r="T1975" s="1" t="s">
        <v>37</v>
      </c>
      <c r="U1975" s="1"/>
      <c r="V1975" s="1" t="s">
        <v>38</v>
      </c>
      <c r="W1975" s="1"/>
      <c r="X1975" s="1"/>
      <c r="Y1975" s="1" t="s">
        <v>49</v>
      </c>
      <c r="Z1975" s="1"/>
      <c r="AA1975" s="1" t="s">
        <v>40</v>
      </c>
      <c r="AB1975" s="1" t="s">
        <v>3581</v>
      </c>
      <c r="AC1975" s="1"/>
    </row>
    <row r="1976">
      <c r="A1976" s="1" t="str">
        <f>"000967"</f>
        <v>000967</v>
      </c>
      <c r="B1976" s="1" t="s">
        <v>7644</v>
      </c>
      <c r="C1976" s="1" t="s">
        <v>7645</v>
      </c>
      <c r="D1976" s="1" t="str">
        <f>"8022967298"</f>
        <v>8022967298</v>
      </c>
      <c r="E1976" s="1">
        <v>3930.0</v>
      </c>
      <c r="F1976" s="1" t="s">
        <v>44</v>
      </c>
      <c r="G1976" s="1" t="s">
        <v>7646</v>
      </c>
      <c r="H1976" s="1">
        <v>1.0</v>
      </c>
      <c r="I1976" s="2">
        <v>1.0</v>
      </c>
      <c r="J1976" s="2">
        <v>0.0</v>
      </c>
      <c r="K1976" s="2">
        <v>0.0</v>
      </c>
      <c r="L1976" s="1"/>
      <c r="M1976" s="1" t="s">
        <v>72</v>
      </c>
      <c r="N1976" s="1" t="s">
        <v>34</v>
      </c>
      <c r="O1976" s="1" t="s">
        <v>463</v>
      </c>
      <c r="P1976" s="1" t="s">
        <v>7647</v>
      </c>
      <c r="Q1976" s="3">
        <v>36892.0</v>
      </c>
      <c r="R1976" s="1"/>
      <c r="S1976" s="3">
        <v>39688.0</v>
      </c>
      <c r="T1976" s="1" t="s">
        <v>37</v>
      </c>
      <c r="U1976" s="1"/>
      <c r="V1976" s="1" t="s">
        <v>38</v>
      </c>
      <c r="W1976" s="1">
        <v>43.72707</v>
      </c>
      <c r="X1976" s="1">
        <v>-72.410057</v>
      </c>
      <c r="Y1976" s="1" t="s">
        <v>7648</v>
      </c>
      <c r="Z1976" s="1"/>
      <c r="AA1976" s="1" t="s">
        <v>40</v>
      </c>
      <c r="AB1976" s="1" t="s">
        <v>466</v>
      </c>
      <c r="AC1976" s="1">
        <v>5001.0</v>
      </c>
    </row>
    <row r="1977">
      <c r="A1977" s="1" t="str">
        <f>"000968"</f>
        <v>000968</v>
      </c>
      <c r="B1977" s="1" t="s">
        <v>7649</v>
      </c>
      <c r="C1977" s="1" t="s">
        <v>7650</v>
      </c>
      <c r="D1977" s="1" t="str">
        <f>"8029283113"</f>
        <v>8029283113</v>
      </c>
      <c r="E1977" s="1">
        <v>3931.0</v>
      </c>
      <c r="F1977" s="1" t="s">
        <v>44</v>
      </c>
      <c r="G1977" s="1" t="s">
        <v>7651</v>
      </c>
      <c r="H1977" s="1"/>
      <c r="I1977" s="1"/>
      <c r="J1977" s="1"/>
      <c r="K1977" s="1"/>
      <c r="L1977" s="1"/>
      <c r="M1977" s="1" t="s">
        <v>72</v>
      </c>
      <c r="N1977" s="1" t="s">
        <v>107</v>
      </c>
      <c r="O1977" s="1" t="s">
        <v>2665</v>
      </c>
      <c r="P1977" s="1"/>
      <c r="Q1977" s="3">
        <v>36892.0</v>
      </c>
      <c r="R1977" s="1"/>
      <c r="S1977" s="1"/>
      <c r="T1977" s="1" t="s">
        <v>37</v>
      </c>
      <c r="U1977" s="1"/>
      <c r="V1977" s="1" t="s">
        <v>38</v>
      </c>
      <c r="W1977" s="1"/>
      <c r="X1977" s="1"/>
      <c r="Y1977" s="1" t="s">
        <v>49</v>
      </c>
      <c r="Z1977" s="1"/>
      <c r="AA1977" s="1" t="s">
        <v>40</v>
      </c>
      <c r="AB1977" s="1" t="s">
        <v>2666</v>
      </c>
      <c r="AC1977" s="1"/>
    </row>
    <row r="1978">
      <c r="A1978" s="1" t="str">
        <f>"000969"</f>
        <v>000969</v>
      </c>
      <c r="B1978" s="1" t="s">
        <v>7652</v>
      </c>
      <c r="C1978" s="1" t="s">
        <v>7653</v>
      </c>
      <c r="D1978" s="1" t="str">
        <f>"8028607528"</f>
        <v>8028607528</v>
      </c>
      <c r="E1978" s="1">
        <v>3932.0</v>
      </c>
      <c r="F1978" s="1" t="s">
        <v>44</v>
      </c>
      <c r="G1978" s="1" t="s">
        <v>7654</v>
      </c>
      <c r="H1978" s="1"/>
      <c r="I1978" s="1"/>
      <c r="J1978" s="1"/>
      <c r="K1978" s="1"/>
      <c r="L1978" s="1"/>
      <c r="M1978" s="1" t="s">
        <v>72</v>
      </c>
      <c r="N1978" s="1" t="s">
        <v>57</v>
      </c>
      <c r="O1978" s="1" t="s">
        <v>175</v>
      </c>
      <c r="P1978" s="1"/>
      <c r="Q1978" s="3">
        <v>36892.0</v>
      </c>
      <c r="R1978" s="1"/>
      <c r="S1978" s="1"/>
      <c r="T1978" s="1" t="s">
        <v>37</v>
      </c>
      <c r="U1978" s="1"/>
      <c r="V1978" s="1" t="s">
        <v>38</v>
      </c>
      <c r="W1978" s="1"/>
      <c r="X1978" s="1"/>
      <c r="Y1978" s="1" t="s">
        <v>49</v>
      </c>
      <c r="Z1978" s="1"/>
      <c r="AA1978" s="1" t="s">
        <v>40</v>
      </c>
      <c r="AB1978" s="1" t="s">
        <v>176</v>
      </c>
      <c r="AC1978" s="1"/>
    </row>
    <row r="1979">
      <c r="A1979" s="1" t="str">
        <f>"00096A"</f>
        <v>00096A</v>
      </c>
      <c r="B1979" s="1" t="s">
        <v>7655</v>
      </c>
      <c r="C1979" s="1" t="s">
        <v>7656</v>
      </c>
      <c r="D1979" s="1" t="str">
        <f>"8025632352"</f>
        <v>8025632352</v>
      </c>
      <c r="E1979" s="1">
        <v>3933.0</v>
      </c>
      <c r="F1979" s="1" t="s">
        <v>44</v>
      </c>
      <c r="G1979" s="1" t="s">
        <v>7657</v>
      </c>
      <c r="H1979" s="1">
        <v>0.0</v>
      </c>
      <c r="I1979" s="1"/>
      <c r="J1979" s="1"/>
      <c r="K1979" s="1"/>
      <c r="L1979" s="1"/>
      <c r="M1979" s="1" t="s">
        <v>72</v>
      </c>
      <c r="N1979" s="1" t="s">
        <v>128</v>
      </c>
      <c r="O1979" s="1" t="s">
        <v>887</v>
      </c>
      <c r="P1979" s="1"/>
      <c r="Q1979" s="3">
        <v>36892.0</v>
      </c>
      <c r="R1979" s="1"/>
      <c r="S1979" s="1"/>
      <c r="T1979" s="1" t="s">
        <v>37</v>
      </c>
      <c r="U1979" s="1"/>
      <c r="V1979" s="1" t="s">
        <v>38</v>
      </c>
      <c r="W1979" s="1">
        <v>44.496181</v>
      </c>
      <c r="X1979" s="1">
        <v>-72.296552</v>
      </c>
      <c r="Y1979" s="1" t="s">
        <v>7658</v>
      </c>
      <c r="Z1979" s="1"/>
      <c r="AA1979" s="1" t="s">
        <v>40</v>
      </c>
      <c r="AB1979" s="1" t="s">
        <v>888</v>
      </c>
      <c r="AC1979" s="1">
        <v>5843.0</v>
      </c>
    </row>
    <row r="1980">
      <c r="A1980" s="1" t="str">
        <f>"00096B"</f>
        <v>00096B</v>
      </c>
      <c r="B1980" s="1" t="s">
        <v>7659</v>
      </c>
      <c r="C1980" s="1" t="s">
        <v>7660</v>
      </c>
      <c r="D1980" s="1" t="str">
        <f>"8023620522"</f>
        <v>8023620522</v>
      </c>
      <c r="E1980" s="1">
        <v>3934.0</v>
      </c>
      <c r="F1980" s="1" t="s">
        <v>44</v>
      </c>
      <c r="G1980" s="1" t="s">
        <v>7661</v>
      </c>
      <c r="H1980" s="1"/>
      <c r="I1980" s="1"/>
      <c r="J1980" s="1"/>
      <c r="K1980" s="1"/>
      <c r="L1980" s="1"/>
      <c r="M1980" s="1" t="s">
        <v>72</v>
      </c>
      <c r="N1980" s="1" t="s">
        <v>414</v>
      </c>
      <c r="O1980" s="1" t="s">
        <v>2880</v>
      </c>
      <c r="P1980" s="1"/>
      <c r="Q1980" s="3">
        <v>36892.0</v>
      </c>
      <c r="R1980" s="1"/>
      <c r="S1980" s="1"/>
      <c r="T1980" s="1" t="s">
        <v>37</v>
      </c>
      <c r="U1980" s="1"/>
      <c r="V1980" s="1" t="s">
        <v>38</v>
      </c>
      <c r="W1980" s="1"/>
      <c r="X1980" s="1"/>
      <c r="Y1980" s="1" t="s">
        <v>49</v>
      </c>
      <c r="Z1980" s="1"/>
      <c r="AA1980" s="1" t="s">
        <v>40</v>
      </c>
      <c r="AB1980" s="1" t="s">
        <v>2881</v>
      </c>
      <c r="AC1980" s="1"/>
    </row>
    <row r="1981">
      <c r="A1981" s="1" t="str">
        <f>"00096C"</f>
        <v>00096C</v>
      </c>
      <c r="B1981" s="1" t="s">
        <v>7662</v>
      </c>
      <c r="C1981" s="1" t="s">
        <v>7663</v>
      </c>
      <c r="D1981" s="1" t="str">
        <f>"8028783486"</f>
        <v>8028783486</v>
      </c>
      <c r="E1981" s="1">
        <v>3935.0</v>
      </c>
      <c r="F1981" s="1" t="s">
        <v>44</v>
      </c>
      <c r="G1981" s="1" t="s">
        <v>7664</v>
      </c>
      <c r="H1981" s="1">
        <v>1.0</v>
      </c>
      <c r="I1981" s="1"/>
      <c r="J1981" s="1"/>
      <c r="K1981" s="1"/>
      <c r="L1981" s="1"/>
      <c r="M1981" s="1" t="s">
        <v>33</v>
      </c>
      <c r="N1981" s="1" t="s">
        <v>57</v>
      </c>
      <c r="O1981" s="1" t="s">
        <v>2092</v>
      </c>
      <c r="P1981" s="1" t="s">
        <v>36</v>
      </c>
      <c r="Q1981" s="3">
        <v>36892.0</v>
      </c>
      <c r="R1981" s="1"/>
      <c r="S1981" s="1"/>
      <c r="T1981" s="1" t="s">
        <v>37</v>
      </c>
      <c r="U1981" s="1"/>
      <c r="V1981" s="1" t="s">
        <v>38</v>
      </c>
      <c r="W1981" s="1">
        <v>44.426521429979</v>
      </c>
      <c r="X1981" s="1">
        <v>-73.1046259403228</v>
      </c>
      <c r="Y1981" s="1" t="s">
        <v>7665</v>
      </c>
      <c r="Z1981" s="1"/>
      <c r="AA1981" s="1" t="s">
        <v>40</v>
      </c>
      <c r="AB1981" s="1" t="s">
        <v>2093</v>
      </c>
      <c r="AC1981" s="1" t="s">
        <v>7666</v>
      </c>
    </row>
    <row r="1982">
      <c r="A1982" s="1" t="str">
        <f>"00096D"</f>
        <v>00096D</v>
      </c>
      <c r="B1982" s="1" t="s">
        <v>7667</v>
      </c>
      <c r="C1982" s="1" t="s">
        <v>7668</v>
      </c>
      <c r="D1982" s="1" t="str">
        <f>"8023996860"</f>
        <v>8023996860</v>
      </c>
      <c r="E1982" s="1">
        <v>3936.0</v>
      </c>
      <c r="F1982" s="1" t="s">
        <v>44</v>
      </c>
      <c r="G1982" s="1" t="s">
        <v>7669</v>
      </c>
      <c r="H1982" s="1"/>
      <c r="I1982" s="1"/>
      <c r="J1982" s="1"/>
      <c r="K1982" s="1"/>
      <c r="L1982" s="1"/>
      <c r="M1982" s="1" t="s">
        <v>7670</v>
      </c>
      <c r="N1982" s="1" t="s">
        <v>57</v>
      </c>
      <c r="O1982" s="1" t="s">
        <v>559</v>
      </c>
      <c r="P1982" s="1"/>
      <c r="Q1982" s="3">
        <v>36892.0</v>
      </c>
      <c r="R1982" s="1"/>
      <c r="S1982" s="1"/>
      <c r="T1982" s="1" t="s">
        <v>37</v>
      </c>
      <c r="U1982" s="1"/>
      <c r="V1982" s="1" t="s">
        <v>38</v>
      </c>
      <c r="W1982" s="1"/>
      <c r="X1982" s="1"/>
      <c r="Y1982" s="1" t="s">
        <v>49</v>
      </c>
      <c r="Z1982" s="1"/>
      <c r="AA1982" s="1" t="s">
        <v>40</v>
      </c>
      <c r="AB1982" s="1" t="s">
        <v>560</v>
      </c>
      <c r="AC1982" s="1"/>
    </row>
    <row r="1983">
      <c r="A1983" s="1" t="str">
        <f>"00096F"</f>
        <v>00096F</v>
      </c>
      <c r="B1983" s="1" t="s">
        <v>7671</v>
      </c>
      <c r="C1983" s="1" t="s">
        <v>7672</v>
      </c>
      <c r="D1983" s="1" t="str">
        <f>"8029222591"</f>
        <v>8029222591</v>
      </c>
      <c r="E1983" s="1">
        <v>3937.0</v>
      </c>
      <c r="F1983" s="1" t="s">
        <v>44</v>
      </c>
      <c r="G1983" s="1" t="s">
        <v>7673</v>
      </c>
      <c r="H1983" s="1">
        <v>6.0</v>
      </c>
      <c r="I1983" s="1"/>
      <c r="J1983" s="1"/>
      <c r="K1983" s="1"/>
      <c r="L1983" s="1"/>
      <c r="M1983" s="1" t="s">
        <v>7674</v>
      </c>
      <c r="N1983" s="1" t="s">
        <v>57</v>
      </c>
      <c r="O1983" s="1" t="s">
        <v>503</v>
      </c>
      <c r="P1983" s="1"/>
      <c r="Q1983" s="3">
        <v>36892.0</v>
      </c>
      <c r="R1983" s="1"/>
      <c r="S1983" s="3">
        <v>41844.0</v>
      </c>
      <c r="T1983" s="1" t="s">
        <v>37</v>
      </c>
      <c r="U1983" s="1"/>
      <c r="V1983" s="1" t="s">
        <v>38</v>
      </c>
      <c r="W1983" s="1">
        <v>44.43267</v>
      </c>
      <c r="X1983" s="1">
        <v>-73.2019599999999</v>
      </c>
      <c r="Y1983" s="1" t="s">
        <v>7675</v>
      </c>
      <c r="Z1983" s="1"/>
      <c r="AA1983" s="1" t="s">
        <v>40</v>
      </c>
      <c r="AB1983" s="1" t="s">
        <v>176</v>
      </c>
      <c r="AC1983" s="1">
        <v>5405.0</v>
      </c>
    </row>
    <row r="1984">
      <c r="A1984" s="1" t="str">
        <f>"00096G"</f>
        <v>00096G</v>
      </c>
      <c r="B1984" s="1" t="s">
        <v>7676</v>
      </c>
      <c r="C1984" s="1" t="s">
        <v>7677</v>
      </c>
      <c r="D1984" s="1" t="str">
        <f>"8028625017"</f>
        <v>8028625017</v>
      </c>
      <c r="E1984" s="1">
        <v>3938.0</v>
      </c>
      <c r="F1984" s="1" t="s">
        <v>44</v>
      </c>
      <c r="G1984" s="1" t="s">
        <v>7678</v>
      </c>
      <c r="H1984" s="1">
        <v>1.0</v>
      </c>
      <c r="I1984" s="1"/>
      <c r="J1984" s="1"/>
      <c r="K1984" s="1"/>
      <c r="L1984" s="1"/>
      <c r="M1984" s="1" t="s">
        <v>72</v>
      </c>
      <c r="N1984" s="1" t="s">
        <v>57</v>
      </c>
      <c r="O1984" s="1" t="s">
        <v>175</v>
      </c>
      <c r="P1984" s="1"/>
      <c r="Q1984" s="3">
        <v>36892.0</v>
      </c>
      <c r="R1984" s="1"/>
      <c r="S1984" s="1"/>
      <c r="T1984" s="1" t="s">
        <v>37</v>
      </c>
      <c r="U1984" s="1"/>
      <c r="V1984" s="1" t="s">
        <v>38</v>
      </c>
      <c r="W1984" s="1">
        <v>44.506167</v>
      </c>
      <c r="X1984" s="1">
        <v>-73.273683</v>
      </c>
      <c r="Y1984" s="1" t="s">
        <v>7679</v>
      </c>
      <c r="Z1984" s="1"/>
      <c r="AA1984" s="1" t="s">
        <v>40</v>
      </c>
      <c r="AB1984" s="1" t="s">
        <v>176</v>
      </c>
      <c r="AC1984" s="1">
        <v>5408.0</v>
      </c>
    </row>
    <row r="1985">
      <c r="A1985" s="1" t="str">
        <f>"00096H"</f>
        <v>00096H</v>
      </c>
      <c r="B1985" s="1" t="s">
        <v>7680</v>
      </c>
      <c r="C1985" s="1" t="s">
        <v>7681</v>
      </c>
      <c r="D1985" s="1" t="str">
        <f>"8025843519"</f>
        <v>8025843519</v>
      </c>
      <c r="E1985" s="1">
        <v>3939.0</v>
      </c>
      <c r="F1985" s="1" t="s">
        <v>44</v>
      </c>
      <c r="G1985" s="1" t="s">
        <v>7682</v>
      </c>
      <c r="H1985" s="1">
        <v>9.0</v>
      </c>
      <c r="I1985" s="1"/>
      <c r="J1985" s="1"/>
      <c r="K1985" s="1"/>
      <c r="L1985" s="1"/>
      <c r="M1985" s="1" t="s">
        <v>33</v>
      </c>
      <c r="N1985" s="1" t="s">
        <v>128</v>
      </c>
      <c r="O1985" s="1" t="s">
        <v>1333</v>
      </c>
      <c r="P1985" s="1" t="s">
        <v>36</v>
      </c>
      <c r="Q1985" s="3">
        <v>36892.0</v>
      </c>
      <c r="R1985" s="1"/>
      <c r="S1985" s="3">
        <v>40023.0</v>
      </c>
      <c r="T1985" s="1" t="s">
        <v>37</v>
      </c>
      <c r="U1985" s="1"/>
      <c r="V1985" s="1" t="s">
        <v>38</v>
      </c>
      <c r="W1985" s="1">
        <v>44.19977</v>
      </c>
      <c r="X1985" s="1">
        <v>-72.27508</v>
      </c>
      <c r="Y1985" s="1" t="s">
        <v>7683</v>
      </c>
      <c r="Z1985" s="1"/>
      <c r="AA1985" s="1" t="s">
        <v>40</v>
      </c>
      <c r="AB1985" s="1" t="s">
        <v>1334</v>
      </c>
      <c r="AC1985" s="1">
        <v>5046.0</v>
      </c>
    </row>
    <row r="1986">
      <c r="A1986" s="1" t="str">
        <f>"00096J"</f>
        <v>00096J</v>
      </c>
      <c r="B1986" s="1" t="s">
        <v>7684</v>
      </c>
      <c r="C1986" s="1" t="s">
        <v>7685</v>
      </c>
      <c r="D1986" s="1" t="str">
        <f>"8028854502"</f>
        <v>8028854502</v>
      </c>
      <c r="E1986" s="1">
        <v>3941.0</v>
      </c>
      <c r="F1986" s="1" t="s">
        <v>44</v>
      </c>
      <c r="G1986" s="1" t="s">
        <v>7686</v>
      </c>
      <c r="H1986" s="1">
        <v>1.0</v>
      </c>
      <c r="I1986" s="1"/>
      <c r="J1986" s="1"/>
      <c r="K1986" s="1"/>
      <c r="L1986" s="1"/>
      <c r="M1986" s="1" t="s">
        <v>72</v>
      </c>
      <c r="N1986" s="1" t="s">
        <v>34</v>
      </c>
      <c r="O1986" s="1" t="s">
        <v>642</v>
      </c>
      <c r="P1986" s="1"/>
      <c r="Q1986" s="3">
        <v>36892.0</v>
      </c>
      <c r="R1986" s="1"/>
      <c r="S1986" s="3">
        <v>40058.0</v>
      </c>
      <c r="T1986" s="1" t="s">
        <v>37</v>
      </c>
      <c r="U1986" s="1"/>
      <c r="V1986" s="1" t="s">
        <v>38</v>
      </c>
      <c r="W1986" s="1">
        <v>43.330318</v>
      </c>
      <c r="X1986" s="1">
        <v>-72.4956819999999</v>
      </c>
      <c r="Y1986" s="1" t="s">
        <v>7687</v>
      </c>
      <c r="Z1986" s="1"/>
      <c r="AA1986" s="1" t="s">
        <v>40</v>
      </c>
      <c r="AB1986" s="1" t="s">
        <v>643</v>
      </c>
      <c r="AC1986" s="1">
        <v>5156.0</v>
      </c>
    </row>
    <row r="1987">
      <c r="A1987" s="1" t="str">
        <f>"00096K"</f>
        <v>00096K</v>
      </c>
      <c r="B1987" s="1" t="s">
        <v>7688</v>
      </c>
      <c r="C1987" s="1" t="s">
        <v>7689</v>
      </c>
      <c r="D1987" s="1" t="str">
        <f>"8027637057"</f>
        <v>8027637057</v>
      </c>
      <c r="E1987" s="1">
        <v>3942.0</v>
      </c>
      <c r="F1987" s="1" t="s">
        <v>44</v>
      </c>
      <c r="G1987" s="1" t="s">
        <v>7690</v>
      </c>
      <c r="H1987" s="1">
        <v>1.0</v>
      </c>
      <c r="I1987" s="1"/>
      <c r="J1987" s="1"/>
      <c r="K1987" s="1"/>
      <c r="L1987" s="1"/>
      <c r="M1987" s="1" t="s">
        <v>7691</v>
      </c>
      <c r="N1987" s="1" t="s">
        <v>34</v>
      </c>
      <c r="O1987" s="1" t="s">
        <v>551</v>
      </c>
      <c r="P1987" s="1"/>
      <c r="Q1987" s="3">
        <v>36892.0</v>
      </c>
      <c r="R1987" s="1"/>
      <c r="S1987" s="3">
        <v>39617.0</v>
      </c>
      <c r="T1987" s="1" t="s">
        <v>37</v>
      </c>
      <c r="U1987" s="1"/>
      <c r="V1987" s="1" t="s">
        <v>38</v>
      </c>
      <c r="W1987" s="1"/>
      <c r="X1987" s="1"/>
      <c r="Y1987" s="1" t="s">
        <v>49</v>
      </c>
      <c r="Z1987" s="1"/>
      <c r="AA1987" s="1" t="s">
        <v>40</v>
      </c>
      <c r="AB1987" s="1" t="s">
        <v>552</v>
      </c>
      <c r="AC1987" s="1"/>
    </row>
    <row r="1988">
      <c r="A1988" s="1" t="str">
        <f>"00096M"</f>
        <v>00096M</v>
      </c>
      <c r="B1988" s="1" t="s">
        <v>7692</v>
      </c>
      <c r="C1988" s="1" t="s">
        <v>7693</v>
      </c>
      <c r="D1988" s="1" t="str">
        <f>"8022919138"</f>
        <v>8022919138</v>
      </c>
      <c r="E1988" s="1">
        <v>3943.0</v>
      </c>
      <c r="F1988" s="1" t="s">
        <v>44</v>
      </c>
      <c r="G1988" s="1" t="s">
        <v>7694</v>
      </c>
      <c r="H1988" s="1">
        <v>5.0</v>
      </c>
      <c r="I1988" s="1"/>
      <c r="J1988" s="1"/>
      <c r="K1988" s="1"/>
      <c r="L1988" s="1"/>
      <c r="M1988" s="1" t="s">
        <v>72</v>
      </c>
      <c r="N1988" s="1" t="s">
        <v>34</v>
      </c>
      <c r="O1988" s="1" t="s">
        <v>85</v>
      </c>
      <c r="P1988" s="1"/>
      <c r="Q1988" s="3">
        <v>36892.0</v>
      </c>
      <c r="R1988" s="1"/>
      <c r="S1988" s="3">
        <v>40336.0</v>
      </c>
      <c r="T1988" s="1" t="s">
        <v>37</v>
      </c>
      <c r="U1988" s="1"/>
      <c r="V1988" s="1" t="s">
        <v>38</v>
      </c>
      <c r="W1988" s="1"/>
      <c r="X1988" s="1"/>
      <c r="Y1988" s="1" t="s">
        <v>49</v>
      </c>
      <c r="Z1988" s="1"/>
      <c r="AA1988" s="1" t="s">
        <v>40</v>
      </c>
      <c r="AB1988" s="1" t="s">
        <v>86</v>
      </c>
      <c r="AC1988" s="1"/>
    </row>
    <row r="1989">
      <c r="A1989" s="1" t="str">
        <f>"00096N"</f>
        <v>00096N</v>
      </c>
      <c r="B1989" s="1" t="s">
        <v>7695</v>
      </c>
      <c r="C1989" s="1" t="s">
        <v>7696</v>
      </c>
      <c r="D1989" s="1" t="str">
        <f>"8029482759"</f>
        <v>8029482759</v>
      </c>
      <c r="E1989" s="1">
        <v>3944.0</v>
      </c>
      <c r="F1989" s="1" t="s">
        <v>44</v>
      </c>
      <c r="G1989" s="1" t="s">
        <v>7697</v>
      </c>
      <c r="H1989" s="1">
        <v>1.0</v>
      </c>
      <c r="I1989" s="1"/>
      <c r="J1989" s="1"/>
      <c r="K1989" s="1"/>
      <c r="L1989" s="1"/>
      <c r="M1989" s="1" t="s">
        <v>33</v>
      </c>
      <c r="N1989" s="1" t="s">
        <v>161</v>
      </c>
      <c r="O1989" s="1" t="s">
        <v>531</v>
      </c>
      <c r="P1989" s="1" t="s">
        <v>36</v>
      </c>
      <c r="Q1989" s="3">
        <v>36892.0</v>
      </c>
      <c r="R1989" s="1"/>
      <c r="S1989" s="3">
        <v>39596.0</v>
      </c>
      <c r="T1989" s="1" t="s">
        <v>37</v>
      </c>
      <c r="U1989" s="1"/>
      <c r="V1989" s="1" t="s">
        <v>38</v>
      </c>
      <c r="W1989" s="1">
        <v>43.8223</v>
      </c>
      <c r="X1989" s="1">
        <v>-73.26139</v>
      </c>
      <c r="Y1989" s="1" t="s">
        <v>7698</v>
      </c>
      <c r="Z1989" s="1"/>
      <c r="AA1989" s="1" t="s">
        <v>40</v>
      </c>
      <c r="AB1989" s="1" t="s">
        <v>532</v>
      </c>
      <c r="AC1989" s="1">
        <v>5760.0</v>
      </c>
    </row>
    <row r="1990">
      <c r="A1990" s="1" t="str">
        <f>"0007H8"</f>
        <v>0007H8</v>
      </c>
      <c r="B1990" s="1" t="s">
        <v>7699</v>
      </c>
      <c r="C1990" s="1" t="s">
        <v>7700</v>
      </c>
      <c r="D1990" s="1"/>
      <c r="E1990" s="1">
        <v>3947.0</v>
      </c>
      <c r="F1990" s="1" t="s">
        <v>44</v>
      </c>
      <c r="G1990" s="1" t="s">
        <v>7701</v>
      </c>
      <c r="H1990" s="1">
        <v>3.0</v>
      </c>
      <c r="I1990" s="1"/>
      <c r="J1990" s="1"/>
      <c r="K1990" s="1"/>
      <c r="L1990" s="1"/>
      <c r="M1990" s="1" t="s">
        <v>72</v>
      </c>
      <c r="N1990" s="1" t="s">
        <v>161</v>
      </c>
      <c r="O1990" s="1" t="s">
        <v>307</v>
      </c>
      <c r="P1990" s="1"/>
      <c r="Q1990" s="3">
        <v>36892.0</v>
      </c>
      <c r="R1990" s="1"/>
      <c r="S1990" s="3">
        <v>39645.0</v>
      </c>
      <c r="T1990" s="1" t="s">
        <v>37</v>
      </c>
      <c r="U1990" s="1"/>
      <c r="V1990" s="1" t="s">
        <v>38</v>
      </c>
      <c r="W1990" s="1"/>
      <c r="X1990" s="1"/>
      <c r="Y1990" s="1" t="s">
        <v>49</v>
      </c>
      <c r="Z1990" s="1"/>
      <c r="AA1990" s="1" t="s">
        <v>40</v>
      </c>
      <c r="AB1990" s="1" t="s">
        <v>308</v>
      </c>
      <c r="AC1990" s="1"/>
    </row>
    <row r="1991">
      <c r="A1991" s="1" t="str">
        <f>"0007JA"</f>
        <v>0007JA</v>
      </c>
      <c r="B1991" s="1" t="s">
        <v>7702</v>
      </c>
      <c r="C1991" s="1" t="s">
        <v>7703</v>
      </c>
      <c r="D1991" s="1" t="str">
        <f>"8024395756"</f>
        <v>8024395756</v>
      </c>
      <c r="E1991" s="1">
        <v>3949.0</v>
      </c>
      <c r="F1991" s="1" t="s">
        <v>44</v>
      </c>
      <c r="G1991" s="1" t="s">
        <v>7704</v>
      </c>
      <c r="H1991" s="1">
        <v>3.0</v>
      </c>
      <c r="I1991" s="1"/>
      <c r="J1991" s="1"/>
      <c r="K1991" s="1"/>
      <c r="L1991" s="1"/>
      <c r="M1991" s="1" t="s">
        <v>72</v>
      </c>
      <c r="N1991" s="1" t="s">
        <v>142</v>
      </c>
      <c r="O1991" s="1" t="s">
        <v>222</v>
      </c>
      <c r="P1991" s="1"/>
      <c r="Q1991" s="3">
        <v>36892.0</v>
      </c>
      <c r="R1991" s="1"/>
      <c r="S1991" s="3">
        <v>39644.0</v>
      </c>
      <c r="T1991" s="1" t="s">
        <v>37</v>
      </c>
      <c r="U1991" s="1"/>
      <c r="V1991" s="1" t="s">
        <v>38</v>
      </c>
      <c r="W1991" s="1"/>
      <c r="X1991" s="1"/>
      <c r="Y1991" s="1" t="s">
        <v>49</v>
      </c>
      <c r="Z1991" s="1"/>
      <c r="AA1991" s="1" t="s">
        <v>40</v>
      </c>
      <c r="AB1991" s="1" t="s">
        <v>223</v>
      </c>
      <c r="AC1991" s="1"/>
    </row>
    <row r="1992">
      <c r="A1992" s="1" t="str">
        <f>"00096P"</f>
        <v>00096P</v>
      </c>
      <c r="B1992" s="1" t="s">
        <v>7705</v>
      </c>
      <c r="C1992" s="1" t="s">
        <v>7706</v>
      </c>
      <c r="D1992" s="1" t="str">
        <f>"8027483413"</f>
        <v>8027483413</v>
      </c>
      <c r="E1992" s="1">
        <v>3950.0</v>
      </c>
      <c r="F1992" s="1" t="s">
        <v>44</v>
      </c>
      <c r="G1992" s="1" t="s">
        <v>7707</v>
      </c>
      <c r="H1992" s="1"/>
      <c r="I1992" s="1"/>
      <c r="J1992" s="1"/>
      <c r="K1992" s="1"/>
      <c r="L1992" s="1"/>
      <c r="M1992" s="1" t="s">
        <v>72</v>
      </c>
      <c r="N1992" s="1" t="s">
        <v>128</v>
      </c>
      <c r="O1992" s="1" t="s">
        <v>1707</v>
      </c>
      <c r="P1992" s="1"/>
      <c r="Q1992" s="3">
        <v>36892.0</v>
      </c>
      <c r="R1992" s="1"/>
      <c r="S1992" s="1"/>
      <c r="T1992" s="1" t="s">
        <v>37</v>
      </c>
      <c r="U1992" s="1"/>
      <c r="V1992" s="1" t="s">
        <v>38</v>
      </c>
      <c r="W1992" s="1"/>
      <c r="X1992" s="1"/>
      <c r="Y1992" s="1" t="s">
        <v>49</v>
      </c>
      <c r="Z1992" s="1"/>
      <c r="AA1992" s="1" t="s">
        <v>40</v>
      </c>
      <c r="AB1992" s="1" t="s">
        <v>196</v>
      </c>
      <c r="AC1992" s="1"/>
    </row>
    <row r="1993">
      <c r="A1993" s="1" t="str">
        <f>"00096V"</f>
        <v>00096V</v>
      </c>
      <c r="B1993" s="1" t="s">
        <v>7708</v>
      </c>
      <c r="C1993" s="1" t="s">
        <v>7709</v>
      </c>
      <c r="D1993" s="1" t="str">
        <f>"8028884142"</f>
        <v>8028884142</v>
      </c>
      <c r="E1993" s="1">
        <v>3957.0</v>
      </c>
      <c r="F1993" s="1" t="s">
        <v>44</v>
      </c>
      <c r="G1993" s="1" t="s">
        <v>7710</v>
      </c>
      <c r="H1993" s="1"/>
      <c r="I1993" s="1"/>
      <c r="J1993" s="1"/>
      <c r="K1993" s="1"/>
      <c r="L1993" s="1"/>
      <c r="M1993" s="1" t="s">
        <v>72</v>
      </c>
      <c r="N1993" s="1" t="s">
        <v>213</v>
      </c>
      <c r="O1993" s="1" t="s">
        <v>2562</v>
      </c>
      <c r="P1993" s="1"/>
      <c r="Q1993" s="3">
        <v>36892.0</v>
      </c>
      <c r="R1993" s="1"/>
      <c r="S1993" s="1"/>
      <c r="T1993" s="1" t="s">
        <v>37</v>
      </c>
      <c r="U1993" s="1"/>
      <c r="V1993" s="1" t="s">
        <v>38</v>
      </c>
      <c r="W1993" s="1"/>
      <c r="X1993" s="1"/>
      <c r="Y1993" s="1" t="s">
        <v>49</v>
      </c>
      <c r="Z1993" s="1"/>
      <c r="AA1993" s="1" t="s">
        <v>40</v>
      </c>
      <c r="AB1993" s="1" t="s">
        <v>2563</v>
      </c>
      <c r="AC1993" s="1"/>
    </row>
    <row r="1994">
      <c r="A1994" s="1" t="str">
        <f>"00096W"</f>
        <v>00096W</v>
      </c>
      <c r="B1994" s="1" t="s">
        <v>7711</v>
      </c>
      <c r="C1994" s="1" t="s">
        <v>7712</v>
      </c>
      <c r="D1994" s="1" t="str">
        <f>"8024345004"</f>
        <v>8024345004</v>
      </c>
      <c r="E1994" s="1">
        <v>3959.0</v>
      </c>
      <c r="F1994" s="1" t="s">
        <v>117</v>
      </c>
      <c r="G1994" s="1" t="s">
        <v>7713</v>
      </c>
      <c r="H1994" s="1">
        <v>1.0</v>
      </c>
      <c r="I1994" s="2">
        <v>1.0</v>
      </c>
      <c r="J1994" s="2">
        <v>1.0</v>
      </c>
      <c r="K1994" s="2" t="s">
        <v>829</v>
      </c>
      <c r="L1994" s="1"/>
      <c r="M1994" s="1" t="s">
        <v>7714</v>
      </c>
      <c r="N1994" s="1" t="s">
        <v>57</v>
      </c>
      <c r="O1994" s="1" t="s">
        <v>313</v>
      </c>
      <c r="P1994" s="1" t="s">
        <v>7715</v>
      </c>
      <c r="Q1994" s="3">
        <v>36892.0</v>
      </c>
      <c r="R1994" s="1"/>
      <c r="S1994" s="1"/>
      <c r="T1994" s="1" t="s">
        <v>37</v>
      </c>
      <c r="U1994" s="1"/>
      <c r="V1994" s="1" t="s">
        <v>38</v>
      </c>
      <c r="W1994" s="1">
        <v>44.3125927</v>
      </c>
      <c r="X1994" s="1">
        <v>-72.9500310999999</v>
      </c>
      <c r="Y1994" s="1" t="s">
        <v>7716</v>
      </c>
      <c r="Z1994" s="1"/>
      <c r="AA1994" s="1" t="s">
        <v>40</v>
      </c>
      <c r="AB1994" s="1" t="s">
        <v>314</v>
      </c>
      <c r="AC1994" s="1">
        <v>5462.0</v>
      </c>
    </row>
    <row r="1995">
      <c r="A1995" s="1" t="str">
        <f>"0007PP"</f>
        <v>0007PP</v>
      </c>
      <c r="B1995" s="1" t="s">
        <v>7717</v>
      </c>
      <c r="C1995" s="1" t="s">
        <v>7718</v>
      </c>
      <c r="D1995" s="1" t="str">
        <f>"8022872268"</f>
        <v>8022872268</v>
      </c>
      <c r="E1995" s="1">
        <v>3960.0</v>
      </c>
      <c r="F1995" s="1" t="s">
        <v>44</v>
      </c>
      <c r="G1995" s="1" t="s">
        <v>7719</v>
      </c>
      <c r="H1995" s="1"/>
      <c r="I1995" s="1"/>
      <c r="J1995" s="1"/>
      <c r="K1995" s="1"/>
      <c r="L1995" s="1"/>
      <c r="M1995" s="1" t="s">
        <v>72</v>
      </c>
      <c r="N1995" s="1" t="s">
        <v>78</v>
      </c>
      <c r="O1995" s="1" t="s">
        <v>615</v>
      </c>
      <c r="P1995" s="1"/>
      <c r="Q1995" s="3">
        <v>36892.0</v>
      </c>
      <c r="R1995" s="1"/>
      <c r="S1995" s="1"/>
      <c r="T1995" s="1" t="s">
        <v>37</v>
      </c>
      <c r="U1995" s="1"/>
      <c r="V1995" s="1" t="s">
        <v>38</v>
      </c>
      <c r="W1995" s="1"/>
      <c r="X1995" s="1"/>
      <c r="Y1995" s="1" t="s">
        <v>49</v>
      </c>
      <c r="Z1995" s="1"/>
      <c r="AA1995" s="1" t="s">
        <v>40</v>
      </c>
      <c r="AB1995" s="1" t="s">
        <v>616</v>
      </c>
      <c r="AC1995" s="1"/>
    </row>
    <row r="1996">
      <c r="A1996" s="1" t="str">
        <f>"00087C"</f>
        <v>00087C</v>
      </c>
      <c r="B1996" s="1" t="s">
        <v>7720</v>
      </c>
      <c r="C1996" s="1" t="s">
        <v>7721</v>
      </c>
      <c r="D1996" s="1" t="str">
        <f>"8024462888"</f>
        <v>8024462888</v>
      </c>
      <c r="E1996" s="1">
        <v>3961.0</v>
      </c>
      <c r="F1996" s="1" t="s">
        <v>31</v>
      </c>
      <c r="G1996" s="1" t="s">
        <v>7722</v>
      </c>
      <c r="H1996" s="1">
        <v>1.0</v>
      </c>
      <c r="I1996" s="1"/>
      <c r="J1996" s="1"/>
      <c r="K1996" s="1"/>
      <c r="L1996" s="1"/>
      <c r="M1996" s="1" t="s">
        <v>72</v>
      </c>
      <c r="N1996" s="1" t="s">
        <v>78</v>
      </c>
      <c r="O1996" s="1" t="s">
        <v>1124</v>
      </c>
      <c r="P1996" s="1"/>
      <c r="Q1996" s="3">
        <v>36892.0</v>
      </c>
      <c r="R1996" s="1"/>
      <c r="S1996" s="1"/>
      <c r="T1996" s="1" t="s">
        <v>37</v>
      </c>
      <c r="U1996" s="1"/>
      <c r="V1996" s="1" t="s">
        <v>38</v>
      </c>
      <c r="W1996" s="1">
        <v>43.472413</v>
      </c>
      <c r="X1996" s="1">
        <v>-72.9568199</v>
      </c>
      <c r="Y1996" s="1" t="s">
        <v>7723</v>
      </c>
      <c r="Z1996" s="1"/>
      <c r="AA1996" s="1" t="s">
        <v>40</v>
      </c>
      <c r="AB1996" s="1" t="s">
        <v>1127</v>
      </c>
      <c r="AC1996" s="1">
        <v>5773.0</v>
      </c>
    </row>
    <row r="1997">
      <c r="A1997" s="1" t="str">
        <f>"00096X"</f>
        <v>00096X</v>
      </c>
      <c r="B1997" s="1" t="s">
        <v>7724</v>
      </c>
      <c r="C1997" s="1" t="s">
        <v>7725</v>
      </c>
      <c r="D1997" s="1" t="str">
        <f>"8023759932"</f>
        <v>8023759932</v>
      </c>
      <c r="E1997" s="1">
        <v>3962.0</v>
      </c>
      <c r="F1997" s="1" t="s">
        <v>44</v>
      </c>
      <c r="G1997" s="1" t="s">
        <v>7726</v>
      </c>
      <c r="H1997" s="1">
        <v>1.0</v>
      </c>
      <c r="I1997" s="1"/>
      <c r="J1997" s="1"/>
      <c r="K1997" s="1"/>
      <c r="L1997" s="1"/>
      <c r="M1997" s="1" t="s">
        <v>33</v>
      </c>
      <c r="N1997" s="1" t="s">
        <v>414</v>
      </c>
      <c r="O1997" s="1" t="s">
        <v>2703</v>
      </c>
      <c r="P1997" s="1" t="s">
        <v>36</v>
      </c>
      <c r="Q1997" s="3">
        <v>36892.0</v>
      </c>
      <c r="R1997" s="1"/>
      <c r="S1997" s="1"/>
      <c r="T1997" s="1" t="s">
        <v>37</v>
      </c>
      <c r="U1997" s="1"/>
      <c r="V1997" s="1" t="s">
        <v>38</v>
      </c>
      <c r="W1997" s="1"/>
      <c r="X1997" s="1"/>
      <c r="Y1997" s="1" t="s">
        <v>49</v>
      </c>
      <c r="Z1997" s="1"/>
      <c r="AA1997" s="1" t="s">
        <v>40</v>
      </c>
      <c r="AB1997" s="1" t="s">
        <v>2704</v>
      </c>
      <c r="AC1997" s="1"/>
    </row>
    <row r="1998">
      <c r="A1998" s="1" t="str">
        <f>"00096Y"</f>
        <v>00096Y</v>
      </c>
      <c r="B1998" s="1" t="s">
        <v>7727</v>
      </c>
      <c r="C1998" s="1" t="s">
        <v>7728</v>
      </c>
      <c r="D1998" s="1" t="str">
        <f>"8023627319"</f>
        <v>8023627319</v>
      </c>
      <c r="E1998" s="1">
        <v>3963.0</v>
      </c>
      <c r="F1998" s="1" t="s">
        <v>44</v>
      </c>
      <c r="G1998" s="1" t="s">
        <v>7729</v>
      </c>
      <c r="H1998" s="1"/>
      <c r="I1998" s="1"/>
      <c r="J1998" s="1"/>
      <c r="K1998" s="1"/>
      <c r="L1998" s="1"/>
      <c r="M1998" s="1" t="s">
        <v>72</v>
      </c>
      <c r="N1998" s="1" t="s">
        <v>414</v>
      </c>
      <c r="O1998" s="1" t="s">
        <v>415</v>
      </c>
      <c r="P1998" s="1"/>
      <c r="Q1998" s="3">
        <v>36892.0</v>
      </c>
      <c r="R1998" s="1"/>
      <c r="S1998" s="1"/>
      <c r="T1998" s="1" t="s">
        <v>37</v>
      </c>
      <c r="U1998" s="1"/>
      <c r="V1998" s="1" t="s">
        <v>38</v>
      </c>
      <c r="W1998" s="1"/>
      <c r="X1998" s="1"/>
      <c r="Y1998" s="1" t="s">
        <v>49</v>
      </c>
      <c r="Z1998" s="1"/>
      <c r="AA1998" s="1" t="s">
        <v>40</v>
      </c>
      <c r="AB1998" s="1" t="s">
        <v>416</v>
      </c>
      <c r="AC1998" s="1"/>
    </row>
    <row r="1999">
      <c r="A1999" s="1" t="str">
        <f>"00096Z"</f>
        <v>00096Z</v>
      </c>
      <c r="B1999" s="1" t="s">
        <v>7730</v>
      </c>
      <c r="C1999" s="1" t="s">
        <v>7731</v>
      </c>
      <c r="D1999" s="1" t="str">
        <f>"8024823518"</f>
        <v>8024823518</v>
      </c>
      <c r="E1999" s="1">
        <v>3964.0</v>
      </c>
      <c r="F1999" s="1" t="s">
        <v>44</v>
      </c>
      <c r="G1999" s="1" t="s">
        <v>7732</v>
      </c>
      <c r="H1999" s="1"/>
      <c r="I1999" s="1"/>
      <c r="J1999" s="1"/>
      <c r="K1999" s="1"/>
      <c r="L1999" s="1"/>
      <c r="M1999" s="1" t="s">
        <v>72</v>
      </c>
      <c r="N1999" s="1" t="s">
        <v>57</v>
      </c>
      <c r="O1999" s="1" t="s">
        <v>204</v>
      </c>
      <c r="P1999" s="1"/>
      <c r="Q1999" s="3">
        <v>36892.0</v>
      </c>
      <c r="R1999" s="1"/>
      <c r="S1999" s="1"/>
      <c r="T1999" s="1" t="s">
        <v>37</v>
      </c>
      <c r="U1999" s="1"/>
      <c r="V1999" s="1" t="s">
        <v>38</v>
      </c>
      <c r="W1999" s="1"/>
      <c r="X1999" s="1"/>
      <c r="Y1999" s="1" t="s">
        <v>49</v>
      </c>
      <c r="Z1999" s="1"/>
      <c r="AA1999" s="1" t="s">
        <v>40</v>
      </c>
      <c r="AB1999" s="1" t="s">
        <v>205</v>
      </c>
      <c r="AC1999" s="1"/>
    </row>
    <row r="2000">
      <c r="A2000" s="1" t="str">
        <f>"00086W"</f>
        <v>00086W</v>
      </c>
      <c r="B2000" s="1" t="s">
        <v>2981</v>
      </c>
      <c r="C2000" s="1" t="s">
        <v>2982</v>
      </c>
      <c r="D2000" s="1" t="str">
        <f>"5612675376"</f>
        <v>5612675376</v>
      </c>
      <c r="E2000" s="1">
        <v>3956.0</v>
      </c>
      <c r="F2000" s="1" t="s">
        <v>117</v>
      </c>
      <c r="G2000" s="1" t="s">
        <v>7733</v>
      </c>
      <c r="H2000" s="1">
        <v>0.0</v>
      </c>
      <c r="I2000" s="1"/>
      <c r="J2000" s="1"/>
      <c r="K2000" s="1"/>
      <c r="L2000" s="1"/>
      <c r="M2000" s="1" t="s">
        <v>7734</v>
      </c>
      <c r="N2000" s="1" t="s">
        <v>135</v>
      </c>
      <c r="O2000" s="1" t="s">
        <v>805</v>
      </c>
      <c r="P2000" s="1" t="s">
        <v>7735</v>
      </c>
      <c r="Q2000" s="3">
        <v>36892.0</v>
      </c>
      <c r="R2000" s="1"/>
      <c r="S2000" s="3">
        <v>42514.0</v>
      </c>
      <c r="T2000" s="1" t="s">
        <v>37</v>
      </c>
      <c r="U2000" s="1"/>
      <c r="V2000" s="1" t="s">
        <v>38</v>
      </c>
      <c r="W2000" s="1">
        <v>44.2966131639695</v>
      </c>
      <c r="X2000" s="1">
        <v>-72.4650692939758</v>
      </c>
      <c r="Y2000" s="1" t="s">
        <v>7736</v>
      </c>
      <c r="Z2000" s="1"/>
      <c r="AA2000" s="1" t="s">
        <v>40</v>
      </c>
      <c r="AB2000" s="1" t="s">
        <v>7737</v>
      </c>
      <c r="AC2000" s="1">
        <v>5651.0</v>
      </c>
    </row>
    <row r="2001">
      <c r="A2001" s="1" t="str">
        <f>"000971"</f>
        <v>000971</v>
      </c>
      <c r="B2001" s="1" t="s">
        <v>7738</v>
      </c>
      <c r="C2001" s="1" t="s">
        <v>7739</v>
      </c>
      <c r="D2001" s="1" t="str">
        <f>"8024395245"</f>
        <v>8024395245</v>
      </c>
      <c r="E2001" s="1">
        <v>3969.0</v>
      </c>
      <c r="F2001" s="1" t="s">
        <v>44</v>
      </c>
      <c r="G2001" s="1" t="s">
        <v>7740</v>
      </c>
      <c r="H2001" s="1"/>
      <c r="I2001" s="1"/>
      <c r="J2001" s="1"/>
      <c r="K2001" s="1"/>
      <c r="L2001" s="1"/>
      <c r="M2001" s="1" t="s">
        <v>134</v>
      </c>
      <c r="N2001" s="1" t="s">
        <v>142</v>
      </c>
      <c r="O2001" s="1" t="s">
        <v>227</v>
      </c>
      <c r="P2001" s="1"/>
      <c r="Q2001" s="3">
        <v>36892.0</v>
      </c>
      <c r="R2001" s="1"/>
      <c r="S2001" s="1"/>
      <c r="T2001" s="1" t="s">
        <v>37</v>
      </c>
      <c r="U2001" s="1"/>
      <c r="V2001" s="1" t="s">
        <v>38</v>
      </c>
      <c r="W2001" s="1"/>
      <c r="X2001" s="1"/>
      <c r="Y2001" s="1" t="s">
        <v>49</v>
      </c>
      <c r="Z2001" s="1"/>
      <c r="AA2001" s="1" t="s">
        <v>40</v>
      </c>
      <c r="AB2001" s="1" t="s">
        <v>228</v>
      </c>
      <c r="AC2001" s="1"/>
    </row>
    <row r="2002">
      <c r="A2002" s="1" t="str">
        <f>"000972"</f>
        <v>000972</v>
      </c>
      <c r="B2002" s="1" t="s">
        <v>7741</v>
      </c>
      <c r="C2002" s="1" t="s">
        <v>7742</v>
      </c>
      <c r="D2002" s="1" t="str">
        <f>"8023884181"</f>
        <v>8023884181</v>
      </c>
      <c r="E2002" s="1">
        <v>3970.0</v>
      </c>
      <c r="F2002" s="1" t="s">
        <v>44</v>
      </c>
      <c r="G2002" s="1" t="s">
        <v>7743</v>
      </c>
      <c r="H2002" s="1"/>
      <c r="I2002" s="1"/>
      <c r="J2002" s="1"/>
      <c r="K2002" s="1"/>
      <c r="L2002" s="1"/>
      <c r="M2002" s="1" t="s">
        <v>72</v>
      </c>
      <c r="N2002" s="1" t="s">
        <v>161</v>
      </c>
      <c r="O2002" s="1" t="s">
        <v>185</v>
      </c>
      <c r="P2002" s="1"/>
      <c r="Q2002" s="3">
        <v>36892.0</v>
      </c>
      <c r="R2002" s="1"/>
      <c r="S2002" s="1"/>
      <c r="T2002" s="1" t="s">
        <v>37</v>
      </c>
      <c r="U2002" s="1"/>
      <c r="V2002" s="1" t="s">
        <v>38</v>
      </c>
      <c r="W2002" s="1"/>
      <c r="X2002" s="1"/>
      <c r="Y2002" s="1" t="s">
        <v>49</v>
      </c>
      <c r="Z2002" s="1"/>
      <c r="AA2002" s="1" t="s">
        <v>40</v>
      </c>
      <c r="AB2002" s="1" t="s">
        <v>186</v>
      </c>
      <c r="AC2002" s="1"/>
    </row>
    <row r="2003">
      <c r="A2003" s="1" t="str">
        <f>"000973"</f>
        <v>000973</v>
      </c>
      <c r="B2003" s="1" t="s">
        <v>7744</v>
      </c>
      <c r="C2003" s="1" t="s">
        <v>7745</v>
      </c>
      <c r="D2003" s="1" t="str">
        <f>"8024571291"</f>
        <v>8024571291</v>
      </c>
      <c r="E2003" s="1">
        <v>3971.0</v>
      </c>
      <c r="F2003" s="1" t="s">
        <v>44</v>
      </c>
      <c r="G2003" s="1" t="s">
        <v>7746</v>
      </c>
      <c r="H2003" s="1">
        <v>0.0</v>
      </c>
      <c r="I2003" s="1"/>
      <c r="J2003" s="1"/>
      <c r="K2003" s="1"/>
      <c r="L2003" s="1"/>
      <c r="M2003" s="1" t="s">
        <v>72</v>
      </c>
      <c r="N2003" s="1" t="s">
        <v>34</v>
      </c>
      <c r="O2003" s="1" t="s">
        <v>1286</v>
      </c>
      <c r="P2003" s="1"/>
      <c r="Q2003" s="3">
        <v>36892.0</v>
      </c>
      <c r="R2003" s="1"/>
      <c r="S2003" s="1"/>
      <c r="T2003" s="1" t="s">
        <v>37</v>
      </c>
      <c r="U2003" s="1"/>
      <c r="V2003" s="1" t="s">
        <v>38</v>
      </c>
      <c r="W2003" s="1">
        <v>43.704254</v>
      </c>
      <c r="X2003" s="1">
        <v>-72.5105669999999</v>
      </c>
      <c r="Y2003" s="1" t="s">
        <v>7747</v>
      </c>
      <c r="Z2003" s="1"/>
      <c r="AA2003" s="1" t="s">
        <v>40</v>
      </c>
      <c r="AB2003" s="1" t="s">
        <v>1287</v>
      </c>
      <c r="AC2003" s="1">
        <v>5067.0</v>
      </c>
    </row>
    <row r="2004">
      <c r="A2004" s="1" t="str">
        <f>"0007DJ"</f>
        <v>0007DJ</v>
      </c>
      <c r="B2004" s="1" t="s">
        <v>5582</v>
      </c>
      <c r="C2004" s="1" t="s">
        <v>5583</v>
      </c>
      <c r="D2004" s="1" t="str">
        <f>"8023494279"</f>
        <v>8023494279</v>
      </c>
      <c r="E2004" s="1">
        <v>2870.0</v>
      </c>
      <c r="F2004" s="1" t="s">
        <v>117</v>
      </c>
      <c r="G2004" s="1" t="s">
        <v>7748</v>
      </c>
      <c r="H2004" s="1">
        <v>2.0</v>
      </c>
      <c r="I2004" s="2">
        <v>3.0</v>
      </c>
      <c r="J2004" s="2">
        <v>2.0</v>
      </c>
      <c r="K2004" s="2" t="s">
        <v>119</v>
      </c>
      <c r="L2004" s="1"/>
      <c r="M2004" s="1" t="s">
        <v>7749</v>
      </c>
      <c r="N2004" s="1" t="s">
        <v>161</v>
      </c>
      <c r="O2004" s="1" t="s">
        <v>162</v>
      </c>
      <c r="P2004" s="1" t="s">
        <v>7750</v>
      </c>
      <c r="Q2004" s="3">
        <v>36892.0</v>
      </c>
      <c r="R2004" s="1"/>
      <c r="S2004" s="3">
        <v>41429.0</v>
      </c>
      <c r="T2004" s="1" t="s">
        <v>37</v>
      </c>
      <c r="U2004" s="1"/>
      <c r="V2004" s="1" t="s">
        <v>38</v>
      </c>
      <c r="W2004" s="1">
        <v>44.0126480216148</v>
      </c>
      <c r="X2004" s="1">
        <v>-73.1917762756347</v>
      </c>
      <c r="Y2004" s="1" t="s">
        <v>49</v>
      </c>
      <c r="Z2004" s="1"/>
      <c r="AA2004" s="1" t="s">
        <v>40</v>
      </c>
      <c r="AB2004" s="1" t="s">
        <v>166</v>
      </c>
      <c r="AC2004" s="1">
        <v>5753.0</v>
      </c>
    </row>
    <row r="2005">
      <c r="A2005" s="1" t="str">
        <f>"000974"</f>
        <v>000974</v>
      </c>
      <c r="B2005" s="1" t="s">
        <v>7751</v>
      </c>
      <c r="C2005" s="1" t="s">
        <v>7752</v>
      </c>
      <c r="D2005" s="1" t="str">
        <f>"8024537590"</f>
        <v>8024537590</v>
      </c>
      <c r="E2005" s="1">
        <v>3974.0</v>
      </c>
      <c r="F2005" s="1" t="s">
        <v>44</v>
      </c>
      <c r="G2005" s="1" t="s">
        <v>7753</v>
      </c>
      <c r="H2005" s="1">
        <v>1.0</v>
      </c>
      <c r="I2005" s="1"/>
      <c r="J2005" s="1"/>
      <c r="K2005" s="1"/>
      <c r="L2005" s="1"/>
      <c r="M2005" s="1" t="s">
        <v>72</v>
      </c>
      <c r="N2005" s="1" t="s">
        <v>161</v>
      </c>
      <c r="O2005" s="1" t="s">
        <v>180</v>
      </c>
      <c r="P2005" s="1" t="s">
        <v>7754</v>
      </c>
      <c r="Q2005" s="3">
        <v>39661.0</v>
      </c>
      <c r="R2005" s="1"/>
      <c r="S2005" s="1"/>
      <c r="T2005" s="1" t="s">
        <v>37</v>
      </c>
      <c r="U2005" s="1"/>
      <c r="V2005" s="1" t="s">
        <v>38</v>
      </c>
      <c r="W2005" s="1"/>
      <c r="X2005" s="1"/>
      <c r="Y2005" s="1" t="s">
        <v>49</v>
      </c>
      <c r="Z2005" s="1"/>
      <c r="AA2005" s="1" t="s">
        <v>40</v>
      </c>
      <c r="AB2005" s="1" t="s">
        <v>181</v>
      </c>
      <c r="AC2005" s="1"/>
    </row>
    <row r="2006">
      <c r="A2006" s="1" t="str">
        <f>"0007HH"</f>
        <v>0007HH</v>
      </c>
      <c r="B2006" s="1" t="s">
        <v>1748</v>
      </c>
      <c r="C2006" s="1" t="s">
        <v>1749</v>
      </c>
      <c r="D2006" s="1" t="str">
        <f>"8028996736"</f>
        <v>8028996736</v>
      </c>
      <c r="E2006" s="1">
        <v>2979.0</v>
      </c>
      <c r="F2006" s="1" t="s">
        <v>44</v>
      </c>
      <c r="G2006" s="1" t="s">
        <v>7755</v>
      </c>
      <c r="H2006" s="1">
        <v>1.0</v>
      </c>
      <c r="I2006" s="1"/>
      <c r="J2006" s="1"/>
      <c r="K2006" s="1"/>
      <c r="L2006" s="1"/>
      <c r="M2006" s="1" t="s">
        <v>7756</v>
      </c>
      <c r="N2006" s="1" t="s">
        <v>57</v>
      </c>
      <c r="O2006" s="1" t="s">
        <v>509</v>
      </c>
      <c r="P2006" s="1"/>
      <c r="Q2006" s="3">
        <v>36892.0</v>
      </c>
      <c r="R2006" s="1"/>
      <c r="S2006" s="3">
        <v>39933.0</v>
      </c>
      <c r="T2006" s="1" t="s">
        <v>37</v>
      </c>
      <c r="U2006" s="1"/>
      <c r="V2006" s="1" t="s">
        <v>38</v>
      </c>
      <c r="W2006" s="1"/>
      <c r="X2006" s="1"/>
      <c r="Y2006" s="1" t="s">
        <v>49</v>
      </c>
      <c r="Z2006" s="1"/>
      <c r="AA2006" s="1" t="s">
        <v>40</v>
      </c>
      <c r="AB2006" s="1" t="s">
        <v>331</v>
      </c>
      <c r="AC2006" s="1"/>
    </row>
    <row r="2007">
      <c r="A2007" s="1" t="str">
        <f>"000978"</f>
        <v>000978</v>
      </c>
      <c r="B2007" s="1" t="s">
        <v>7757</v>
      </c>
      <c r="C2007" s="1" t="s">
        <v>7758</v>
      </c>
      <c r="D2007" s="1" t="str">
        <f>"8025843758"</f>
        <v>8025843758</v>
      </c>
      <c r="E2007" s="1">
        <v>4023.0</v>
      </c>
      <c r="F2007" s="1" t="s">
        <v>44</v>
      </c>
      <c r="G2007" s="1" t="s">
        <v>7759</v>
      </c>
      <c r="H2007" s="1">
        <v>0.0</v>
      </c>
      <c r="I2007" s="1"/>
      <c r="J2007" s="1"/>
      <c r="K2007" s="1"/>
      <c r="L2007" s="1"/>
      <c r="M2007" s="1" t="s">
        <v>72</v>
      </c>
      <c r="N2007" s="1" t="s">
        <v>142</v>
      </c>
      <c r="O2007" s="1" t="s">
        <v>400</v>
      </c>
      <c r="P2007" s="1"/>
      <c r="Q2007" s="3">
        <v>36892.0</v>
      </c>
      <c r="R2007" s="1"/>
      <c r="S2007" s="1"/>
      <c r="T2007" s="1" t="s">
        <v>37</v>
      </c>
      <c r="U2007" s="1"/>
      <c r="V2007" s="1" t="s">
        <v>38</v>
      </c>
      <c r="W2007" s="1">
        <v>44.132999</v>
      </c>
      <c r="X2007" s="1">
        <v>-72.1885039999999</v>
      </c>
      <c r="Y2007" s="1" t="s">
        <v>7760</v>
      </c>
      <c r="Z2007" s="1"/>
      <c r="AA2007" s="1" t="s">
        <v>40</v>
      </c>
      <c r="AB2007" s="1" t="s">
        <v>401</v>
      </c>
      <c r="AC2007" s="1">
        <v>5076.0</v>
      </c>
    </row>
    <row r="2008">
      <c r="A2008" s="1" t="str">
        <f>"000979"</f>
        <v>000979</v>
      </c>
      <c r="B2008" s="1" t="s">
        <v>7761</v>
      </c>
      <c r="C2008" s="1" t="s">
        <v>7762</v>
      </c>
      <c r="D2008" s="1" t="str">
        <f>"8028858226"</f>
        <v>8028858226</v>
      </c>
      <c r="E2008" s="1">
        <v>4024.0</v>
      </c>
      <c r="F2008" s="1" t="s">
        <v>44</v>
      </c>
      <c r="G2008" s="1" t="s">
        <v>7763</v>
      </c>
      <c r="H2008" s="1">
        <v>2.0</v>
      </c>
      <c r="I2008" s="1"/>
      <c r="J2008" s="1"/>
      <c r="K2008" s="1"/>
      <c r="L2008" s="1"/>
      <c r="M2008" s="1" t="s">
        <v>72</v>
      </c>
      <c r="N2008" s="1" t="s">
        <v>34</v>
      </c>
      <c r="O2008" s="1" t="s">
        <v>642</v>
      </c>
      <c r="P2008" s="1"/>
      <c r="Q2008" s="3">
        <v>36892.0</v>
      </c>
      <c r="R2008" s="1"/>
      <c r="S2008" s="3">
        <v>40058.0</v>
      </c>
      <c r="T2008" s="1" t="s">
        <v>37</v>
      </c>
      <c r="U2008" s="1"/>
      <c r="V2008" s="1" t="s">
        <v>38</v>
      </c>
      <c r="W2008" s="1">
        <v>43.282547</v>
      </c>
      <c r="X2008" s="1">
        <v>-72.44957</v>
      </c>
      <c r="Y2008" s="1" t="s">
        <v>7764</v>
      </c>
      <c r="Z2008" s="1"/>
      <c r="AA2008" s="1" t="s">
        <v>40</v>
      </c>
      <c r="AB2008" s="1" t="s">
        <v>643</v>
      </c>
      <c r="AC2008" s="1">
        <v>5156.0</v>
      </c>
    </row>
    <row r="2009">
      <c r="A2009" s="1" t="str">
        <f>"00097A"</f>
        <v>00097A</v>
      </c>
      <c r="B2009" s="1" t="s">
        <v>7765</v>
      </c>
      <c r="C2009" s="1" t="s">
        <v>7766</v>
      </c>
      <c r="D2009" s="1" t="str">
        <f>"8028276546"</f>
        <v>8028276546</v>
      </c>
      <c r="E2009" s="1">
        <v>4025.0</v>
      </c>
      <c r="F2009" s="1" t="s">
        <v>44</v>
      </c>
      <c r="G2009" s="1" t="s">
        <v>7767</v>
      </c>
      <c r="H2009" s="1">
        <v>1.0</v>
      </c>
      <c r="I2009" s="2" t="s">
        <v>119</v>
      </c>
      <c r="J2009" s="2" t="s">
        <v>119</v>
      </c>
      <c r="K2009" s="2" t="s">
        <v>119</v>
      </c>
      <c r="L2009" s="1"/>
      <c r="M2009" s="1" t="s">
        <v>72</v>
      </c>
      <c r="N2009" s="1" t="s">
        <v>47</v>
      </c>
      <c r="O2009" s="1" t="s">
        <v>928</v>
      </c>
      <c r="P2009" s="1" t="s">
        <v>7768</v>
      </c>
      <c r="Q2009" s="3">
        <v>36892.0</v>
      </c>
      <c r="R2009" s="1"/>
      <c r="S2009" s="1"/>
      <c r="T2009" s="1" t="s">
        <v>37</v>
      </c>
      <c r="U2009" s="1"/>
      <c r="V2009" s="1" t="s">
        <v>38</v>
      </c>
      <c r="W2009" s="1">
        <v>44.7807494</v>
      </c>
      <c r="X2009" s="1">
        <v>-72.8158952</v>
      </c>
      <c r="Y2009" s="1" t="s">
        <v>7769</v>
      </c>
      <c r="Z2009" s="1"/>
      <c r="AA2009" s="1" t="s">
        <v>40</v>
      </c>
      <c r="AB2009" s="1" t="s">
        <v>929</v>
      </c>
      <c r="AC2009" s="1">
        <v>5448.0</v>
      </c>
    </row>
    <row r="2010">
      <c r="A2010" s="1" t="str">
        <f>"00097B"</f>
        <v>00097B</v>
      </c>
      <c r="B2010" s="1" t="s">
        <v>7770</v>
      </c>
      <c r="C2010" s="1" t="s">
        <v>7771</v>
      </c>
      <c r="D2010" s="1" t="str">
        <f>"7742537216"</f>
        <v>7742537216</v>
      </c>
      <c r="E2010" s="1">
        <v>4028.0</v>
      </c>
      <c r="F2010" s="1" t="s">
        <v>44</v>
      </c>
      <c r="G2010" s="1" t="s">
        <v>7772</v>
      </c>
      <c r="H2010" s="1">
        <v>1.0</v>
      </c>
      <c r="I2010" s="1"/>
      <c r="J2010" s="1"/>
      <c r="K2010" s="1"/>
      <c r="L2010" s="1"/>
      <c r="M2010" s="1" t="s">
        <v>7773</v>
      </c>
      <c r="N2010" s="1" t="s">
        <v>142</v>
      </c>
      <c r="O2010" s="1" t="s">
        <v>540</v>
      </c>
      <c r="P2010" s="1"/>
      <c r="Q2010" s="3">
        <v>39934.0</v>
      </c>
      <c r="R2010" s="1"/>
      <c r="S2010" s="1"/>
      <c r="T2010" s="1" t="s">
        <v>37</v>
      </c>
      <c r="U2010" s="1"/>
      <c r="V2010" s="1" t="s">
        <v>38</v>
      </c>
      <c r="W2010" s="1"/>
      <c r="X2010" s="1"/>
      <c r="Y2010" s="1" t="s">
        <v>49</v>
      </c>
      <c r="Z2010" s="1"/>
      <c r="AA2010" s="1" t="s">
        <v>40</v>
      </c>
      <c r="AB2010" s="1" t="s">
        <v>541</v>
      </c>
      <c r="AC2010" s="1"/>
    </row>
    <row r="2011">
      <c r="A2011" s="1" t="str">
        <f>"00097C"</f>
        <v>00097C</v>
      </c>
      <c r="B2011" s="1" t="s">
        <v>7774</v>
      </c>
      <c r="C2011" s="1" t="s">
        <v>7775</v>
      </c>
      <c r="D2011" s="1" t="str">
        <f>"8024967174"</f>
        <v>8024967174</v>
      </c>
      <c r="E2011" s="1">
        <v>4029.0</v>
      </c>
      <c r="F2011" s="1" t="s">
        <v>117</v>
      </c>
      <c r="G2011" s="1" t="s">
        <v>7776</v>
      </c>
      <c r="H2011" s="1">
        <v>0.0</v>
      </c>
      <c r="I2011" s="2">
        <v>0.0</v>
      </c>
      <c r="J2011" s="2">
        <v>0.0</v>
      </c>
      <c r="K2011" s="2" t="s">
        <v>119</v>
      </c>
      <c r="L2011" s="2" t="s">
        <v>4799</v>
      </c>
      <c r="M2011" s="1" t="s">
        <v>7777</v>
      </c>
      <c r="N2011" s="1" t="s">
        <v>135</v>
      </c>
      <c r="O2011" s="1" t="s">
        <v>440</v>
      </c>
      <c r="P2011" s="1" t="s">
        <v>7778</v>
      </c>
      <c r="Q2011" s="3">
        <v>36892.0</v>
      </c>
      <c r="R2011" s="1"/>
      <c r="S2011" s="3">
        <v>41485.0</v>
      </c>
      <c r="T2011" s="1" t="s">
        <v>37</v>
      </c>
      <c r="U2011" s="1"/>
      <c r="V2011" s="1" t="s">
        <v>38</v>
      </c>
      <c r="W2011" s="1">
        <v>44.18148</v>
      </c>
      <c r="X2011" s="1">
        <v>-72.8349299999999</v>
      </c>
      <c r="Y2011" s="1" t="s">
        <v>7779</v>
      </c>
      <c r="Z2011" s="1"/>
      <c r="AA2011" s="1" t="s">
        <v>40</v>
      </c>
      <c r="AB2011" s="1" t="s">
        <v>441</v>
      </c>
      <c r="AC2011" s="1">
        <v>5673.0</v>
      </c>
    </row>
    <row r="2012">
      <c r="A2012" s="1" t="str">
        <f>"00097G"</f>
        <v>00097G</v>
      </c>
      <c r="B2012" s="1" t="s">
        <v>7780</v>
      </c>
      <c r="C2012" s="1" t="s">
        <v>7781</v>
      </c>
      <c r="D2012" s="1" t="str">
        <f>"8028492854"</f>
        <v>8028492854</v>
      </c>
      <c r="E2012" s="1">
        <v>4032.0</v>
      </c>
      <c r="F2012" s="1" t="s">
        <v>44</v>
      </c>
      <c r="G2012" s="1" t="s">
        <v>7782</v>
      </c>
      <c r="H2012" s="1">
        <v>0.0</v>
      </c>
      <c r="I2012" s="1"/>
      <c r="J2012" s="1"/>
      <c r="K2012" s="1"/>
      <c r="L2012" s="1"/>
      <c r="M2012" s="1" t="s">
        <v>72</v>
      </c>
      <c r="N2012" s="1" t="s">
        <v>47</v>
      </c>
      <c r="O2012" s="1" t="s">
        <v>378</v>
      </c>
      <c r="P2012" s="1"/>
      <c r="Q2012" s="3">
        <v>36892.0</v>
      </c>
      <c r="R2012" s="1"/>
      <c r="S2012" s="1"/>
      <c r="T2012" s="1" t="s">
        <v>37</v>
      </c>
      <c r="U2012" s="1"/>
      <c r="V2012" s="1" t="s">
        <v>38</v>
      </c>
      <c r="W2012" s="1">
        <v>44.663843</v>
      </c>
      <c r="X2012" s="1">
        <v>-73.0099319999999</v>
      </c>
      <c r="Y2012" s="1" t="s">
        <v>7783</v>
      </c>
      <c r="Z2012" s="1"/>
      <c r="AA2012" s="1" t="s">
        <v>40</v>
      </c>
      <c r="AB2012" s="1" t="s">
        <v>381</v>
      </c>
      <c r="AC2012" s="1">
        <v>5454.0</v>
      </c>
    </row>
    <row r="2013">
      <c r="A2013" s="1" t="str">
        <f>"00097H"</f>
        <v>00097H</v>
      </c>
      <c r="B2013" s="1" t="s">
        <v>7784</v>
      </c>
      <c r="C2013" s="1" t="s">
        <v>7785</v>
      </c>
      <c r="D2013" s="1" t="str">
        <f>"8027524347"</f>
        <v>8027524347</v>
      </c>
      <c r="E2013" s="1">
        <v>4033.0</v>
      </c>
      <c r="F2013" s="1" t="s">
        <v>44</v>
      </c>
      <c r="G2013" s="1" t="s">
        <v>7786</v>
      </c>
      <c r="H2013" s="1"/>
      <c r="I2013" s="1"/>
      <c r="J2013" s="1"/>
      <c r="K2013" s="1"/>
      <c r="L2013" s="1"/>
      <c r="M2013" s="1" t="s">
        <v>72</v>
      </c>
      <c r="N2013" s="1" t="s">
        <v>107</v>
      </c>
      <c r="O2013" s="1" t="s">
        <v>2016</v>
      </c>
      <c r="P2013" s="1"/>
      <c r="Q2013" s="3">
        <v>36892.0</v>
      </c>
      <c r="R2013" s="1"/>
      <c r="S2013" s="1"/>
      <c r="T2013" s="1" t="s">
        <v>37</v>
      </c>
      <c r="U2013" s="1"/>
      <c r="V2013" s="1" t="s">
        <v>38</v>
      </c>
      <c r="W2013" s="1"/>
      <c r="X2013" s="1"/>
      <c r="Y2013" s="1" t="s">
        <v>49</v>
      </c>
      <c r="Z2013" s="1"/>
      <c r="AA2013" s="1" t="s">
        <v>40</v>
      </c>
      <c r="AB2013" s="1" t="s">
        <v>2019</v>
      </c>
      <c r="AC2013" s="1"/>
    </row>
    <row r="2014">
      <c r="A2014" s="1" t="str">
        <f>"00097J"</f>
        <v>00097J</v>
      </c>
      <c r="B2014" s="1" t="s">
        <v>7787</v>
      </c>
      <c r="C2014" s="1" t="s">
        <v>7788</v>
      </c>
      <c r="D2014" s="1" t="str">
        <f>"8027757630"</f>
        <v>8027757630</v>
      </c>
      <c r="E2014" s="1">
        <v>4034.0</v>
      </c>
      <c r="F2014" s="1" t="s">
        <v>44</v>
      </c>
      <c r="G2014" s="1" t="s">
        <v>7789</v>
      </c>
      <c r="H2014" s="1"/>
      <c r="I2014" s="1"/>
      <c r="J2014" s="1"/>
      <c r="K2014" s="1"/>
      <c r="L2014" s="1"/>
      <c r="M2014" s="1" t="s">
        <v>72</v>
      </c>
      <c r="N2014" s="1" t="s">
        <v>78</v>
      </c>
      <c r="O2014" s="1" t="s">
        <v>452</v>
      </c>
      <c r="P2014" s="1"/>
      <c r="Q2014" s="3">
        <v>36892.0</v>
      </c>
      <c r="R2014" s="1"/>
      <c r="S2014" s="1"/>
      <c r="T2014" s="1" t="s">
        <v>37</v>
      </c>
      <c r="U2014" s="1"/>
      <c r="V2014" s="1" t="s">
        <v>38</v>
      </c>
      <c r="W2014" s="1"/>
      <c r="X2014" s="1"/>
      <c r="Y2014" s="1" t="s">
        <v>49</v>
      </c>
      <c r="Z2014" s="1"/>
      <c r="AA2014" s="1" t="s">
        <v>40</v>
      </c>
      <c r="AB2014" s="1" t="s">
        <v>452</v>
      </c>
      <c r="AC2014" s="1"/>
    </row>
    <row r="2015">
      <c r="A2015" s="1" t="str">
        <f>"00097K"</f>
        <v>00097K</v>
      </c>
      <c r="B2015" s="1" t="s">
        <v>7790</v>
      </c>
      <c r="C2015" s="1" t="s">
        <v>7791</v>
      </c>
      <c r="D2015" s="1" t="str">
        <f>"8024462689"</f>
        <v>8024462689</v>
      </c>
      <c r="E2015" s="1">
        <v>4035.0</v>
      </c>
      <c r="F2015" s="1" t="s">
        <v>31</v>
      </c>
      <c r="G2015" s="1" t="s">
        <v>7792</v>
      </c>
      <c r="H2015" s="1">
        <v>1.0</v>
      </c>
      <c r="I2015" s="1"/>
      <c r="J2015" s="1"/>
      <c r="K2015" s="1"/>
      <c r="L2015" s="1"/>
      <c r="M2015" s="1" t="s">
        <v>7793</v>
      </c>
      <c r="N2015" s="1" t="s">
        <v>78</v>
      </c>
      <c r="O2015" s="1" t="s">
        <v>2872</v>
      </c>
      <c r="P2015" s="1" t="s">
        <v>7794</v>
      </c>
      <c r="Q2015" s="3">
        <v>36892.0</v>
      </c>
      <c r="R2015" s="1"/>
      <c r="S2015" s="1"/>
      <c r="T2015" s="1" t="s">
        <v>37</v>
      </c>
      <c r="U2015" s="1"/>
      <c r="V2015" s="1" t="s">
        <v>38</v>
      </c>
      <c r="W2015" s="1">
        <v>43.483929</v>
      </c>
      <c r="X2015" s="1">
        <v>-73.0152509999999</v>
      </c>
      <c r="Y2015" s="1" t="s">
        <v>7795</v>
      </c>
      <c r="Z2015" s="1"/>
      <c r="AA2015" s="1" t="s">
        <v>40</v>
      </c>
      <c r="AB2015" s="1" t="s">
        <v>2875</v>
      </c>
      <c r="AC2015" s="1" t="s">
        <v>7796</v>
      </c>
    </row>
    <row r="2016">
      <c r="A2016" s="1" t="str">
        <f>"00097M"</f>
        <v>00097M</v>
      </c>
      <c r="B2016" s="1" t="s">
        <v>7797</v>
      </c>
      <c r="C2016" s="1" t="s">
        <v>7798</v>
      </c>
      <c r="D2016" s="1" t="str">
        <f>"8025844023"</f>
        <v>8025844023</v>
      </c>
      <c r="E2016" s="1">
        <v>4036.0</v>
      </c>
      <c r="F2016" s="1" t="s">
        <v>44</v>
      </c>
      <c r="G2016" s="1" t="s">
        <v>7799</v>
      </c>
      <c r="H2016" s="1">
        <v>2.0</v>
      </c>
      <c r="I2016" s="1"/>
      <c r="J2016" s="1"/>
      <c r="K2016" s="1"/>
      <c r="L2016" s="1"/>
      <c r="M2016" s="1" t="s">
        <v>72</v>
      </c>
      <c r="N2016" s="1" t="s">
        <v>128</v>
      </c>
      <c r="O2016" s="1" t="s">
        <v>1048</v>
      </c>
      <c r="P2016" s="1"/>
      <c r="Q2016" s="3">
        <v>36892.0</v>
      </c>
      <c r="R2016" s="1"/>
      <c r="S2016" s="3">
        <v>40023.0</v>
      </c>
      <c r="T2016" s="1" t="s">
        <v>37</v>
      </c>
      <c r="U2016" s="1"/>
      <c r="V2016" s="1" t="s">
        <v>38</v>
      </c>
      <c r="W2016" s="1"/>
      <c r="X2016" s="1"/>
      <c r="Y2016" s="1" t="s">
        <v>49</v>
      </c>
      <c r="Z2016" s="1"/>
      <c r="AA2016" s="1" t="s">
        <v>40</v>
      </c>
      <c r="AB2016" s="1" t="s">
        <v>1049</v>
      </c>
      <c r="AC2016" s="1"/>
    </row>
    <row r="2017">
      <c r="A2017" s="1" t="str">
        <f>"00097N"</f>
        <v>00097N</v>
      </c>
      <c r="B2017" s="1" t="s">
        <v>7800</v>
      </c>
      <c r="C2017" s="1" t="s">
        <v>7801</v>
      </c>
      <c r="D2017" s="1" t="str">
        <f>"8022970181"</f>
        <v>8022970181</v>
      </c>
      <c r="E2017" s="1">
        <v>4037.0</v>
      </c>
      <c r="F2017" s="1" t="s">
        <v>44</v>
      </c>
      <c r="G2017" s="1" t="s">
        <v>7802</v>
      </c>
      <c r="H2017" s="1">
        <v>1.0</v>
      </c>
      <c r="I2017" s="1"/>
      <c r="J2017" s="1"/>
      <c r="K2017" s="1"/>
      <c r="L2017" s="1"/>
      <c r="M2017" s="1" t="s">
        <v>33</v>
      </c>
      <c r="N2017" s="1" t="s">
        <v>414</v>
      </c>
      <c r="O2017" s="1" t="s">
        <v>4657</v>
      </c>
      <c r="P2017" s="1" t="s">
        <v>36</v>
      </c>
      <c r="Q2017" s="3">
        <v>36892.0</v>
      </c>
      <c r="R2017" s="1"/>
      <c r="S2017" s="1"/>
      <c r="T2017" s="1" t="s">
        <v>37</v>
      </c>
      <c r="U2017" s="1"/>
      <c r="V2017" s="1" t="s">
        <v>38</v>
      </c>
      <c r="W2017" s="1">
        <v>43.1460764207164</v>
      </c>
      <c r="X2017" s="1">
        <v>-72.8939652442932</v>
      </c>
      <c r="Y2017" s="1" t="s">
        <v>7803</v>
      </c>
      <c r="Z2017" s="1"/>
      <c r="AA2017" s="1" t="s">
        <v>40</v>
      </c>
      <c r="AB2017" s="1" t="s">
        <v>4669</v>
      </c>
      <c r="AC2017" s="1">
        <v>5340.0</v>
      </c>
    </row>
    <row r="2018">
      <c r="A2018" s="1" t="str">
        <f>"00097P"</f>
        <v>00097P</v>
      </c>
      <c r="B2018" s="1" t="s">
        <v>7804</v>
      </c>
      <c r="C2018" s="1" t="s">
        <v>7805</v>
      </c>
      <c r="D2018" s="1" t="str">
        <f>"8027633050"</f>
        <v>8027633050</v>
      </c>
      <c r="E2018" s="1">
        <v>4038.0</v>
      </c>
      <c r="F2018" s="1" t="s">
        <v>44</v>
      </c>
      <c r="G2018" s="1" t="s">
        <v>7806</v>
      </c>
      <c r="H2018" s="1">
        <v>1.0</v>
      </c>
      <c r="I2018" s="1"/>
      <c r="J2018" s="1"/>
      <c r="K2018" s="1"/>
      <c r="L2018" s="1"/>
      <c r="M2018" s="1" t="s">
        <v>72</v>
      </c>
      <c r="N2018" s="1" t="s">
        <v>34</v>
      </c>
      <c r="O2018" s="1" t="s">
        <v>88</v>
      </c>
      <c r="P2018" s="1"/>
      <c r="Q2018" s="3">
        <v>36892.0</v>
      </c>
      <c r="R2018" s="1"/>
      <c r="S2018" s="3">
        <v>40737.0</v>
      </c>
      <c r="T2018" s="1" t="s">
        <v>37</v>
      </c>
      <c r="U2018" s="1"/>
      <c r="V2018" s="1" t="s">
        <v>38</v>
      </c>
      <c r="W2018" s="1"/>
      <c r="X2018" s="1"/>
      <c r="Y2018" s="1" t="s">
        <v>49</v>
      </c>
      <c r="Z2018" s="1"/>
      <c r="AA2018" s="1" t="s">
        <v>40</v>
      </c>
      <c r="AB2018" s="1" t="s">
        <v>89</v>
      </c>
      <c r="AC2018" s="1"/>
    </row>
    <row r="2019">
      <c r="A2019" s="1" t="str">
        <f>"00097W"</f>
        <v>00097W</v>
      </c>
      <c r="B2019" s="1" t="s">
        <v>7807</v>
      </c>
      <c r="C2019" s="1" t="s">
        <v>7808</v>
      </c>
      <c r="D2019" s="1" t="str">
        <f>"8028771529"</f>
        <v>8028771529</v>
      </c>
      <c r="E2019" s="1">
        <v>4044.0</v>
      </c>
      <c r="F2019" s="1" t="s">
        <v>44</v>
      </c>
      <c r="G2019" s="1" t="s">
        <v>7809</v>
      </c>
      <c r="H2019" s="1"/>
      <c r="I2019" s="1"/>
      <c r="J2019" s="1"/>
      <c r="K2019" s="1"/>
      <c r="L2019" s="1"/>
      <c r="M2019" s="1" t="s">
        <v>7810</v>
      </c>
      <c r="N2019" s="1" t="s">
        <v>161</v>
      </c>
      <c r="O2019" s="1" t="s">
        <v>769</v>
      </c>
      <c r="P2019" s="1"/>
      <c r="Q2019" s="3">
        <v>36892.0</v>
      </c>
      <c r="R2019" s="1"/>
      <c r="S2019" s="1"/>
      <c r="T2019" s="1" t="s">
        <v>37</v>
      </c>
      <c r="U2019" s="1"/>
      <c r="V2019" s="1" t="s">
        <v>38</v>
      </c>
      <c r="W2019" s="1"/>
      <c r="X2019" s="1"/>
      <c r="Y2019" s="1" t="s">
        <v>49</v>
      </c>
      <c r="Z2019" s="1"/>
      <c r="AA2019" s="1" t="s">
        <v>40</v>
      </c>
      <c r="AB2019" s="1" t="s">
        <v>770</v>
      </c>
      <c r="AC2019" s="1"/>
    </row>
    <row r="2020">
      <c r="A2020" s="1" t="str">
        <f t="shared" ref="A2020:A2021" si="144">"00097X"</f>
        <v>00097X</v>
      </c>
      <c r="B2020" s="1" t="s">
        <v>7811</v>
      </c>
      <c r="C2020" s="1" t="s">
        <v>7812</v>
      </c>
      <c r="D2020" s="1" t="str">
        <f t="shared" ref="D2020:D2021" si="145">"8027459238"</f>
        <v>8027459238</v>
      </c>
      <c r="E2020" s="1">
        <v>4045.0</v>
      </c>
      <c r="F2020" s="1" t="s">
        <v>44</v>
      </c>
      <c r="G2020" s="1" t="s">
        <v>7813</v>
      </c>
      <c r="H2020" s="1">
        <v>0.0</v>
      </c>
      <c r="I2020" s="1"/>
      <c r="J2020" s="1"/>
      <c r="K2020" s="1"/>
      <c r="L2020" s="1"/>
      <c r="M2020" s="1" t="s">
        <v>7814</v>
      </c>
      <c r="N2020" s="1" t="s">
        <v>94</v>
      </c>
      <c r="O2020" s="1" t="s">
        <v>446</v>
      </c>
      <c r="P2020" s="1"/>
      <c r="Q2020" s="3">
        <v>36892.0</v>
      </c>
      <c r="R2020" s="1"/>
      <c r="S2020" s="1"/>
      <c r="T2020" s="1" t="s">
        <v>37</v>
      </c>
      <c r="U2020" s="1"/>
      <c r="V2020" s="1" t="s">
        <v>38</v>
      </c>
      <c r="W2020" s="1">
        <v>44.9113672</v>
      </c>
      <c r="X2020" s="1">
        <v>-72.0304095999999</v>
      </c>
      <c r="Y2020" s="1" t="s">
        <v>7815</v>
      </c>
      <c r="Z2020" s="1"/>
      <c r="AA2020" s="1" t="s">
        <v>40</v>
      </c>
      <c r="AB2020" s="1" t="s">
        <v>447</v>
      </c>
      <c r="AC2020" s="1">
        <v>5853.0</v>
      </c>
    </row>
    <row r="2021">
      <c r="A2021" s="1" t="str">
        <f t="shared" si="144"/>
        <v>00097X</v>
      </c>
      <c r="B2021" s="1" t="s">
        <v>7811</v>
      </c>
      <c r="C2021" s="1" t="s">
        <v>7812</v>
      </c>
      <c r="D2021" s="1" t="str">
        <f t="shared" si="145"/>
        <v>8027459238</v>
      </c>
      <c r="E2021" s="1">
        <v>4045.0</v>
      </c>
      <c r="F2021" s="1" t="s">
        <v>44</v>
      </c>
      <c r="G2021" s="1" t="s">
        <v>7816</v>
      </c>
      <c r="H2021" s="1">
        <v>0.0</v>
      </c>
      <c r="I2021" s="1"/>
      <c r="J2021" s="1"/>
      <c r="K2021" s="1"/>
      <c r="L2021" s="1"/>
      <c r="M2021" s="1" t="s">
        <v>7814</v>
      </c>
      <c r="N2021" s="1" t="s">
        <v>94</v>
      </c>
      <c r="O2021" s="1" t="s">
        <v>637</v>
      </c>
      <c r="P2021" s="1"/>
      <c r="Q2021" s="3">
        <v>36892.0</v>
      </c>
      <c r="R2021" s="1"/>
      <c r="S2021" s="1"/>
      <c r="T2021" s="1" t="s">
        <v>37</v>
      </c>
      <c r="U2021" s="1"/>
      <c r="V2021" s="1" t="s">
        <v>38</v>
      </c>
      <c r="W2021" s="1">
        <v>44.94025</v>
      </c>
      <c r="X2021" s="1">
        <v>-72.138092</v>
      </c>
      <c r="Y2021" s="1" t="s">
        <v>7817</v>
      </c>
      <c r="Z2021" s="1"/>
      <c r="AA2021" s="1" t="s">
        <v>40</v>
      </c>
      <c r="AB2021" s="1" t="s">
        <v>637</v>
      </c>
      <c r="AC2021" s="1">
        <v>5855.0</v>
      </c>
    </row>
    <row r="2022">
      <c r="A2022" s="1" t="str">
        <f>"00097Y"</f>
        <v>00097Y</v>
      </c>
      <c r="B2022" s="1" t="s">
        <v>7818</v>
      </c>
      <c r="C2022" s="1" t="s">
        <v>7819</v>
      </c>
      <c r="D2022" s="1" t="str">
        <f>"8022237432"</f>
        <v>8022237432</v>
      </c>
      <c r="E2022" s="1">
        <v>4046.0</v>
      </c>
      <c r="F2022" s="1" t="s">
        <v>44</v>
      </c>
      <c r="G2022" s="1" t="s">
        <v>7820</v>
      </c>
      <c r="H2022" s="1"/>
      <c r="I2022" s="1"/>
      <c r="J2022" s="1"/>
      <c r="K2022" s="1"/>
      <c r="L2022" s="1"/>
      <c r="M2022" s="1" t="s">
        <v>72</v>
      </c>
      <c r="N2022" s="1" t="s">
        <v>135</v>
      </c>
      <c r="O2022" s="1" t="s">
        <v>805</v>
      </c>
      <c r="P2022" s="1"/>
      <c r="Q2022" s="3">
        <v>36892.0</v>
      </c>
      <c r="R2022" s="1"/>
      <c r="S2022" s="1"/>
      <c r="T2022" s="1" t="s">
        <v>37</v>
      </c>
      <c r="U2022" s="1"/>
      <c r="V2022" s="1" t="s">
        <v>38</v>
      </c>
      <c r="W2022" s="1"/>
      <c r="X2022" s="1"/>
      <c r="Y2022" s="1" t="s">
        <v>49</v>
      </c>
      <c r="Z2022" s="1"/>
      <c r="AA2022" s="1" t="s">
        <v>40</v>
      </c>
      <c r="AB2022" s="1" t="s">
        <v>806</v>
      </c>
      <c r="AC2022" s="1"/>
    </row>
    <row r="2023">
      <c r="A2023" s="1" t="str">
        <f>"00097Z"</f>
        <v>00097Z</v>
      </c>
      <c r="B2023" s="1" t="s">
        <v>7821</v>
      </c>
      <c r="C2023" s="1" t="s">
        <v>7822</v>
      </c>
      <c r="D2023" s="1" t="str">
        <f>"8022234201"</f>
        <v>8022234201</v>
      </c>
      <c r="E2023" s="1">
        <v>4047.0</v>
      </c>
      <c r="F2023" s="1" t="s">
        <v>117</v>
      </c>
      <c r="G2023" s="1" t="s">
        <v>7823</v>
      </c>
      <c r="H2023" s="1">
        <v>1.0</v>
      </c>
      <c r="I2023" s="2" t="s">
        <v>119</v>
      </c>
      <c r="J2023" s="2" t="s">
        <v>119</v>
      </c>
      <c r="K2023" s="2" t="s">
        <v>119</v>
      </c>
      <c r="L2023" s="1"/>
      <c r="M2023" s="1" t="s">
        <v>33</v>
      </c>
      <c r="N2023" s="1" t="s">
        <v>135</v>
      </c>
      <c r="O2023" s="1" t="s">
        <v>3983</v>
      </c>
      <c r="P2023" s="1" t="s">
        <v>36</v>
      </c>
      <c r="Q2023" s="3">
        <v>36892.0</v>
      </c>
      <c r="R2023" s="3">
        <v>42795.0</v>
      </c>
      <c r="S2023" s="3">
        <v>42145.0</v>
      </c>
      <c r="T2023" s="1" t="s">
        <v>37</v>
      </c>
      <c r="U2023" s="1"/>
      <c r="V2023" s="1" t="s">
        <v>38</v>
      </c>
      <c r="W2023" s="1">
        <v>44.3910578117703</v>
      </c>
      <c r="X2023" s="1">
        <v>-72.5721564888954</v>
      </c>
      <c r="Y2023" s="1" t="s">
        <v>7824</v>
      </c>
      <c r="Z2023" s="1"/>
      <c r="AA2023" s="1" t="s">
        <v>40</v>
      </c>
      <c r="AB2023" s="1" t="s">
        <v>3986</v>
      </c>
      <c r="AC2023" s="1">
        <v>5682.0</v>
      </c>
    </row>
    <row r="2024">
      <c r="A2024" s="1" t="str">
        <f>"000980"</f>
        <v>000980</v>
      </c>
      <c r="B2024" s="1" t="s">
        <v>7825</v>
      </c>
      <c r="C2024" s="1" t="s">
        <v>7826</v>
      </c>
      <c r="D2024" s="1" t="str">
        <f>"8029334411"</f>
        <v>8029334411</v>
      </c>
      <c r="E2024" s="1">
        <v>4048.0</v>
      </c>
      <c r="F2024" s="1" t="s">
        <v>117</v>
      </c>
      <c r="G2024" s="1" t="s">
        <v>7827</v>
      </c>
      <c r="H2024" s="1">
        <v>4.0</v>
      </c>
      <c r="I2024" s="2">
        <v>2.0</v>
      </c>
      <c r="J2024" s="2" t="s">
        <v>119</v>
      </c>
      <c r="K2024" s="2" t="s">
        <v>119</v>
      </c>
      <c r="L2024" s="1"/>
      <c r="M2024" s="1" t="s">
        <v>7828</v>
      </c>
      <c r="N2024" s="1" t="s">
        <v>47</v>
      </c>
      <c r="O2024" s="1" t="s">
        <v>670</v>
      </c>
      <c r="P2024" s="1" t="s">
        <v>7828</v>
      </c>
      <c r="Q2024" s="3">
        <v>36892.0</v>
      </c>
      <c r="R2024" s="1"/>
      <c r="S2024" s="1"/>
      <c r="T2024" s="1" t="s">
        <v>37</v>
      </c>
      <c r="U2024" s="1"/>
      <c r="V2024" s="1" t="s">
        <v>38</v>
      </c>
      <c r="W2024" s="1">
        <v>44.921856</v>
      </c>
      <c r="X2024" s="1">
        <v>-72.9489899999999</v>
      </c>
      <c r="Y2024" s="1" t="s">
        <v>7829</v>
      </c>
      <c r="Z2024" s="1"/>
      <c r="AA2024" s="1" t="s">
        <v>40</v>
      </c>
      <c r="AB2024" s="1" t="s">
        <v>671</v>
      </c>
      <c r="AC2024" s="1">
        <v>5457.0</v>
      </c>
    </row>
    <row r="2025">
      <c r="A2025" s="1" t="str">
        <f>"000981"</f>
        <v>000981</v>
      </c>
      <c r="B2025" s="1" t="s">
        <v>7830</v>
      </c>
      <c r="C2025" s="1" t="s">
        <v>7831</v>
      </c>
      <c r="D2025" s="1" t="str">
        <f>"8024537659"</f>
        <v>8024537659</v>
      </c>
      <c r="E2025" s="1">
        <v>4049.0</v>
      </c>
      <c r="F2025" s="1" t="s">
        <v>44</v>
      </c>
      <c r="G2025" s="1" t="s">
        <v>7832</v>
      </c>
      <c r="H2025" s="1"/>
      <c r="I2025" s="1"/>
      <c r="J2025" s="1"/>
      <c r="K2025" s="1"/>
      <c r="L2025" s="1"/>
      <c r="M2025" s="1" t="s">
        <v>72</v>
      </c>
      <c r="N2025" s="1" t="s">
        <v>161</v>
      </c>
      <c r="O2025" s="1" t="s">
        <v>394</v>
      </c>
      <c r="P2025" s="1"/>
      <c r="Q2025" s="3">
        <v>36892.0</v>
      </c>
      <c r="R2025" s="1"/>
      <c r="S2025" s="1"/>
      <c r="T2025" s="1" t="s">
        <v>37</v>
      </c>
      <c r="U2025" s="1"/>
      <c r="V2025" s="1" t="s">
        <v>38</v>
      </c>
      <c r="W2025" s="1"/>
      <c r="X2025" s="1"/>
      <c r="Y2025" s="1" t="s">
        <v>49</v>
      </c>
      <c r="Z2025" s="1"/>
      <c r="AA2025" s="1" t="s">
        <v>40</v>
      </c>
      <c r="AB2025" s="1" t="s">
        <v>395</v>
      </c>
      <c r="AC2025" s="1"/>
    </row>
    <row r="2026">
      <c r="A2026" s="1" t="str">
        <f>"000982"</f>
        <v>000982</v>
      </c>
      <c r="B2026" s="1" t="s">
        <v>7833</v>
      </c>
      <c r="C2026" s="1" t="s">
        <v>7834</v>
      </c>
      <c r="D2026" s="1" t="str">
        <f>"8028499884"</f>
        <v>8028499884</v>
      </c>
      <c r="E2026" s="1">
        <v>4050.0</v>
      </c>
      <c r="F2026" s="1" t="s">
        <v>117</v>
      </c>
      <c r="G2026" s="1" t="s">
        <v>7835</v>
      </c>
      <c r="H2026" s="1">
        <v>30.0</v>
      </c>
      <c r="I2026" s="2" t="s">
        <v>119</v>
      </c>
      <c r="J2026" s="2" t="s">
        <v>119</v>
      </c>
      <c r="K2026" s="2" t="s">
        <v>119</v>
      </c>
      <c r="L2026" s="1"/>
      <c r="M2026" s="1" t="s">
        <v>72</v>
      </c>
      <c r="N2026" s="1" t="s">
        <v>47</v>
      </c>
      <c r="O2026" s="1" t="s">
        <v>378</v>
      </c>
      <c r="P2026" s="1" t="s">
        <v>7836</v>
      </c>
      <c r="Q2026" s="3">
        <v>36892.0</v>
      </c>
      <c r="R2026" s="1"/>
      <c r="S2026" s="3">
        <v>42494.0</v>
      </c>
      <c r="T2026" s="1" t="s">
        <v>37</v>
      </c>
      <c r="U2026" s="1"/>
      <c r="V2026" s="1" t="s">
        <v>38</v>
      </c>
      <c r="W2026" s="1">
        <v>44.669211</v>
      </c>
      <c r="X2026" s="1">
        <v>-72.987433</v>
      </c>
      <c r="Y2026" s="1" t="s">
        <v>7837</v>
      </c>
      <c r="Z2026" s="1"/>
      <c r="AA2026" s="1" t="s">
        <v>40</v>
      </c>
      <c r="AB2026" s="1" t="s">
        <v>381</v>
      </c>
      <c r="AC2026" s="1">
        <v>5454.0</v>
      </c>
    </row>
    <row r="2027">
      <c r="A2027" s="1" t="str">
        <f>"000983"</f>
        <v>000983</v>
      </c>
      <c r="B2027" s="1" t="s">
        <v>7838</v>
      </c>
      <c r="C2027" s="1" t="s">
        <v>7839</v>
      </c>
      <c r="D2027" s="1" t="str">
        <f>"8026448187"</f>
        <v>8026448187</v>
      </c>
      <c r="E2027" s="1">
        <v>4051.0</v>
      </c>
      <c r="F2027" s="1" t="s">
        <v>44</v>
      </c>
      <c r="G2027" s="1" t="s">
        <v>7840</v>
      </c>
      <c r="H2027" s="1"/>
      <c r="I2027" s="1"/>
      <c r="J2027" s="1"/>
      <c r="K2027" s="1"/>
      <c r="L2027" s="1"/>
      <c r="M2027" s="1" t="s">
        <v>72</v>
      </c>
      <c r="N2027" s="1" t="s">
        <v>213</v>
      </c>
      <c r="O2027" s="1" t="s">
        <v>620</v>
      </c>
      <c r="P2027" s="1"/>
      <c r="Q2027" s="3">
        <v>36892.0</v>
      </c>
      <c r="R2027" s="1"/>
      <c r="S2027" s="1"/>
      <c r="T2027" s="1" t="s">
        <v>37</v>
      </c>
      <c r="U2027" s="1"/>
      <c r="V2027" s="1" t="s">
        <v>38</v>
      </c>
      <c r="W2027" s="1"/>
      <c r="X2027" s="1"/>
      <c r="Y2027" s="1" t="s">
        <v>49</v>
      </c>
      <c r="Z2027" s="1"/>
      <c r="AA2027" s="1" t="s">
        <v>40</v>
      </c>
      <c r="AB2027" s="1" t="s">
        <v>621</v>
      </c>
      <c r="AC2027" s="1"/>
    </row>
    <row r="2028">
      <c r="A2028" s="1" t="str">
        <f>"0008ZJ"</f>
        <v>0008ZJ</v>
      </c>
      <c r="B2028" s="1" t="s">
        <v>7841</v>
      </c>
      <c r="C2028" s="1" t="s">
        <v>7842</v>
      </c>
      <c r="D2028" s="1" t="str">
        <f>"8024362107"</f>
        <v>8024362107</v>
      </c>
      <c r="E2028" s="1">
        <v>3541.0</v>
      </c>
      <c r="F2028" s="1" t="s">
        <v>44</v>
      </c>
      <c r="G2028" s="1" t="s">
        <v>7843</v>
      </c>
      <c r="H2028" s="1"/>
      <c r="I2028" s="1"/>
      <c r="J2028" s="1"/>
      <c r="K2028" s="1"/>
      <c r="L2028" s="1"/>
      <c r="M2028" s="1" t="s">
        <v>7844</v>
      </c>
      <c r="N2028" s="1" t="s">
        <v>34</v>
      </c>
      <c r="O2028" s="1" t="s">
        <v>85</v>
      </c>
      <c r="P2028" s="1"/>
      <c r="Q2028" s="3">
        <v>36892.0</v>
      </c>
      <c r="R2028" s="1"/>
      <c r="S2028" s="1"/>
      <c r="T2028" s="1" t="s">
        <v>37</v>
      </c>
      <c r="U2028" s="1"/>
      <c r="V2028" s="1" t="s">
        <v>38</v>
      </c>
      <c r="W2028" s="1"/>
      <c r="X2028" s="1"/>
      <c r="Y2028" s="1" t="s">
        <v>49</v>
      </c>
      <c r="Z2028" s="1"/>
      <c r="AA2028" s="1" t="s">
        <v>40</v>
      </c>
      <c r="AB2028" s="1" t="s">
        <v>86</v>
      </c>
      <c r="AC2028" s="1"/>
    </row>
    <row r="2029">
      <c r="A2029" s="1" t="str">
        <f>"000984"</f>
        <v>000984</v>
      </c>
      <c r="B2029" s="1" t="s">
        <v>7845</v>
      </c>
      <c r="C2029" s="1" t="s">
        <v>7846</v>
      </c>
      <c r="D2029" s="1" t="str">
        <f>"8028607321"</f>
        <v>8028607321</v>
      </c>
      <c r="E2029" s="1">
        <v>4052.0</v>
      </c>
      <c r="F2029" s="1" t="s">
        <v>44</v>
      </c>
      <c r="G2029" s="1" t="s">
        <v>7847</v>
      </c>
      <c r="H2029" s="1">
        <v>1.0</v>
      </c>
      <c r="I2029" s="1"/>
      <c r="J2029" s="1"/>
      <c r="K2029" s="1"/>
      <c r="L2029" s="1"/>
      <c r="M2029" s="1" t="s">
        <v>2629</v>
      </c>
      <c r="N2029" s="1" t="s">
        <v>57</v>
      </c>
      <c r="O2029" s="1" t="s">
        <v>175</v>
      </c>
      <c r="P2029" s="1" t="s">
        <v>2630</v>
      </c>
      <c r="Q2029" s="3">
        <v>36892.0</v>
      </c>
      <c r="R2029" s="1"/>
      <c r="S2029" s="1"/>
      <c r="T2029" s="1" t="s">
        <v>37</v>
      </c>
      <c r="U2029" s="1"/>
      <c r="V2029" s="1" t="s">
        <v>38</v>
      </c>
      <c r="W2029" s="1"/>
      <c r="X2029" s="1"/>
      <c r="Y2029" s="1" t="s">
        <v>49</v>
      </c>
      <c r="Z2029" s="1"/>
      <c r="AA2029" s="1" t="s">
        <v>40</v>
      </c>
      <c r="AB2029" s="1" t="s">
        <v>176</v>
      </c>
      <c r="AC2029" s="1"/>
    </row>
    <row r="2030">
      <c r="A2030" s="1" t="str">
        <f>"000985"</f>
        <v>000985</v>
      </c>
      <c r="B2030" s="1" t="s">
        <v>7848</v>
      </c>
      <c r="C2030" s="1" t="s">
        <v>7849</v>
      </c>
      <c r="D2030" s="1"/>
      <c r="E2030" s="1">
        <v>4053.0</v>
      </c>
      <c r="F2030" s="1" t="s">
        <v>117</v>
      </c>
      <c r="G2030" s="1" t="s">
        <v>7850</v>
      </c>
      <c r="H2030" s="1">
        <v>3.0</v>
      </c>
      <c r="I2030" s="2">
        <v>1.0</v>
      </c>
      <c r="J2030" s="2">
        <v>0.0</v>
      </c>
      <c r="K2030" s="2" t="s">
        <v>119</v>
      </c>
      <c r="L2030" s="1"/>
      <c r="M2030" s="1" t="s">
        <v>7851</v>
      </c>
      <c r="N2030" s="1" t="s">
        <v>128</v>
      </c>
      <c r="O2030" s="1" t="s">
        <v>1707</v>
      </c>
      <c r="P2030" s="1" t="s">
        <v>7852</v>
      </c>
      <c r="Q2030" s="3">
        <v>36892.0</v>
      </c>
      <c r="R2030" s="1"/>
      <c r="S2030" s="3">
        <v>41146.0</v>
      </c>
      <c r="T2030" s="1" t="s">
        <v>37</v>
      </c>
      <c r="U2030" s="1"/>
      <c r="V2030" s="1" t="s">
        <v>38</v>
      </c>
      <c r="W2030" s="1">
        <v>44.490147</v>
      </c>
      <c r="X2030" s="1">
        <v>-72.032219</v>
      </c>
      <c r="Y2030" s="1" t="s">
        <v>7853</v>
      </c>
      <c r="Z2030" s="1"/>
      <c r="AA2030" s="1" t="s">
        <v>40</v>
      </c>
      <c r="AB2030" s="1" t="s">
        <v>196</v>
      </c>
      <c r="AC2030" s="1">
        <v>5819.0</v>
      </c>
    </row>
    <row r="2031">
      <c r="A2031" s="1" t="str">
        <f>"000986"</f>
        <v>000986</v>
      </c>
      <c r="B2031" s="1" t="s">
        <v>7854</v>
      </c>
      <c r="C2031" s="1" t="s">
        <v>7855</v>
      </c>
      <c r="D2031" s="1" t="str">
        <f>"8028992708"</f>
        <v>8028992708</v>
      </c>
      <c r="E2031" s="1">
        <v>4054.0</v>
      </c>
      <c r="F2031" s="1" t="s">
        <v>44</v>
      </c>
      <c r="G2031" s="1" t="s">
        <v>7856</v>
      </c>
      <c r="H2031" s="1">
        <v>1.0</v>
      </c>
      <c r="I2031" s="1"/>
      <c r="J2031" s="1"/>
      <c r="K2031" s="1"/>
      <c r="L2031" s="1"/>
      <c r="M2031" s="1" t="s">
        <v>33</v>
      </c>
      <c r="N2031" s="1" t="s">
        <v>57</v>
      </c>
      <c r="O2031" s="1" t="s">
        <v>58</v>
      </c>
      <c r="P2031" s="1" t="s">
        <v>36</v>
      </c>
      <c r="Q2031" s="3">
        <v>36892.0</v>
      </c>
      <c r="R2031" s="1"/>
      <c r="S2031" s="3">
        <v>40673.0</v>
      </c>
      <c r="T2031" s="1" t="s">
        <v>37</v>
      </c>
      <c r="U2031" s="1"/>
      <c r="V2031" s="1" t="s">
        <v>38</v>
      </c>
      <c r="W2031" s="1">
        <v>44.5228879999999</v>
      </c>
      <c r="X2031" s="1">
        <v>-72.9431028999999</v>
      </c>
      <c r="Y2031" s="1" t="s">
        <v>7857</v>
      </c>
      <c r="Z2031" s="1"/>
      <c r="AA2031" s="1" t="s">
        <v>40</v>
      </c>
      <c r="AB2031" s="1" t="s">
        <v>61</v>
      </c>
      <c r="AC2031" s="1">
        <v>5489.0</v>
      </c>
    </row>
    <row r="2032">
      <c r="A2032" s="1" t="str">
        <f>"000987"</f>
        <v>000987</v>
      </c>
      <c r="B2032" s="1" t="s">
        <v>7858</v>
      </c>
      <c r="C2032" s="1" t="s">
        <v>7859</v>
      </c>
      <c r="D2032" s="1" t="str">
        <f>"8027283821"</f>
        <v>8027283821</v>
      </c>
      <c r="E2032" s="1">
        <v>4055.0</v>
      </c>
      <c r="F2032" s="1" t="s">
        <v>44</v>
      </c>
      <c r="G2032" s="1" t="s">
        <v>7860</v>
      </c>
      <c r="H2032" s="1"/>
      <c r="I2032" s="1"/>
      <c r="J2032" s="1"/>
      <c r="K2032" s="1"/>
      <c r="L2032" s="1"/>
      <c r="M2032" s="1" t="s">
        <v>72</v>
      </c>
      <c r="N2032" s="1" t="s">
        <v>142</v>
      </c>
      <c r="O2032" s="1" t="s">
        <v>474</v>
      </c>
      <c r="P2032" s="1"/>
      <c r="Q2032" s="3">
        <v>36892.0</v>
      </c>
      <c r="R2032" s="1"/>
      <c r="S2032" s="1"/>
      <c r="T2032" s="1" t="s">
        <v>37</v>
      </c>
      <c r="U2032" s="1"/>
      <c r="V2032" s="1" t="s">
        <v>38</v>
      </c>
      <c r="W2032" s="1"/>
      <c r="X2032" s="1"/>
      <c r="Y2032" s="1" t="s">
        <v>49</v>
      </c>
      <c r="Z2032" s="1"/>
      <c r="AA2032" s="1" t="s">
        <v>40</v>
      </c>
      <c r="AB2032" s="1" t="s">
        <v>475</v>
      </c>
      <c r="AC2032" s="1"/>
    </row>
    <row r="2033">
      <c r="A2033" s="1" t="str">
        <f>"000988"</f>
        <v>000988</v>
      </c>
      <c r="B2033" s="1" t="s">
        <v>7861</v>
      </c>
      <c r="C2033" s="1" t="s">
        <v>7862</v>
      </c>
      <c r="D2033" s="1" t="str">
        <f>"8026585573"</f>
        <v>8026585573</v>
      </c>
      <c r="E2033" s="1">
        <v>4056.0</v>
      </c>
      <c r="F2033" s="1" t="s">
        <v>117</v>
      </c>
      <c r="G2033" s="1" t="s">
        <v>7863</v>
      </c>
      <c r="H2033" s="1">
        <v>2.0</v>
      </c>
      <c r="I2033" s="2" t="s">
        <v>119</v>
      </c>
      <c r="J2033" s="2" t="s">
        <v>119</v>
      </c>
      <c r="K2033" s="2" t="s">
        <v>119</v>
      </c>
      <c r="L2033" s="1"/>
      <c r="M2033" s="1" t="s">
        <v>7864</v>
      </c>
      <c r="N2033" s="1" t="s">
        <v>57</v>
      </c>
      <c r="O2033" s="1" t="s">
        <v>175</v>
      </c>
      <c r="P2033" s="1" t="s">
        <v>7865</v>
      </c>
      <c r="Q2033" s="3">
        <v>36892.0</v>
      </c>
      <c r="R2033" s="1"/>
      <c r="S2033" s="1"/>
      <c r="T2033" s="1" t="s">
        <v>37</v>
      </c>
      <c r="U2033" s="1"/>
      <c r="V2033" s="1" t="s">
        <v>38</v>
      </c>
      <c r="W2033" s="1">
        <v>44.46704</v>
      </c>
      <c r="X2033" s="1">
        <v>-73.2115489999999</v>
      </c>
      <c r="Y2033" s="1" t="s">
        <v>7866</v>
      </c>
      <c r="Z2033" s="1"/>
      <c r="AA2033" s="1" t="s">
        <v>40</v>
      </c>
      <c r="AB2033" s="1" t="s">
        <v>176</v>
      </c>
      <c r="AC2033" s="1">
        <v>5401.0</v>
      </c>
    </row>
    <row r="2034">
      <c r="A2034" s="1" t="str">
        <f>"000989"</f>
        <v>000989</v>
      </c>
      <c r="B2034" s="1" t="s">
        <v>7867</v>
      </c>
      <c r="C2034" s="1" t="s">
        <v>7868</v>
      </c>
      <c r="D2034" s="1" t="str">
        <f>"8023339667"</f>
        <v>8023339667</v>
      </c>
      <c r="E2034" s="1">
        <v>4057.0</v>
      </c>
      <c r="F2034" s="1" t="s">
        <v>117</v>
      </c>
      <c r="G2034" s="1" t="s">
        <v>7869</v>
      </c>
      <c r="H2034" s="1">
        <v>4.0</v>
      </c>
      <c r="I2034" s="2">
        <v>3.0</v>
      </c>
      <c r="J2034" s="2">
        <v>3.0</v>
      </c>
      <c r="K2034" s="2" t="s">
        <v>829</v>
      </c>
      <c r="L2034" s="1"/>
      <c r="M2034" s="1" t="s">
        <v>7870</v>
      </c>
      <c r="N2034" s="1" t="s">
        <v>142</v>
      </c>
      <c r="O2034" s="1" t="s">
        <v>143</v>
      </c>
      <c r="P2034" s="1" t="s">
        <v>7871</v>
      </c>
      <c r="Q2034" s="3">
        <v>36892.0</v>
      </c>
      <c r="R2034" s="1"/>
      <c r="S2034" s="3">
        <v>40703.0</v>
      </c>
      <c r="T2034" s="1" t="s">
        <v>37</v>
      </c>
      <c r="U2034" s="1"/>
      <c r="V2034" s="1" t="s">
        <v>38</v>
      </c>
      <c r="W2034" s="1">
        <v>43.8422264</v>
      </c>
      <c r="X2034" s="1">
        <v>-72.1842083999999</v>
      </c>
      <c r="Y2034" s="1" t="s">
        <v>7872</v>
      </c>
      <c r="Z2034" s="1"/>
      <c r="AA2034" s="1" t="s">
        <v>40</v>
      </c>
      <c r="AB2034" s="1" t="s">
        <v>7873</v>
      </c>
      <c r="AC2034" s="1">
        <v>5454.0</v>
      </c>
    </row>
    <row r="2035">
      <c r="A2035" s="1" t="str">
        <f>"00098A"</f>
        <v>00098A</v>
      </c>
      <c r="B2035" s="1" t="s">
        <v>7874</v>
      </c>
      <c r="C2035" s="1" t="s">
        <v>7875</v>
      </c>
      <c r="D2035" s="1" t="str">
        <f>"8027750748"</f>
        <v>8027750748</v>
      </c>
      <c r="E2035" s="1">
        <v>4058.0</v>
      </c>
      <c r="F2035" s="1" t="s">
        <v>117</v>
      </c>
      <c r="G2035" s="1" t="s">
        <v>7876</v>
      </c>
      <c r="H2035" s="1">
        <v>1.0</v>
      </c>
      <c r="I2035" s="2">
        <v>1.0</v>
      </c>
      <c r="J2035" s="2">
        <v>0.0</v>
      </c>
      <c r="K2035" s="2" t="s">
        <v>119</v>
      </c>
      <c r="L2035" s="1"/>
      <c r="M2035" s="1" t="s">
        <v>7877</v>
      </c>
      <c r="N2035" s="1" t="s">
        <v>78</v>
      </c>
      <c r="O2035" s="1" t="s">
        <v>452</v>
      </c>
      <c r="P2035" s="1" t="s">
        <v>7878</v>
      </c>
      <c r="Q2035" s="3">
        <v>36892.0</v>
      </c>
      <c r="R2035" s="1"/>
      <c r="S2035" s="1"/>
      <c r="T2035" s="1" t="s">
        <v>37</v>
      </c>
      <c r="U2035" s="1"/>
      <c r="V2035" s="1" t="s">
        <v>38</v>
      </c>
      <c r="W2035" s="1"/>
      <c r="X2035" s="1"/>
      <c r="Y2035" s="1" t="s">
        <v>49</v>
      </c>
      <c r="Z2035" s="1"/>
      <c r="AA2035" s="1" t="s">
        <v>40</v>
      </c>
      <c r="AB2035" s="1" t="s">
        <v>452</v>
      </c>
      <c r="AC2035" s="1">
        <v>0.0</v>
      </c>
    </row>
    <row r="2036">
      <c r="A2036" s="1" t="str">
        <f>"00098B"</f>
        <v>00098B</v>
      </c>
      <c r="B2036" s="1" t="s">
        <v>7879</v>
      </c>
      <c r="C2036" s="1" t="s">
        <v>7880</v>
      </c>
      <c r="D2036" s="1" t="str">
        <f>"8028936411"</f>
        <v>8028936411</v>
      </c>
      <c r="E2036" s="1">
        <v>4060.0</v>
      </c>
      <c r="F2036" s="1" t="s">
        <v>31</v>
      </c>
      <c r="G2036" s="1" t="s">
        <v>7881</v>
      </c>
      <c r="H2036" s="1">
        <v>4.0</v>
      </c>
      <c r="I2036" s="1"/>
      <c r="J2036" s="1"/>
      <c r="K2036" s="1"/>
      <c r="L2036" s="1"/>
      <c r="M2036" s="1" t="s">
        <v>7882</v>
      </c>
      <c r="N2036" s="1" t="s">
        <v>57</v>
      </c>
      <c r="O2036" s="1" t="s">
        <v>256</v>
      </c>
      <c r="P2036" s="1" t="s">
        <v>7883</v>
      </c>
      <c r="Q2036" s="3">
        <v>36892.0</v>
      </c>
      <c r="R2036" s="1"/>
      <c r="S2036" s="3">
        <v>40359.0</v>
      </c>
      <c r="T2036" s="1" t="s">
        <v>37</v>
      </c>
      <c r="U2036" s="1"/>
      <c r="V2036" s="1" t="s">
        <v>38</v>
      </c>
      <c r="W2036" s="1">
        <v>44.6241215</v>
      </c>
      <c r="X2036" s="1">
        <v>-73.1986284999999</v>
      </c>
      <c r="Y2036" s="1" t="s">
        <v>7884</v>
      </c>
      <c r="Z2036" s="1"/>
      <c r="AA2036" s="1" t="s">
        <v>40</v>
      </c>
      <c r="AB2036" s="1" t="s">
        <v>257</v>
      </c>
      <c r="AC2036" s="1">
        <v>5468.0</v>
      </c>
    </row>
    <row r="2037">
      <c r="A2037" s="1" t="str">
        <f>"00098C"</f>
        <v>00098C</v>
      </c>
      <c r="B2037" s="1" t="s">
        <v>7885</v>
      </c>
      <c r="C2037" s="1" t="s">
        <v>7886</v>
      </c>
      <c r="D2037" s="1" t="str">
        <f>"8024535624"</f>
        <v>8024535624</v>
      </c>
      <c r="E2037" s="1">
        <v>4061.0</v>
      </c>
      <c r="F2037" s="1" t="s">
        <v>44</v>
      </c>
      <c r="G2037" s="1" t="s">
        <v>7887</v>
      </c>
      <c r="H2037" s="1"/>
      <c r="I2037" s="1"/>
      <c r="J2037" s="1"/>
      <c r="K2037" s="1"/>
      <c r="L2037" s="1"/>
      <c r="M2037" s="1" t="s">
        <v>72</v>
      </c>
      <c r="N2037" s="1" t="s">
        <v>161</v>
      </c>
      <c r="O2037" s="1" t="s">
        <v>185</v>
      </c>
      <c r="P2037" s="1"/>
      <c r="Q2037" s="3">
        <v>36892.0</v>
      </c>
      <c r="R2037" s="1"/>
      <c r="S2037" s="1"/>
      <c r="T2037" s="1" t="s">
        <v>37</v>
      </c>
      <c r="U2037" s="1"/>
      <c r="V2037" s="1" t="s">
        <v>38</v>
      </c>
      <c r="W2037" s="1"/>
      <c r="X2037" s="1"/>
      <c r="Y2037" s="1" t="s">
        <v>49</v>
      </c>
      <c r="Z2037" s="1"/>
      <c r="AA2037" s="1" t="s">
        <v>40</v>
      </c>
      <c r="AB2037" s="1" t="s">
        <v>186</v>
      </c>
      <c r="AC2037" s="1"/>
    </row>
    <row r="2038">
      <c r="A2038" s="1" t="str">
        <f>"00098D"</f>
        <v>00098D</v>
      </c>
      <c r="B2038" s="1" t="s">
        <v>7888</v>
      </c>
      <c r="C2038" s="1" t="s">
        <v>7889</v>
      </c>
      <c r="D2038" s="1" t="str">
        <f>"8024764550"</f>
        <v>8024764550</v>
      </c>
      <c r="E2038" s="1">
        <v>4062.0</v>
      </c>
      <c r="F2038" s="1" t="s">
        <v>44</v>
      </c>
      <c r="G2038" s="1" t="s">
        <v>7890</v>
      </c>
      <c r="H2038" s="1"/>
      <c r="I2038" s="1"/>
      <c r="J2038" s="1"/>
      <c r="K2038" s="1"/>
      <c r="L2038" s="1"/>
      <c r="M2038" s="1" t="s">
        <v>72</v>
      </c>
      <c r="N2038" s="1" t="s">
        <v>135</v>
      </c>
      <c r="O2038" s="1" t="s">
        <v>343</v>
      </c>
      <c r="P2038" s="1"/>
      <c r="Q2038" s="3">
        <v>36892.0</v>
      </c>
      <c r="R2038" s="1"/>
      <c r="S2038" s="1"/>
      <c r="T2038" s="1" t="s">
        <v>37</v>
      </c>
      <c r="U2038" s="1"/>
      <c r="V2038" s="1" t="s">
        <v>38</v>
      </c>
      <c r="W2038" s="1"/>
      <c r="X2038" s="1"/>
      <c r="Y2038" s="1" t="s">
        <v>49</v>
      </c>
      <c r="Z2038" s="1"/>
      <c r="AA2038" s="1" t="s">
        <v>40</v>
      </c>
      <c r="AB2038" s="1" t="s">
        <v>343</v>
      </c>
      <c r="AC2038" s="1"/>
    </row>
    <row r="2039">
      <c r="A2039" s="1" t="str">
        <f>"00098F"</f>
        <v>00098F</v>
      </c>
      <c r="B2039" s="1" t="s">
        <v>7891</v>
      </c>
      <c r="C2039" s="1" t="s">
        <v>7892</v>
      </c>
      <c r="D2039" s="1" t="str">
        <f>"8024623940"</f>
        <v>8024623940</v>
      </c>
      <c r="E2039" s="1">
        <v>4063.0</v>
      </c>
      <c r="F2039" s="1" t="s">
        <v>44</v>
      </c>
      <c r="G2039" s="1" t="s">
        <v>7893</v>
      </c>
      <c r="H2039" s="1">
        <v>3.0</v>
      </c>
      <c r="I2039" s="1"/>
      <c r="J2039" s="1"/>
      <c r="K2039" s="1"/>
      <c r="L2039" s="1"/>
      <c r="M2039" s="1" t="s">
        <v>33</v>
      </c>
      <c r="N2039" s="1" t="s">
        <v>161</v>
      </c>
      <c r="O2039" s="1" t="s">
        <v>162</v>
      </c>
      <c r="P2039" s="1" t="s">
        <v>36</v>
      </c>
      <c r="Q2039" s="3">
        <v>36892.0</v>
      </c>
      <c r="R2039" s="1"/>
      <c r="S2039" s="1"/>
      <c r="T2039" s="1" t="s">
        <v>37</v>
      </c>
      <c r="U2039" s="1"/>
      <c r="V2039" s="1" t="s">
        <v>38</v>
      </c>
      <c r="W2039" s="1">
        <v>43.9310154</v>
      </c>
      <c r="X2039" s="1">
        <v>-73.2127845999999</v>
      </c>
      <c r="Y2039" s="1" t="s">
        <v>7894</v>
      </c>
      <c r="Z2039" s="1"/>
      <c r="AA2039" s="1" t="s">
        <v>40</v>
      </c>
      <c r="AB2039" s="1" t="s">
        <v>166</v>
      </c>
      <c r="AC2039" s="1">
        <v>5753.0</v>
      </c>
    </row>
    <row r="2040">
      <c r="A2040" s="1" t="str">
        <f>"00098H"</f>
        <v>00098H</v>
      </c>
      <c r="B2040" s="1" t="s">
        <v>7895</v>
      </c>
      <c r="C2040" s="1" t="s">
        <v>7896</v>
      </c>
      <c r="D2040" s="1" t="str">
        <f>"8022538776"</f>
        <v>8022538776</v>
      </c>
      <c r="E2040" s="1">
        <v>4065.0</v>
      </c>
      <c r="F2040" s="1" t="s">
        <v>44</v>
      </c>
      <c r="G2040" s="1" t="s">
        <v>7897</v>
      </c>
      <c r="H2040" s="1"/>
      <c r="I2040" s="1"/>
      <c r="J2040" s="1"/>
      <c r="K2040" s="1"/>
      <c r="L2040" s="1"/>
      <c r="M2040" s="1" t="s">
        <v>72</v>
      </c>
      <c r="N2040" s="1" t="s">
        <v>213</v>
      </c>
      <c r="O2040" s="1" t="s">
        <v>365</v>
      </c>
      <c r="P2040" s="1"/>
      <c r="Q2040" s="3">
        <v>36892.0</v>
      </c>
      <c r="R2040" s="1"/>
      <c r="S2040" s="1"/>
      <c r="T2040" s="1" t="s">
        <v>37</v>
      </c>
      <c r="U2040" s="1"/>
      <c r="V2040" s="1" t="s">
        <v>38</v>
      </c>
      <c r="W2040" s="1"/>
      <c r="X2040" s="1"/>
      <c r="Y2040" s="1" t="s">
        <v>49</v>
      </c>
      <c r="Z2040" s="1"/>
      <c r="AA2040" s="1" t="s">
        <v>40</v>
      </c>
      <c r="AB2040" s="1" t="s">
        <v>366</v>
      </c>
      <c r="AC2040" s="1"/>
    </row>
    <row r="2041">
      <c r="A2041" s="1" t="str">
        <f>"00098P"</f>
        <v>00098P</v>
      </c>
      <c r="B2041" s="1" t="s">
        <v>7898</v>
      </c>
      <c r="C2041" s="1" t="s">
        <v>7899</v>
      </c>
      <c r="D2041" s="1" t="str">
        <f>"8028665334"</f>
        <v>8028665334</v>
      </c>
      <c r="E2041" s="1">
        <v>4074.0</v>
      </c>
      <c r="F2041" s="1" t="s">
        <v>31</v>
      </c>
      <c r="G2041" s="1" t="s">
        <v>7900</v>
      </c>
      <c r="H2041" s="1">
        <v>1.0</v>
      </c>
      <c r="I2041" s="1"/>
      <c r="J2041" s="1"/>
      <c r="K2041" s="1"/>
      <c r="L2041" s="1"/>
      <c r="M2041" s="1" t="s">
        <v>72</v>
      </c>
      <c r="N2041" s="1" t="s">
        <v>142</v>
      </c>
      <c r="O2041" s="1" t="s">
        <v>540</v>
      </c>
      <c r="P2041" s="1" t="s">
        <v>7901</v>
      </c>
      <c r="Q2041" s="3">
        <v>36892.0</v>
      </c>
      <c r="R2041" s="1"/>
      <c r="S2041" s="3">
        <v>42208.0</v>
      </c>
      <c r="T2041" s="1" t="s">
        <v>37</v>
      </c>
      <c r="U2041" s="1"/>
      <c r="V2041" s="1" t="s">
        <v>38</v>
      </c>
      <c r="W2041" s="1">
        <v>44.094131</v>
      </c>
      <c r="X2041" s="1">
        <v>-72.0822749999999</v>
      </c>
      <c r="Y2041" s="1" t="s">
        <v>7902</v>
      </c>
      <c r="Z2041" s="1"/>
      <c r="AA2041" s="1" t="s">
        <v>40</v>
      </c>
      <c r="AB2041" s="1" t="s">
        <v>541</v>
      </c>
      <c r="AC2041" s="1">
        <v>5081.0</v>
      </c>
    </row>
    <row r="2042">
      <c r="A2042" s="1" t="str">
        <f>"00098Q"</f>
        <v>00098Q</v>
      </c>
      <c r="B2042" s="1" t="s">
        <v>7903</v>
      </c>
      <c r="C2042" s="1" t="s">
        <v>7904</v>
      </c>
      <c r="D2042" s="1" t="str">
        <f>"8022359429"</f>
        <v>8022359429</v>
      </c>
      <c r="E2042" s="1">
        <v>4075.0</v>
      </c>
      <c r="F2042" s="1" t="s">
        <v>117</v>
      </c>
      <c r="G2042" s="1" t="s">
        <v>7905</v>
      </c>
      <c r="H2042" s="1">
        <v>1.0</v>
      </c>
      <c r="I2042" s="2">
        <v>1.0</v>
      </c>
      <c r="J2042" s="2">
        <v>1.0</v>
      </c>
      <c r="K2042" s="2" t="s">
        <v>829</v>
      </c>
      <c r="L2042" s="1"/>
      <c r="M2042" s="1" t="s">
        <v>7906</v>
      </c>
      <c r="N2042" s="1" t="s">
        <v>78</v>
      </c>
      <c r="O2042" s="1" t="s">
        <v>420</v>
      </c>
      <c r="P2042" s="1" t="s">
        <v>7907</v>
      </c>
      <c r="Q2042" s="3">
        <v>36892.0</v>
      </c>
      <c r="R2042" s="1"/>
      <c r="S2042" s="1"/>
      <c r="T2042" s="1" t="s">
        <v>37</v>
      </c>
      <c r="U2042" s="1"/>
      <c r="V2042" s="1" t="s">
        <v>38</v>
      </c>
      <c r="W2042" s="1">
        <v>43.4855589999999</v>
      </c>
      <c r="X2042" s="1">
        <v>-73.1233138999999</v>
      </c>
      <c r="Y2042" s="1" t="s">
        <v>7908</v>
      </c>
      <c r="Z2042" s="1"/>
      <c r="AA2042" s="1" t="s">
        <v>40</v>
      </c>
      <c r="AB2042" s="1" t="s">
        <v>7161</v>
      </c>
      <c r="AC2042" s="1">
        <v>5757.0</v>
      </c>
    </row>
    <row r="2043">
      <c r="A2043" s="1" t="str">
        <f>"00098V"</f>
        <v>00098V</v>
      </c>
      <c r="B2043" s="1" t="s">
        <v>7909</v>
      </c>
      <c r="C2043" s="1" t="s">
        <v>7910</v>
      </c>
      <c r="D2043" s="1" t="str">
        <f>"8022231932"</f>
        <v>8022231932</v>
      </c>
      <c r="E2043" s="1">
        <v>4076.0</v>
      </c>
      <c r="F2043" s="1" t="s">
        <v>44</v>
      </c>
      <c r="G2043" s="1" t="s">
        <v>7911</v>
      </c>
      <c r="H2043" s="1"/>
      <c r="I2043" s="1"/>
      <c r="J2043" s="1"/>
      <c r="K2043" s="1"/>
      <c r="L2043" s="1"/>
      <c r="M2043" s="1" t="s">
        <v>72</v>
      </c>
      <c r="N2043" s="1" t="s">
        <v>135</v>
      </c>
      <c r="O2043" s="1" t="s">
        <v>805</v>
      </c>
      <c r="P2043" s="1"/>
      <c r="Q2043" s="3">
        <v>36892.0</v>
      </c>
      <c r="R2043" s="1"/>
      <c r="S2043" s="1"/>
      <c r="T2043" s="1" t="s">
        <v>37</v>
      </c>
      <c r="U2043" s="1"/>
      <c r="V2043" s="1" t="s">
        <v>38</v>
      </c>
      <c r="W2043" s="1"/>
      <c r="X2043" s="1"/>
      <c r="Y2043" s="1" t="s">
        <v>49</v>
      </c>
      <c r="Z2043" s="1"/>
      <c r="AA2043" s="1" t="s">
        <v>40</v>
      </c>
      <c r="AB2043" s="1" t="s">
        <v>806</v>
      </c>
      <c r="AC2043" s="1"/>
    </row>
    <row r="2044">
      <c r="A2044" s="1" t="str">
        <f>"00098W"</f>
        <v>00098W</v>
      </c>
      <c r="B2044" s="1" t="s">
        <v>7912</v>
      </c>
      <c r="C2044" s="1" t="s">
        <v>7913</v>
      </c>
      <c r="D2044" s="1" t="str">
        <f>"8028396014"</f>
        <v>8028396014</v>
      </c>
      <c r="E2044" s="1">
        <v>4077.0</v>
      </c>
      <c r="F2044" s="1" t="s">
        <v>44</v>
      </c>
      <c r="G2044" s="1" t="s">
        <v>7914</v>
      </c>
      <c r="H2044" s="1"/>
      <c r="I2044" s="1"/>
      <c r="J2044" s="1"/>
      <c r="K2044" s="1"/>
      <c r="L2044" s="1"/>
      <c r="M2044" s="1" t="s">
        <v>7915</v>
      </c>
      <c r="N2044" s="1" t="s">
        <v>135</v>
      </c>
      <c r="O2044" s="1" t="s">
        <v>1142</v>
      </c>
      <c r="P2044" s="1"/>
      <c r="Q2044" s="3">
        <v>36892.0</v>
      </c>
      <c r="R2044" s="1"/>
      <c r="S2044" s="1"/>
      <c r="T2044" s="1" t="s">
        <v>37</v>
      </c>
      <c r="U2044" s="1"/>
      <c r="V2044" s="1" t="s">
        <v>38</v>
      </c>
      <c r="W2044" s="1"/>
      <c r="X2044" s="1"/>
      <c r="Y2044" s="1" t="s">
        <v>49</v>
      </c>
      <c r="Z2044" s="1"/>
      <c r="AA2044" s="1" t="s">
        <v>40</v>
      </c>
      <c r="AB2044" s="1" t="s">
        <v>1145</v>
      </c>
      <c r="AC2044" s="1"/>
    </row>
    <row r="2045">
      <c r="A2045" s="1" t="str">
        <f>"00098X"</f>
        <v>00098X</v>
      </c>
      <c r="B2045" s="1" t="s">
        <v>7916</v>
      </c>
      <c r="C2045" s="1" t="s">
        <v>7917</v>
      </c>
      <c r="D2045" s="1" t="str">
        <f>"8024462985"</f>
        <v>8024462985</v>
      </c>
      <c r="E2045" s="1">
        <v>4078.0</v>
      </c>
      <c r="F2045" s="1" t="s">
        <v>117</v>
      </c>
      <c r="G2045" s="1" t="s">
        <v>7918</v>
      </c>
      <c r="H2045" s="1">
        <v>0.0</v>
      </c>
      <c r="I2045" s="2">
        <v>3.0</v>
      </c>
      <c r="J2045" s="2">
        <v>1.0</v>
      </c>
      <c r="K2045" s="2" t="s">
        <v>119</v>
      </c>
      <c r="L2045" s="2" t="s">
        <v>4799</v>
      </c>
      <c r="M2045" s="1" t="s">
        <v>7919</v>
      </c>
      <c r="N2045" s="1" t="s">
        <v>78</v>
      </c>
      <c r="O2045" s="1" t="s">
        <v>1124</v>
      </c>
      <c r="P2045" s="1" t="s">
        <v>7920</v>
      </c>
      <c r="Q2045" s="3">
        <v>36892.0</v>
      </c>
      <c r="R2045" s="1"/>
      <c r="S2045" s="1"/>
      <c r="T2045" s="1" t="s">
        <v>37</v>
      </c>
      <c r="U2045" s="1"/>
      <c r="V2045" s="1" t="s">
        <v>38</v>
      </c>
      <c r="W2045" s="1">
        <v>43.416187</v>
      </c>
      <c r="X2045" s="1">
        <v>-72.988556</v>
      </c>
      <c r="Y2045" s="1" t="s">
        <v>7921</v>
      </c>
      <c r="Z2045" s="1"/>
      <c r="AA2045" s="1" t="s">
        <v>40</v>
      </c>
      <c r="AB2045" s="1" t="s">
        <v>1127</v>
      </c>
      <c r="AC2045" s="1">
        <v>5773.0</v>
      </c>
    </row>
    <row r="2046">
      <c r="A2046" s="1" t="str">
        <f>"00098Z"</f>
        <v>00098Z</v>
      </c>
      <c r="B2046" s="1" t="s">
        <v>7922</v>
      </c>
      <c r="C2046" s="1" t="s">
        <v>7923</v>
      </c>
      <c r="D2046" s="1" t="str">
        <f>"8027549506"</f>
        <v>8027549506</v>
      </c>
      <c r="E2046" s="1">
        <v>4080.0</v>
      </c>
      <c r="F2046" s="1" t="s">
        <v>44</v>
      </c>
      <c r="G2046" s="1" t="s">
        <v>7924</v>
      </c>
      <c r="H2046" s="1"/>
      <c r="I2046" s="1"/>
      <c r="J2046" s="1"/>
      <c r="K2046" s="1"/>
      <c r="L2046" s="1"/>
      <c r="M2046" s="1" t="s">
        <v>7925</v>
      </c>
      <c r="N2046" s="1" t="s">
        <v>94</v>
      </c>
      <c r="O2046" s="1" t="s">
        <v>1672</v>
      </c>
      <c r="P2046" s="1"/>
      <c r="Q2046" s="3">
        <v>36892.0</v>
      </c>
      <c r="R2046" s="1"/>
      <c r="S2046" s="1"/>
      <c r="T2046" s="1" t="s">
        <v>37</v>
      </c>
      <c r="U2046" s="1"/>
      <c r="V2046" s="1" t="s">
        <v>38</v>
      </c>
      <c r="W2046" s="1"/>
      <c r="X2046" s="1"/>
      <c r="Y2046" s="1" t="s">
        <v>49</v>
      </c>
      <c r="Z2046" s="1"/>
      <c r="AA2046" s="1" t="s">
        <v>40</v>
      </c>
      <c r="AB2046" s="1" t="s">
        <v>1673</v>
      </c>
      <c r="AC2046" s="1"/>
    </row>
    <row r="2047">
      <c r="A2047" s="1" t="str">
        <f>"000990"</f>
        <v>000990</v>
      </c>
      <c r="B2047" s="1" t="s">
        <v>7926</v>
      </c>
      <c r="C2047" s="1" t="s">
        <v>7927</v>
      </c>
      <c r="D2047" s="1" t="str">
        <f>"8022290185"</f>
        <v>8022290185</v>
      </c>
      <c r="E2047" s="1">
        <v>4084.0</v>
      </c>
      <c r="F2047" s="1" t="s">
        <v>44</v>
      </c>
      <c r="G2047" s="1" t="s">
        <v>7928</v>
      </c>
      <c r="H2047" s="1">
        <v>2.0</v>
      </c>
      <c r="I2047" s="2">
        <v>2.0</v>
      </c>
      <c r="J2047" s="2" t="s">
        <v>119</v>
      </c>
      <c r="K2047" s="2" t="s">
        <v>119</v>
      </c>
      <c r="L2047" s="1"/>
      <c r="M2047" s="1" t="s">
        <v>72</v>
      </c>
      <c r="N2047" s="1" t="s">
        <v>135</v>
      </c>
      <c r="O2047" s="1" t="s">
        <v>2713</v>
      </c>
      <c r="P2047" s="1" t="s">
        <v>7929</v>
      </c>
      <c r="Q2047" s="3">
        <v>36892.0</v>
      </c>
      <c r="R2047" s="1"/>
      <c r="S2047" s="1"/>
      <c r="T2047" s="1" t="s">
        <v>37</v>
      </c>
      <c r="U2047" s="1"/>
      <c r="V2047" s="1" t="s">
        <v>38</v>
      </c>
      <c r="W2047" s="1">
        <v>44.257473</v>
      </c>
      <c r="X2047" s="1">
        <v>-72.569633</v>
      </c>
      <c r="Y2047" s="1" t="s">
        <v>7930</v>
      </c>
      <c r="Z2047" s="1"/>
      <c r="AA2047" s="1" t="s">
        <v>40</v>
      </c>
      <c r="AB2047" s="1" t="s">
        <v>2715</v>
      </c>
      <c r="AC2047" s="1">
        <v>5602.0</v>
      </c>
    </row>
    <row r="2048">
      <c r="A2048" s="1" t="str">
        <f>"000991"</f>
        <v>000991</v>
      </c>
      <c r="B2048" s="1" t="s">
        <v>7931</v>
      </c>
      <c r="C2048" s="1" t="s">
        <v>7932</v>
      </c>
      <c r="D2048" s="1" t="str">
        <f>"8026608971"</f>
        <v>8026608971</v>
      </c>
      <c r="E2048" s="1">
        <v>4085.0</v>
      </c>
      <c r="F2048" s="1" t="s">
        <v>44</v>
      </c>
      <c r="G2048" s="1" t="s">
        <v>7933</v>
      </c>
      <c r="H2048" s="1"/>
      <c r="I2048" s="1"/>
      <c r="J2048" s="1"/>
      <c r="K2048" s="1"/>
      <c r="L2048" s="1"/>
      <c r="M2048" s="1" t="s">
        <v>72</v>
      </c>
      <c r="N2048" s="1" t="s">
        <v>57</v>
      </c>
      <c r="O2048" s="1" t="s">
        <v>175</v>
      </c>
      <c r="P2048" s="1"/>
      <c r="Q2048" s="3">
        <v>36892.0</v>
      </c>
      <c r="R2048" s="1"/>
      <c r="S2048" s="1"/>
      <c r="T2048" s="1" t="s">
        <v>37</v>
      </c>
      <c r="U2048" s="1"/>
      <c r="V2048" s="1" t="s">
        <v>38</v>
      </c>
      <c r="W2048" s="1"/>
      <c r="X2048" s="1"/>
      <c r="Y2048" s="1" t="s">
        <v>49</v>
      </c>
      <c r="Z2048" s="1"/>
      <c r="AA2048" s="1" t="s">
        <v>40</v>
      </c>
      <c r="AB2048" s="1" t="s">
        <v>176</v>
      </c>
      <c r="AC2048" s="1"/>
    </row>
    <row r="2049">
      <c r="A2049" s="1" t="str">
        <f>"000992"</f>
        <v>000992</v>
      </c>
      <c r="B2049" s="1" t="s">
        <v>7934</v>
      </c>
      <c r="C2049" s="1" t="s">
        <v>7935</v>
      </c>
      <c r="D2049" s="1" t="str">
        <f>"8022667144"</f>
        <v>8022667144</v>
      </c>
      <c r="E2049" s="1">
        <v>4086.0</v>
      </c>
      <c r="F2049" s="1" t="s">
        <v>44</v>
      </c>
      <c r="G2049" s="1" t="s">
        <v>7936</v>
      </c>
      <c r="H2049" s="1"/>
      <c r="I2049" s="1"/>
      <c r="J2049" s="1"/>
      <c r="K2049" s="1"/>
      <c r="L2049" s="1"/>
      <c r="M2049" s="1" t="s">
        <v>72</v>
      </c>
      <c r="N2049" s="1" t="s">
        <v>331</v>
      </c>
      <c r="O2049" s="1" t="s">
        <v>6178</v>
      </c>
      <c r="P2049" s="1"/>
      <c r="Q2049" s="3">
        <v>36892.0</v>
      </c>
      <c r="R2049" s="1"/>
      <c r="S2049" s="1"/>
      <c r="T2049" s="1" t="s">
        <v>37</v>
      </c>
      <c r="U2049" s="1"/>
      <c r="V2049" s="1" t="s">
        <v>38</v>
      </c>
      <c r="W2049" s="1"/>
      <c r="X2049" s="1"/>
      <c r="Y2049" s="1" t="s">
        <v>49</v>
      </c>
      <c r="Z2049" s="1"/>
      <c r="AA2049" s="1" t="s">
        <v>40</v>
      </c>
      <c r="AB2049" s="1" t="s">
        <v>6179</v>
      </c>
      <c r="AC2049" s="1"/>
    </row>
    <row r="2050">
      <c r="A2050" s="1" t="str">
        <f>"000993"</f>
        <v>000993</v>
      </c>
      <c r="B2050" s="1" t="s">
        <v>7937</v>
      </c>
      <c r="C2050" s="1" t="s">
        <v>7938</v>
      </c>
      <c r="D2050" s="1" t="str">
        <f>"8024477612"</f>
        <v>8024477612</v>
      </c>
      <c r="E2050" s="1">
        <v>4087.0</v>
      </c>
      <c r="F2050" s="1" t="s">
        <v>44</v>
      </c>
      <c r="G2050" s="1" t="s">
        <v>7939</v>
      </c>
      <c r="H2050" s="1">
        <v>2.0</v>
      </c>
      <c r="I2050" s="1"/>
      <c r="J2050" s="1"/>
      <c r="K2050" s="1"/>
      <c r="L2050" s="1"/>
      <c r="M2050" s="1" t="s">
        <v>33</v>
      </c>
      <c r="N2050" s="1" t="s">
        <v>414</v>
      </c>
      <c r="O2050" s="1" t="s">
        <v>720</v>
      </c>
      <c r="P2050" s="1" t="s">
        <v>36</v>
      </c>
      <c r="Q2050" s="3">
        <v>36892.0</v>
      </c>
      <c r="R2050" s="1"/>
      <c r="S2050" s="3">
        <v>40350.0</v>
      </c>
      <c r="T2050" s="1" t="s">
        <v>37</v>
      </c>
      <c r="U2050" s="1"/>
      <c r="V2050" s="1" t="s">
        <v>38</v>
      </c>
      <c r="W2050" s="1"/>
      <c r="X2050" s="1"/>
      <c r="Y2050" s="1" t="s">
        <v>49</v>
      </c>
      <c r="Z2050" s="1"/>
      <c r="AA2050" s="1" t="s">
        <v>40</v>
      </c>
      <c r="AB2050" s="1" t="s">
        <v>414</v>
      </c>
      <c r="AC2050" s="1"/>
    </row>
    <row r="2051">
      <c r="A2051" s="1" t="str">
        <f>"000994"</f>
        <v>000994</v>
      </c>
      <c r="B2051" s="1" t="s">
        <v>7940</v>
      </c>
      <c r="C2051" s="1" t="s">
        <v>7941</v>
      </c>
      <c r="D2051" s="1" t="str">
        <f>"8028993337"</f>
        <v>8028993337</v>
      </c>
      <c r="E2051" s="1">
        <v>4088.0</v>
      </c>
      <c r="F2051" s="1" t="s">
        <v>44</v>
      </c>
      <c r="G2051" s="1" t="s">
        <v>7942</v>
      </c>
      <c r="H2051" s="1"/>
      <c r="I2051" s="1"/>
      <c r="J2051" s="1"/>
      <c r="K2051" s="1"/>
      <c r="L2051" s="1"/>
      <c r="M2051" s="1" t="s">
        <v>72</v>
      </c>
      <c r="N2051" s="1" t="s">
        <v>57</v>
      </c>
      <c r="O2051" s="1" t="s">
        <v>58</v>
      </c>
      <c r="P2051" s="1"/>
      <c r="Q2051" s="3">
        <v>36892.0</v>
      </c>
      <c r="R2051" s="1"/>
      <c r="S2051" s="1"/>
      <c r="T2051" s="1" t="s">
        <v>37</v>
      </c>
      <c r="U2051" s="1"/>
      <c r="V2051" s="1" t="s">
        <v>38</v>
      </c>
      <c r="W2051" s="1"/>
      <c r="X2051" s="1"/>
      <c r="Y2051" s="1" t="s">
        <v>49</v>
      </c>
      <c r="Z2051" s="1"/>
      <c r="AA2051" s="1" t="s">
        <v>40</v>
      </c>
      <c r="AB2051" s="1" t="s">
        <v>61</v>
      </c>
      <c r="AC2051" s="1"/>
    </row>
    <row r="2052">
      <c r="A2052" s="1" t="str">
        <f>"000995"</f>
        <v>000995</v>
      </c>
      <c r="B2052" s="1" t="s">
        <v>7943</v>
      </c>
      <c r="C2052" s="1" t="s">
        <v>7944</v>
      </c>
      <c r="D2052" s="1" t="str">
        <f>"8022597086"</f>
        <v>8022597086</v>
      </c>
      <c r="E2052" s="1">
        <v>4089.0</v>
      </c>
      <c r="F2052" s="1" t="s">
        <v>44</v>
      </c>
      <c r="G2052" s="1" t="s">
        <v>7945</v>
      </c>
      <c r="H2052" s="1">
        <v>1.0</v>
      </c>
      <c r="I2052" s="1"/>
      <c r="J2052" s="1"/>
      <c r="K2052" s="1"/>
      <c r="L2052" s="1"/>
      <c r="M2052" s="1" t="s">
        <v>72</v>
      </c>
      <c r="N2052" s="1" t="s">
        <v>78</v>
      </c>
      <c r="O2052" s="1" t="s">
        <v>272</v>
      </c>
      <c r="P2052" s="1"/>
      <c r="Q2052" s="3">
        <v>36892.0</v>
      </c>
      <c r="R2052" s="1"/>
      <c r="S2052" s="3">
        <v>40428.0</v>
      </c>
      <c r="T2052" s="1" t="s">
        <v>37</v>
      </c>
      <c r="U2052" s="1"/>
      <c r="V2052" s="1" t="s">
        <v>38</v>
      </c>
      <c r="W2052" s="1"/>
      <c r="X2052" s="1"/>
      <c r="Y2052" s="1" t="s">
        <v>49</v>
      </c>
      <c r="Z2052" s="1"/>
      <c r="AA2052" s="1" t="s">
        <v>40</v>
      </c>
      <c r="AB2052" s="1" t="s">
        <v>275</v>
      </c>
      <c r="AC2052" s="1"/>
    </row>
    <row r="2053">
      <c r="A2053" s="1" t="str">
        <f>"000996"</f>
        <v>000996</v>
      </c>
      <c r="B2053" s="1" t="s">
        <v>7946</v>
      </c>
      <c r="C2053" s="1" t="s">
        <v>7947</v>
      </c>
      <c r="D2053" s="1" t="str">
        <f>"8022592440"</f>
        <v>8022592440</v>
      </c>
      <c r="E2053" s="1">
        <v>4090.0</v>
      </c>
      <c r="F2053" s="1" t="s">
        <v>44</v>
      </c>
      <c r="G2053" s="1" t="s">
        <v>7948</v>
      </c>
      <c r="H2053" s="1"/>
      <c r="I2053" s="1"/>
      <c r="J2053" s="1"/>
      <c r="K2053" s="1"/>
      <c r="L2053" s="1"/>
      <c r="M2053" s="1" t="s">
        <v>72</v>
      </c>
      <c r="N2053" s="1" t="s">
        <v>78</v>
      </c>
      <c r="O2053" s="1" t="s">
        <v>272</v>
      </c>
      <c r="P2053" s="1"/>
      <c r="Q2053" s="3">
        <v>36892.0</v>
      </c>
      <c r="R2053" s="1"/>
      <c r="S2053" s="1"/>
      <c r="T2053" s="1" t="s">
        <v>37</v>
      </c>
      <c r="U2053" s="1"/>
      <c r="V2053" s="1" t="s">
        <v>38</v>
      </c>
      <c r="W2053" s="1"/>
      <c r="X2053" s="1"/>
      <c r="Y2053" s="1" t="s">
        <v>49</v>
      </c>
      <c r="Z2053" s="1"/>
      <c r="AA2053" s="1" t="s">
        <v>40</v>
      </c>
      <c r="AB2053" s="1" t="s">
        <v>275</v>
      </c>
      <c r="AC2053" s="1"/>
    </row>
    <row r="2054">
      <c r="A2054" s="1" t="str">
        <f>"000997"</f>
        <v>000997</v>
      </c>
      <c r="B2054" s="1" t="s">
        <v>7949</v>
      </c>
      <c r="C2054" s="1" t="s">
        <v>7950</v>
      </c>
      <c r="D2054" s="1" t="str">
        <f>"8023726685"</f>
        <v>8023726685</v>
      </c>
      <c r="E2054" s="1">
        <v>4091.0</v>
      </c>
      <c r="F2054" s="1" t="s">
        <v>31</v>
      </c>
      <c r="G2054" s="1" t="s">
        <v>7951</v>
      </c>
      <c r="H2054" s="1">
        <v>3.0</v>
      </c>
      <c r="I2054" s="1"/>
      <c r="J2054" s="1"/>
      <c r="K2054" s="1"/>
      <c r="L2054" s="1"/>
      <c r="M2054" s="1" t="s">
        <v>72</v>
      </c>
      <c r="N2054" s="1" t="s">
        <v>107</v>
      </c>
      <c r="O2054" s="1" t="s">
        <v>108</v>
      </c>
      <c r="P2054" s="1" t="s">
        <v>7952</v>
      </c>
      <c r="Q2054" s="3">
        <v>36892.0</v>
      </c>
      <c r="R2054" s="1"/>
      <c r="S2054" s="1"/>
      <c r="T2054" s="1" t="s">
        <v>37</v>
      </c>
      <c r="U2054" s="1"/>
      <c r="V2054" s="1" t="s">
        <v>38</v>
      </c>
      <c r="W2054" s="1">
        <v>44.7262087999999</v>
      </c>
      <c r="X2054" s="1">
        <v>-73.3234032</v>
      </c>
      <c r="Y2054" s="1" t="s">
        <v>7953</v>
      </c>
      <c r="Z2054" s="1"/>
      <c r="AA2054" s="1" t="s">
        <v>40</v>
      </c>
      <c r="AB2054" s="1" t="s">
        <v>107</v>
      </c>
      <c r="AC2054" s="1">
        <v>5458.0</v>
      </c>
    </row>
    <row r="2055">
      <c r="A2055" s="1" t="str">
        <f>"000998"</f>
        <v>000998</v>
      </c>
      <c r="B2055" s="1" t="s">
        <v>7954</v>
      </c>
      <c r="C2055" s="1" t="s">
        <v>7955</v>
      </c>
      <c r="D2055" s="1" t="str">
        <f>"8024790294"</f>
        <v>8024790294</v>
      </c>
      <c r="E2055" s="1">
        <v>4092.0</v>
      </c>
      <c r="F2055" s="1" t="s">
        <v>44</v>
      </c>
      <c r="G2055" s="1" t="s">
        <v>7956</v>
      </c>
      <c r="H2055" s="1"/>
      <c r="I2055" s="1"/>
      <c r="J2055" s="1"/>
      <c r="K2055" s="1"/>
      <c r="L2055" s="1"/>
      <c r="M2055" s="1" t="s">
        <v>72</v>
      </c>
      <c r="N2055" s="1" t="s">
        <v>142</v>
      </c>
      <c r="O2055" s="1" t="s">
        <v>2376</v>
      </c>
      <c r="P2055" s="1"/>
      <c r="Q2055" s="3">
        <v>36892.0</v>
      </c>
      <c r="R2055" s="1"/>
      <c r="S2055" s="1"/>
      <c r="T2055" s="1" t="s">
        <v>37</v>
      </c>
      <c r="U2055" s="1"/>
      <c r="V2055" s="1" t="s">
        <v>38</v>
      </c>
      <c r="W2055" s="1"/>
      <c r="X2055" s="1"/>
      <c r="Y2055" s="1" t="s">
        <v>49</v>
      </c>
      <c r="Z2055" s="1"/>
      <c r="AA2055" s="1" t="s">
        <v>40</v>
      </c>
      <c r="AB2055" s="1" t="s">
        <v>142</v>
      </c>
      <c r="AC2055" s="1"/>
    </row>
    <row r="2056">
      <c r="A2056" s="1" t="str">
        <f>"000999"</f>
        <v>000999</v>
      </c>
      <c r="B2056" s="1" t="s">
        <v>7957</v>
      </c>
      <c r="C2056" s="1" t="s">
        <v>7958</v>
      </c>
      <c r="D2056" s="1" t="str">
        <f>"8024963774"</f>
        <v>8024963774</v>
      </c>
      <c r="E2056" s="1">
        <v>4093.0</v>
      </c>
      <c r="F2056" s="1" t="s">
        <v>44</v>
      </c>
      <c r="G2056" s="1" t="s">
        <v>7959</v>
      </c>
      <c r="H2056" s="1">
        <v>0.0</v>
      </c>
      <c r="I2056" s="1"/>
      <c r="J2056" s="1"/>
      <c r="K2056" s="1"/>
      <c r="L2056" s="1"/>
      <c r="M2056" s="1" t="s">
        <v>72</v>
      </c>
      <c r="N2056" s="1" t="s">
        <v>135</v>
      </c>
      <c r="O2056" s="1" t="s">
        <v>1798</v>
      </c>
      <c r="P2056" s="1"/>
      <c r="Q2056" s="3">
        <v>36892.0</v>
      </c>
      <c r="R2056" s="1"/>
      <c r="S2056" s="1"/>
      <c r="T2056" s="1" t="s">
        <v>37</v>
      </c>
      <c r="U2056" s="1"/>
      <c r="V2056" s="1" t="s">
        <v>38</v>
      </c>
      <c r="W2056" s="1">
        <v>44.0679295</v>
      </c>
      <c r="X2056" s="1">
        <v>-72.8332454999999</v>
      </c>
      <c r="Y2056" s="1" t="s">
        <v>7960</v>
      </c>
      <c r="Z2056" s="1"/>
      <c r="AA2056" s="1" t="s">
        <v>40</v>
      </c>
      <c r="AB2056" s="1" t="s">
        <v>1799</v>
      </c>
      <c r="AC2056" s="1">
        <v>5674.0</v>
      </c>
    </row>
    <row r="2057">
      <c r="A2057" s="1" t="str">
        <f>"00099A"</f>
        <v>00099A</v>
      </c>
      <c r="B2057" s="1" t="s">
        <v>7961</v>
      </c>
      <c r="C2057" s="1" t="s">
        <v>7962</v>
      </c>
      <c r="D2057" s="1" t="str">
        <f>"8028621259"</f>
        <v>8028621259</v>
      </c>
      <c r="E2057" s="1">
        <v>4095.0</v>
      </c>
      <c r="F2057" s="1" t="s">
        <v>31</v>
      </c>
      <c r="G2057" s="1" t="s">
        <v>7963</v>
      </c>
      <c r="H2057" s="1">
        <v>2.0</v>
      </c>
      <c r="I2057" s="1"/>
      <c r="J2057" s="1"/>
      <c r="K2057" s="1"/>
      <c r="L2057" s="1"/>
      <c r="M2057" s="1" t="s">
        <v>33</v>
      </c>
      <c r="N2057" s="1" t="s">
        <v>57</v>
      </c>
      <c r="O2057" s="1" t="s">
        <v>175</v>
      </c>
      <c r="P2057" s="1" t="s">
        <v>7964</v>
      </c>
      <c r="Q2057" s="3">
        <v>36892.0</v>
      </c>
      <c r="R2057" s="1"/>
      <c r="S2057" s="3">
        <v>42571.0</v>
      </c>
      <c r="T2057" s="1" t="s">
        <v>37</v>
      </c>
      <c r="U2057" s="1"/>
      <c r="V2057" s="1" t="s">
        <v>38</v>
      </c>
      <c r="W2057" s="1">
        <v>44.4758825</v>
      </c>
      <c r="X2057" s="1">
        <v>-73.2120719999999</v>
      </c>
      <c r="Y2057" s="1" t="s">
        <v>49</v>
      </c>
      <c r="Z2057" s="1"/>
      <c r="AA2057" s="1" t="s">
        <v>40</v>
      </c>
      <c r="AB2057" s="1" t="s">
        <v>176</v>
      </c>
      <c r="AC2057" s="1">
        <v>5401.0</v>
      </c>
    </row>
    <row r="2058">
      <c r="A2058" s="1" t="str">
        <f>"00099B"</f>
        <v>00099B</v>
      </c>
      <c r="B2058" s="1" t="s">
        <v>7965</v>
      </c>
      <c r="C2058" s="1" t="s">
        <v>7966</v>
      </c>
      <c r="D2058" s="1" t="str">
        <f>"8025867711"</f>
        <v>8025867711</v>
      </c>
      <c r="E2058" s="1">
        <v>4096.0</v>
      </c>
      <c r="F2058" s="1" t="s">
        <v>44</v>
      </c>
      <c r="G2058" s="1" t="s">
        <v>7967</v>
      </c>
      <c r="H2058" s="1"/>
      <c r="I2058" s="1"/>
      <c r="J2058" s="1"/>
      <c r="K2058" s="1"/>
      <c r="L2058" s="1"/>
      <c r="M2058" s="1" t="s">
        <v>6623</v>
      </c>
      <c r="N2058" s="1" t="s">
        <v>94</v>
      </c>
      <c r="O2058" s="1" t="s">
        <v>1688</v>
      </c>
      <c r="P2058" s="1"/>
      <c r="Q2058" s="3">
        <v>36892.0</v>
      </c>
      <c r="R2058" s="1"/>
      <c r="S2058" s="1"/>
      <c r="T2058" s="1" t="s">
        <v>37</v>
      </c>
      <c r="U2058" s="1"/>
      <c r="V2058" s="1" t="s">
        <v>38</v>
      </c>
      <c r="W2058" s="1"/>
      <c r="X2058" s="1"/>
      <c r="Y2058" s="1" t="s">
        <v>49</v>
      </c>
      <c r="Z2058" s="1"/>
      <c r="AA2058" s="1" t="s">
        <v>40</v>
      </c>
      <c r="AB2058" s="1" t="s">
        <v>1690</v>
      </c>
      <c r="AC2058" s="1"/>
    </row>
    <row r="2059">
      <c r="A2059" s="1" t="str">
        <f>"00099C"</f>
        <v>00099C</v>
      </c>
      <c r="B2059" s="1" t="s">
        <v>7968</v>
      </c>
      <c r="C2059" s="1" t="s">
        <v>7969</v>
      </c>
      <c r="D2059" s="1" t="str">
        <f>"8027485596"</f>
        <v>8027485596</v>
      </c>
      <c r="E2059" s="1">
        <v>4097.0</v>
      </c>
      <c r="F2059" s="1" t="s">
        <v>117</v>
      </c>
      <c r="G2059" s="1" t="s">
        <v>7970</v>
      </c>
      <c r="H2059" s="1">
        <v>2.0</v>
      </c>
      <c r="I2059" s="2">
        <v>1.0</v>
      </c>
      <c r="J2059" s="2">
        <v>1.0</v>
      </c>
      <c r="K2059" s="2" t="s">
        <v>829</v>
      </c>
      <c r="L2059" s="1"/>
      <c r="M2059" s="1" t="s">
        <v>7971</v>
      </c>
      <c r="N2059" s="1" t="s">
        <v>128</v>
      </c>
      <c r="O2059" s="1" t="s">
        <v>1707</v>
      </c>
      <c r="P2059" s="1" t="s">
        <v>7972</v>
      </c>
      <c r="Q2059" s="3">
        <v>39934.0</v>
      </c>
      <c r="R2059" s="1"/>
      <c r="S2059" s="1"/>
      <c r="T2059" s="1" t="s">
        <v>37</v>
      </c>
      <c r="U2059" s="1"/>
      <c r="V2059" s="1" t="s">
        <v>38</v>
      </c>
      <c r="W2059" s="1">
        <v>44.393333</v>
      </c>
      <c r="X2059" s="1">
        <v>-72.0357589999999</v>
      </c>
      <c r="Y2059" s="1" t="s">
        <v>7973</v>
      </c>
      <c r="Z2059" s="1"/>
      <c r="AA2059" s="1" t="s">
        <v>40</v>
      </c>
      <c r="AB2059" s="1" t="s">
        <v>196</v>
      </c>
      <c r="AC2059" s="1">
        <v>5819.0</v>
      </c>
    </row>
    <row r="2060">
      <c r="A2060" s="1" t="str">
        <f>"00099D"</f>
        <v>00099D</v>
      </c>
      <c r="B2060" s="1" t="s">
        <v>7974</v>
      </c>
      <c r="C2060" s="1" t="s">
        <v>7975</v>
      </c>
      <c r="D2060" s="1" t="str">
        <f>"8022239838"</f>
        <v>8022239838</v>
      </c>
      <c r="E2060" s="1">
        <v>4098.0</v>
      </c>
      <c r="F2060" s="1" t="s">
        <v>44</v>
      </c>
      <c r="G2060" s="1" t="s">
        <v>7976</v>
      </c>
      <c r="H2060" s="1">
        <v>0.0</v>
      </c>
      <c r="I2060" s="1"/>
      <c r="J2060" s="1"/>
      <c r="K2060" s="1"/>
      <c r="L2060" s="1"/>
      <c r="M2060" s="1" t="s">
        <v>72</v>
      </c>
      <c r="N2060" s="1" t="s">
        <v>135</v>
      </c>
      <c r="O2060" s="1" t="s">
        <v>2713</v>
      </c>
      <c r="P2060" s="1"/>
      <c r="Q2060" s="3">
        <v>36892.0</v>
      </c>
      <c r="R2060" s="1"/>
      <c r="S2060" s="1"/>
      <c r="T2060" s="1" t="s">
        <v>37</v>
      </c>
      <c r="U2060" s="1"/>
      <c r="V2060" s="1" t="s">
        <v>38</v>
      </c>
      <c r="W2060" s="1">
        <v>44.346855</v>
      </c>
      <c r="X2060" s="1">
        <v>-72.592911</v>
      </c>
      <c r="Y2060" s="1" t="s">
        <v>7977</v>
      </c>
      <c r="Z2060" s="1"/>
      <c r="AA2060" s="1" t="s">
        <v>40</v>
      </c>
      <c r="AB2060" s="1" t="s">
        <v>2715</v>
      </c>
      <c r="AC2060" s="1">
        <v>5602.0</v>
      </c>
    </row>
    <row r="2061">
      <c r="A2061" s="1" t="str">
        <f>"00099F"</f>
        <v>00099F</v>
      </c>
      <c r="B2061" s="1" t="s">
        <v>7978</v>
      </c>
      <c r="C2061" s="1" t="s">
        <v>7979</v>
      </c>
      <c r="D2061" s="1" t="str">
        <f>"6036611782"</f>
        <v>6036611782</v>
      </c>
      <c r="E2061" s="1">
        <v>4099.0</v>
      </c>
      <c r="F2061" s="1" t="s">
        <v>44</v>
      </c>
      <c r="G2061" s="1" t="s">
        <v>7980</v>
      </c>
      <c r="H2061" s="1">
        <v>0.0</v>
      </c>
      <c r="I2061" s="1"/>
      <c r="J2061" s="1"/>
      <c r="K2061" s="1"/>
      <c r="L2061" s="1"/>
      <c r="M2061" s="1" t="s">
        <v>7981</v>
      </c>
      <c r="N2061" s="1" t="s">
        <v>34</v>
      </c>
      <c r="O2061" s="1" t="s">
        <v>324</v>
      </c>
      <c r="P2061" s="1"/>
      <c r="Q2061" s="3">
        <v>36892.0</v>
      </c>
      <c r="R2061" s="1"/>
      <c r="S2061" s="1"/>
      <c r="T2061" s="1" t="s">
        <v>37</v>
      </c>
      <c r="U2061" s="1"/>
      <c r="V2061" s="1" t="s">
        <v>38</v>
      </c>
      <c r="W2061" s="1">
        <v>43.620093</v>
      </c>
      <c r="X2061" s="1">
        <v>-72.543197</v>
      </c>
      <c r="Y2061" s="1" t="s">
        <v>7982</v>
      </c>
      <c r="Z2061" s="1"/>
      <c r="AA2061" s="1" t="s">
        <v>40</v>
      </c>
      <c r="AB2061" s="1" t="s">
        <v>326</v>
      </c>
      <c r="AC2061" s="1">
        <v>5091.0</v>
      </c>
    </row>
    <row r="2062">
      <c r="A2062" s="1" t="str">
        <f>"00099G"</f>
        <v>00099G</v>
      </c>
      <c r="B2062" s="1" t="s">
        <v>7983</v>
      </c>
      <c r="C2062" s="1" t="s">
        <v>7984</v>
      </c>
      <c r="D2062" s="1" t="str">
        <f>"8024631462"</f>
        <v>8024631462</v>
      </c>
      <c r="E2062" s="1">
        <v>4100.0</v>
      </c>
      <c r="F2062" s="1" t="s">
        <v>44</v>
      </c>
      <c r="G2062" s="1" t="s">
        <v>7985</v>
      </c>
      <c r="H2062" s="1"/>
      <c r="I2062" s="1"/>
      <c r="J2062" s="1"/>
      <c r="K2062" s="1"/>
      <c r="L2062" s="1"/>
      <c r="M2062" s="1" t="s">
        <v>72</v>
      </c>
      <c r="N2062" s="1" t="s">
        <v>66</v>
      </c>
      <c r="O2062" s="1" t="s">
        <v>1199</v>
      </c>
      <c r="P2062" s="1"/>
      <c r="Q2062" s="3">
        <v>36892.0</v>
      </c>
      <c r="R2062" s="1"/>
      <c r="S2062" s="1"/>
      <c r="T2062" s="1" t="s">
        <v>37</v>
      </c>
      <c r="U2062" s="1"/>
      <c r="V2062" s="1" t="s">
        <v>38</v>
      </c>
      <c r="W2062" s="1"/>
      <c r="X2062" s="1"/>
      <c r="Y2062" s="1" t="s">
        <v>49</v>
      </c>
      <c r="Z2062" s="1"/>
      <c r="AA2062" s="1" t="s">
        <v>40</v>
      </c>
      <c r="AB2062" s="1" t="s">
        <v>1200</v>
      </c>
      <c r="AC2062" s="1"/>
    </row>
    <row r="2063">
      <c r="A2063" s="1" t="str">
        <f>"00099H"</f>
        <v>00099H</v>
      </c>
      <c r="B2063" s="1" t="s">
        <v>7986</v>
      </c>
      <c r="C2063" s="1" t="s">
        <v>7987</v>
      </c>
      <c r="D2063" s="1" t="str">
        <f>"8029332338"</f>
        <v>8029332338</v>
      </c>
      <c r="E2063" s="1">
        <v>4102.0</v>
      </c>
      <c r="F2063" s="1" t="s">
        <v>44</v>
      </c>
      <c r="G2063" s="1" t="s">
        <v>7988</v>
      </c>
      <c r="H2063" s="1"/>
      <c r="I2063" s="1"/>
      <c r="J2063" s="1"/>
      <c r="K2063" s="1"/>
      <c r="L2063" s="1"/>
      <c r="M2063" s="1" t="s">
        <v>72</v>
      </c>
      <c r="N2063" s="1" t="s">
        <v>47</v>
      </c>
      <c r="O2063" s="1" t="s">
        <v>2837</v>
      </c>
      <c r="P2063" s="1"/>
      <c r="Q2063" s="3">
        <v>36892.0</v>
      </c>
      <c r="R2063" s="1"/>
      <c r="S2063" s="1"/>
      <c r="T2063" s="1" t="s">
        <v>37</v>
      </c>
      <c r="U2063" s="1"/>
      <c r="V2063" s="1" t="s">
        <v>38</v>
      </c>
      <c r="W2063" s="1"/>
      <c r="X2063" s="1"/>
      <c r="Y2063" s="1" t="s">
        <v>49</v>
      </c>
      <c r="Z2063" s="1"/>
      <c r="AA2063" s="1" t="s">
        <v>40</v>
      </c>
      <c r="AB2063" s="1" t="s">
        <v>2838</v>
      </c>
      <c r="AC2063" s="1"/>
    </row>
    <row r="2064">
      <c r="A2064" s="1" t="str">
        <f>"00099J"</f>
        <v>00099J</v>
      </c>
      <c r="B2064" s="1" t="s">
        <v>7989</v>
      </c>
      <c r="C2064" s="1" t="s">
        <v>7990</v>
      </c>
      <c r="D2064" s="1" t="str">
        <f>"8027733733"</f>
        <v>8027733733</v>
      </c>
      <c r="E2064" s="1">
        <v>4105.0</v>
      </c>
      <c r="F2064" s="1" t="s">
        <v>44</v>
      </c>
      <c r="G2064" s="1" t="s">
        <v>7991</v>
      </c>
      <c r="H2064" s="1"/>
      <c r="I2064" s="1"/>
      <c r="J2064" s="1"/>
      <c r="K2064" s="1"/>
      <c r="L2064" s="1"/>
      <c r="M2064" s="1" t="s">
        <v>72</v>
      </c>
      <c r="N2064" s="1" t="s">
        <v>78</v>
      </c>
      <c r="O2064" s="1" t="s">
        <v>452</v>
      </c>
      <c r="P2064" s="1"/>
      <c r="Q2064" s="3">
        <v>36892.0</v>
      </c>
      <c r="R2064" s="1"/>
      <c r="S2064" s="1"/>
      <c r="T2064" s="1" t="s">
        <v>37</v>
      </c>
      <c r="U2064" s="1"/>
      <c r="V2064" s="1" t="s">
        <v>38</v>
      </c>
      <c r="W2064" s="1"/>
      <c r="X2064" s="1"/>
      <c r="Y2064" s="1" t="s">
        <v>49</v>
      </c>
      <c r="Z2064" s="1"/>
      <c r="AA2064" s="1" t="s">
        <v>40</v>
      </c>
      <c r="AB2064" s="1" t="s">
        <v>452</v>
      </c>
      <c r="AC2064" s="1"/>
    </row>
    <row r="2065">
      <c r="A2065" s="1" t="str">
        <f>"00099K"</f>
        <v>00099K</v>
      </c>
      <c r="B2065" s="1" t="s">
        <v>7992</v>
      </c>
      <c r="C2065" s="1" t="s">
        <v>7993</v>
      </c>
      <c r="D2065" s="1" t="str">
        <f>"8022763981"</f>
        <v>8022763981</v>
      </c>
      <c r="E2065" s="1">
        <v>4106.0</v>
      </c>
      <c r="F2065" s="1" t="s">
        <v>44</v>
      </c>
      <c r="G2065" s="1" t="s">
        <v>7994</v>
      </c>
      <c r="H2065" s="1">
        <v>0.0</v>
      </c>
      <c r="I2065" s="1"/>
      <c r="J2065" s="1"/>
      <c r="K2065" s="1"/>
      <c r="L2065" s="1"/>
      <c r="M2065" s="1" t="s">
        <v>72</v>
      </c>
      <c r="N2065" s="1" t="s">
        <v>142</v>
      </c>
      <c r="O2065" s="1" t="s">
        <v>353</v>
      </c>
      <c r="P2065" s="1"/>
      <c r="Q2065" s="3">
        <v>36892.0</v>
      </c>
      <c r="R2065" s="1"/>
      <c r="S2065" s="1"/>
      <c r="T2065" s="1" t="s">
        <v>37</v>
      </c>
      <c r="U2065" s="1"/>
      <c r="V2065" s="1" t="s">
        <v>38</v>
      </c>
      <c r="W2065" s="1">
        <v>44.027217</v>
      </c>
      <c r="X2065" s="1">
        <v>-72.6101709</v>
      </c>
      <c r="Y2065" s="1" t="s">
        <v>7995</v>
      </c>
      <c r="Z2065" s="1"/>
      <c r="AA2065" s="1" t="s">
        <v>40</v>
      </c>
      <c r="AB2065" s="1" t="s">
        <v>355</v>
      </c>
      <c r="AC2065" s="1">
        <v>5036.0</v>
      </c>
    </row>
    <row r="2066">
      <c r="A2066" s="1" t="str">
        <f>"00099M"</f>
        <v>00099M</v>
      </c>
      <c r="B2066" s="1" t="s">
        <v>7996</v>
      </c>
      <c r="C2066" s="1" t="s">
        <v>7997</v>
      </c>
      <c r="D2066" s="1" t="str">
        <f>"8024257700"</f>
        <v>8024257700</v>
      </c>
      <c r="E2066" s="1">
        <v>4107.0</v>
      </c>
      <c r="F2066" s="1" t="s">
        <v>117</v>
      </c>
      <c r="G2066" s="1" t="s">
        <v>7998</v>
      </c>
      <c r="H2066" s="1">
        <v>3.0</v>
      </c>
      <c r="I2066" s="2">
        <v>2.0</v>
      </c>
      <c r="J2066" s="2">
        <v>2.0</v>
      </c>
      <c r="K2066" s="2" t="s">
        <v>119</v>
      </c>
      <c r="L2066" s="1"/>
      <c r="M2066" s="1" t="s">
        <v>7999</v>
      </c>
      <c r="N2066" s="1" t="s">
        <v>57</v>
      </c>
      <c r="O2066" s="1" t="s">
        <v>1633</v>
      </c>
      <c r="P2066" s="1" t="s">
        <v>8000</v>
      </c>
      <c r="Q2066" s="3">
        <v>36892.0</v>
      </c>
      <c r="R2066" s="1"/>
      <c r="S2066" s="1"/>
      <c r="T2066" s="1" t="s">
        <v>37</v>
      </c>
      <c r="U2066" s="1"/>
      <c r="V2066" s="1" t="s">
        <v>38</v>
      </c>
      <c r="W2066" s="1">
        <v>44.327839</v>
      </c>
      <c r="X2066" s="1">
        <v>-73.1724239999999</v>
      </c>
      <c r="Y2066" s="1" t="s">
        <v>8001</v>
      </c>
      <c r="Z2066" s="1"/>
      <c r="AA2066" s="1" t="s">
        <v>40</v>
      </c>
      <c r="AB2066" s="1" t="s">
        <v>1634</v>
      </c>
      <c r="AC2066" s="1">
        <v>5445.0</v>
      </c>
    </row>
    <row r="2067">
      <c r="A2067" s="1" t="str">
        <f t="shared" ref="A2067:A2068" si="146">"00099N"</f>
        <v>00099N</v>
      </c>
      <c r="B2067" s="1" t="s">
        <v>8002</v>
      </c>
      <c r="C2067" s="1" t="s">
        <v>8003</v>
      </c>
      <c r="D2067" s="1" t="str">
        <f t="shared" ref="D2067:D2068" si="147">"8024494333"</f>
        <v>8024494333</v>
      </c>
      <c r="E2067" s="1">
        <v>4108.0</v>
      </c>
      <c r="F2067" s="1" t="s">
        <v>44</v>
      </c>
      <c r="G2067" s="1" t="s">
        <v>8004</v>
      </c>
      <c r="H2067" s="1">
        <v>0.0</v>
      </c>
      <c r="I2067" s="1"/>
      <c r="J2067" s="1"/>
      <c r="K2067" s="1"/>
      <c r="L2067" s="1"/>
      <c r="M2067" s="1" t="s">
        <v>72</v>
      </c>
      <c r="N2067" s="1" t="s">
        <v>142</v>
      </c>
      <c r="O2067" s="1" t="s">
        <v>222</v>
      </c>
      <c r="P2067" s="1"/>
      <c r="Q2067" s="3">
        <v>36892.0</v>
      </c>
      <c r="R2067" s="1"/>
      <c r="S2067" s="1"/>
      <c r="T2067" s="1" t="s">
        <v>37</v>
      </c>
      <c r="U2067" s="1"/>
      <c r="V2067" s="1" t="s">
        <v>38</v>
      </c>
      <c r="W2067" s="1">
        <v>44.0184329999999</v>
      </c>
      <c r="X2067" s="1">
        <v>-72.367771</v>
      </c>
      <c r="Y2067" s="1" t="s">
        <v>8005</v>
      </c>
      <c r="Z2067" s="1"/>
      <c r="AA2067" s="1" t="s">
        <v>40</v>
      </c>
      <c r="AB2067" s="1" t="s">
        <v>223</v>
      </c>
      <c r="AC2067" s="1">
        <v>5039.0</v>
      </c>
    </row>
    <row r="2068">
      <c r="A2068" s="1" t="str">
        <f t="shared" si="146"/>
        <v>00099N</v>
      </c>
      <c r="B2068" s="1" t="s">
        <v>8002</v>
      </c>
      <c r="C2068" s="1" t="s">
        <v>8003</v>
      </c>
      <c r="D2068" s="1" t="str">
        <f t="shared" si="147"/>
        <v>8024494333</v>
      </c>
      <c r="E2068" s="1">
        <v>4108.0</v>
      </c>
      <c r="F2068" s="1" t="s">
        <v>44</v>
      </c>
      <c r="G2068" s="1" t="s">
        <v>8006</v>
      </c>
      <c r="H2068" s="1"/>
      <c r="I2068" s="1"/>
      <c r="J2068" s="1"/>
      <c r="K2068" s="1"/>
      <c r="L2068" s="1"/>
      <c r="M2068" s="1" t="s">
        <v>8007</v>
      </c>
      <c r="N2068" s="1" t="s">
        <v>142</v>
      </c>
      <c r="O2068" s="1" t="s">
        <v>143</v>
      </c>
      <c r="P2068" s="1"/>
      <c r="Q2068" s="3">
        <v>36892.0</v>
      </c>
      <c r="R2068" s="1"/>
      <c r="S2068" s="1"/>
      <c r="T2068" s="1" t="s">
        <v>37</v>
      </c>
      <c r="U2068" s="1"/>
      <c r="V2068" s="1" t="s">
        <v>38</v>
      </c>
      <c r="W2068" s="1"/>
      <c r="X2068" s="1"/>
      <c r="Y2068" s="1" t="s">
        <v>49</v>
      </c>
      <c r="Z2068" s="1"/>
      <c r="AA2068" s="1" t="s">
        <v>40</v>
      </c>
      <c r="AB2068" s="1" t="s">
        <v>146</v>
      </c>
      <c r="AC2068" s="1"/>
    </row>
    <row r="2069">
      <c r="A2069" s="1" t="str">
        <f>"00099P"</f>
        <v>00099P</v>
      </c>
      <c r="B2069" s="1" t="s">
        <v>8008</v>
      </c>
      <c r="C2069" s="1" t="s">
        <v>8009</v>
      </c>
      <c r="D2069" s="1" t="str">
        <f>"8029884081"</f>
        <v>8029884081</v>
      </c>
      <c r="E2069" s="1">
        <v>4109.0</v>
      </c>
      <c r="F2069" s="1" t="s">
        <v>44</v>
      </c>
      <c r="G2069" s="1" t="s">
        <v>8010</v>
      </c>
      <c r="H2069" s="1">
        <v>1.0</v>
      </c>
      <c r="I2069" s="1"/>
      <c r="J2069" s="1"/>
      <c r="K2069" s="1"/>
      <c r="L2069" s="1"/>
      <c r="M2069" s="1" t="s">
        <v>72</v>
      </c>
      <c r="N2069" s="1" t="s">
        <v>94</v>
      </c>
      <c r="O2069" s="1" t="s">
        <v>489</v>
      </c>
      <c r="P2069" s="1" t="s">
        <v>3944</v>
      </c>
      <c r="Q2069" s="3">
        <v>36892.0</v>
      </c>
      <c r="R2069" s="1"/>
      <c r="S2069" s="1"/>
      <c r="T2069" s="1" t="s">
        <v>37</v>
      </c>
      <c r="U2069" s="1"/>
      <c r="V2069" s="1" t="s">
        <v>38</v>
      </c>
      <c r="W2069" s="1">
        <v>44.9999433</v>
      </c>
      <c r="X2069" s="1">
        <v>-72.4060574</v>
      </c>
      <c r="Y2069" s="1" t="s">
        <v>8011</v>
      </c>
      <c r="Z2069" s="1"/>
      <c r="AA2069" s="1" t="s">
        <v>40</v>
      </c>
      <c r="AB2069" s="1" t="s">
        <v>8012</v>
      </c>
      <c r="AC2069" s="1">
        <v>5859.0</v>
      </c>
    </row>
    <row r="2070">
      <c r="A2070" s="1" t="str">
        <f>"00099Q"</f>
        <v>00099Q</v>
      </c>
      <c r="B2070" s="1" t="s">
        <v>8013</v>
      </c>
      <c r="C2070" s="1" t="s">
        <v>8014</v>
      </c>
      <c r="D2070" s="1" t="str">
        <f>"8028753074"</f>
        <v>8028753074</v>
      </c>
      <c r="E2070" s="1">
        <v>4110.0</v>
      </c>
      <c r="F2070" s="1" t="s">
        <v>44</v>
      </c>
      <c r="G2070" s="1" t="s">
        <v>8015</v>
      </c>
      <c r="H2070" s="1">
        <v>1.0</v>
      </c>
      <c r="I2070" s="1"/>
      <c r="J2070" s="1"/>
      <c r="K2070" s="1"/>
      <c r="L2070" s="1"/>
      <c r="M2070" s="1" t="s">
        <v>72</v>
      </c>
      <c r="N2070" s="1" t="s">
        <v>34</v>
      </c>
      <c r="O2070" s="1" t="s">
        <v>565</v>
      </c>
      <c r="P2070" s="1" t="s">
        <v>36</v>
      </c>
      <c r="Q2070" s="3">
        <v>36892.0</v>
      </c>
      <c r="R2070" s="1"/>
      <c r="S2070" s="3">
        <v>40381.0</v>
      </c>
      <c r="T2070" s="1" t="s">
        <v>37</v>
      </c>
      <c r="U2070" s="1"/>
      <c r="V2070" s="1" t="s">
        <v>38</v>
      </c>
      <c r="W2070" s="1">
        <v>43.3506420999999</v>
      </c>
      <c r="X2070" s="1">
        <v>-72.6427081</v>
      </c>
      <c r="Y2070" s="1" t="s">
        <v>8016</v>
      </c>
      <c r="Z2070" s="1"/>
      <c r="AA2070" s="1" t="s">
        <v>40</v>
      </c>
      <c r="AB2070" s="1" t="s">
        <v>566</v>
      </c>
      <c r="AC2070" s="1">
        <v>5143.0</v>
      </c>
    </row>
    <row r="2071">
      <c r="A2071" s="1" t="str">
        <f>"00099V"</f>
        <v>00099V</v>
      </c>
      <c r="B2071" s="1" t="s">
        <v>8017</v>
      </c>
      <c r="C2071" s="1" t="s">
        <v>8018</v>
      </c>
      <c r="D2071" s="1" t="str">
        <f>"8028756379"</f>
        <v>8028756379</v>
      </c>
      <c r="E2071" s="1">
        <v>4111.0</v>
      </c>
      <c r="F2071" s="1" t="s">
        <v>44</v>
      </c>
      <c r="G2071" s="1" t="s">
        <v>8019</v>
      </c>
      <c r="H2071" s="1">
        <v>2.0</v>
      </c>
      <c r="I2071" s="1"/>
      <c r="J2071" s="1"/>
      <c r="K2071" s="1"/>
      <c r="L2071" s="1"/>
      <c r="M2071" s="1" t="s">
        <v>72</v>
      </c>
      <c r="N2071" s="1" t="s">
        <v>34</v>
      </c>
      <c r="O2071" s="1" t="s">
        <v>565</v>
      </c>
      <c r="P2071" s="1"/>
      <c r="Q2071" s="3">
        <v>36892.0</v>
      </c>
      <c r="R2071" s="1"/>
      <c r="S2071" s="3">
        <v>40381.0</v>
      </c>
      <c r="T2071" s="1" t="s">
        <v>37</v>
      </c>
      <c r="U2071" s="1"/>
      <c r="V2071" s="1" t="s">
        <v>38</v>
      </c>
      <c r="W2071" s="1">
        <v>43.28568</v>
      </c>
      <c r="X2071" s="1">
        <v>-72.6462599999999</v>
      </c>
      <c r="Y2071" s="1" t="s">
        <v>8020</v>
      </c>
      <c r="Z2071" s="1"/>
      <c r="AA2071" s="1" t="s">
        <v>40</v>
      </c>
      <c r="AB2071" s="1" t="s">
        <v>566</v>
      </c>
      <c r="AC2071" s="1">
        <v>5143.0</v>
      </c>
    </row>
    <row r="2072">
      <c r="A2072" s="1" t="str">
        <f>"00099X"</f>
        <v>00099X</v>
      </c>
      <c r="B2072" s="1" t="s">
        <v>8021</v>
      </c>
      <c r="C2072" s="1" t="s">
        <v>8022</v>
      </c>
      <c r="D2072" s="1" t="str">
        <f>"8024223489"</f>
        <v>8024223489</v>
      </c>
      <c r="E2072" s="1">
        <v>4113.0</v>
      </c>
      <c r="F2072" s="1" t="s">
        <v>44</v>
      </c>
      <c r="G2072" s="1" t="s">
        <v>8023</v>
      </c>
      <c r="H2072" s="1"/>
      <c r="I2072" s="1"/>
      <c r="J2072" s="1"/>
      <c r="K2072" s="1"/>
      <c r="L2072" s="1"/>
      <c r="M2072" s="1" t="s">
        <v>72</v>
      </c>
      <c r="N2072" s="1" t="s">
        <v>78</v>
      </c>
      <c r="O2072" s="1" t="s">
        <v>238</v>
      </c>
      <c r="P2072" s="1"/>
      <c r="Q2072" s="3">
        <v>36892.0</v>
      </c>
      <c r="R2072" s="1"/>
      <c r="S2072" s="1"/>
      <c r="T2072" s="1" t="s">
        <v>37</v>
      </c>
      <c r="U2072" s="1"/>
      <c r="V2072" s="1" t="s">
        <v>38</v>
      </c>
      <c r="W2072" s="1"/>
      <c r="X2072" s="1"/>
      <c r="Y2072" s="1" t="s">
        <v>49</v>
      </c>
      <c r="Z2072" s="1"/>
      <c r="AA2072" s="1" t="s">
        <v>40</v>
      </c>
      <c r="AB2072" s="1" t="s">
        <v>5691</v>
      </c>
      <c r="AC2072" s="1"/>
    </row>
    <row r="2073">
      <c r="A2073" s="1" t="str">
        <f>"00099Y"</f>
        <v>00099Y</v>
      </c>
      <c r="B2073" s="1" t="s">
        <v>8024</v>
      </c>
      <c r="C2073" s="1" t="s">
        <v>8025</v>
      </c>
      <c r="D2073" s="1" t="str">
        <f>"8028499778"</f>
        <v>8028499778</v>
      </c>
      <c r="E2073" s="1">
        <v>4114.0</v>
      </c>
      <c r="F2073" s="1" t="s">
        <v>31</v>
      </c>
      <c r="G2073" s="1" t="s">
        <v>8026</v>
      </c>
      <c r="H2073" s="1">
        <v>0.0</v>
      </c>
      <c r="I2073" s="1"/>
      <c r="J2073" s="1"/>
      <c r="K2073" s="1"/>
      <c r="L2073" s="1"/>
      <c r="M2073" s="1" t="s">
        <v>72</v>
      </c>
      <c r="N2073" s="1" t="s">
        <v>47</v>
      </c>
      <c r="O2073" s="1" t="s">
        <v>763</v>
      </c>
      <c r="P2073" s="1"/>
      <c r="Q2073" s="3">
        <v>36892.0</v>
      </c>
      <c r="R2073" s="1"/>
      <c r="S2073" s="1"/>
      <c r="T2073" s="1" t="s">
        <v>37</v>
      </c>
      <c r="U2073" s="1"/>
      <c r="V2073" s="1" t="s">
        <v>38</v>
      </c>
      <c r="W2073" s="1">
        <v>44.676945</v>
      </c>
      <c r="X2073" s="1">
        <v>-72.92322</v>
      </c>
      <c r="Y2073" s="1" t="s">
        <v>8027</v>
      </c>
      <c r="Z2073" s="1"/>
      <c r="AA2073" s="1" t="s">
        <v>40</v>
      </c>
      <c r="AB2073" s="1" t="s">
        <v>764</v>
      </c>
      <c r="AC2073" s="1">
        <v>5444.0</v>
      </c>
    </row>
    <row r="2074">
      <c r="A2074" s="1" t="str">
        <f>"00099Z"</f>
        <v>00099Z</v>
      </c>
      <c r="B2074" s="1" t="s">
        <v>8028</v>
      </c>
      <c r="C2074" s="1" t="s">
        <v>8029</v>
      </c>
      <c r="D2074" s="1" t="str">
        <f>"8028646133"</f>
        <v>8028646133</v>
      </c>
      <c r="E2074" s="1">
        <v>4115.0</v>
      </c>
      <c r="F2074" s="1" t="s">
        <v>44</v>
      </c>
      <c r="G2074" s="1" t="s">
        <v>8030</v>
      </c>
      <c r="H2074" s="1"/>
      <c r="I2074" s="1"/>
      <c r="J2074" s="1"/>
      <c r="K2074" s="1"/>
      <c r="L2074" s="1"/>
      <c r="M2074" s="1" t="s">
        <v>8031</v>
      </c>
      <c r="N2074" s="1" t="s">
        <v>47</v>
      </c>
      <c r="O2074" s="1" t="s">
        <v>928</v>
      </c>
      <c r="P2074" s="1"/>
      <c r="Q2074" s="3">
        <v>36892.0</v>
      </c>
      <c r="R2074" s="1"/>
      <c r="S2074" s="1"/>
      <c r="T2074" s="1" t="s">
        <v>37</v>
      </c>
      <c r="U2074" s="1"/>
      <c r="V2074" s="1" t="s">
        <v>38</v>
      </c>
      <c r="W2074" s="1"/>
      <c r="X2074" s="1"/>
      <c r="Y2074" s="1" t="s">
        <v>49</v>
      </c>
      <c r="Z2074" s="1"/>
      <c r="AA2074" s="1" t="s">
        <v>40</v>
      </c>
      <c r="AB2074" s="1" t="s">
        <v>929</v>
      </c>
      <c r="AC2074" s="1"/>
    </row>
    <row r="2075">
      <c r="A2075" s="1" t="str">
        <f>"0009A0"</f>
        <v>0009A0</v>
      </c>
      <c r="B2075" s="1" t="s">
        <v>8032</v>
      </c>
      <c r="C2075" s="1" t="s">
        <v>8033</v>
      </c>
      <c r="D2075" s="1" t="str">
        <f>"8025454316"</f>
        <v>8025454316</v>
      </c>
      <c r="E2075" s="1">
        <v>4116.0</v>
      </c>
      <c r="F2075" s="1" t="s">
        <v>117</v>
      </c>
      <c r="G2075" s="1" t="s">
        <v>8034</v>
      </c>
      <c r="H2075" s="1">
        <v>1.0</v>
      </c>
      <c r="I2075" s="2" t="s">
        <v>119</v>
      </c>
      <c r="J2075" s="2">
        <v>1.0</v>
      </c>
      <c r="K2075" s="2" t="s">
        <v>119</v>
      </c>
      <c r="L2075" s="1"/>
      <c r="M2075" s="1" t="s">
        <v>8035</v>
      </c>
      <c r="N2075" s="1" t="s">
        <v>161</v>
      </c>
      <c r="O2075" s="1" t="s">
        <v>185</v>
      </c>
      <c r="P2075" s="1" t="s">
        <v>8036</v>
      </c>
      <c r="Q2075" s="3">
        <v>36892.0</v>
      </c>
      <c r="R2075" s="1"/>
      <c r="S2075" s="1"/>
      <c r="T2075" s="1" t="s">
        <v>37</v>
      </c>
      <c r="U2075" s="1"/>
      <c r="V2075" s="1" t="s">
        <v>38</v>
      </c>
      <c r="W2075" s="1">
        <v>44.077587</v>
      </c>
      <c r="X2075" s="1">
        <v>-73.1945109999999</v>
      </c>
      <c r="Y2075" s="1" t="s">
        <v>8037</v>
      </c>
      <c r="Z2075" s="1"/>
      <c r="AA2075" s="1" t="s">
        <v>40</v>
      </c>
      <c r="AB2075" s="1" t="s">
        <v>186</v>
      </c>
      <c r="AC2075" s="1">
        <v>5472.0</v>
      </c>
    </row>
    <row r="2076">
      <c r="A2076" s="1" t="str">
        <f>"0008J8"</f>
        <v>0008J8</v>
      </c>
      <c r="B2076" s="1" t="s">
        <v>8038</v>
      </c>
      <c r="C2076" s="1" t="s">
        <v>8039</v>
      </c>
      <c r="D2076" s="1" t="str">
        <f>"8028276542"</f>
        <v>8028276542</v>
      </c>
      <c r="E2076" s="1">
        <v>4118.0</v>
      </c>
      <c r="F2076" s="1" t="s">
        <v>31</v>
      </c>
      <c r="G2076" s="1" t="s">
        <v>8040</v>
      </c>
      <c r="H2076" s="1">
        <v>0.0</v>
      </c>
      <c r="I2076" s="1"/>
      <c r="J2076" s="1"/>
      <c r="K2076" s="1"/>
      <c r="L2076" s="1"/>
      <c r="M2076" s="1" t="s">
        <v>72</v>
      </c>
      <c r="N2076" s="1" t="s">
        <v>47</v>
      </c>
      <c r="O2076" s="1" t="s">
        <v>928</v>
      </c>
      <c r="P2076" s="1"/>
      <c r="Q2076" s="3">
        <v>36892.0</v>
      </c>
      <c r="R2076" s="1"/>
      <c r="S2076" s="1"/>
      <c r="T2076" s="1" t="s">
        <v>37</v>
      </c>
      <c r="U2076" s="1"/>
      <c r="V2076" s="1" t="s">
        <v>38</v>
      </c>
      <c r="W2076" s="1">
        <v>44.7679465</v>
      </c>
      <c r="X2076" s="1">
        <v>-72.8129459</v>
      </c>
      <c r="Y2076" s="1" t="s">
        <v>8041</v>
      </c>
      <c r="Z2076" s="1"/>
      <c r="AA2076" s="1" t="s">
        <v>40</v>
      </c>
      <c r="AB2076" s="1" t="s">
        <v>929</v>
      </c>
      <c r="AC2076" s="1">
        <v>5448.0</v>
      </c>
    </row>
    <row r="2077">
      <c r="A2077" s="1" t="str">
        <f>"0009A2"</f>
        <v>0009A2</v>
      </c>
      <c r="B2077" s="1" t="s">
        <v>8042</v>
      </c>
      <c r="C2077" s="1" t="s">
        <v>8043</v>
      </c>
      <c r="D2077" s="1" t="str">
        <f>"8022490390"</f>
        <v>8022490390</v>
      </c>
      <c r="E2077" s="1">
        <v>4119.0</v>
      </c>
      <c r="F2077" s="1" t="s">
        <v>117</v>
      </c>
      <c r="G2077" s="1" t="s">
        <v>8044</v>
      </c>
      <c r="H2077" s="1">
        <v>20.0</v>
      </c>
      <c r="I2077" s="2">
        <v>20.0</v>
      </c>
      <c r="J2077" s="2">
        <v>20.0</v>
      </c>
      <c r="K2077" s="2" t="s">
        <v>119</v>
      </c>
      <c r="L2077" s="1"/>
      <c r="M2077" s="1" t="s">
        <v>8045</v>
      </c>
      <c r="N2077" s="1" t="s">
        <v>142</v>
      </c>
      <c r="O2077" s="1" t="s">
        <v>2253</v>
      </c>
      <c r="P2077" s="1" t="s">
        <v>8046</v>
      </c>
      <c r="Q2077" s="3">
        <v>40179.0</v>
      </c>
      <c r="R2077" s="1"/>
      <c r="S2077" s="1"/>
      <c r="T2077" s="1" t="s">
        <v>37</v>
      </c>
      <c r="U2077" s="1"/>
      <c r="V2077" s="1" t="s">
        <v>38</v>
      </c>
      <c r="W2077" s="1">
        <v>44.1422126951937</v>
      </c>
      <c r="X2077" s="1">
        <v>-72.5257623195648</v>
      </c>
      <c r="Y2077" s="1" t="s">
        <v>8047</v>
      </c>
      <c r="Z2077" s="1"/>
      <c r="AA2077" s="1" t="s">
        <v>40</v>
      </c>
      <c r="AB2077" s="1" t="s">
        <v>2254</v>
      </c>
      <c r="AC2077" s="1">
        <v>5679.0</v>
      </c>
    </row>
    <row r="2078">
      <c r="A2078" s="1" t="str">
        <f>"0009A4"</f>
        <v>0009A4</v>
      </c>
      <c r="B2078" s="1" t="s">
        <v>8048</v>
      </c>
      <c r="C2078" s="1" t="s">
        <v>8049</v>
      </c>
      <c r="D2078" s="1" t="str">
        <f>"8027548483"</f>
        <v>8027548483</v>
      </c>
      <c r="E2078" s="1">
        <v>4128.0</v>
      </c>
      <c r="F2078" s="1" t="s">
        <v>117</v>
      </c>
      <c r="G2078" s="1" t="s">
        <v>8050</v>
      </c>
      <c r="H2078" s="1">
        <v>2.0</v>
      </c>
      <c r="I2078" s="2" t="s">
        <v>119</v>
      </c>
      <c r="J2078" s="2">
        <v>3.0</v>
      </c>
      <c r="K2078" s="2" t="s">
        <v>119</v>
      </c>
      <c r="L2078" s="1"/>
      <c r="M2078" s="1" t="s">
        <v>8051</v>
      </c>
      <c r="N2078" s="1" t="s">
        <v>94</v>
      </c>
      <c r="O2078" s="1" t="s">
        <v>3623</v>
      </c>
      <c r="P2078" s="1" t="s">
        <v>8052</v>
      </c>
      <c r="Q2078" s="3">
        <v>36892.0</v>
      </c>
      <c r="R2078" s="1"/>
      <c r="S2078" s="1"/>
      <c r="T2078" s="1" t="s">
        <v>37</v>
      </c>
      <c r="U2078" s="1"/>
      <c r="V2078" s="1" t="s">
        <v>38</v>
      </c>
      <c r="W2078" s="1">
        <v>44.789462</v>
      </c>
      <c r="X2078" s="1">
        <v>-72.2797499999999</v>
      </c>
      <c r="Y2078" s="1" t="s">
        <v>8053</v>
      </c>
      <c r="Z2078" s="1"/>
      <c r="AA2078" s="1" t="s">
        <v>40</v>
      </c>
      <c r="AB2078" s="1" t="s">
        <v>3624</v>
      </c>
      <c r="AC2078" s="1">
        <v>5845.0</v>
      </c>
    </row>
    <row r="2079">
      <c r="A2079" s="1" t="str">
        <f>"0009A5"</f>
        <v>0009A5</v>
      </c>
      <c r="B2079" s="1" t="s">
        <v>8054</v>
      </c>
      <c r="C2079" s="1" t="s">
        <v>8055</v>
      </c>
      <c r="D2079" s="1" t="str">
        <f>"8027939833"</f>
        <v>8027939833</v>
      </c>
      <c r="E2079" s="1">
        <v>4129.0</v>
      </c>
      <c r="F2079" s="1" t="s">
        <v>44</v>
      </c>
      <c r="G2079" s="1" t="s">
        <v>8056</v>
      </c>
      <c r="H2079" s="1">
        <v>0.0</v>
      </c>
      <c r="I2079" s="1"/>
      <c r="J2079" s="1"/>
      <c r="K2079" s="1"/>
      <c r="L2079" s="1"/>
      <c r="M2079" s="1" t="s">
        <v>8057</v>
      </c>
      <c r="N2079" s="1" t="s">
        <v>142</v>
      </c>
      <c r="O2079" s="1" t="s">
        <v>2376</v>
      </c>
      <c r="P2079" s="1"/>
      <c r="Q2079" s="3">
        <v>36892.0</v>
      </c>
      <c r="R2079" s="1"/>
      <c r="S2079" s="1"/>
      <c r="T2079" s="1" t="s">
        <v>37</v>
      </c>
      <c r="U2079" s="1"/>
      <c r="V2079" s="1" t="s">
        <v>38</v>
      </c>
      <c r="W2079" s="1">
        <v>44.170323318712</v>
      </c>
      <c r="X2079" s="1">
        <v>-72.4169182777404</v>
      </c>
      <c r="Y2079" s="1" t="s">
        <v>8058</v>
      </c>
      <c r="Z2079" s="1"/>
      <c r="AA2079" s="1" t="s">
        <v>40</v>
      </c>
      <c r="AB2079" s="1" t="s">
        <v>142</v>
      </c>
      <c r="AC2079" s="1">
        <v>5641.0</v>
      </c>
    </row>
    <row r="2080">
      <c r="A2080" s="1" t="str">
        <f>"00094N"</f>
        <v>00094N</v>
      </c>
      <c r="B2080" s="1" t="s">
        <v>6667</v>
      </c>
      <c r="C2080" s="1" t="s">
        <v>6668</v>
      </c>
      <c r="D2080" s="1" t="str">
        <f>"8022232328"</f>
        <v>8022232328</v>
      </c>
      <c r="E2080" s="1">
        <v>3881.0</v>
      </c>
      <c r="F2080" s="1" t="s">
        <v>44</v>
      </c>
      <c r="G2080" s="1" t="s">
        <v>8059</v>
      </c>
      <c r="H2080" s="1">
        <v>2.0</v>
      </c>
      <c r="I2080" s="1"/>
      <c r="J2080" s="1"/>
      <c r="K2080" s="1"/>
      <c r="L2080" s="1"/>
      <c r="M2080" s="1" t="s">
        <v>8060</v>
      </c>
      <c r="N2080" s="1" t="s">
        <v>135</v>
      </c>
      <c r="O2080" s="1" t="s">
        <v>1142</v>
      </c>
      <c r="P2080" s="1"/>
      <c r="Q2080" s="3">
        <v>40317.0</v>
      </c>
      <c r="R2080" s="1"/>
      <c r="S2080" s="1"/>
      <c r="T2080" s="1" t="s">
        <v>37</v>
      </c>
      <c r="U2080" s="1"/>
      <c r="V2080" s="1" t="s">
        <v>38</v>
      </c>
      <c r="W2080" s="1"/>
      <c r="X2080" s="1"/>
      <c r="Y2080" s="1" t="s">
        <v>8061</v>
      </c>
      <c r="Z2080" s="1"/>
      <c r="AA2080" s="1" t="s">
        <v>40</v>
      </c>
      <c r="AB2080" s="1" t="s">
        <v>1145</v>
      </c>
      <c r="AC2080" s="1">
        <v>5602.0</v>
      </c>
    </row>
    <row r="2081">
      <c r="A2081" s="1" t="str">
        <f>"000ADJ"</f>
        <v>000ADJ</v>
      </c>
      <c r="B2081" s="1" t="s">
        <v>8062</v>
      </c>
      <c r="C2081" s="1" t="s">
        <v>8063</v>
      </c>
      <c r="D2081" s="1" t="str">
        <f>"8026352786"</f>
        <v>8026352786</v>
      </c>
      <c r="E2081" s="1">
        <v>4137.0</v>
      </c>
      <c r="F2081" s="1" t="s">
        <v>44</v>
      </c>
      <c r="G2081" s="1" t="s">
        <v>8064</v>
      </c>
      <c r="H2081" s="1">
        <v>1.0</v>
      </c>
      <c r="I2081" s="1"/>
      <c r="J2081" s="1"/>
      <c r="K2081" s="1"/>
      <c r="L2081" s="1"/>
      <c r="M2081" s="1" t="s">
        <v>8065</v>
      </c>
      <c r="N2081" s="1" t="s">
        <v>213</v>
      </c>
      <c r="O2081" s="1" t="s">
        <v>2171</v>
      </c>
      <c r="P2081" s="1" t="s">
        <v>8066</v>
      </c>
      <c r="Q2081" s="3">
        <v>40317.0</v>
      </c>
      <c r="R2081" s="1"/>
      <c r="S2081" s="1"/>
      <c r="T2081" s="1" t="s">
        <v>37</v>
      </c>
      <c r="U2081" s="1"/>
      <c r="V2081" s="1" t="s">
        <v>38</v>
      </c>
      <c r="W2081" s="1"/>
      <c r="X2081" s="1"/>
      <c r="Y2081" s="1">
        <v>0.0</v>
      </c>
      <c r="Z2081" s="1"/>
      <c r="AA2081" s="1" t="s">
        <v>40</v>
      </c>
      <c r="AB2081" s="1">
        <v>0.0</v>
      </c>
      <c r="AC2081" s="1">
        <v>0.0</v>
      </c>
    </row>
    <row r="2082">
      <c r="A2082" s="1" t="str">
        <f>"000ADP"</f>
        <v>000ADP</v>
      </c>
      <c r="B2082" s="1" t="s">
        <v>8067</v>
      </c>
      <c r="C2082" s="1" t="s">
        <v>8068</v>
      </c>
      <c r="D2082" s="1" t="str">
        <f>"8605142211"</f>
        <v>8605142211</v>
      </c>
      <c r="E2082" s="1">
        <v>4139.0</v>
      </c>
      <c r="F2082" s="1" t="s">
        <v>117</v>
      </c>
      <c r="G2082" s="1" t="s">
        <v>8069</v>
      </c>
      <c r="H2082" s="1">
        <v>9.0</v>
      </c>
      <c r="I2082" s="2" t="s">
        <v>119</v>
      </c>
      <c r="J2082" s="2">
        <v>2.0</v>
      </c>
      <c r="K2082" s="2" t="s">
        <v>119</v>
      </c>
      <c r="L2082" s="2" t="s">
        <v>8070</v>
      </c>
      <c r="M2082" s="1" t="s">
        <v>8071</v>
      </c>
      <c r="N2082" s="1" t="s">
        <v>161</v>
      </c>
      <c r="O2082" s="1" t="s">
        <v>576</v>
      </c>
      <c r="P2082" s="1" t="s">
        <v>8072</v>
      </c>
      <c r="Q2082" s="3">
        <v>40269.0</v>
      </c>
      <c r="R2082" s="1"/>
      <c r="S2082" s="1"/>
      <c r="T2082" s="1" t="s">
        <v>37</v>
      </c>
      <c r="U2082" s="1"/>
      <c r="V2082" s="1" t="s">
        <v>38</v>
      </c>
      <c r="W2082" s="1"/>
      <c r="X2082" s="1"/>
      <c r="Y2082" s="1" t="s">
        <v>8073</v>
      </c>
      <c r="Z2082" s="1"/>
      <c r="AA2082" s="1" t="s">
        <v>40</v>
      </c>
      <c r="AB2082" s="1" t="s">
        <v>161</v>
      </c>
      <c r="AC2082" s="1">
        <v>5491.0</v>
      </c>
    </row>
    <row r="2083">
      <c r="A2083" s="1" t="str">
        <f>"000ADW"</f>
        <v>000ADW</v>
      </c>
      <c r="B2083" s="1" t="s">
        <v>8074</v>
      </c>
      <c r="C2083" s="1" t="s">
        <v>8075</v>
      </c>
      <c r="D2083" s="1" t="str">
        <f>"8022237475"</f>
        <v>8022237475</v>
      </c>
      <c r="E2083" s="1">
        <v>4142.0</v>
      </c>
      <c r="F2083" s="1" t="s">
        <v>117</v>
      </c>
      <c r="G2083" s="1" t="s">
        <v>8076</v>
      </c>
      <c r="H2083" s="1">
        <v>4.0</v>
      </c>
      <c r="I2083" s="2">
        <v>3.0</v>
      </c>
      <c r="J2083" s="2">
        <v>3.0</v>
      </c>
      <c r="K2083" s="2" t="s">
        <v>119</v>
      </c>
      <c r="L2083" s="2"/>
      <c r="M2083" s="1" t="s">
        <v>8077</v>
      </c>
      <c r="N2083" s="1" t="s">
        <v>135</v>
      </c>
      <c r="O2083" s="1" t="s">
        <v>279</v>
      </c>
      <c r="P2083" s="1" t="s">
        <v>8078</v>
      </c>
      <c r="Q2083" s="3">
        <v>40265.0</v>
      </c>
      <c r="R2083" s="1"/>
      <c r="S2083" s="1"/>
      <c r="T2083" s="1" t="s">
        <v>37</v>
      </c>
      <c r="U2083" s="1"/>
      <c r="V2083" s="1" t="s">
        <v>38</v>
      </c>
      <c r="W2083" s="1">
        <v>44.2290183637857</v>
      </c>
      <c r="X2083" s="1">
        <v>-72.6077306270599</v>
      </c>
      <c r="Y2083" s="1" t="s">
        <v>8079</v>
      </c>
      <c r="Z2083" s="1"/>
      <c r="AA2083" s="1" t="s">
        <v>40</v>
      </c>
      <c r="AB2083" s="1" t="s">
        <v>281</v>
      </c>
      <c r="AC2083" s="1">
        <v>5602.0</v>
      </c>
    </row>
    <row r="2084">
      <c r="A2084" s="1" t="str">
        <f>"0008GB"</f>
        <v>0008GB</v>
      </c>
      <c r="B2084" s="1" t="s">
        <v>5299</v>
      </c>
      <c r="C2084" s="1" t="s">
        <v>5300</v>
      </c>
      <c r="D2084" s="1" t="str">
        <f>"8029482615"</f>
        <v>8029482615</v>
      </c>
      <c r="E2084" s="1">
        <v>2706.0</v>
      </c>
      <c r="F2084" s="1" t="s">
        <v>117</v>
      </c>
      <c r="G2084" s="1" t="s">
        <v>8080</v>
      </c>
      <c r="H2084" s="1">
        <v>15.0</v>
      </c>
      <c r="I2084" s="2">
        <v>3.0</v>
      </c>
      <c r="J2084" s="2">
        <v>0.0</v>
      </c>
      <c r="K2084" s="2" t="s">
        <v>119</v>
      </c>
      <c r="L2084" s="1"/>
      <c r="M2084" s="1">
        <v>2.0</v>
      </c>
      <c r="N2084" s="1" t="s">
        <v>161</v>
      </c>
      <c r="O2084" s="1" t="s">
        <v>1501</v>
      </c>
      <c r="P2084" s="1" t="s">
        <v>8081</v>
      </c>
      <c r="Q2084" s="3">
        <v>40299.0</v>
      </c>
      <c r="R2084" s="1"/>
      <c r="S2084" s="3">
        <v>41937.0</v>
      </c>
      <c r="T2084" s="1" t="s">
        <v>37</v>
      </c>
      <c r="U2084" s="1"/>
      <c r="V2084" s="1" t="s">
        <v>38</v>
      </c>
      <c r="W2084" s="1">
        <v>43.8586</v>
      </c>
      <c r="X2084" s="1">
        <v>-73.1361299999999</v>
      </c>
      <c r="Y2084" s="1" t="s">
        <v>8082</v>
      </c>
      <c r="Z2084" s="1"/>
      <c r="AA2084" s="1" t="s">
        <v>40</v>
      </c>
      <c r="AB2084" s="1" t="s">
        <v>1504</v>
      </c>
      <c r="AC2084" s="1">
        <v>0.0</v>
      </c>
    </row>
    <row r="2085">
      <c r="A2085" s="1" t="str">
        <f t="shared" ref="A2085:A2087" si="148">"0008G3"</f>
        <v>0008G3</v>
      </c>
      <c r="B2085" s="1" t="s">
        <v>8083</v>
      </c>
      <c r="C2085" s="1" t="s">
        <v>8084</v>
      </c>
      <c r="D2085" s="1" t="str">
        <f t="shared" ref="D2085:D2087" si="149">"8023330084"</f>
        <v>8023330084</v>
      </c>
      <c r="E2085" s="1">
        <v>3796.0</v>
      </c>
      <c r="F2085" s="1" t="s">
        <v>117</v>
      </c>
      <c r="G2085" s="1" t="s">
        <v>8085</v>
      </c>
      <c r="H2085" s="1">
        <v>1.0</v>
      </c>
      <c r="I2085" s="2">
        <v>9.0</v>
      </c>
      <c r="J2085" s="2">
        <v>7.0</v>
      </c>
      <c r="K2085" s="2" t="s">
        <v>119</v>
      </c>
      <c r="L2085" s="2" t="s">
        <v>8086</v>
      </c>
      <c r="M2085" s="1" t="s">
        <v>8087</v>
      </c>
      <c r="N2085" s="1" t="s">
        <v>161</v>
      </c>
      <c r="O2085" s="1" t="s">
        <v>185</v>
      </c>
      <c r="P2085" s="1" t="s">
        <v>8088</v>
      </c>
      <c r="Q2085" s="3">
        <v>40273.0</v>
      </c>
      <c r="R2085" s="1"/>
      <c r="S2085" s="1"/>
      <c r="T2085" s="1" t="s">
        <v>37</v>
      </c>
      <c r="U2085" s="1"/>
      <c r="V2085" s="1" t="s">
        <v>38</v>
      </c>
      <c r="W2085" s="1">
        <v>44.159149</v>
      </c>
      <c r="X2085" s="1">
        <v>-73.1465079999999</v>
      </c>
      <c r="Y2085" s="1" t="s">
        <v>8089</v>
      </c>
      <c r="Z2085" s="1"/>
      <c r="AA2085" s="1" t="s">
        <v>40</v>
      </c>
      <c r="AB2085" s="1" t="s">
        <v>186</v>
      </c>
      <c r="AC2085" s="1">
        <v>5443.0</v>
      </c>
    </row>
    <row r="2086">
      <c r="A2086" s="1" t="str">
        <f t="shared" si="148"/>
        <v>0008G3</v>
      </c>
      <c r="B2086" s="1" t="s">
        <v>8083</v>
      </c>
      <c r="C2086" s="1" t="s">
        <v>8084</v>
      </c>
      <c r="D2086" s="1" t="str">
        <f t="shared" si="149"/>
        <v>8023330084</v>
      </c>
      <c r="E2086" s="1">
        <v>3796.0</v>
      </c>
      <c r="F2086" s="1" t="s">
        <v>117</v>
      </c>
      <c r="G2086" s="1" t="s">
        <v>8090</v>
      </c>
      <c r="H2086" s="1">
        <v>14.0</v>
      </c>
      <c r="I2086" s="2">
        <v>6.0</v>
      </c>
      <c r="J2086" s="2">
        <v>6.0</v>
      </c>
      <c r="K2086" s="2" t="s">
        <v>119</v>
      </c>
      <c r="L2086" s="2" t="s">
        <v>8091</v>
      </c>
      <c r="M2086" s="1" t="s">
        <v>8092</v>
      </c>
      <c r="N2086" s="1" t="s">
        <v>57</v>
      </c>
      <c r="O2086" s="1" t="s">
        <v>204</v>
      </c>
      <c r="P2086" s="1" t="s">
        <v>8093</v>
      </c>
      <c r="Q2086" s="3">
        <v>40273.0</v>
      </c>
      <c r="R2086" s="1"/>
      <c r="S2086" s="1"/>
      <c r="T2086" s="1" t="s">
        <v>37</v>
      </c>
      <c r="U2086" s="1"/>
      <c r="V2086" s="1" t="s">
        <v>38</v>
      </c>
      <c r="W2086" s="1">
        <v>44.284836</v>
      </c>
      <c r="X2086" s="1">
        <v>-73.0843049999999</v>
      </c>
      <c r="Y2086" s="1" t="s">
        <v>8094</v>
      </c>
      <c r="Z2086" s="1"/>
      <c r="AA2086" s="1" t="s">
        <v>40</v>
      </c>
      <c r="AB2086" s="1" t="s">
        <v>205</v>
      </c>
      <c r="AC2086" s="1">
        <v>5461.0</v>
      </c>
    </row>
    <row r="2087">
      <c r="A2087" s="1" t="str">
        <f t="shared" si="148"/>
        <v>0008G3</v>
      </c>
      <c r="B2087" s="1" t="s">
        <v>8083</v>
      </c>
      <c r="C2087" s="1" t="s">
        <v>8084</v>
      </c>
      <c r="D2087" s="1" t="str">
        <f t="shared" si="149"/>
        <v>8023330084</v>
      </c>
      <c r="E2087" s="1">
        <v>3796.0</v>
      </c>
      <c r="F2087" s="1" t="s">
        <v>117</v>
      </c>
      <c r="G2087" s="1" t="s">
        <v>8095</v>
      </c>
      <c r="H2087" s="1">
        <v>10.0</v>
      </c>
      <c r="I2087" s="2">
        <v>6.0</v>
      </c>
      <c r="J2087" s="2">
        <v>6.0</v>
      </c>
      <c r="K2087" s="2" t="s">
        <v>119</v>
      </c>
      <c r="L2087" s="2" t="s">
        <v>8091</v>
      </c>
      <c r="M2087" s="1" t="s">
        <v>8096</v>
      </c>
      <c r="N2087" s="1" t="s">
        <v>57</v>
      </c>
      <c r="O2087" s="1" t="s">
        <v>204</v>
      </c>
      <c r="P2087" s="1" t="s">
        <v>8097</v>
      </c>
      <c r="Q2087" s="3">
        <v>41045.0</v>
      </c>
      <c r="R2087" s="1"/>
      <c r="S2087" s="1"/>
      <c r="T2087" s="1" t="s">
        <v>37</v>
      </c>
      <c r="U2087" s="1"/>
      <c r="V2087" s="1" t="s">
        <v>38</v>
      </c>
      <c r="W2087" s="1">
        <v>44.2888991089433</v>
      </c>
      <c r="X2087" s="1">
        <v>-73.1268118321895</v>
      </c>
      <c r="Y2087" s="1" t="s">
        <v>8098</v>
      </c>
      <c r="Z2087" s="1"/>
      <c r="AA2087" s="1" t="s">
        <v>40</v>
      </c>
      <c r="AB2087" s="1" t="s">
        <v>205</v>
      </c>
      <c r="AC2087" s="1">
        <v>5461.0</v>
      </c>
    </row>
    <row r="2088">
      <c r="A2088" s="1" t="str">
        <f>"000AGQ"</f>
        <v>000AGQ</v>
      </c>
      <c r="B2088" s="1" t="s">
        <v>8099</v>
      </c>
      <c r="C2088" s="1" t="s">
        <v>8100</v>
      </c>
      <c r="D2088" s="1"/>
      <c r="E2088" s="1">
        <v>4148.0</v>
      </c>
      <c r="F2088" s="1" t="s">
        <v>31</v>
      </c>
      <c r="G2088" s="1" t="s">
        <v>8101</v>
      </c>
      <c r="H2088" s="1">
        <v>2.0</v>
      </c>
      <c r="I2088" s="1"/>
      <c r="J2088" s="1"/>
      <c r="K2088" s="1"/>
      <c r="L2088" s="1"/>
      <c r="M2088" s="1" t="s">
        <v>33</v>
      </c>
      <c r="N2088" s="1" t="s">
        <v>161</v>
      </c>
      <c r="O2088" s="1" t="s">
        <v>1501</v>
      </c>
      <c r="P2088" s="1" t="s">
        <v>5310</v>
      </c>
      <c r="Q2088" s="3">
        <v>40273.0</v>
      </c>
      <c r="R2088" s="1"/>
      <c r="S2088" s="1"/>
      <c r="T2088" s="1" t="s">
        <v>37</v>
      </c>
      <c r="U2088" s="1"/>
      <c r="V2088" s="1" t="s">
        <v>38</v>
      </c>
      <c r="W2088" s="1"/>
      <c r="X2088" s="1"/>
      <c r="Y2088" s="1" t="s">
        <v>8102</v>
      </c>
      <c r="Z2088" s="1"/>
      <c r="AA2088" s="1" t="s">
        <v>40</v>
      </c>
      <c r="AB2088" s="1" t="s">
        <v>2575</v>
      </c>
      <c r="AC2088" s="1">
        <v>5733.0</v>
      </c>
    </row>
    <row r="2089">
      <c r="A2089" s="1" t="str">
        <f>"000AHF"</f>
        <v>000AHF</v>
      </c>
      <c r="B2089" s="1" t="s">
        <v>8103</v>
      </c>
      <c r="C2089" s="1" t="s">
        <v>8104</v>
      </c>
      <c r="D2089" s="1" t="str">
        <f>"8023550423"</f>
        <v>8023550423</v>
      </c>
      <c r="E2089" s="1">
        <v>4155.0</v>
      </c>
      <c r="F2089" s="1" t="s">
        <v>44</v>
      </c>
      <c r="G2089" s="1" t="s">
        <v>8105</v>
      </c>
      <c r="H2089" s="1">
        <v>2.0</v>
      </c>
      <c r="I2089" s="1"/>
      <c r="J2089" s="1"/>
      <c r="K2089" s="1"/>
      <c r="L2089" s="1"/>
      <c r="M2089" s="1" t="s">
        <v>8106</v>
      </c>
      <c r="N2089" s="1" t="s">
        <v>57</v>
      </c>
      <c r="O2089" s="1" t="s">
        <v>503</v>
      </c>
      <c r="P2089" s="1" t="s">
        <v>8107</v>
      </c>
      <c r="Q2089" s="3">
        <v>40330.0</v>
      </c>
      <c r="R2089" s="1"/>
      <c r="S2089" s="1"/>
      <c r="T2089" s="1" t="s">
        <v>37</v>
      </c>
      <c r="U2089" s="1"/>
      <c r="V2089" s="1" t="s">
        <v>38</v>
      </c>
      <c r="W2089" s="1"/>
      <c r="X2089" s="1"/>
      <c r="Y2089" s="1">
        <v>0.0</v>
      </c>
      <c r="Z2089" s="1"/>
      <c r="AA2089" s="1" t="s">
        <v>40</v>
      </c>
      <c r="AB2089" s="1" t="s">
        <v>8108</v>
      </c>
      <c r="AC2089" s="1">
        <v>5403.0</v>
      </c>
    </row>
    <row r="2090">
      <c r="A2090" s="1" t="str">
        <f>"0007V0"</f>
        <v>0007V0</v>
      </c>
      <c r="B2090" s="1" t="s">
        <v>8109</v>
      </c>
      <c r="C2090" s="1" t="s">
        <v>8110</v>
      </c>
      <c r="D2090" s="1" t="str">
        <f>"8024623722"</f>
        <v>8024623722</v>
      </c>
      <c r="E2090" s="1">
        <v>4027.0</v>
      </c>
      <c r="F2090" s="1" t="s">
        <v>117</v>
      </c>
      <c r="G2090" s="1" t="s">
        <v>8111</v>
      </c>
      <c r="H2090" s="1">
        <v>16.0</v>
      </c>
      <c r="I2090" s="2" t="s">
        <v>119</v>
      </c>
      <c r="J2090" s="2" t="s">
        <v>119</v>
      </c>
      <c r="K2090" s="2" t="s">
        <v>119</v>
      </c>
      <c r="L2090" s="1"/>
      <c r="M2090" s="1" t="s">
        <v>8112</v>
      </c>
      <c r="N2090" s="1" t="s">
        <v>161</v>
      </c>
      <c r="O2090" s="1" t="s">
        <v>3313</v>
      </c>
      <c r="P2090" s="1" t="s">
        <v>8113</v>
      </c>
      <c r="Q2090" s="3">
        <v>40337.0</v>
      </c>
      <c r="R2090" s="1"/>
      <c r="S2090" s="3">
        <v>41943.0</v>
      </c>
      <c r="T2090" s="1" t="s">
        <v>37</v>
      </c>
      <c r="U2090" s="1"/>
      <c r="V2090" s="1" t="s">
        <v>38</v>
      </c>
      <c r="W2090" s="1">
        <v>43.90846</v>
      </c>
      <c r="X2090" s="1">
        <v>-73.16408</v>
      </c>
      <c r="Y2090" s="1" t="s">
        <v>8114</v>
      </c>
      <c r="Z2090" s="1"/>
      <c r="AA2090" s="1" t="s">
        <v>40</v>
      </c>
      <c r="AB2090" s="1" t="s">
        <v>3314</v>
      </c>
      <c r="AC2090" s="1">
        <v>0.0</v>
      </c>
    </row>
    <row r="2091">
      <c r="A2091" s="1" t="str">
        <f>"000AJN"</f>
        <v>000AJN</v>
      </c>
      <c r="B2091" s="1" t="s">
        <v>8115</v>
      </c>
      <c r="C2091" s="1" t="s">
        <v>8116</v>
      </c>
      <c r="D2091" s="1" t="str">
        <f>"8022745436"</f>
        <v>8022745436</v>
      </c>
      <c r="E2091" s="1">
        <v>4166.0</v>
      </c>
      <c r="F2091" s="1" t="s">
        <v>44</v>
      </c>
      <c r="G2091" s="1" t="s">
        <v>8117</v>
      </c>
      <c r="H2091" s="1">
        <v>6.0</v>
      </c>
      <c r="I2091" s="1"/>
      <c r="J2091" s="1"/>
      <c r="K2091" s="1"/>
      <c r="L2091" s="1"/>
      <c r="M2091" s="1" t="s">
        <v>33</v>
      </c>
      <c r="N2091" s="1" t="s">
        <v>128</v>
      </c>
      <c r="O2091" s="1" t="s">
        <v>1707</v>
      </c>
      <c r="P2091" s="1" t="s">
        <v>36</v>
      </c>
      <c r="Q2091" s="3">
        <v>40284.0</v>
      </c>
      <c r="R2091" s="1"/>
      <c r="S2091" s="1"/>
      <c r="T2091" s="1" t="s">
        <v>37</v>
      </c>
      <c r="U2091" s="1"/>
      <c r="V2091" s="1" t="s">
        <v>38</v>
      </c>
      <c r="W2091" s="1">
        <v>44.4348926</v>
      </c>
      <c r="X2091" s="1">
        <v>-71.9958796</v>
      </c>
      <c r="Y2091" s="1" t="s">
        <v>8118</v>
      </c>
      <c r="Z2091" s="1"/>
      <c r="AA2091" s="1" t="s">
        <v>40</v>
      </c>
      <c r="AB2091" s="1" t="s">
        <v>196</v>
      </c>
      <c r="AC2091" s="1">
        <v>5819.0</v>
      </c>
    </row>
    <row r="2092">
      <c r="A2092" s="1" t="str">
        <f>"0007DJ"</f>
        <v>0007DJ</v>
      </c>
      <c r="B2092" s="1" t="s">
        <v>5582</v>
      </c>
      <c r="C2092" s="1" t="s">
        <v>5583</v>
      </c>
      <c r="D2092" s="1" t="str">
        <f>"8023494279"</f>
        <v>8023494279</v>
      </c>
      <c r="E2092" s="1">
        <v>2870.0</v>
      </c>
      <c r="F2092" s="1" t="s">
        <v>117</v>
      </c>
      <c r="G2092" s="1" t="s">
        <v>8119</v>
      </c>
      <c r="H2092" s="1">
        <v>23.0</v>
      </c>
      <c r="I2092" s="2">
        <v>13.0</v>
      </c>
      <c r="J2092" s="2">
        <v>10.0</v>
      </c>
      <c r="K2092" s="2" t="s">
        <v>119</v>
      </c>
      <c r="L2092" s="1"/>
      <c r="M2092" s="1" t="s">
        <v>8120</v>
      </c>
      <c r="N2092" s="1" t="s">
        <v>161</v>
      </c>
      <c r="O2092" s="1" t="s">
        <v>943</v>
      </c>
      <c r="P2092" s="1" t="s">
        <v>8121</v>
      </c>
      <c r="Q2092" s="3">
        <v>41158.0</v>
      </c>
      <c r="R2092" s="1"/>
      <c r="S2092" s="3">
        <v>41810.0</v>
      </c>
      <c r="T2092" s="1" t="s">
        <v>37</v>
      </c>
      <c r="U2092" s="1"/>
      <c r="V2092" s="1" t="s">
        <v>38</v>
      </c>
      <c r="W2092" s="1">
        <v>43.9838293544169</v>
      </c>
      <c r="X2092" s="1">
        <v>-73.1068897247314</v>
      </c>
      <c r="Y2092" s="1" t="s">
        <v>8122</v>
      </c>
      <c r="Z2092" s="1"/>
      <c r="AA2092" s="1" t="s">
        <v>40</v>
      </c>
      <c r="AB2092" s="1" t="s">
        <v>945</v>
      </c>
      <c r="AC2092" s="1">
        <v>5753.0</v>
      </c>
    </row>
    <row r="2093">
      <c r="A2093" s="1" t="str">
        <f>"000APJ"</f>
        <v>000APJ</v>
      </c>
      <c r="B2093" s="1" t="s">
        <v>8123</v>
      </c>
      <c r="C2093" s="1" t="s">
        <v>8124</v>
      </c>
      <c r="D2093" s="1" t="str">
        <f>"8028992575"</f>
        <v>8028992575</v>
      </c>
      <c r="E2093" s="1">
        <v>4177.0</v>
      </c>
      <c r="F2093" s="1" t="s">
        <v>117</v>
      </c>
      <c r="G2093" s="1" t="s">
        <v>8125</v>
      </c>
      <c r="H2093" s="1">
        <v>1.0</v>
      </c>
      <c r="I2093" s="2">
        <v>0.0</v>
      </c>
      <c r="J2093" s="2">
        <v>0.0</v>
      </c>
      <c r="K2093" s="2" t="s">
        <v>119</v>
      </c>
      <c r="L2093" s="1"/>
      <c r="M2093" s="1" t="s">
        <v>8126</v>
      </c>
      <c r="N2093" s="1" t="s">
        <v>57</v>
      </c>
      <c r="O2093" s="1" t="s">
        <v>58</v>
      </c>
      <c r="P2093" s="1" t="s">
        <v>8127</v>
      </c>
      <c r="Q2093" s="3">
        <v>40346.0</v>
      </c>
      <c r="R2093" s="1"/>
      <c r="S2093" s="1"/>
      <c r="T2093" s="1" t="s">
        <v>37</v>
      </c>
      <c r="U2093" s="1"/>
      <c r="V2093" s="1" t="s">
        <v>38</v>
      </c>
      <c r="W2093" s="1">
        <v>44.524786</v>
      </c>
      <c r="X2093" s="1">
        <v>-72.941318</v>
      </c>
      <c r="Y2093" s="1" t="s">
        <v>8128</v>
      </c>
      <c r="Z2093" s="1"/>
      <c r="AA2093" s="1" t="s">
        <v>40</v>
      </c>
      <c r="AB2093" s="1" t="s">
        <v>61</v>
      </c>
      <c r="AC2093" s="1">
        <v>5489.0</v>
      </c>
    </row>
    <row r="2094">
      <c r="A2094" s="1" t="str">
        <f>"000APP"</f>
        <v>000APP</v>
      </c>
      <c r="B2094" s="1" t="s">
        <v>8129</v>
      </c>
      <c r="C2094" s="1" t="s">
        <v>8130</v>
      </c>
      <c r="D2094" s="1" t="str">
        <f>"8023829080"</f>
        <v>8023829080</v>
      </c>
      <c r="E2094" s="1">
        <v>4181.0</v>
      </c>
      <c r="F2094" s="1" t="s">
        <v>117</v>
      </c>
      <c r="G2094" s="1" t="s">
        <v>8131</v>
      </c>
      <c r="H2094" s="1">
        <v>2.0</v>
      </c>
      <c r="I2094" s="2" t="s">
        <v>119</v>
      </c>
      <c r="J2094" s="2" t="s">
        <v>119</v>
      </c>
      <c r="K2094" s="2" t="s">
        <v>119</v>
      </c>
      <c r="L2094" s="1"/>
      <c r="M2094" s="1" t="s">
        <v>8132</v>
      </c>
      <c r="N2094" s="1" t="s">
        <v>161</v>
      </c>
      <c r="O2094" s="1" t="s">
        <v>943</v>
      </c>
      <c r="P2094" s="1" t="s">
        <v>8133</v>
      </c>
      <c r="Q2094" s="3">
        <v>40346.0</v>
      </c>
      <c r="R2094" s="1"/>
      <c r="S2094" s="1"/>
      <c r="T2094" s="1" t="s">
        <v>37</v>
      </c>
      <c r="U2094" s="1"/>
      <c r="V2094" s="1" t="s">
        <v>38</v>
      </c>
      <c r="W2094" s="1">
        <v>43.9840989</v>
      </c>
      <c r="X2094" s="1">
        <v>-73.2110662</v>
      </c>
      <c r="Y2094" s="1" t="s">
        <v>8134</v>
      </c>
      <c r="Z2094" s="1"/>
      <c r="AA2094" s="1" t="s">
        <v>40</v>
      </c>
      <c r="AB2094" s="1" t="s">
        <v>945</v>
      </c>
      <c r="AC2094" s="1">
        <v>5753.0</v>
      </c>
    </row>
    <row r="2095">
      <c r="A2095" s="1" t="str">
        <f>"000APV"</f>
        <v>000APV</v>
      </c>
      <c r="B2095" s="1" t="s">
        <v>8135</v>
      </c>
      <c r="C2095" s="1" t="s">
        <v>8136</v>
      </c>
      <c r="D2095" s="1"/>
      <c r="E2095" s="1">
        <v>4183.0</v>
      </c>
      <c r="F2095" s="1" t="s">
        <v>44</v>
      </c>
      <c r="G2095" s="1" t="s">
        <v>8137</v>
      </c>
      <c r="H2095" s="1">
        <v>1.0</v>
      </c>
      <c r="I2095" s="1"/>
      <c r="J2095" s="1"/>
      <c r="K2095" s="1"/>
      <c r="L2095" s="1"/>
      <c r="M2095" s="1" t="s">
        <v>33</v>
      </c>
      <c r="N2095" s="1" t="s">
        <v>128</v>
      </c>
      <c r="O2095" s="1" t="s">
        <v>887</v>
      </c>
      <c r="P2095" s="1" t="s">
        <v>8138</v>
      </c>
      <c r="Q2095" s="3">
        <v>40325.0</v>
      </c>
      <c r="R2095" s="1"/>
      <c r="S2095" s="1"/>
      <c r="T2095" s="1" t="s">
        <v>37</v>
      </c>
      <c r="U2095" s="1"/>
      <c r="V2095" s="1" t="s">
        <v>38</v>
      </c>
      <c r="W2095" s="1"/>
      <c r="X2095" s="1"/>
      <c r="Y2095" s="1" t="s">
        <v>8139</v>
      </c>
      <c r="Z2095" s="1"/>
      <c r="AA2095" s="1" t="s">
        <v>40</v>
      </c>
      <c r="AB2095" s="1" t="s">
        <v>8140</v>
      </c>
      <c r="AC2095" s="1">
        <v>5843.0</v>
      </c>
    </row>
    <row r="2096">
      <c r="A2096" s="1" t="str">
        <f>"000APW"</f>
        <v>000APW</v>
      </c>
      <c r="B2096" s="1" t="s">
        <v>8141</v>
      </c>
      <c r="C2096" s="1" t="s">
        <v>8142</v>
      </c>
      <c r="D2096" s="1" t="str">
        <f>"8028993814"</f>
        <v>8028993814</v>
      </c>
      <c r="E2096" s="1">
        <v>4184.0</v>
      </c>
      <c r="F2096" s="1" t="s">
        <v>44</v>
      </c>
      <c r="G2096" s="1" t="s">
        <v>8143</v>
      </c>
      <c r="H2096" s="1">
        <v>1.0</v>
      </c>
      <c r="I2096" s="1"/>
      <c r="J2096" s="1"/>
      <c r="K2096" s="1"/>
      <c r="L2096" s="1"/>
      <c r="M2096" s="1" t="s">
        <v>33</v>
      </c>
      <c r="N2096" s="1" t="s">
        <v>57</v>
      </c>
      <c r="O2096" s="1" t="s">
        <v>155</v>
      </c>
      <c r="P2096" s="1" t="s">
        <v>36</v>
      </c>
      <c r="Q2096" s="3">
        <v>40313.0</v>
      </c>
      <c r="R2096" s="1"/>
      <c r="S2096" s="1"/>
      <c r="T2096" s="1" t="s">
        <v>37</v>
      </c>
      <c r="U2096" s="1"/>
      <c r="V2096" s="1" t="s">
        <v>38</v>
      </c>
      <c r="W2096" s="1"/>
      <c r="X2096" s="1"/>
      <c r="Y2096" s="1" t="s">
        <v>8144</v>
      </c>
      <c r="Z2096" s="1"/>
      <c r="AA2096" s="1" t="s">
        <v>40</v>
      </c>
      <c r="AB2096" s="1" t="s">
        <v>61</v>
      </c>
      <c r="AC2096" s="1">
        <v>5489.0</v>
      </c>
    </row>
    <row r="2097">
      <c r="A2097" s="1" t="str">
        <f>"000APX"</f>
        <v>000APX</v>
      </c>
      <c r="B2097" s="1" t="s">
        <v>8145</v>
      </c>
      <c r="C2097" s="1" t="s">
        <v>8146</v>
      </c>
      <c r="D2097" s="1" t="str">
        <f>"8024254441"</f>
        <v>8024254441</v>
      </c>
      <c r="E2097" s="1">
        <v>4185.0</v>
      </c>
      <c r="F2097" s="1" t="s">
        <v>44</v>
      </c>
      <c r="G2097" s="1" t="s">
        <v>8147</v>
      </c>
      <c r="H2097" s="1">
        <v>2.0</v>
      </c>
      <c r="I2097" s="1"/>
      <c r="J2097" s="1"/>
      <c r="K2097" s="1"/>
      <c r="L2097" s="1"/>
      <c r="M2097" s="1" t="s">
        <v>33</v>
      </c>
      <c r="N2097" s="1" t="s">
        <v>161</v>
      </c>
      <c r="O2097" s="1" t="s">
        <v>394</v>
      </c>
      <c r="P2097" s="1" t="s">
        <v>8148</v>
      </c>
      <c r="Q2097" s="3">
        <v>40313.0</v>
      </c>
      <c r="R2097" s="1"/>
      <c r="S2097" s="1"/>
      <c r="T2097" s="1" t="s">
        <v>37</v>
      </c>
      <c r="U2097" s="1"/>
      <c r="V2097" s="1" t="s">
        <v>38</v>
      </c>
      <c r="W2097" s="1"/>
      <c r="X2097" s="1"/>
      <c r="Y2097" s="1" t="s">
        <v>8149</v>
      </c>
      <c r="Z2097" s="1"/>
      <c r="AA2097" s="1" t="s">
        <v>40</v>
      </c>
      <c r="AB2097" s="1" t="s">
        <v>395</v>
      </c>
      <c r="AC2097" s="1">
        <v>5469.0</v>
      </c>
    </row>
    <row r="2098">
      <c r="A2098" s="1" t="str">
        <f>"000APZ"</f>
        <v>000APZ</v>
      </c>
      <c r="B2098" s="1" t="s">
        <v>8150</v>
      </c>
      <c r="C2098" s="1" t="s">
        <v>8151</v>
      </c>
      <c r="D2098" s="1" t="str">
        <f>"8029859064"</f>
        <v>8029859064</v>
      </c>
      <c r="E2098" s="1">
        <v>4187.0</v>
      </c>
      <c r="F2098" s="1" t="s">
        <v>117</v>
      </c>
      <c r="G2098" s="1" t="s">
        <v>8152</v>
      </c>
      <c r="H2098" s="1">
        <v>1.0</v>
      </c>
      <c r="I2098" s="2">
        <v>1.0</v>
      </c>
      <c r="J2098" s="2">
        <v>0.0</v>
      </c>
      <c r="K2098" s="2" t="s">
        <v>119</v>
      </c>
      <c r="L2098" s="1"/>
      <c r="M2098" s="1">
        <v>1.0</v>
      </c>
      <c r="N2098" s="1" t="s">
        <v>57</v>
      </c>
      <c r="O2098" s="1" t="s">
        <v>238</v>
      </c>
      <c r="P2098" s="1" t="s">
        <v>8153</v>
      </c>
      <c r="Q2098" s="3">
        <v>40761.0</v>
      </c>
      <c r="R2098" s="1"/>
      <c r="S2098" s="1"/>
      <c r="T2098" s="1" t="s">
        <v>37</v>
      </c>
      <c r="U2098" s="1"/>
      <c r="V2098" s="1" t="s">
        <v>38</v>
      </c>
      <c r="W2098" s="1">
        <v>44.377216</v>
      </c>
      <c r="X2098" s="1">
        <v>-73.2378009999999</v>
      </c>
      <c r="Y2098" s="1" t="s">
        <v>8154</v>
      </c>
      <c r="Z2098" s="1"/>
      <c r="AA2098" s="1" t="s">
        <v>40</v>
      </c>
      <c r="AB2098" s="1" t="s">
        <v>239</v>
      </c>
      <c r="AC2098" s="1">
        <v>5482.0</v>
      </c>
    </row>
    <row r="2099">
      <c r="A2099" s="1" t="str">
        <f>"000AQJ"</f>
        <v>000AQJ</v>
      </c>
      <c r="B2099" s="1" t="s">
        <v>8155</v>
      </c>
      <c r="C2099" s="1" t="s">
        <v>8156</v>
      </c>
      <c r="D2099" s="1" t="str">
        <f>"8023495915"</f>
        <v>8023495915</v>
      </c>
      <c r="E2099" s="1">
        <v>4188.0</v>
      </c>
      <c r="F2099" s="1" t="s">
        <v>44</v>
      </c>
      <c r="G2099" s="1" t="s">
        <v>8157</v>
      </c>
      <c r="H2099" s="1">
        <v>1.0</v>
      </c>
      <c r="I2099" s="1"/>
      <c r="J2099" s="1"/>
      <c r="K2099" s="1"/>
      <c r="L2099" s="1"/>
      <c r="M2099" s="1" t="s">
        <v>8158</v>
      </c>
      <c r="N2099" s="1" t="s">
        <v>161</v>
      </c>
      <c r="O2099" s="1" t="s">
        <v>571</v>
      </c>
      <c r="P2099" s="1" t="s">
        <v>8159</v>
      </c>
      <c r="Q2099" s="3">
        <v>40331.0</v>
      </c>
      <c r="R2099" s="1"/>
      <c r="S2099" s="1"/>
      <c r="T2099" s="1" t="s">
        <v>37</v>
      </c>
      <c r="U2099" s="1"/>
      <c r="V2099" s="1" t="s">
        <v>38</v>
      </c>
      <c r="W2099" s="1"/>
      <c r="X2099" s="1"/>
      <c r="Y2099" s="1" t="s">
        <v>8160</v>
      </c>
      <c r="Z2099" s="1"/>
      <c r="AA2099" s="1" t="s">
        <v>40</v>
      </c>
      <c r="AB2099" s="1" t="s">
        <v>1483</v>
      </c>
      <c r="AC2099" s="1">
        <v>0.0</v>
      </c>
    </row>
    <row r="2100">
      <c r="A2100" s="1" t="str">
        <f>"000AQK"</f>
        <v>000AQK</v>
      </c>
      <c r="B2100" s="1" t="s">
        <v>8161</v>
      </c>
      <c r="C2100" s="1" t="s">
        <v>8162</v>
      </c>
      <c r="D2100" s="1" t="str">
        <f>"8022345227"</f>
        <v>8022345227</v>
      </c>
      <c r="E2100" s="1">
        <v>4189.0</v>
      </c>
      <c r="F2100" s="1" t="s">
        <v>44</v>
      </c>
      <c r="G2100" s="1" t="s">
        <v>8163</v>
      </c>
      <c r="H2100" s="1">
        <v>1.0</v>
      </c>
      <c r="I2100" s="1"/>
      <c r="J2100" s="1"/>
      <c r="K2100" s="1"/>
      <c r="L2100" s="1"/>
      <c r="M2100" s="1" t="s">
        <v>33</v>
      </c>
      <c r="N2100" s="1" t="s">
        <v>34</v>
      </c>
      <c r="O2100" s="1" t="s">
        <v>551</v>
      </c>
      <c r="P2100" s="1" t="s">
        <v>36</v>
      </c>
      <c r="Q2100" s="3">
        <v>40354.0</v>
      </c>
      <c r="R2100" s="1"/>
      <c r="S2100" s="1"/>
      <c r="T2100" s="1" t="s">
        <v>37</v>
      </c>
      <c r="U2100" s="1"/>
      <c r="V2100" s="1" t="s">
        <v>38</v>
      </c>
      <c r="W2100" s="1"/>
      <c r="X2100" s="1"/>
      <c r="Y2100" s="1" t="s">
        <v>8164</v>
      </c>
      <c r="Z2100" s="1"/>
      <c r="AA2100" s="1" t="s">
        <v>40</v>
      </c>
      <c r="AB2100" s="1" t="s">
        <v>552</v>
      </c>
      <c r="AC2100" s="1">
        <v>0.0</v>
      </c>
    </row>
    <row r="2101">
      <c r="A2101" s="1" t="str">
        <f>"000AQP"</f>
        <v>000AQP</v>
      </c>
      <c r="B2101" s="1" t="s">
        <v>8165</v>
      </c>
      <c r="C2101" s="1" t="s">
        <v>8166</v>
      </c>
      <c r="D2101" s="1" t="str">
        <f>"8028992497"</f>
        <v>8028992497</v>
      </c>
      <c r="E2101" s="1">
        <v>4192.0</v>
      </c>
      <c r="F2101" s="1" t="s">
        <v>117</v>
      </c>
      <c r="G2101" s="1" t="s">
        <v>8167</v>
      </c>
      <c r="H2101" s="1">
        <v>2.0</v>
      </c>
      <c r="I2101" s="2">
        <v>2.0</v>
      </c>
      <c r="J2101" s="2">
        <v>2.0</v>
      </c>
      <c r="K2101" s="2" t="s">
        <v>829</v>
      </c>
      <c r="L2101" s="1"/>
      <c r="M2101" s="1" t="s">
        <v>8168</v>
      </c>
      <c r="N2101" s="1" t="s">
        <v>57</v>
      </c>
      <c r="O2101" s="1" t="s">
        <v>509</v>
      </c>
      <c r="P2101" s="1" t="s">
        <v>8169</v>
      </c>
      <c r="Q2101" s="3">
        <v>40354.0</v>
      </c>
      <c r="R2101" s="1"/>
      <c r="S2101" s="1"/>
      <c r="T2101" s="1" t="s">
        <v>37</v>
      </c>
      <c r="U2101" s="1"/>
      <c r="V2101" s="1" t="s">
        <v>38</v>
      </c>
      <c r="W2101" s="1"/>
      <c r="X2101" s="1"/>
      <c r="Y2101" s="1" t="s">
        <v>8170</v>
      </c>
      <c r="Z2101" s="1"/>
      <c r="AA2101" s="1" t="s">
        <v>40</v>
      </c>
      <c r="AB2101" s="1" t="s">
        <v>746</v>
      </c>
      <c r="AC2101" s="1">
        <v>0.0</v>
      </c>
    </row>
    <row r="2102">
      <c r="A2102" s="1" t="str">
        <f>"000AQQ"</f>
        <v>000AQQ</v>
      </c>
      <c r="B2102" s="1" t="s">
        <v>8171</v>
      </c>
      <c r="C2102" s="1" t="s">
        <v>8172</v>
      </c>
      <c r="D2102" s="1" t="str">
        <f>"8027529106"</f>
        <v>8027529106</v>
      </c>
      <c r="E2102" s="1">
        <v>4193.0</v>
      </c>
      <c r="F2102" s="1" t="s">
        <v>44</v>
      </c>
      <c r="G2102" s="1" t="s">
        <v>8173</v>
      </c>
      <c r="H2102" s="1">
        <v>2.0</v>
      </c>
      <c r="I2102" s="1"/>
      <c r="J2102" s="1"/>
      <c r="K2102" s="1"/>
      <c r="L2102" s="1"/>
      <c r="M2102" s="1" t="s">
        <v>8174</v>
      </c>
      <c r="N2102" s="1" t="s">
        <v>47</v>
      </c>
      <c r="O2102" s="1" t="s">
        <v>378</v>
      </c>
      <c r="P2102" s="1" t="s">
        <v>8175</v>
      </c>
      <c r="Q2102" s="3">
        <v>40324.0</v>
      </c>
      <c r="R2102" s="1"/>
      <c r="S2102" s="1"/>
      <c r="T2102" s="1" t="s">
        <v>37</v>
      </c>
      <c r="U2102" s="1"/>
      <c r="V2102" s="1" t="s">
        <v>38</v>
      </c>
      <c r="W2102" s="1">
        <v>44.752863</v>
      </c>
      <c r="X2102" s="1">
        <v>-73.0551669999999</v>
      </c>
      <c r="Y2102" s="1" t="s">
        <v>8176</v>
      </c>
      <c r="Z2102" s="1"/>
      <c r="AA2102" s="1" t="s">
        <v>40</v>
      </c>
      <c r="AB2102" s="1" t="s">
        <v>8177</v>
      </c>
      <c r="AC2102" s="1">
        <v>0.0</v>
      </c>
    </row>
    <row r="2103">
      <c r="A2103" s="1" t="str">
        <f>"000762"</f>
        <v>000762</v>
      </c>
      <c r="B2103" s="1" t="s">
        <v>8178</v>
      </c>
      <c r="C2103" s="1" t="s">
        <v>8179</v>
      </c>
      <c r="D2103" s="1" t="str">
        <f>"8024395229"</f>
        <v>8024395229</v>
      </c>
      <c r="E2103" s="1">
        <v>3379.0</v>
      </c>
      <c r="F2103" s="1" t="s">
        <v>44</v>
      </c>
      <c r="G2103" s="1" t="s">
        <v>8180</v>
      </c>
      <c r="H2103" s="1">
        <v>2.0</v>
      </c>
      <c r="I2103" s="1"/>
      <c r="J2103" s="1"/>
      <c r="K2103" s="1"/>
      <c r="L2103" s="1"/>
      <c r="M2103" s="1" t="s">
        <v>33</v>
      </c>
      <c r="N2103" s="1" t="s">
        <v>142</v>
      </c>
      <c r="O2103" s="1" t="s">
        <v>400</v>
      </c>
      <c r="P2103" s="1" t="s">
        <v>36</v>
      </c>
      <c r="Q2103" s="3">
        <v>40308.0</v>
      </c>
      <c r="R2103" s="1"/>
      <c r="S2103" s="1"/>
      <c r="T2103" s="1" t="s">
        <v>37</v>
      </c>
      <c r="U2103" s="1"/>
      <c r="V2103" s="1" t="s">
        <v>38</v>
      </c>
      <c r="W2103" s="1"/>
      <c r="X2103" s="1"/>
      <c r="Y2103" s="1" t="s">
        <v>8181</v>
      </c>
      <c r="Z2103" s="1"/>
      <c r="AA2103" s="1" t="s">
        <v>40</v>
      </c>
      <c r="AB2103" s="1" t="s">
        <v>4529</v>
      </c>
      <c r="AC2103" s="1">
        <v>5086.0</v>
      </c>
    </row>
    <row r="2104">
      <c r="A2104" s="1" t="str">
        <f>"000AQW"</f>
        <v>000AQW</v>
      </c>
      <c r="B2104" s="1" t="s">
        <v>8182</v>
      </c>
      <c r="C2104" s="1" t="s">
        <v>8183</v>
      </c>
      <c r="D2104" s="1" t="str">
        <f>"8025373512"</f>
        <v>8025373512</v>
      </c>
      <c r="E2104" s="1">
        <v>4194.0</v>
      </c>
      <c r="F2104" s="1" t="s">
        <v>31</v>
      </c>
      <c r="G2104" s="1" t="s">
        <v>8184</v>
      </c>
      <c r="H2104" s="1">
        <v>1.0</v>
      </c>
      <c r="I2104" s="1"/>
      <c r="J2104" s="1"/>
      <c r="K2104" s="1"/>
      <c r="L2104" s="1"/>
      <c r="M2104" s="1" t="s">
        <v>8185</v>
      </c>
      <c r="N2104" s="1" t="s">
        <v>78</v>
      </c>
      <c r="O2104" s="1" t="s">
        <v>426</v>
      </c>
      <c r="P2104" s="1" t="s">
        <v>8186</v>
      </c>
      <c r="Q2104" s="3">
        <v>40328.0</v>
      </c>
      <c r="R2104" s="1"/>
      <c r="S2104" s="3">
        <v>42122.0</v>
      </c>
      <c r="T2104" s="1" t="s">
        <v>37</v>
      </c>
      <c r="U2104" s="1"/>
      <c r="V2104" s="1" t="s">
        <v>38</v>
      </c>
      <c r="W2104" s="1">
        <v>43.6897684545523</v>
      </c>
      <c r="X2104" s="1">
        <v>-73.2912969589233</v>
      </c>
      <c r="Y2104" s="1" t="s">
        <v>8187</v>
      </c>
      <c r="Z2104" s="1"/>
      <c r="AA2104" s="1" t="s">
        <v>40</v>
      </c>
      <c r="AB2104" s="1" t="s">
        <v>4033</v>
      </c>
      <c r="AC2104" s="1">
        <v>5743.0</v>
      </c>
    </row>
    <row r="2105">
      <c r="A2105" s="1" t="str">
        <f t="shared" ref="A2105:A2106" si="150">"000AVH"</f>
        <v>000AVH</v>
      </c>
      <c r="B2105" s="1" t="s">
        <v>8188</v>
      </c>
      <c r="C2105" s="1" t="s">
        <v>8189</v>
      </c>
      <c r="D2105" s="1"/>
      <c r="E2105" s="1">
        <v>4198.0</v>
      </c>
      <c r="F2105" s="1" t="s">
        <v>44</v>
      </c>
      <c r="G2105" s="1" t="s">
        <v>8190</v>
      </c>
      <c r="H2105" s="1">
        <v>1.0</v>
      </c>
      <c r="I2105" s="1"/>
      <c r="J2105" s="1"/>
      <c r="K2105" s="1"/>
      <c r="L2105" s="1"/>
      <c r="M2105" s="1" t="s">
        <v>8191</v>
      </c>
      <c r="N2105" s="1" t="s">
        <v>57</v>
      </c>
      <c r="O2105" s="1" t="s">
        <v>204</v>
      </c>
      <c r="P2105" s="1" t="s">
        <v>8192</v>
      </c>
      <c r="Q2105" s="3">
        <v>40331.0</v>
      </c>
      <c r="R2105" s="1"/>
      <c r="S2105" s="1"/>
      <c r="T2105" s="1" t="s">
        <v>37</v>
      </c>
      <c r="U2105" s="1"/>
      <c r="V2105" s="1" t="s">
        <v>38</v>
      </c>
      <c r="W2105" s="1"/>
      <c r="X2105" s="1"/>
      <c r="Y2105" s="1" t="s">
        <v>8193</v>
      </c>
      <c r="Z2105" s="1"/>
      <c r="AA2105" s="1" t="s">
        <v>40</v>
      </c>
      <c r="AB2105" s="1" t="s">
        <v>205</v>
      </c>
      <c r="AC2105" s="1">
        <v>0.0</v>
      </c>
    </row>
    <row r="2106">
      <c r="A2106" s="1" t="str">
        <f t="shared" si="150"/>
        <v>000AVH</v>
      </c>
      <c r="B2106" s="1" t="s">
        <v>8188</v>
      </c>
      <c r="C2106" s="1" t="s">
        <v>8189</v>
      </c>
      <c r="D2106" s="1"/>
      <c r="E2106" s="1">
        <v>4198.0</v>
      </c>
      <c r="F2106" s="1" t="s">
        <v>44</v>
      </c>
      <c r="G2106" s="1" t="s">
        <v>8194</v>
      </c>
      <c r="H2106" s="1">
        <v>2.0</v>
      </c>
      <c r="I2106" s="1"/>
      <c r="J2106" s="1"/>
      <c r="K2106" s="1"/>
      <c r="L2106" s="1"/>
      <c r="M2106" s="1" t="s">
        <v>8195</v>
      </c>
      <c r="N2106" s="1" t="s">
        <v>57</v>
      </c>
      <c r="O2106" s="1" t="s">
        <v>2092</v>
      </c>
      <c r="P2106" s="1" t="s">
        <v>8196</v>
      </c>
      <c r="Q2106" s="3">
        <v>40331.0</v>
      </c>
      <c r="R2106" s="1"/>
      <c r="S2106" s="1"/>
      <c r="T2106" s="1" t="s">
        <v>37</v>
      </c>
      <c r="U2106" s="1"/>
      <c r="V2106" s="1" t="s">
        <v>38</v>
      </c>
      <c r="W2106" s="1"/>
      <c r="X2106" s="1"/>
      <c r="Y2106" s="1" t="s">
        <v>8197</v>
      </c>
      <c r="Z2106" s="1"/>
      <c r="AA2106" s="1" t="s">
        <v>40</v>
      </c>
      <c r="AB2106" s="1" t="s">
        <v>8197</v>
      </c>
      <c r="AC2106" s="1">
        <v>0.0</v>
      </c>
    </row>
    <row r="2107">
      <c r="A2107" s="1" t="str">
        <f>"000AVJ"</f>
        <v>000AVJ</v>
      </c>
      <c r="B2107" s="1" t="s">
        <v>8198</v>
      </c>
      <c r="C2107" s="1" t="s">
        <v>8199</v>
      </c>
      <c r="D2107" s="1" t="str">
        <f>"8022599355"</f>
        <v>8022599355</v>
      </c>
      <c r="E2107" s="1">
        <v>4199.0</v>
      </c>
      <c r="F2107" s="1" t="s">
        <v>44</v>
      </c>
      <c r="G2107" s="1" t="s">
        <v>8200</v>
      </c>
      <c r="H2107" s="1">
        <v>1.0</v>
      </c>
      <c r="I2107" s="1"/>
      <c r="J2107" s="1"/>
      <c r="K2107" s="1"/>
      <c r="L2107" s="1"/>
      <c r="M2107" s="1" t="s">
        <v>8201</v>
      </c>
      <c r="N2107" s="1" t="s">
        <v>34</v>
      </c>
      <c r="O2107" s="1" t="s">
        <v>1237</v>
      </c>
      <c r="P2107" s="1" t="s">
        <v>8202</v>
      </c>
      <c r="Q2107" s="3">
        <v>40333.0</v>
      </c>
      <c r="R2107" s="1"/>
      <c r="S2107" s="1"/>
      <c r="T2107" s="1" t="s">
        <v>37</v>
      </c>
      <c r="U2107" s="1"/>
      <c r="V2107" s="1" t="s">
        <v>38</v>
      </c>
      <c r="W2107" s="1"/>
      <c r="X2107" s="1"/>
      <c r="Y2107" s="1" t="s">
        <v>8203</v>
      </c>
      <c r="Z2107" s="1"/>
      <c r="AA2107" s="1" t="s">
        <v>40</v>
      </c>
      <c r="AB2107" s="1" t="s">
        <v>1238</v>
      </c>
      <c r="AC2107" s="1">
        <v>0.0</v>
      </c>
    </row>
    <row r="2108">
      <c r="A2108" s="1" t="str">
        <f>"000AVK"</f>
        <v>000AVK</v>
      </c>
      <c r="B2108" s="1" t="s">
        <v>8204</v>
      </c>
      <c r="C2108" s="1" t="s">
        <v>8205</v>
      </c>
      <c r="D2108" s="1" t="str">
        <f>"8027931924"</f>
        <v>8027931924</v>
      </c>
      <c r="E2108" s="1">
        <v>4200.0</v>
      </c>
      <c r="F2108" s="1" t="s">
        <v>44</v>
      </c>
      <c r="G2108" s="1" t="s">
        <v>8206</v>
      </c>
      <c r="H2108" s="1">
        <v>2.0</v>
      </c>
      <c r="I2108" s="1"/>
      <c r="J2108" s="1"/>
      <c r="K2108" s="1"/>
      <c r="L2108" s="1"/>
      <c r="M2108" s="1" t="s">
        <v>33</v>
      </c>
      <c r="N2108" s="1" t="s">
        <v>213</v>
      </c>
      <c r="O2108" s="1" t="s">
        <v>1154</v>
      </c>
      <c r="P2108" s="1" t="s">
        <v>8207</v>
      </c>
      <c r="Q2108" s="3">
        <v>40322.0</v>
      </c>
      <c r="R2108" s="1"/>
      <c r="S2108" s="1"/>
      <c r="T2108" s="1" t="s">
        <v>37</v>
      </c>
      <c r="U2108" s="1"/>
      <c r="V2108" s="1" t="s">
        <v>38</v>
      </c>
      <c r="W2108" s="1"/>
      <c r="X2108" s="1"/>
      <c r="Y2108" s="1" t="s">
        <v>8208</v>
      </c>
      <c r="Z2108" s="1"/>
      <c r="AA2108" s="1" t="s">
        <v>40</v>
      </c>
      <c r="AB2108" s="1" t="s">
        <v>1155</v>
      </c>
      <c r="AC2108" s="1">
        <v>5656.0</v>
      </c>
    </row>
    <row r="2109">
      <c r="A2109" s="1" t="str">
        <f>"000AVZ"</f>
        <v>000AVZ</v>
      </c>
      <c r="B2109" s="1" t="s">
        <v>8209</v>
      </c>
      <c r="C2109" s="1" t="s">
        <v>8210</v>
      </c>
      <c r="D2109" s="1" t="str">
        <f>"8022380364"</f>
        <v>8022380364</v>
      </c>
      <c r="E2109" s="1">
        <v>4201.0</v>
      </c>
      <c r="F2109" s="1" t="s">
        <v>117</v>
      </c>
      <c r="G2109" s="1" t="s">
        <v>8211</v>
      </c>
      <c r="H2109" s="1">
        <v>2.0</v>
      </c>
      <c r="I2109" s="1"/>
      <c r="J2109" s="1"/>
      <c r="K2109" s="1"/>
      <c r="L2109" s="1"/>
      <c r="M2109" s="1" t="s">
        <v>8212</v>
      </c>
      <c r="N2109" s="1" t="s">
        <v>161</v>
      </c>
      <c r="O2109" s="1" t="s">
        <v>394</v>
      </c>
      <c r="P2109" s="1" t="s">
        <v>8213</v>
      </c>
      <c r="Q2109" s="3">
        <v>40360.0</v>
      </c>
      <c r="R2109" s="1"/>
      <c r="S2109" s="1"/>
      <c r="T2109" s="1" t="s">
        <v>37</v>
      </c>
      <c r="U2109" s="1"/>
      <c r="V2109" s="1" t="s">
        <v>38</v>
      </c>
      <c r="W2109" s="1">
        <v>44.267792</v>
      </c>
      <c r="X2109" s="1">
        <v>-73.168404</v>
      </c>
      <c r="Y2109" s="1" t="s">
        <v>8214</v>
      </c>
      <c r="Z2109" s="1"/>
      <c r="AA2109" s="1" t="s">
        <v>40</v>
      </c>
      <c r="AB2109" s="1" t="s">
        <v>395</v>
      </c>
      <c r="AC2109" s="1">
        <v>0.0</v>
      </c>
    </row>
    <row r="2110">
      <c r="A2110" s="1" t="str">
        <f>"000AW0"</f>
        <v>000AW0</v>
      </c>
      <c r="B2110" s="1" t="s">
        <v>8215</v>
      </c>
      <c r="C2110" s="1" t="s">
        <v>8216</v>
      </c>
      <c r="D2110" s="1" t="str">
        <f>"8024222814"</f>
        <v>8024222814</v>
      </c>
      <c r="E2110" s="1">
        <v>4202.0</v>
      </c>
      <c r="F2110" s="1" t="s">
        <v>117</v>
      </c>
      <c r="G2110" s="1" t="s">
        <v>8217</v>
      </c>
      <c r="H2110" s="1">
        <v>1.0</v>
      </c>
      <c r="I2110" s="2" t="s">
        <v>119</v>
      </c>
      <c r="J2110" s="2" t="s">
        <v>119</v>
      </c>
      <c r="K2110" s="2" t="s">
        <v>119</v>
      </c>
      <c r="L2110" s="1"/>
      <c r="M2110" s="1" t="s">
        <v>8218</v>
      </c>
      <c r="N2110" s="1" t="s">
        <v>78</v>
      </c>
      <c r="O2110" s="1" t="s">
        <v>8219</v>
      </c>
      <c r="P2110" s="1" t="s">
        <v>8220</v>
      </c>
      <c r="Q2110" s="3">
        <v>40330.0</v>
      </c>
      <c r="R2110" s="1"/>
      <c r="S2110" s="1"/>
      <c r="T2110" s="1" t="s">
        <v>37</v>
      </c>
      <c r="U2110" s="1"/>
      <c r="V2110" s="1" t="s">
        <v>38</v>
      </c>
      <c r="W2110" s="1">
        <v>43.679962</v>
      </c>
      <c r="X2110" s="1">
        <v>-72.784378</v>
      </c>
      <c r="Y2110" s="1" t="s">
        <v>8221</v>
      </c>
      <c r="Z2110" s="1"/>
      <c r="AA2110" s="1" t="s">
        <v>40</v>
      </c>
      <c r="AB2110" s="1" t="s">
        <v>8222</v>
      </c>
      <c r="AC2110" s="1">
        <v>5751.0</v>
      </c>
    </row>
    <row r="2111">
      <c r="A2111" s="1" t="str">
        <f>"000AW1"</f>
        <v>000AW1</v>
      </c>
      <c r="B2111" s="1" t="s">
        <v>8223</v>
      </c>
      <c r="C2111" s="1" t="s">
        <v>8224</v>
      </c>
      <c r="D2111" s="1" t="str">
        <f>"8025787705"</f>
        <v>8025787705</v>
      </c>
      <c r="E2111" s="1">
        <v>4203.0</v>
      </c>
      <c r="F2111" s="1" t="s">
        <v>44</v>
      </c>
      <c r="G2111" s="1" t="s">
        <v>8225</v>
      </c>
      <c r="H2111" s="1">
        <v>1.0</v>
      </c>
      <c r="I2111" s="1"/>
      <c r="J2111" s="1"/>
      <c r="K2111" s="1"/>
      <c r="L2111" s="1"/>
      <c r="M2111" s="1" t="s">
        <v>8226</v>
      </c>
      <c r="N2111" s="1" t="s">
        <v>57</v>
      </c>
      <c r="O2111" s="1" t="s">
        <v>175</v>
      </c>
      <c r="P2111" s="1" t="s">
        <v>8227</v>
      </c>
      <c r="Q2111" s="3">
        <v>40312.0</v>
      </c>
      <c r="R2111" s="1"/>
      <c r="S2111" s="1"/>
      <c r="T2111" s="1" t="s">
        <v>37</v>
      </c>
      <c r="U2111" s="1"/>
      <c r="V2111" s="1" t="s">
        <v>38</v>
      </c>
      <c r="W2111" s="1"/>
      <c r="X2111" s="1"/>
      <c r="Y2111" s="1" t="s">
        <v>8228</v>
      </c>
      <c r="Z2111" s="1"/>
      <c r="AA2111" s="1" t="s">
        <v>40</v>
      </c>
      <c r="AB2111" s="1" t="s">
        <v>176</v>
      </c>
      <c r="AC2111" s="1">
        <v>0.0</v>
      </c>
    </row>
    <row r="2112">
      <c r="A2112" s="1" t="str">
        <f>"000AW3"</f>
        <v>000AW3</v>
      </c>
      <c r="B2112" s="1" t="s">
        <v>8229</v>
      </c>
      <c r="C2112" s="1" t="s">
        <v>8230</v>
      </c>
      <c r="D2112" s="1" t="str">
        <f>"8026958157"</f>
        <v>8026958157</v>
      </c>
      <c r="E2112" s="1">
        <v>4205.0</v>
      </c>
      <c r="F2112" s="1" t="s">
        <v>44</v>
      </c>
      <c r="G2112" s="1" t="s">
        <v>8231</v>
      </c>
      <c r="H2112" s="1">
        <v>2.0</v>
      </c>
      <c r="I2112" s="1"/>
      <c r="J2112" s="1"/>
      <c r="K2112" s="1"/>
      <c r="L2112" s="1"/>
      <c r="M2112" s="1" t="s">
        <v>8232</v>
      </c>
      <c r="N2112" s="1" t="s">
        <v>128</v>
      </c>
      <c r="O2112" s="1" t="s">
        <v>525</v>
      </c>
      <c r="P2112" s="1" t="s">
        <v>36</v>
      </c>
      <c r="Q2112" s="3">
        <v>40339.0</v>
      </c>
      <c r="R2112" s="1"/>
      <c r="S2112" s="1"/>
      <c r="T2112" s="1" t="s">
        <v>37</v>
      </c>
      <c r="U2112" s="1"/>
      <c r="V2112" s="1" t="s">
        <v>38</v>
      </c>
      <c r="W2112" s="1">
        <v>44.466335</v>
      </c>
      <c r="X2112" s="1">
        <v>-71.919212</v>
      </c>
      <c r="Y2112" s="1" t="s">
        <v>8233</v>
      </c>
      <c r="Z2112" s="1"/>
      <c r="AA2112" s="1" t="s">
        <v>40</v>
      </c>
      <c r="AB2112" s="1" t="s">
        <v>1574</v>
      </c>
      <c r="AC2112" s="1">
        <v>5824.0</v>
      </c>
    </row>
    <row r="2113">
      <c r="A2113" s="1" t="str">
        <f t="shared" ref="A2113:A2115" si="151">"000AW5"</f>
        <v>000AW5</v>
      </c>
      <c r="B2113" s="1" t="s">
        <v>8234</v>
      </c>
      <c r="C2113" s="1" t="s">
        <v>8235</v>
      </c>
      <c r="D2113" s="1" t="str">
        <f t="shared" ref="D2113:D2115" si="152">"8028273118"</f>
        <v>8028273118</v>
      </c>
      <c r="E2113" s="1">
        <v>4206.0</v>
      </c>
      <c r="F2113" s="1" t="s">
        <v>44</v>
      </c>
      <c r="G2113" s="1" t="s">
        <v>8236</v>
      </c>
      <c r="H2113" s="1">
        <v>1.0</v>
      </c>
      <c r="I2113" s="1"/>
      <c r="J2113" s="1"/>
      <c r="K2113" s="1"/>
      <c r="L2113" s="1"/>
      <c r="M2113" s="1" t="s">
        <v>33</v>
      </c>
      <c r="N2113" s="1" t="s">
        <v>47</v>
      </c>
      <c r="O2113" s="1" t="s">
        <v>100</v>
      </c>
      <c r="P2113" s="1" t="s">
        <v>36</v>
      </c>
      <c r="Q2113" s="3">
        <v>40333.0</v>
      </c>
      <c r="R2113" s="1"/>
      <c r="S2113" s="1"/>
      <c r="T2113" s="1" t="s">
        <v>37</v>
      </c>
      <c r="U2113" s="1"/>
      <c r="V2113" s="1" t="s">
        <v>38</v>
      </c>
      <c r="W2113" s="1"/>
      <c r="X2113" s="1"/>
      <c r="Y2113" s="1" t="s">
        <v>8237</v>
      </c>
      <c r="Z2113" s="1"/>
      <c r="AA2113" s="1" t="s">
        <v>40</v>
      </c>
      <c r="AB2113" s="1" t="s">
        <v>102</v>
      </c>
      <c r="AC2113" s="1">
        <v>5455.0</v>
      </c>
    </row>
    <row r="2114">
      <c r="A2114" s="1" t="str">
        <f t="shared" si="151"/>
        <v>000AW5</v>
      </c>
      <c r="B2114" s="1" t="s">
        <v>8234</v>
      </c>
      <c r="C2114" s="1" t="s">
        <v>8235</v>
      </c>
      <c r="D2114" s="1" t="str">
        <f t="shared" si="152"/>
        <v>8028273118</v>
      </c>
      <c r="E2114" s="1">
        <v>4206.0</v>
      </c>
      <c r="F2114" s="1" t="s">
        <v>44</v>
      </c>
      <c r="G2114" s="1" t="s">
        <v>8238</v>
      </c>
      <c r="H2114" s="1">
        <v>2.0</v>
      </c>
      <c r="I2114" s="1"/>
      <c r="J2114" s="1"/>
      <c r="K2114" s="1"/>
      <c r="L2114" s="1"/>
      <c r="M2114" s="1" t="s">
        <v>8239</v>
      </c>
      <c r="N2114" s="1" t="s">
        <v>47</v>
      </c>
      <c r="O2114" s="1" t="s">
        <v>100</v>
      </c>
      <c r="P2114" s="1" t="s">
        <v>8240</v>
      </c>
      <c r="Q2114" s="3">
        <v>40333.0</v>
      </c>
      <c r="R2114" s="1"/>
      <c r="S2114" s="1"/>
      <c r="T2114" s="1" t="s">
        <v>37</v>
      </c>
      <c r="U2114" s="1"/>
      <c r="V2114" s="1" t="s">
        <v>38</v>
      </c>
      <c r="W2114" s="1"/>
      <c r="X2114" s="1"/>
      <c r="Y2114" s="1" t="s">
        <v>8241</v>
      </c>
      <c r="Z2114" s="1"/>
      <c r="AA2114" s="1" t="s">
        <v>40</v>
      </c>
      <c r="AB2114" s="1" t="s">
        <v>102</v>
      </c>
      <c r="AC2114" s="1">
        <v>5455.0</v>
      </c>
    </row>
    <row r="2115">
      <c r="A2115" s="1" t="str">
        <f t="shared" si="151"/>
        <v>000AW5</v>
      </c>
      <c r="B2115" s="1" t="s">
        <v>8234</v>
      </c>
      <c r="C2115" s="1" t="s">
        <v>8235</v>
      </c>
      <c r="D2115" s="1" t="str">
        <f t="shared" si="152"/>
        <v>8028273118</v>
      </c>
      <c r="E2115" s="1">
        <v>4206.0</v>
      </c>
      <c r="F2115" s="1" t="s">
        <v>44</v>
      </c>
      <c r="G2115" s="1" t="s">
        <v>8242</v>
      </c>
      <c r="H2115" s="1">
        <v>1.0</v>
      </c>
      <c r="I2115" s="1"/>
      <c r="J2115" s="1"/>
      <c r="K2115" s="1"/>
      <c r="L2115" s="1"/>
      <c r="M2115" s="1" t="s">
        <v>8243</v>
      </c>
      <c r="N2115" s="1" t="s">
        <v>47</v>
      </c>
      <c r="O2115" s="1" t="s">
        <v>100</v>
      </c>
      <c r="P2115" s="1" t="s">
        <v>8244</v>
      </c>
      <c r="Q2115" s="3">
        <v>40333.0</v>
      </c>
      <c r="R2115" s="1"/>
      <c r="S2115" s="1"/>
      <c r="T2115" s="1" t="s">
        <v>37</v>
      </c>
      <c r="U2115" s="1"/>
      <c r="V2115" s="1" t="s">
        <v>38</v>
      </c>
      <c r="W2115" s="1"/>
      <c r="X2115" s="1"/>
      <c r="Y2115" s="1" t="s">
        <v>8245</v>
      </c>
      <c r="Z2115" s="1"/>
      <c r="AA2115" s="1" t="s">
        <v>40</v>
      </c>
      <c r="AB2115" s="1" t="s">
        <v>102</v>
      </c>
      <c r="AC2115" s="1">
        <v>5455.0</v>
      </c>
    </row>
    <row r="2116">
      <c r="A2116" s="1" t="str">
        <f>"000AW8"</f>
        <v>000AW8</v>
      </c>
      <c r="B2116" s="1" t="s">
        <v>8246</v>
      </c>
      <c r="C2116" s="1" t="s">
        <v>8247</v>
      </c>
      <c r="D2116" s="1" t="str">
        <f>"8029993833"</f>
        <v>8029993833</v>
      </c>
      <c r="E2116" s="1">
        <v>4209.0</v>
      </c>
      <c r="F2116" s="1" t="s">
        <v>117</v>
      </c>
      <c r="G2116" s="1" t="s">
        <v>8248</v>
      </c>
      <c r="H2116" s="1">
        <v>2.0</v>
      </c>
      <c r="I2116" s="2" t="s">
        <v>119</v>
      </c>
      <c r="J2116" s="2" t="s">
        <v>119</v>
      </c>
      <c r="K2116" s="2" t="s">
        <v>119</v>
      </c>
      <c r="L2116" s="1"/>
      <c r="M2116" s="1" t="s">
        <v>8249</v>
      </c>
      <c r="N2116" s="1" t="s">
        <v>57</v>
      </c>
      <c r="O2116" s="1" t="s">
        <v>58</v>
      </c>
      <c r="P2116" s="1" t="s">
        <v>8250</v>
      </c>
      <c r="Q2116" s="3">
        <v>40332.0</v>
      </c>
      <c r="R2116" s="1"/>
      <c r="S2116" s="3">
        <v>40673.0</v>
      </c>
      <c r="T2116" s="1" t="s">
        <v>37</v>
      </c>
      <c r="U2116" s="1"/>
      <c r="V2116" s="1" t="s">
        <v>38</v>
      </c>
      <c r="W2116" s="1">
        <v>44.5220121</v>
      </c>
      <c r="X2116" s="1">
        <v>-72.8946910999999</v>
      </c>
      <c r="Y2116" s="1" t="s">
        <v>8251</v>
      </c>
      <c r="Z2116" s="1"/>
      <c r="AA2116" s="1" t="s">
        <v>40</v>
      </c>
      <c r="AB2116" s="1" t="s">
        <v>2337</v>
      </c>
      <c r="AC2116" s="1">
        <v>0.0</v>
      </c>
    </row>
    <row r="2117">
      <c r="A2117" s="1" t="str">
        <f>"000AWB"</f>
        <v>000AWB</v>
      </c>
      <c r="B2117" s="1" t="s">
        <v>8252</v>
      </c>
      <c r="C2117" s="1" t="s">
        <v>8253</v>
      </c>
      <c r="D2117" s="1" t="str">
        <f>"8025831070"</f>
        <v>8025831070</v>
      </c>
      <c r="E2117" s="1">
        <v>4212.0</v>
      </c>
      <c r="F2117" s="1" t="s">
        <v>31</v>
      </c>
      <c r="G2117" s="1" t="s">
        <v>8254</v>
      </c>
      <c r="H2117" s="1">
        <v>4.0</v>
      </c>
      <c r="I2117" s="1"/>
      <c r="J2117" s="1"/>
      <c r="K2117" s="1"/>
      <c r="L2117" s="1"/>
      <c r="M2117" s="1" t="s">
        <v>8255</v>
      </c>
      <c r="N2117" s="1" t="s">
        <v>135</v>
      </c>
      <c r="O2117" s="1" t="s">
        <v>2331</v>
      </c>
      <c r="P2117" s="1" t="s">
        <v>8256</v>
      </c>
      <c r="Q2117" s="3">
        <v>40354.0</v>
      </c>
      <c r="R2117" s="1"/>
      <c r="S2117" s="3">
        <v>42146.0</v>
      </c>
      <c r="T2117" s="1" t="s">
        <v>37</v>
      </c>
      <c r="U2117" s="1"/>
      <c r="V2117" s="1" t="s">
        <v>38</v>
      </c>
      <c r="W2117" s="1">
        <v>44.248991</v>
      </c>
      <c r="X2117" s="1">
        <v>-72.7744036</v>
      </c>
      <c r="Y2117" s="1" t="s">
        <v>8257</v>
      </c>
      <c r="Z2117" s="1"/>
      <c r="AA2117" s="1" t="s">
        <v>40</v>
      </c>
      <c r="AB2117" s="1" t="s">
        <v>2332</v>
      </c>
      <c r="AC2117" s="1">
        <v>5660.0</v>
      </c>
    </row>
    <row r="2118">
      <c r="A2118" s="1" t="str">
        <f t="shared" ref="A2118:A2119" si="153">"000AWD"</f>
        <v>000AWD</v>
      </c>
      <c r="B2118" s="1" t="s">
        <v>8258</v>
      </c>
      <c r="C2118" s="1" t="s">
        <v>8259</v>
      </c>
      <c r="D2118" s="1" t="str">
        <f t="shared" ref="D2118:D2119" si="154">"8028492494"</f>
        <v>8028492494</v>
      </c>
      <c r="E2118" s="1">
        <v>4214.0</v>
      </c>
      <c r="F2118" s="1" t="s">
        <v>44</v>
      </c>
      <c r="G2118" s="1" t="s">
        <v>8260</v>
      </c>
      <c r="H2118" s="1">
        <v>2.0</v>
      </c>
      <c r="I2118" s="1"/>
      <c r="J2118" s="1"/>
      <c r="K2118" s="1"/>
      <c r="L2118" s="1"/>
      <c r="M2118" s="1" t="s">
        <v>8261</v>
      </c>
      <c r="N2118" s="1" t="s">
        <v>47</v>
      </c>
      <c r="O2118" s="1" t="s">
        <v>100</v>
      </c>
      <c r="P2118" s="1" t="s">
        <v>36</v>
      </c>
      <c r="Q2118" s="3">
        <v>40351.0</v>
      </c>
      <c r="R2118" s="1"/>
      <c r="S2118" s="3">
        <v>41390.0</v>
      </c>
      <c r="T2118" s="1" t="s">
        <v>37</v>
      </c>
      <c r="U2118" s="1"/>
      <c r="V2118" s="1" t="s">
        <v>38</v>
      </c>
      <c r="W2118" s="1"/>
      <c r="X2118" s="1"/>
      <c r="Y2118" s="1" t="s">
        <v>8262</v>
      </c>
      <c r="Z2118" s="1"/>
      <c r="AA2118" s="1" t="s">
        <v>40</v>
      </c>
      <c r="AB2118" s="1" t="s">
        <v>102</v>
      </c>
      <c r="AC2118" s="1">
        <v>0.0</v>
      </c>
    </row>
    <row r="2119">
      <c r="A2119" s="1" t="str">
        <f t="shared" si="153"/>
        <v>000AWD</v>
      </c>
      <c r="B2119" s="1" t="s">
        <v>8258</v>
      </c>
      <c r="C2119" s="1" t="s">
        <v>8259</v>
      </c>
      <c r="D2119" s="1" t="str">
        <f t="shared" si="154"/>
        <v>8028492494</v>
      </c>
      <c r="E2119" s="1">
        <v>4214.0</v>
      </c>
      <c r="F2119" s="1" t="s">
        <v>44</v>
      </c>
      <c r="G2119" s="1" t="s">
        <v>8263</v>
      </c>
      <c r="H2119" s="1">
        <v>1.0</v>
      </c>
      <c r="I2119" s="1"/>
      <c r="J2119" s="1"/>
      <c r="K2119" s="1"/>
      <c r="L2119" s="1"/>
      <c r="M2119" s="1" t="s">
        <v>8264</v>
      </c>
      <c r="N2119" s="1" t="s">
        <v>47</v>
      </c>
      <c r="O2119" s="1" t="s">
        <v>2837</v>
      </c>
      <c r="P2119" s="1" t="s">
        <v>36</v>
      </c>
      <c r="Q2119" s="3">
        <v>40351.0</v>
      </c>
      <c r="R2119" s="1"/>
      <c r="S2119" s="1"/>
      <c r="T2119" s="1" t="s">
        <v>37</v>
      </c>
      <c r="U2119" s="1"/>
      <c r="V2119" s="1" t="s">
        <v>38</v>
      </c>
      <c r="W2119" s="1"/>
      <c r="X2119" s="1"/>
      <c r="Y2119" s="1" t="s">
        <v>8265</v>
      </c>
      <c r="Z2119" s="1"/>
      <c r="AA2119" s="1" t="s">
        <v>40</v>
      </c>
      <c r="AB2119" s="1" t="s">
        <v>5776</v>
      </c>
      <c r="AC2119" s="1">
        <v>0.0</v>
      </c>
    </row>
    <row r="2120">
      <c r="A2120" s="1" t="str">
        <f>"000AX3"</f>
        <v>000AX3</v>
      </c>
      <c r="B2120" s="1" t="s">
        <v>8266</v>
      </c>
      <c r="C2120" s="1" t="s">
        <v>8267</v>
      </c>
      <c r="D2120" s="1" t="str">
        <f>"8022346222"</f>
        <v>8022346222</v>
      </c>
      <c r="E2120" s="1">
        <v>4220.0</v>
      </c>
      <c r="F2120" s="1" t="s">
        <v>44</v>
      </c>
      <c r="G2120" s="1" t="s">
        <v>8268</v>
      </c>
      <c r="H2120" s="1">
        <v>3.0</v>
      </c>
      <c r="I2120" s="2" t="s">
        <v>119</v>
      </c>
      <c r="J2120" s="2">
        <v>3.0</v>
      </c>
      <c r="K2120" s="2" t="s">
        <v>119</v>
      </c>
      <c r="L2120" s="1"/>
      <c r="M2120" s="1" t="s">
        <v>33</v>
      </c>
      <c r="N2120" s="1" t="s">
        <v>34</v>
      </c>
      <c r="O2120" s="1" t="s">
        <v>150</v>
      </c>
      <c r="P2120" s="1" t="s">
        <v>36</v>
      </c>
      <c r="Q2120" s="3">
        <v>40357.0</v>
      </c>
      <c r="R2120" s="1"/>
      <c r="S2120" s="1"/>
      <c r="T2120" s="1" t="s">
        <v>37</v>
      </c>
      <c r="U2120" s="1"/>
      <c r="V2120" s="1" t="s">
        <v>38</v>
      </c>
      <c r="W2120" s="1">
        <v>43.953873</v>
      </c>
      <c r="X2120" s="1">
        <v>-72.565445</v>
      </c>
      <c r="Y2120" s="1" t="s">
        <v>8269</v>
      </c>
      <c r="Z2120" s="1"/>
      <c r="AA2120" s="1" t="s">
        <v>40</v>
      </c>
      <c r="AB2120" s="1" t="s">
        <v>736</v>
      </c>
      <c r="AC2120" s="1">
        <v>5061.0</v>
      </c>
    </row>
    <row r="2121">
      <c r="A2121" s="1" t="str">
        <f>"000AX4"</f>
        <v>000AX4</v>
      </c>
      <c r="B2121" s="1" t="s">
        <v>8270</v>
      </c>
      <c r="C2121" s="1" t="s">
        <v>8271</v>
      </c>
      <c r="D2121" s="1" t="str">
        <f>"8027468417"</f>
        <v>8027468417</v>
      </c>
      <c r="E2121" s="1">
        <v>4221.0</v>
      </c>
      <c r="F2121" s="1" t="s">
        <v>44</v>
      </c>
      <c r="G2121" s="1" t="s">
        <v>8272</v>
      </c>
      <c r="H2121" s="1">
        <v>1.0</v>
      </c>
      <c r="I2121" s="1"/>
      <c r="J2121" s="1"/>
      <c r="K2121" s="1"/>
      <c r="L2121" s="1"/>
      <c r="M2121" s="1" t="s">
        <v>8273</v>
      </c>
      <c r="N2121" s="1" t="s">
        <v>34</v>
      </c>
      <c r="O2121" s="1" t="s">
        <v>1469</v>
      </c>
      <c r="P2121" s="1" t="s">
        <v>8274</v>
      </c>
      <c r="Q2121" s="3">
        <v>40353.0</v>
      </c>
      <c r="R2121" s="1"/>
      <c r="S2121" s="1"/>
      <c r="T2121" s="1" t="s">
        <v>37</v>
      </c>
      <c r="U2121" s="1"/>
      <c r="V2121" s="1" t="s">
        <v>38</v>
      </c>
      <c r="W2121" s="1"/>
      <c r="X2121" s="1"/>
      <c r="Y2121" s="1" t="s">
        <v>8275</v>
      </c>
      <c r="Z2121" s="1"/>
      <c r="AA2121" s="1" t="s">
        <v>40</v>
      </c>
      <c r="AB2121" s="1" t="s">
        <v>1471</v>
      </c>
      <c r="AC2121" s="1">
        <v>5772.0</v>
      </c>
    </row>
    <row r="2122">
      <c r="A2122" s="1" t="str">
        <f>"000AXN"</f>
        <v>000AXN</v>
      </c>
      <c r="B2122" s="1" t="s">
        <v>8276</v>
      </c>
      <c r="C2122" s="1" t="s">
        <v>8277</v>
      </c>
      <c r="D2122" s="1" t="str">
        <f>"8027771777"</f>
        <v>8027771777</v>
      </c>
      <c r="E2122" s="1">
        <v>4222.0</v>
      </c>
      <c r="F2122" s="1" t="s">
        <v>44</v>
      </c>
      <c r="G2122" s="1" t="s">
        <v>8278</v>
      </c>
      <c r="H2122" s="1">
        <v>1.0</v>
      </c>
      <c r="I2122" s="1"/>
      <c r="J2122" s="1"/>
      <c r="K2122" s="1"/>
      <c r="L2122" s="1"/>
      <c r="M2122" s="1" t="s">
        <v>8279</v>
      </c>
      <c r="N2122" s="1" t="s">
        <v>34</v>
      </c>
      <c r="O2122" s="1" t="s">
        <v>85</v>
      </c>
      <c r="P2122" s="1" t="s">
        <v>36</v>
      </c>
      <c r="Q2122" s="3">
        <v>40340.0</v>
      </c>
      <c r="R2122" s="1"/>
      <c r="S2122" s="1"/>
      <c r="T2122" s="1" t="s">
        <v>37</v>
      </c>
      <c r="U2122" s="1"/>
      <c r="V2122" s="1" t="s">
        <v>38</v>
      </c>
      <c r="W2122" s="1"/>
      <c r="X2122" s="1"/>
      <c r="Y2122" s="1" t="s">
        <v>8280</v>
      </c>
      <c r="Z2122" s="1"/>
      <c r="AA2122" s="1" t="s">
        <v>40</v>
      </c>
      <c r="AB2122" s="1" t="s">
        <v>86</v>
      </c>
      <c r="AC2122" s="1">
        <v>0.0</v>
      </c>
    </row>
    <row r="2123">
      <c r="A2123" s="1" t="str">
        <f t="shared" ref="A2123:A2124" si="155">"000AXQ"</f>
        <v>000AXQ</v>
      </c>
      <c r="B2123" s="1" t="s">
        <v>8281</v>
      </c>
      <c r="C2123" s="1" t="s">
        <v>8282</v>
      </c>
      <c r="D2123" s="1" t="str">
        <f t="shared" ref="D2123:D2124" si="156">"8027485367"</f>
        <v>8027485367</v>
      </c>
      <c r="E2123" s="1">
        <v>4224.0</v>
      </c>
      <c r="F2123" s="1" t="s">
        <v>44</v>
      </c>
      <c r="G2123" s="1" t="s">
        <v>8283</v>
      </c>
      <c r="H2123" s="1">
        <v>2.0</v>
      </c>
      <c r="I2123" s="1"/>
      <c r="J2123" s="1"/>
      <c r="K2123" s="1"/>
      <c r="L2123" s="1"/>
      <c r="M2123" s="1" t="s">
        <v>8284</v>
      </c>
      <c r="N2123" s="1" t="s">
        <v>331</v>
      </c>
      <c r="O2123" s="1" t="s">
        <v>1573</v>
      </c>
      <c r="P2123" s="1" t="s">
        <v>8285</v>
      </c>
      <c r="Q2123" s="3">
        <v>40366.0</v>
      </c>
      <c r="R2123" s="1"/>
      <c r="S2123" s="1"/>
      <c r="T2123" s="1" t="s">
        <v>37</v>
      </c>
      <c r="U2123" s="1"/>
      <c r="V2123" s="1" t="s">
        <v>38</v>
      </c>
      <c r="W2123" s="1"/>
      <c r="X2123" s="1"/>
      <c r="Y2123" s="1">
        <v>0.0</v>
      </c>
      <c r="Z2123" s="1"/>
      <c r="AA2123" s="1" t="s">
        <v>40</v>
      </c>
      <c r="AB2123" s="1" t="s">
        <v>1574</v>
      </c>
      <c r="AC2123" s="1">
        <v>0.0</v>
      </c>
    </row>
    <row r="2124">
      <c r="A2124" s="1" t="str">
        <f t="shared" si="155"/>
        <v>000AXQ</v>
      </c>
      <c r="B2124" s="1" t="s">
        <v>8281</v>
      </c>
      <c r="C2124" s="1" t="s">
        <v>8282</v>
      </c>
      <c r="D2124" s="1" t="str">
        <f t="shared" si="156"/>
        <v>8027485367</v>
      </c>
      <c r="E2124" s="1">
        <v>4224.0</v>
      </c>
      <c r="F2124" s="1" t="s">
        <v>44</v>
      </c>
      <c r="G2124" s="1" t="s">
        <v>8286</v>
      </c>
      <c r="H2124" s="1">
        <v>2.0</v>
      </c>
      <c r="I2124" s="1"/>
      <c r="J2124" s="1"/>
      <c r="K2124" s="1"/>
      <c r="L2124" s="1"/>
      <c r="M2124" s="1" t="s">
        <v>8287</v>
      </c>
      <c r="N2124" s="1" t="s">
        <v>128</v>
      </c>
      <c r="O2124" s="1" t="s">
        <v>1707</v>
      </c>
      <c r="P2124" s="1" t="s">
        <v>8288</v>
      </c>
      <c r="Q2124" s="3">
        <v>40366.0</v>
      </c>
      <c r="R2124" s="1"/>
      <c r="S2124" s="1"/>
      <c r="T2124" s="1" t="s">
        <v>37</v>
      </c>
      <c r="U2124" s="1"/>
      <c r="V2124" s="1" t="s">
        <v>38</v>
      </c>
      <c r="W2124" s="1">
        <v>44.445526</v>
      </c>
      <c r="X2124" s="1">
        <v>-72.059166</v>
      </c>
      <c r="Y2124" s="1" t="s">
        <v>8289</v>
      </c>
      <c r="Z2124" s="1"/>
      <c r="AA2124" s="1" t="s">
        <v>40</v>
      </c>
      <c r="AB2124" s="1" t="s">
        <v>196</v>
      </c>
      <c r="AC2124" s="1">
        <v>5819.0</v>
      </c>
    </row>
    <row r="2125">
      <c r="A2125" s="1" t="str">
        <f>"00081Y"</f>
        <v>00081Y</v>
      </c>
      <c r="B2125" s="1" t="s">
        <v>1108</v>
      </c>
      <c r="C2125" s="1" t="s">
        <v>1109</v>
      </c>
      <c r="D2125" s="1" t="str">
        <f>"8025242433"</f>
        <v>8025242433</v>
      </c>
      <c r="E2125" s="1">
        <v>1523.0</v>
      </c>
      <c r="F2125" s="1" t="s">
        <v>117</v>
      </c>
      <c r="G2125" s="1" t="s">
        <v>8290</v>
      </c>
      <c r="H2125" s="1">
        <v>52.0</v>
      </c>
      <c r="I2125" s="2" t="s">
        <v>119</v>
      </c>
      <c r="J2125" s="2" t="s">
        <v>119</v>
      </c>
      <c r="K2125" s="2" t="s">
        <v>119</v>
      </c>
      <c r="L2125" s="1"/>
      <c r="M2125" s="1" t="s">
        <v>33</v>
      </c>
      <c r="N2125" s="1" t="s">
        <v>47</v>
      </c>
      <c r="O2125" s="1" t="s">
        <v>2753</v>
      </c>
      <c r="P2125" s="1" t="s">
        <v>1113</v>
      </c>
      <c r="Q2125" s="3">
        <v>36526.0</v>
      </c>
      <c r="R2125" s="1"/>
      <c r="S2125" s="3">
        <v>42493.0</v>
      </c>
      <c r="T2125" s="1" t="s">
        <v>37</v>
      </c>
      <c r="U2125" s="1"/>
      <c r="V2125" s="1" t="s">
        <v>38</v>
      </c>
      <c r="W2125" s="1">
        <v>44.81818</v>
      </c>
      <c r="X2125" s="1">
        <v>-73.0232768999999</v>
      </c>
      <c r="Y2125" s="1" t="s">
        <v>8291</v>
      </c>
      <c r="Z2125" s="1"/>
      <c r="AA2125" s="1" t="s">
        <v>40</v>
      </c>
      <c r="AB2125" s="1" t="s">
        <v>5776</v>
      </c>
      <c r="AC2125" s="1">
        <v>5478.0</v>
      </c>
    </row>
    <row r="2126">
      <c r="A2126" s="1" t="str">
        <f>"00087P"</f>
        <v>00087P</v>
      </c>
      <c r="B2126" s="1" t="s">
        <v>5993</v>
      </c>
      <c r="C2126" s="1" t="s">
        <v>5994</v>
      </c>
      <c r="D2126" s="1" t="str">
        <f>"8025270369"</f>
        <v>8025270369</v>
      </c>
      <c r="E2126" s="1">
        <v>3072.0</v>
      </c>
      <c r="F2126" s="1" t="s">
        <v>31</v>
      </c>
      <c r="G2126" s="1" t="s">
        <v>8292</v>
      </c>
      <c r="H2126" s="1">
        <v>11.0</v>
      </c>
      <c r="I2126" s="1"/>
      <c r="J2126" s="1"/>
      <c r="K2126" s="1"/>
      <c r="L2126" s="1"/>
      <c r="M2126" s="1" t="s">
        <v>8293</v>
      </c>
      <c r="N2126" s="1" t="s">
        <v>47</v>
      </c>
      <c r="O2126" s="1" t="s">
        <v>2753</v>
      </c>
      <c r="P2126" s="1" t="s">
        <v>5774</v>
      </c>
      <c r="Q2126" s="3">
        <v>40283.0</v>
      </c>
      <c r="R2126" s="1"/>
      <c r="S2126" s="3">
        <v>40683.0</v>
      </c>
      <c r="T2126" s="1" t="s">
        <v>37</v>
      </c>
      <c r="U2126" s="1"/>
      <c r="V2126" s="1" t="s">
        <v>38</v>
      </c>
      <c r="W2126" s="1"/>
      <c r="X2126" s="1"/>
      <c r="Y2126" s="1" t="s">
        <v>5775</v>
      </c>
      <c r="Z2126" s="1"/>
      <c r="AA2126" s="1" t="s">
        <v>40</v>
      </c>
      <c r="AB2126" s="1" t="s">
        <v>5776</v>
      </c>
      <c r="AC2126" s="1">
        <v>0.0</v>
      </c>
    </row>
    <row r="2127">
      <c r="A2127" s="1" t="str">
        <f>"000AZ7"</f>
        <v>000AZ7</v>
      </c>
      <c r="B2127" s="1" t="s">
        <v>8294</v>
      </c>
      <c r="C2127" s="1" t="s">
        <v>8295</v>
      </c>
      <c r="D2127" s="1" t="str">
        <f>"8023624948"</f>
        <v>8023624948</v>
      </c>
      <c r="E2127" s="1">
        <v>4233.0</v>
      </c>
      <c r="F2127" s="1" t="s">
        <v>31</v>
      </c>
      <c r="G2127" s="1" t="s">
        <v>8296</v>
      </c>
      <c r="H2127" s="1">
        <v>2.0</v>
      </c>
      <c r="I2127" s="1"/>
      <c r="J2127" s="1"/>
      <c r="K2127" s="1"/>
      <c r="L2127" s="1"/>
      <c r="M2127" s="1" t="s">
        <v>8297</v>
      </c>
      <c r="N2127" s="1" t="s">
        <v>414</v>
      </c>
      <c r="O2127" s="1" t="s">
        <v>415</v>
      </c>
      <c r="P2127" s="1" t="s">
        <v>8298</v>
      </c>
      <c r="Q2127" s="3">
        <v>40383.0</v>
      </c>
      <c r="R2127" s="1"/>
      <c r="S2127" s="1"/>
      <c r="T2127" s="1" t="s">
        <v>37</v>
      </c>
      <c r="U2127" s="1"/>
      <c r="V2127" s="1" t="s">
        <v>38</v>
      </c>
      <c r="W2127" s="1">
        <v>43.2302077</v>
      </c>
      <c r="X2127" s="1">
        <v>-73.0248589999999</v>
      </c>
      <c r="Y2127" s="1">
        <v>0.0</v>
      </c>
      <c r="Z2127" s="1"/>
      <c r="AA2127" s="1" t="s">
        <v>40</v>
      </c>
      <c r="AB2127" s="1" t="s">
        <v>6366</v>
      </c>
      <c r="AC2127" s="1">
        <v>5253.0</v>
      </c>
    </row>
    <row r="2128">
      <c r="A2128" s="1" t="str">
        <f>"000AZ8"</f>
        <v>000AZ8</v>
      </c>
      <c r="B2128" s="1" t="s">
        <v>8299</v>
      </c>
      <c r="C2128" s="1" t="s">
        <v>8300</v>
      </c>
      <c r="D2128" s="1" t="str">
        <f>"8022386160"</f>
        <v>8022386160</v>
      </c>
      <c r="E2128" s="1">
        <v>4234.0</v>
      </c>
      <c r="F2128" s="1" t="s">
        <v>117</v>
      </c>
      <c r="G2128" s="1" t="s">
        <v>8301</v>
      </c>
      <c r="H2128" s="1">
        <v>7.0</v>
      </c>
      <c r="I2128" s="2">
        <v>2.0</v>
      </c>
      <c r="J2128" s="2">
        <v>1.0</v>
      </c>
      <c r="K2128" s="2" t="s">
        <v>119</v>
      </c>
      <c r="L2128" s="1"/>
      <c r="M2128" s="1" t="s">
        <v>8302</v>
      </c>
      <c r="N2128" s="1" t="s">
        <v>47</v>
      </c>
      <c r="O2128" s="1" t="s">
        <v>1112</v>
      </c>
      <c r="P2128" s="1" t="s">
        <v>8303</v>
      </c>
      <c r="Q2128" s="3">
        <v>41842.0</v>
      </c>
      <c r="R2128" s="1"/>
      <c r="S2128" s="1"/>
      <c r="T2128" s="1" t="s">
        <v>37</v>
      </c>
      <c r="U2128" s="1"/>
      <c r="V2128" s="1" t="s">
        <v>38</v>
      </c>
      <c r="W2128" s="1">
        <v>44.9846949999999</v>
      </c>
      <c r="X2128" s="1">
        <v>-73.0630039999999</v>
      </c>
      <c r="Y2128" s="1" t="s">
        <v>8304</v>
      </c>
      <c r="Z2128" s="1"/>
      <c r="AA2128" s="1" t="s">
        <v>40</v>
      </c>
      <c r="AB2128" s="1" t="s">
        <v>1115</v>
      </c>
      <c r="AC2128" s="1">
        <v>5488.0</v>
      </c>
    </row>
    <row r="2129">
      <c r="A2129" s="1" t="str">
        <f>"000G98"</f>
        <v>000G98</v>
      </c>
      <c r="B2129" s="1" t="s">
        <v>8305</v>
      </c>
      <c r="C2129" s="1" t="s">
        <v>8306</v>
      </c>
      <c r="D2129" s="1" t="str">
        <f>"8022233312"</f>
        <v>8022233312</v>
      </c>
      <c r="E2129" s="1">
        <v>4236.0</v>
      </c>
      <c r="F2129" s="1" t="s">
        <v>117</v>
      </c>
      <c r="G2129" s="1" t="s">
        <v>8307</v>
      </c>
      <c r="H2129" s="1">
        <v>2.0</v>
      </c>
      <c r="I2129" s="2" t="s">
        <v>119</v>
      </c>
      <c r="J2129" s="2">
        <v>3.0</v>
      </c>
      <c r="K2129" s="2" t="s">
        <v>119</v>
      </c>
      <c r="L2129" s="1"/>
      <c r="M2129" s="1" t="s">
        <v>33</v>
      </c>
      <c r="N2129" s="1" t="s">
        <v>135</v>
      </c>
      <c r="O2129" s="1" t="s">
        <v>3983</v>
      </c>
      <c r="P2129" s="1" t="s">
        <v>8308</v>
      </c>
      <c r="Q2129" s="3">
        <v>40329.0</v>
      </c>
      <c r="R2129" s="1"/>
      <c r="S2129" s="3">
        <v>42146.0</v>
      </c>
      <c r="T2129" s="1" t="s">
        <v>37</v>
      </c>
      <c r="U2129" s="1"/>
      <c r="V2129" s="1" t="s">
        <v>38</v>
      </c>
      <c r="W2129" s="1">
        <v>44.375042</v>
      </c>
      <c r="X2129" s="1">
        <v>-72.582199</v>
      </c>
      <c r="Y2129" s="1" t="s">
        <v>8309</v>
      </c>
      <c r="Z2129" s="1"/>
      <c r="AA2129" s="1" t="s">
        <v>40</v>
      </c>
      <c r="AB2129" s="1" t="s">
        <v>8310</v>
      </c>
      <c r="AC2129" s="1">
        <v>5682.0</v>
      </c>
    </row>
    <row r="2130">
      <c r="A2130" s="1" t="str">
        <f>"000G99"</f>
        <v>000G99</v>
      </c>
      <c r="B2130" s="1" t="s">
        <v>8311</v>
      </c>
      <c r="C2130" s="1" t="s">
        <v>8312</v>
      </c>
      <c r="D2130" s="1" t="str">
        <f>"8023450467"</f>
        <v>8023450467</v>
      </c>
      <c r="E2130" s="1">
        <v>4237.0</v>
      </c>
      <c r="F2130" s="1" t="s">
        <v>44</v>
      </c>
      <c r="G2130" s="1" t="s">
        <v>8313</v>
      </c>
      <c r="H2130" s="1">
        <v>2.0</v>
      </c>
      <c r="I2130" s="1"/>
      <c r="J2130" s="1"/>
      <c r="K2130" s="1"/>
      <c r="L2130" s="1"/>
      <c r="M2130" s="1" t="s">
        <v>33</v>
      </c>
      <c r="N2130" s="1" t="s">
        <v>78</v>
      </c>
      <c r="O2130" s="1" t="s">
        <v>702</v>
      </c>
      <c r="P2130" s="1" t="s">
        <v>8314</v>
      </c>
      <c r="Q2130" s="3">
        <v>40550.0</v>
      </c>
      <c r="R2130" s="1"/>
      <c r="S2130" s="1"/>
      <c r="T2130" s="1" t="s">
        <v>37</v>
      </c>
      <c r="U2130" s="1"/>
      <c r="V2130" s="1" t="s">
        <v>38</v>
      </c>
      <c r="W2130" s="1"/>
      <c r="X2130" s="1"/>
      <c r="Y2130" s="1" t="s">
        <v>8315</v>
      </c>
      <c r="Z2130" s="1"/>
      <c r="AA2130" s="1" t="s">
        <v>40</v>
      </c>
      <c r="AB2130" s="1" t="s">
        <v>78</v>
      </c>
      <c r="AC2130" s="1">
        <v>5701.0</v>
      </c>
    </row>
    <row r="2131">
      <c r="A2131" s="1" t="str">
        <f>"000G9A"</f>
        <v>000G9A</v>
      </c>
      <c r="B2131" s="1" t="s">
        <v>8316</v>
      </c>
      <c r="C2131" s="1" t="s">
        <v>8317</v>
      </c>
      <c r="D2131" s="1" t="str">
        <f>"8022959865"</f>
        <v>8022959865</v>
      </c>
      <c r="E2131" s="1">
        <v>4238.0</v>
      </c>
      <c r="F2131" s="1" t="s">
        <v>117</v>
      </c>
      <c r="G2131" s="1" t="s">
        <v>8318</v>
      </c>
      <c r="H2131" s="1">
        <v>1.0</v>
      </c>
      <c r="I2131" s="2">
        <v>2.0</v>
      </c>
      <c r="J2131" s="2">
        <v>2.0</v>
      </c>
      <c r="K2131" s="2" t="s">
        <v>119</v>
      </c>
      <c r="L2131" s="2" t="s">
        <v>8319</v>
      </c>
      <c r="M2131" s="1" t="s">
        <v>8320</v>
      </c>
      <c r="N2131" s="1" t="s">
        <v>34</v>
      </c>
      <c r="O2131" s="1" t="s">
        <v>85</v>
      </c>
      <c r="P2131" s="1" t="s">
        <v>8321</v>
      </c>
      <c r="Q2131" s="3">
        <v>40550.0</v>
      </c>
      <c r="R2131" s="1"/>
      <c r="S2131" s="3">
        <v>42951.0</v>
      </c>
      <c r="T2131" s="1" t="s">
        <v>37</v>
      </c>
      <c r="U2131" s="1"/>
      <c r="V2131" s="1" t="s">
        <v>38</v>
      </c>
      <c r="W2131" s="1">
        <v>43.597008</v>
      </c>
      <c r="X2131" s="1">
        <v>-72.3790659999999</v>
      </c>
      <c r="Y2131" s="1" t="s">
        <v>8322</v>
      </c>
      <c r="Z2131" s="1"/>
      <c r="AA2131" s="1" t="s">
        <v>40</v>
      </c>
      <c r="AB2131" s="1" t="s">
        <v>86</v>
      </c>
      <c r="AC2131" s="1">
        <v>5048.0</v>
      </c>
    </row>
    <row r="2132">
      <c r="A2132" s="1" t="str">
        <f>"000G9B"</f>
        <v>000G9B</v>
      </c>
      <c r="B2132" s="1" t="s">
        <v>8323</v>
      </c>
      <c r="C2132" s="1" t="s">
        <v>8324</v>
      </c>
      <c r="D2132" s="1" t="str">
        <f>"8023756621"</f>
        <v>8023756621</v>
      </c>
      <c r="E2132" s="1">
        <v>4239.0</v>
      </c>
      <c r="F2132" s="1" t="s">
        <v>44</v>
      </c>
      <c r="G2132" s="1" t="s">
        <v>8325</v>
      </c>
      <c r="H2132" s="1">
        <v>1.0</v>
      </c>
      <c r="I2132" s="1"/>
      <c r="J2132" s="1"/>
      <c r="K2132" s="1"/>
      <c r="L2132" s="1"/>
      <c r="M2132" s="1" t="s">
        <v>33</v>
      </c>
      <c r="N2132" s="1" t="s">
        <v>414</v>
      </c>
      <c r="O2132" s="1" t="s">
        <v>1390</v>
      </c>
      <c r="P2132" s="1" t="s">
        <v>36</v>
      </c>
      <c r="Q2132" s="3">
        <v>40550.0</v>
      </c>
      <c r="R2132" s="1"/>
      <c r="S2132" s="1"/>
      <c r="T2132" s="1" t="s">
        <v>37</v>
      </c>
      <c r="U2132" s="1"/>
      <c r="V2132" s="1" t="s">
        <v>38</v>
      </c>
      <c r="W2132" s="1"/>
      <c r="X2132" s="1"/>
      <c r="Y2132" s="1" t="s">
        <v>8326</v>
      </c>
      <c r="Z2132" s="1"/>
      <c r="AA2132" s="1" t="s">
        <v>40</v>
      </c>
      <c r="AB2132" s="1" t="s">
        <v>1391</v>
      </c>
      <c r="AC2132" s="1">
        <v>5250.0</v>
      </c>
    </row>
    <row r="2133">
      <c r="A2133" s="1" t="str">
        <f>"000G9C"</f>
        <v>000G9C</v>
      </c>
      <c r="B2133" s="1" t="s">
        <v>8327</v>
      </c>
      <c r="C2133" s="1" t="s">
        <v>8328</v>
      </c>
      <c r="D2133" s="1" t="str">
        <f>"8025359341"</f>
        <v>8025359341</v>
      </c>
      <c r="E2133" s="1">
        <v>4240.0</v>
      </c>
      <c r="F2133" s="1" t="s">
        <v>44</v>
      </c>
      <c r="G2133" s="1" t="s">
        <v>8329</v>
      </c>
      <c r="H2133" s="1">
        <v>1.0</v>
      </c>
      <c r="I2133" s="1"/>
      <c r="J2133" s="1"/>
      <c r="K2133" s="1"/>
      <c r="L2133" s="1"/>
      <c r="M2133" s="1" t="s">
        <v>8330</v>
      </c>
      <c r="N2133" s="1" t="s">
        <v>128</v>
      </c>
      <c r="O2133" s="1" t="s">
        <v>337</v>
      </c>
      <c r="P2133" s="1" t="s">
        <v>36</v>
      </c>
      <c r="Q2133" s="3">
        <v>40450.0</v>
      </c>
      <c r="R2133" s="1"/>
      <c r="S2133" s="1"/>
      <c r="T2133" s="1" t="s">
        <v>37</v>
      </c>
      <c r="U2133" s="1"/>
      <c r="V2133" s="1" t="s">
        <v>38</v>
      </c>
      <c r="W2133" s="1">
        <v>44.5483319</v>
      </c>
      <c r="X2133" s="1">
        <v>-72.0341116</v>
      </c>
      <c r="Y2133" s="1" t="s">
        <v>8331</v>
      </c>
      <c r="Z2133" s="1"/>
      <c r="AA2133" s="1" t="s">
        <v>40</v>
      </c>
      <c r="AB2133" s="1" t="s">
        <v>8332</v>
      </c>
      <c r="AC2133" s="1">
        <v>5851.0</v>
      </c>
    </row>
    <row r="2134">
      <c r="A2134" s="1" t="str">
        <f>"000G9D"</f>
        <v>000G9D</v>
      </c>
      <c r="B2134" s="1" t="s">
        <v>8333</v>
      </c>
      <c r="C2134" s="1" t="s">
        <v>8334</v>
      </c>
      <c r="D2134" s="1" t="str">
        <f>"8023622632"</f>
        <v>8023622632</v>
      </c>
      <c r="E2134" s="1">
        <v>4241.0</v>
      </c>
      <c r="F2134" s="1" t="s">
        <v>44</v>
      </c>
      <c r="G2134" s="1" t="s">
        <v>8335</v>
      </c>
      <c r="H2134" s="1">
        <v>1.0</v>
      </c>
      <c r="I2134" s="1"/>
      <c r="J2134" s="1"/>
      <c r="K2134" s="1"/>
      <c r="L2134" s="1"/>
      <c r="M2134" s="1" t="s">
        <v>33</v>
      </c>
      <c r="N2134" s="1" t="s">
        <v>414</v>
      </c>
      <c r="O2134" s="1" t="s">
        <v>415</v>
      </c>
      <c r="P2134" s="1" t="s">
        <v>36</v>
      </c>
      <c r="Q2134" s="3">
        <v>40550.0</v>
      </c>
      <c r="R2134" s="1"/>
      <c r="S2134" s="1"/>
      <c r="T2134" s="1" t="s">
        <v>37</v>
      </c>
      <c r="U2134" s="1"/>
      <c r="V2134" s="1" t="s">
        <v>38</v>
      </c>
      <c r="W2134" s="1"/>
      <c r="X2134" s="1"/>
      <c r="Y2134" s="1" t="s">
        <v>8336</v>
      </c>
      <c r="Z2134" s="1"/>
      <c r="AA2134" s="1" t="s">
        <v>40</v>
      </c>
      <c r="AB2134" s="1" t="s">
        <v>6366</v>
      </c>
      <c r="AC2134" s="1">
        <v>5253.0</v>
      </c>
    </row>
    <row r="2135">
      <c r="A2135" s="1" t="str">
        <f>"000G9F"</f>
        <v>000G9F</v>
      </c>
      <c r="B2135" s="1" t="s">
        <v>8337</v>
      </c>
      <c r="C2135" s="1" t="s">
        <v>8338</v>
      </c>
      <c r="D2135" s="1" t="str">
        <f>"8027284847"</f>
        <v>8027284847</v>
      </c>
      <c r="E2135" s="1">
        <v>4242.0</v>
      </c>
      <c r="F2135" s="1" t="s">
        <v>44</v>
      </c>
      <c r="G2135" s="1" t="s">
        <v>8339</v>
      </c>
      <c r="H2135" s="1">
        <v>2.0</v>
      </c>
      <c r="I2135" s="1"/>
      <c r="J2135" s="1"/>
      <c r="K2135" s="1"/>
      <c r="L2135" s="1"/>
      <c r="M2135" s="1" t="s">
        <v>33</v>
      </c>
      <c r="N2135" s="1" t="s">
        <v>142</v>
      </c>
      <c r="O2135" s="1" t="s">
        <v>474</v>
      </c>
      <c r="P2135" s="1" t="s">
        <v>36</v>
      </c>
      <c r="Q2135" s="3">
        <v>40442.0</v>
      </c>
      <c r="R2135" s="1"/>
      <c r="S2135" s="1"/>
      <c r="T2135" s="1" t="s">
        <v>37</v>
      </c>
      <c r="U2135" s="1"/>
      <c r="V2135" s="1" t="s">
        <v>38</v>
      </c>
      <c r="W2135" s="1">
        <v>43.970776</v>
      </c>
      <c r="X2135" s="1">
        <v>-72.5767819999999</v>
      </c>
      <c r="Y2135" s="1" t="s">
        <v>8340</v>
      </c>
      <c r="Z2135" s="1"/>
      <c r="AA2135" s="1" t="s">
        <v>40</v>
      </c>
      <c r="AB2135" s="1" t="s">
        <v>736</v>
      </c>
      <c r="AC2135" s="1">
        <v>5061.0</v>
      </c>
    </row>
    <row r="2136">
      <c r="A2136" s="1" t="str">
        <f>"000G9G"</f>
        <v>000G9G</v>
      </c>
      <c r="B2136" s="1" t="s">
        <v>8341</v>
      </c>
      <c r="C2136" s="1" t="s">
        <v>8342</v>
      </c>
      <c r="D2136" s="1" t="str">
        <f>"8023253918"</f>
        <v>8023253918</v>
      </c>
      <c r="E2136" s="1">
        <v>4243.0</v>
      </c>
      <c r="F2136" s="1" t="s">
        <v>44</v>
      </c>
      <c r="G2136" s="1" t="s">
        <v>8343</v>
      </c>
      <c r="H2136" s="1">
        <v>1.0</v>
      </c>
      <c r="I2136" s="1"/>
      <c r="J2136" s="1"/>
      <c r="K2136" s="1"/>
      <c r="L2136" s="1"/>
      <c r="M2136" s="1" t="s">
        <v>33</v>
      </c>
      <c r="N2136" s="1" t="s">
        <v>414</v>
      </c>
      <c r="O2136" s="1" t="s">
        <v>415</v>
      </c>
      <c r="P2136" s="1" t="s">
        <v>36</v>
      </c>
      <c r="Q2136" s="3">
        <v>40438.0</v>
      </c>
      <c r="R2136" s="1"/>
      <c r="S2136" s="1"/>
      <c r="T2136" s="1" t="s">
        <v>37</v>
      </c>
      <c r="U2136" s="1"/>
      <c r="V2136" s="1" t="s">
        <v>38</v>
      </c>
      <c r="W2136" s="1">
        <v>43.2702061907686</v>
      </c>
      <c r="X2136" s="1">
        <v>-73.1245708465576</v>
      </c>
      <c r="Y2136" s="1" t="s">
        <v>8344</v>
      </c>
      <c r="Z2136" s="1"/>
      <c r="AA2136" s="1" t="s">
        <v>40</v>
      </c>
      <c r="AB2136" s="1" t="s">
        <v>416</v>
      </c>
      <c r="AC2136" s="1">
        <v>5251.0</v>
      </c>
    </row>
    <row r="2137">
      <c r="A2137" s="1" t="str">
        <f t="shared" ref="A2137:A2138" si="157">"000G9H"</f>
        <v>000G9H</v>
      </c>
      <c r="B2137" s="1" t="s">
        <v>8345</v>
      </c>
      <c r="C2137" s="1" t="s">
        <v>8346</v>
      </c>
      <c r="D2137" s="1" t="str">
        <f t="shared" ref="D2137:D2138" si="158">"8024462218"</f>
        <v>8024462218</v>
      </c>
      <c r="E2137" s="1">
        <v>4244.0</v>
      </c>
      <c r="F2137" s="1" t="s">
        <v>44</v>
      </c>
      <c r="G2137" s="1" t="s">
        <v>8347</v>
      </c>
      <c r="H2137" s="1">
        <v>3.0</v>
      </c>
      <c r="I2137" s="1"/>
      <c r="J2137" s="1"/>
      <c r="K2137" s="1"/>
      <c r="L2137" s="1"/>
      <c r="M2137" s="1" t="s">
        <v>33</v>
      </c>
      <c r="N2137" s="1" t="s">
        <v>78</v>
      </c>
      <c r="O2137" s="1" t="s">
        <v>1124</v>
      </c>
      <c r="P2137" s="1" t="s">
        <v>36</v>
      </c>
      <c r="Q2137" s="3">
        <v>40438.0</v>
      </c>
      <c r="R2137" s="1"/>
      <c r="S2137" s="1"/>
      <c r="T2137" s="1" t="s">
        <v>37</v>
      </c>
      <c r="U2137" s="1"/>
      <c r="V2137" s="1" t="s">
        <v>38</v>
      </c>
      <c r="W2137" s="1"/>
      <c r="X2137" s="1"/>
      <c r="Y2137" s="1" t="s">
        <v>8348</v>
      </c>
      <c r="Z2137" s="1"/>
      <c r="AA2137" s="1" t="s">
        <v>40</v>
      </c>
      <c r="AB2137" s="1" t="s">
        <v>1127</v>
      </c>
      <c r="AC2137" s="1">
        <v>5773.0</v>
      </c>
    </row>
    <row r="2138">
      <c r="A2138" s="1" t="str">
        <f t="shared" si="157"/>
        <v>000G9H</v>
      </c>
      <c r="B2138" s="1" t="s">
        <v>8345</v>
      </c>
      <c r="C2138" s="1" t="s">
        <v>8346</v>
      </c>
      <c r="D2138" s="1" t="str">
        <f t="shared" si="158"/>
        <v>8024462218</v>
      </c>
      <c r="E2138" s="1">
        <v>4244.0</v>
      </c>
      <c r="F2138" s="1" t="s">
        <v>44</v>
      </c>
      <c r="G2138" s="1" t="s">
        <v>8349</v>
      </c>
      <c r="H2138" s="1">
        <v>2.0</v>
      </c>
      <c r="I2138" s="1"/>
      <c r="J2138" s="1"/>
      <c r="K2138" s="1"/>
      <c r="L2138" s="1"/>
      <c r="M2138" s="1" t="s">
        <v>8350</v>
      </c>
      <c r="N2138" s="1" t="s">
        <v>78</v>
      </c>
      <c r="O2138" s="1" t="s">
        <v>1124</v>
      </c>
      <c r="P2138" s="1" t="s">
        <v>8351</v>
      </c>
      <c r="Q2138" s="3">
        <v>40438.0</v>
      </c>
      <c r="R2138" s="1"/>
      <c r="S2138" s="1"/>
      <c r="T2138" s="1" t="s">
        <v>37</v>
      </c>
      <c r="U2138" s="1"/>
      <c r="V2138" s="1" t="s">
        <v>38</v>
      </c>
      <c r="W2138" s="1"/>
      <c r="X2138" s="1"/>
      <c r="Y2138" s="1">
        <v>0.0</v>
      </c>
      <c r="Z2138" s="1"/>
      <c r="AA2138" s="1" t="s">
        <v>40</v>
      </c>
      <c r="AB2138" s="1" t="s">
        <v>8352</v>
      </c>
      <c r="AC2138" s="1">
        <v>0.0</v>
      </c>
    </row>
    <row r="2139">
      <c r="A2139" s="1" t="str">
        <f>"000G9J"</f>
        <v>000G9J</v>
      </c>
      <c r="B2139" s="1" t="s">
        <v>8353</v>
      </c>
      <c r="C2139" s="1" t="s">
        <v>8354</v>
      </c>
      <c r="D2139" s="1" t="str">
        <f>"8022932080"</f>
        <v>8022932080</v>
      </c>
      <c r="E2139" s="1">
        <v>4245.0</v>
      </c>
      <c r="F2139" s="1" t="s">
        <v>44</v>
      </c>
      <c r="G2139" s="1" t="s">
        <v>8355</v>
      </c>
      <c r="H2139" s="1">
        <v>1.0</v>
      </c>
      <c r="I2139" s="1"/>
      <c r="J2139" s="1"/>
      <c r="K2139" s="1"/>
      <c r="L2139" s="1"/>
      <c r="M2139" s="1" t="s">
        <v>33</v>
      </c>
      <c r="N2139" s="1" t="s">
        <v>78</v>
      </c>
      <c r="O2139" s="1" t="s">
        <v>251</v>
      </c>
      <c r="P2139" s="1" t="s">
        <v>36</v>
      </c>
      <c r="Q2139" s="3">
        <v>40438.0</v>
      </c>
      <c r="R2139" s="1"/>
      <c r="S2139" s="1"/>
      <c r="T2139" s="1" t="s">
        <v>37</v>
      </c>
      <c r="U2139" s="1"/>
      <c r="V2139" s="1" t="s">
        <v>38</v>
      </c>
      <c r="W2139" s="1"/>
      <c r="X2139" s="1"/>
      <c r="Y2139" s="1" t="s">
        <v>8356</v>
      </c>
      <c r="Z2139" s="1"/>
      <c r="AA2139" s="1" t="s">
        <v>40</v>
      </c>
      <c r="AB2139" s="1" t="s">
        <v>8357</v>
      </c>
      <c r="AC2139" s="1">
        <v>0.0</v>
      </c>
    </row>
    <row r="2140">
      <c r="A2140" s="1" t="str">
        <f>"00079B"</f>
        <v>00079B</v>
      </c>
      <c r="B2140" s="1" t="s">
        <v>3676</v>
      </c>
      <c r="C2140" s="1" t="s">
        <v>3677</v>
      </c>
      <c r="D2140" s="1" t="str">
        <f>"8024395335"</f>
        <v>8024395335</v>
      </c>
      <c r="E2140" s="1">
        <v>3596.0</v>
      </c>
      <c r="F2140" s="1" t="s">
        <v>44</v>
      </c>
      <c r="G2140" s="1" t="s">
        <v>8358</v>
      </c>
      <c r="H2140" s="1">
        <v>1.0</v>
      </c>
      <c r="I2140" s="1"/>
      <c r="J2140" s="1"/>
      <c r="K2140" s="1"/>
      <c r="L2140" s="1"/>
      <c r="M2140" s="1" t="s">
        <v>8359</v>
      </c>
      <c r="N2140" s="1" t="s">
        <v>142</v>
      </c>
      <c r="O2140" s="1" t="s">
        <v>243</v>
      </c>
      <c r="P2140" s="1" t="s">
        <v>8360</v>
      </c>
      <c r="Q2140" s="3">
        <v>40448.0</v>
      </c>
      <c r="R2140" s="1"/>
      <c r="S2140" s="1"/>
      <c r="T2140" s="1" t="s">
        <v>37</v>
      </c>
      <c r="U2140" s="1"/>
      <c r="V2140" s="1" t="s">
        <v>38</v>
      </c>
      <c r="W2140" s="1"/>
      <c r="X2140" s="1"/>
      <c r="Y2140" s="1" t="s">
        <v>8361</v>
      </c>
      <c r="Z2140" s="1"/>
      <c r="AA2140" s="1" t="s">
        <v>40</v>
      </c>
      <c r="AB2140" s="1" t="s">
        <v>8362</v>
      </c>
      <c r="AC2140" s="1">
        <v>0.0</v>
      </c>
    </row>
    <row r="2141">
      <c r="A2141" s="1" t="str">
        <f>"000G9K"</f>
        <v>000G9K</v>
      </c>
      <c r="B2141" s="1" t="s">
        <v>8363</v>
      </c>
      <c r="C2141" s="1" t="s">
        <v>8364</v>
      </c>
      <c r="D2141" s="1" t="str">
        <f>"8022592311"</f>
        <v>8022592311</v>
      </c>
      <c r="E2141" s="1">
        <v>4246.0</v>
      </c>
      <c r="F2141" s="1" t="s">
        <v>117</v>
      </c>
      <c r="G2141" s="1" t="s">
        <v>8365</v>
      </c>
      <c r="H2141" s="1">
        <v>3.0</v>
      </c>
      <c r="I2141" s="2">
        <v>2.0</v>
      </c>
      <c r="J2141" s="2">
        <v>2.0</v>
      </c>
      <c r="K2141" s="2" t="s">
        <v>119</v>
      </c>
      <c r="L2141" s="1"/>
      <c r="M2141" s="1" t="s">
        <v>8366</v>
      </c>
      <c r="N2141" s="1" t="s">
        <v>78</v>
      </c>
      <c r="O2141" s="1" t="s">
        <v>272</v>
      </c>
      <c r="P2141" s="1" t="s">
        <v>8367</v>
      </c>
      <c r="Q2141" s="3">
        <v>40423.0</v>
      </c>
      <c r="R2141" s="1"/>
      <c r="S2141" s="3">
        <v>42179.0</v>
      </c>
      <c r="T2141" s="1" t="s">
        <v>37</v>
      </c>
      <c r="U2141" s="1"/>
      <c r="V2141" s="1" t="s">
        <v>38</v>
      </c>
      <c r="W2141" s="1">
        <v>43.43095</v>
      </c>
      <c r="X2141" s="1">
        <v>-72.78777</v>
      </c>
      <c r="Y2141" s="1" t="s">
        <v>8368</v>
      </c>
      <c r="Z2141" s="1"/>
      <c r="AA2141" s="1" t="s">
        <v>40</v>
      </c>
      <c r="AB2141" s="1" t="s">
        <v>275</v>
      </c>
      <c r="AC2141" s="1">
        <v>0.0</v>
      </c>
    </row>
    <row r="2142">
      <c r="A2142" s="1" t="str">
        <f>"000G9P"</f>
        <v>000G9P</v>
      </c>
      <c r="B2142" s="1" t="s">
        <v>8369</v>
      </c>
      <c r="C2142" s="1" t="s">
        <v>8370</v>
      </c>
      <c r="D2142" s="1" t="str">
        <f>"8024984268"</f>
        <v>8024984268</v>
      </c>
      <c r="E2142" s="1">
        <v>4248.0</v>
      </c>
      <c r="F2142" s="1" t="s">
        <v>44</v>
      </c>
      <c r="G2142" s="1" t="s">
        <v>8371</v>
      </c>
      <c r="H2142" s="1">
        <v>0.0</v>
      </c>
      <c r="I2142" s="1"/>
      <c r="J2142" s="1"/>
      <c r="K2142" s="1"/>
      <c r="L2142" s="1"/>
      <c r="M2142" s="1" t="s">
        <v>33</v>
      </c>
      <c r="N2142" s="1" t="s">
        <v>135</v>
      </c>
      <c r="O2142" s="1" t="s">
        <v>1142</v>
      </c>
      <c r="P2142" s="1" t="s">
        <v>36</v>
      </c>
      <c r="Q2142" s="3">
        <v>40424.0</v>
      </c>
      <c r="R2142" s="1"/>
      <c r="S2142" s="3">
        <v>41330.0</v>
      </c>
      <c r="T2142" s="1" t="s">
        <v>37</v>
      </c>
      <c r="U2142" s="1"/>
      <c r="V2142" s="1" t="s">
        <v>38</v>
      </c>
      <c r="W2142" s="1"/>
      <c r="X2142" s="1"/>
      <c r="Y2142" s="1" t="s">
        <v>8372</v>
      </c>
      <c r="Z2142" s="1"/>
      <c r="AA2142" s="1" t="s">
        <v>40</v>
      </c>
      <c r="AB2142" s="1" t="s">
        <v>1145</v>
      </c>
      <c r="AC2142" s="1">
        <v>5602.0</v>
      </c>
    </row>
    <row r="2143">
      <c r="A2143" s="1" t="str">
        <f>"000G9Q"</f>
        <v>000G9Q</v>
      </c>
      <c r="B2143" s="1" t="s">
        <v>8373</v>
      </c>
      <c r="C2143" s="1" t="s">
        <v>8374</v>
      </c>
      <c r="D2143" s="1" t="str">
        <f>"8024774265"</f>
        <v>8024774265</v>
      </c>
      <c r="E2143" s="1">
        <v>4249.0</v>
      </c>
      <c r="F2143" s="1" t="s">
        <v>31</v>
      </c>
      <c r="G2143" s="1" t="s">
        <v>8375</v>
      </c>
      <c r="H2143" s="1">
        <v>1.0</v>
      </c>
      <c r="I2143" s="1"/>
      <c r="J2143" s="1"/>
      <c r="K2143" s="1"/>
      <c r="L2143" s="1"/>
      <c r="M2143" s="1" t="s">
        <v>33</v>
      </c>
      <c r="N2143" s="1" t="s">
        <v>135</v>
      </c>
      <c r="O2143" s="1" t="s">
        <v>343</v>
      </c>
      <c r="P2143" s="1" t="s">
        <v>36</v>
      </c>
      <c r="Q2143" s="3">
        <v>40421.0</v>
      </c>
      <c r="R2143" s="1"/>
      <c r="S2143" s="1"/>
      <c r="T2143" s="1" t="s">
        <v>37</v>
      </c>
      <c r="U2143" s="1"/>
      <c r="V2143" s="1" t="s">
        <v>38</v>
      </c>
      <c r="W2143" s="1">
        <v>44.201813</v>
      </c>
      <c r="X2143" s="1">
        <v>-72.4287949</v>
      </c>
      <c r="Y2143" s="1" t="s">
        <v>8376</v>
      </c>
      <c r="Z2143" s="1"/>
      <c r="AA2143" s="1" t="s">
        <v>40</v>
      </c>
      <c r="AB2143" s="1" t="s">
        <v>4019</v>
      </c>
      <c r="AC2143" s="1">
        <v>5641.0</v>
      </c>
    </row>
    <row r="2144">
      <c r="A2144" s="1" t="str">
        <f>"000G9V"</f>
        <v>000G9V</v>
      </c>
      <c r="B2144" s="1" t="s">
        <v>8377</v>
      </c>
      <c r="C2144" s="1" t="s">
        <v>8378</v>
      </c>
      <c r="D2144" s="1" t="str">
        <f>"8028883301"</f>
        <v>8028883301</v>
      </c>
      <c r="E2144" s="1">
        <v>4250.0</v>
      </c>
      <c r="F2144" s="1" t="s">
        <v>44</v>
      </c>
      <c r="G2144" s="1" t="s">
        <v>8379</v>
      </c>
      <c r="H2144" s="1">
        <v>2.0</v>
      </c>
      <c r="I2144" s="1"/>
      <c r="J2144" s="1"/>
      <c r="K2144" s="1"/>
      <c r="L2144" s="1"/>
      <c r="M2144" s="1" t="s">
        <v>33</v>
      </c>
      <c r="N2144" s="1" t="s">
        <v>213</v>
      </c>
      <c r="O2144" s="1" t="s">
        <v>625</v>
      </c>
      <c r="P2144" s="1" t="s">
        <v>36</v>
      </c>
      <c r="Q2144" s="3">
        <v>40407.0</v>
      </c>
      <c r="R2144" s="1"/>
      <c r="S2144" s="1"/>
      <c r="T2144" s="1" t="s">
        <v>37</v>
      </c>
      <c r="U2144" s="1"/>
      <c r="V2144" s="1" t="s">
        <v>38</v>
      </c>
      <c r="W2144" s="1">
        <v>44.640339</v>
      </c>
      <c r="X2144" s="1">
        <v>-72.4883118999999</v>
      </c>
      <c r="Y2144" s="1" t="s">
        <v>8380</v>
      </c>
      <c r="Z2144" s="1"/>
      <c r="AA2144" s="1" t="s">
        <v>40</v>
      </c>
      <c r="AB2144" s="1" t="s">
        <v>2563</v>
      </c>
      <c r="AC2144" s="1">
        <v>5680.0</v>
      </c>
    </row>
    <row r="2145">
      <c r="A2145" s="1" t="str">
        <f>"000G9X"</f>
        <v>000G9X</v>
      </c>
      <c r="B2145" s="1" t="s">
        <v>8381</v>
      </c>
      <c r="C2145" s="1" t="s">
        <v>8382</v>
      </c>
      <c r="D2145" s="1" t="str">
        <f>"8022231449"</f>
        <v>8022231449</v>
      </c>
      <c r="E2145" s="1">
        <v>4252.0</v>
      </c>
      <c r="F2145" s="1" t="s">
        <v>44</v>
      </c>
      <c r="G2145" s="1" t="s">
        <v>8383</v>
      </c>
      <c r="H2145" s="1">
        <v>0.0</v>
      </c>
      <c r="I2145" s="1"/>
      <c r="J2145" s="1"/>
      <c r="K2145" s="1"/>
      <c r="L2145" s="1"/>
      <c r="M2145" s="1" t="s">
        <v>33</v>
      </c>
      <c r="N2145" s="1" t="s">
        <v>135</v>
      </c>
      <c r="O2145" s="1" t="s">
        <v>1142</v>
      </c>
      <c r="P2145" s="1" t="s">
        <v>36</v>
      </c>
      <c r="Q2145" s="3">
        <v>40413.0</v>
      </c>
      <c r="R2145" s="1"/>
      <c r="S2145" s="3">
        <v>41190.0</v>
      </c>
      <c r="T2145" s="1" t="s">
        <v>37</v>
      </c>
      <c r="U2145" s="1"/>
      <c r="V2145" s="1" t="s">
        <v>38</v>
      </c>
      <c r="W2145" s="1"/>
      <c r="X2145" s="1"/>
      <c r="Y2145" s="1" t="s">
        <v>8384</v>
      </c>
      <c r="Z2145" s="1"/>
      <c r="AA2145" s="1" t="s">
        <v>40</v>
      </c>
      <c r="AB2145" s="1" t="s">
        <v>1145</v>
      </c>
      <c r="AC2145" s="1">
        <v>5602.0</v>
      </c>
    </row>
    <row r="2146">
      <c r="A2146" s="1" t="str">
        <f>"000G9Y"</f>
        <v>000G9Y</v>
      </c>
      <c r="B2146" s="1" t="s">
        <v>8385</v>
      </c>
      <c r="C2146" s="1" t="s">
        <v>8386</v>
      </c>
      <c r="D2146" s="1"/>
      <c r="E2146" s="1">
        <v>4253.0</v>
      </c>
      <c r="F2146" s="1" t="s">
        <v>44</v>
      </c>
      <c r="G2146" s="1" t="s">
        <v>8387</v>
      </c>
      <c r="H2146" s="1">
        <v>1.0</v>
      </c>
      <c r="I2146" s="1"/>
      <c r="J2146" s="1"/>
      <c r="K2146" s="1"/>
      <c r="L2146" s="1"/>
      <c r="M2146" s="1" t="s">
        <v>33</v>
      </c>
      <c r="N2146" s="1" t="s">
        <v>57</v>
      </c>
      <c r="O2146" s="1" t="s">
        <v>256</v>
      </c>
      <c r="P2146" s="1" t="s">
        <v>36</v>
      </c>
      <c r="Q2146" s="3">
        <v>39600.0</v>
      </c>
      <c r="R2146" s="1"/>
      <c r="S2146" s="1"/>
      <c r="T2146" s="1" t="s">
        <v>37</v>
      </c>
      <c r="U2146" s="1"/>
      <c r="V2146" s="1" t="s">
        <v>38</v>
      </c>
      <c r="W2146" s="1"/>
      <c r="X2146" s="1"/>
      <c r="Y2146" s="1" t="s">
        <v>8388</v>
      </c>
      <c r="Z2146" s="1"/>
      <c r="AA2146" s="1" t="s">
        <v>40</v>
      </c>
      <c r="AB2146" s="1" t="s">
        <v>257</v>
      </c>
      <c r="AC2146" s="1">
        <v>5468.0</v>
      </c>
    </row>
    <row r="2147">
      <c r="A2147" s="1" t="str">
        <f>"000G9Z"</f>
        <v>000G9Z</v>
      </c>
      <c r="B2147" s="1" t="s">
        <v>8389</v>
      </c>
      <c r="C2147" s="1" t="s">
        <v>8390</v>
      </c>
      <c r="D2147" s="1" t="str">
        <f>"8024533868"</f>
        <v>8024533868</v>
      </c>
      <c r="E2147" s="1">
        <v>4254.0</v>
      </c>
      <c r="F2147" s="1" t="s">
        <v>44</v>
      </c>
      <c r="G2147" s="1" t="s">
        <v>8391</v>
      </c>
      <c r="H2147" s="1">
        <v>1.0</v>
      </c>
      <c r="I2147" s="1"/>
      <c r="J2147" s="1"/>
      <c r="K2147" s="1"/>
      <c r="L2147" s="1"/>
      <c r="M2147" s="1" t="s">
        <v>33</v>
      </c>
      <c r="N2147" s="1" t="s">
        <v>161</v>
      </c>
      <c r="O2147" s="1" t="s">
        <v>307</v>
      </c>
      <c r="P2147" s="1" t="s">
        <v>36</v>
      </c>
      <c r="Q2147" s="3">
        <v>40409.0</v>
      </c>
      <c r="R2147" s="1"/>
      <c r="S2147" s="1"/>
      <c r="T2147" s="1" t="s">
        <v>37</v>
      </c>
      <c r="U2147" s="1"/>
      <c r="V2147" s="1" t="s">
        <v>38</v>
      </c>
      <c r="W2147" s="1">
        <v>44.070816</v>
      </c>
      <c r="X2147" s="1">
        <v>-73.056366</v>
      </c>
      <c r="Y2147" s="1" t="s">
        <v>8392</v>
      </c>
      <c r="Z2147" s="1"/>
      <c r="AA2147" s="1" t="s">
        <v>40</v>
      </c>
      <c r="AB2147" s="1" t="s">
        <v>308</v>
      </c>
      <c r="AC2147" s="1">
        <v>5443.0</v>
      </c>
    </row>
    <row r="2148">
      <c r="A2148" s="1" t="str">
        <f>"000GA9"</f>
        <v>000GA9</v>
      </c>
      <c r="B2148" s="1" t="s">
        <v>8393</v>
      </c>
      <c r="C2148" s="1" t="s">
        <v>8394</v>
      </c>
      <c r="D2148" s="1" t="str">
        <f>"8024254318"</f>
        <v>8024254318</v>
      </c>
      <c r="E2148" s="1">
        <v>4258.0</v>
      </c>
      <c r="F2148" s="1" t="s">
        <v>44</v>
      </c>
      <c r="G2148" s="1" t="s">
        <v>8395</v>
      </c>
      <c r="H2148" s="1">
        <v>2.0</v>
      </c>
      <c r="I2148" s="1"/>
      <c r="J2148" s="1"/>
      <c r="K2148" s="1"/>
      <c r="L2148" s="1"/>
      <c r="M2148" s="1" t="s">
        <v>6810</v>
      </c>
      <c r="N2148" s="1" t="s">
        <v>57</v>
      </c>
      <c r="O2148" s="1" t="s">
        <v>1633</v>
      </c>
      <c r="P2148" s="1" t="s">
        <v>8396</v>
      </c>
      <c r="Q2148" s="3">
        <v>40335.0</v>
      </c>
      <c r="R2148" s="1"/>
      <c r="S2148" s="1"/>
      <c r="T2148" s="1" t="s">
        <v>37</v>
      </c>
      <c r="U2148" s="1"/>
      <c r="V2148" s="1" t="s">
        <v>38</v>
      </c>
      <c r="W2148" s="1"/>
      <c r="X2148" s="1"/>
      <c r="Y2148" s="1">
        <v>0.0</v>
      </c>
      <c r="Z2148" s="1"/>
      <c r="AA2148" s="1" t="s">
        <v>40</v>
      </c>
      <c r="AB2148" s="1" t="s">
        <v>1634</v>
      </c>
      <c r="AC2148" s="1">
        <v>5445.0</v>
      </c>
    </row>
    <row r="2149">
      <c r="A2149" s="1" t="str">
        <f>"0007JZ"</f>
        <v>0007JZ</v>
      </c>
      <c r="B2149" s="1" t="s">
        <v>3492</v>
      </c>
      <c r="C2149" s="1" t="s">
        <v>3493</v>
      </c>
      <c r="D2149" s="1" t="str">
        <f>"8028773309"</f>
        <v>8028773309</v>
      </c>
      <c r="E2149" s="1">
        <v>850.0</v>
      </c>
      <c r="F2149" s="1" t="s">
        <v>44</v>
      </c>
      <c r="G2149" s="1" t="s">
        <v>8397</v>
      </c>
      <c r="H2149" s="1">
        <v>0.0</v>
      </c>
      <c r="I2149" s="1"/>
      <c r="J2149" s="1"/>
      <c r="K2149" s="1"/>
      <c r="L2149" s="1"/>
      <c r="M2149" s="1" t="s">
        <v>8398</v>
      </c>
      <c r="N2149" s="1" t="s">
        <v>161</v>
      </c>
      <c r="O2149" s="1" t="s">
        <v>769</v>
      </c>
      <c r="P2149" s="1"/>
      <c r="Q2149" s="3">
        <v>32874.0</v>
      </c>
      <c r="R2149" s="1"/>
      <c r="S2149" s="1"/>
      <c r="T2149" s="1" t="s">
        <v>37</v>
      </c>
      <c r="U2149" s="1"/>
      <c r="V2149" s="1" t="s">
        <v>38</v>
      </c>
      <c r="W2149" s="1"/>
      <c r="X2149" s="1"/>
      <c r="Y2149" s="1">
        <v>0.0</v>
      </c>
      <c r="Z2149" s="1"/>
      <c r="AA2149" s="1" t="s">
        <v>40</v>
      </c>
      <c r="AB2149" s="1" t="s">
        <v>770</v>
      </c>
      <c r="AC2149" s="1">
        <v>5456.0</v>
      </c>
    </row>
    <row r="2150">
      <c r="A2150" s="1" t="str">
        <f>"000GB9"</f>
        <v>000GB9</v>
      </c>
      <c r="B2150" s="1" t="s">
        <v>8399</v>
      </c>
      <c r="C2150" s="1" t="s">
        <v>8400</v>
      </c>
      <c r="D2150" s="1" t="str">
        <f>"9148260542"</f>
        <v>9148260542</v>
      </c>
      <c r="E2150" s="1">
        <v>4265.0</v>
      </c>
      <c r="F2150" s="1" t="s">
        <v>44</v>
      </c>
      <c r="G2150" s="1" t="s">
        <v>8401</v>
      </c>
      <c r="H2150" s="1">
        <v>4.0</v>
      </c>
      <c r="I2150" s="1"/>
      <c r="J2150" s="1"/>
      <c r="K2150" s="1"/>
      <c r="L2150" s="1"/>
      <c r="M2150" s="1" t="s">
        <v>8402</v>
      </c>
      <c r="N2150" s="1" t="s">
        <v>135</v>
      </c>
      <c r="O2150" s="1" t="s">
        <v>343</v>
      </c>
      <c r="P2150" s="1" t="s">
        <v>8402</v>
      </c>
      <c r="Q2150" s="3">
        <v>40306.0</v>
      </c>
      <c r="R2150" s="1"/>
      <c r="S2150" s="3">
        <v>40387.0</v>
      </c>
      <c r="T2150" s="1" t="s">
        <v>37</v>
      </c>
      <c r="U2150" s="1"/>
      <c r="V2150" s="1" t="s">
        <v>38</v>
      </c>
      <c r="W2150" s="1"/>
      <c r="X2150" s="1"/>
      <c r="Y2150" s="1" t="s">
        <v>8403</v>
      </c>
      <c r="Z2150" s="1"/>
      <c r="AA2150" s="1" t="s">
        <v>40</v>
      </c>
      <c r="AB2150" s="1" t="s">
        <v>4019</v>
      </c>
      <c r="AC2150" s="1">
        <v>0.0</v>
      </c>
    </row>
    <row r="2151">
      <c r="A2151" s="1" t="str">
        <f>"000ADA"</f>
        <v>000ADA</v>
      </c>
      <c r="B2151" s="1" t="s">
        <v>8404</v>
      </c>
      <c r="C2151" s="1" t="s">
        <v>8405</v>
      </c>
      <c r="D2151" s="1" t="str">
        <f>"8026857752"</f>
        <v>8026857752</v>
      </c>
      <c r="E2151" s="1">
        <v>4131.0</v>
      </c>
      <c r="F2151" s="1" t="s">
        <v>44</v>
      </c>
      <c r="G2151" s="1" t="s">
        <v>8406</v>
      </c>
      <c r="H2151" s="1">
        <v>4.0</v>
      </c>
      <c r="I2151" s="1"/>
      <c r="J2151" s="1"/>
      <c r="K2151" s="1"/>
      <c r="L2151" s="1"/>
      <c r="M2151" s="1" t="s">
        <v>33</v>
      </c>
      <c r="N2151" s="1" t="s">
        <v>142</v>
      </c>
      <c r="O2151" s="1" t="s">
        <v>1213</v>
      </c>
      <c r="P2151" s="1"/>
      <c r="Q2151" s="3">
        <v>40285.0</v>
      </c>
      <c r="R2151" s="1"/>
      <c r="S2151" s="3">
        <v>40323.0</v>
      </c>
      <c r="T2151" s="1" t="s">
        <v>37</v>
      </c>
      <c r="U2151" s="1"/>
      <c r="V2151" s="1" t="s">
        <v>38</v>
      </c>
      <c r="W2151" s="1">
        <v>43.960015</v>
      </c>
      <c r="X2151" s="1">
        <v>-72.3362579999999</v>
      </c>
      <c r="Y2151" s="1" t="s">
        <v>8407</v>
      </c>
      <c r="Z2151" s="1"/>
      <c r="AA2151" s="1" t="s">
        <v>40</v>
      </c>
      <c r="AB2151" s="1" t="s">
        <v>1214</v>
      </c>
      <c r="AC2151" s="1">
        <v>5079.0</v>
      </c>
    </row>
    <row r="2152">
      <c r="A2152" s="1" t="str">
        <f>"00088H"</f>
        <v>00088H</v>
      </c>
      <c r="B2152" s="1" t="s">
        <v>2463</v>
      </c>
      <c r="C2152" s="1" t="s">
        <v>2464</v>
      </c>
      <c r="D2152" s="1" t="str">
        <f>"8027442007"</f>
        <v>8027442007</v>
      </c>
      <c r="E2152" s="1">
        <v>3222.0</v>
      </c>
      <c r="F2152" s="1" t="s">
        <v>117</v>
      </c>
      <c r="G2152" s="1" t="s">
        <v>8408</v>
      </c>
      <c r="H2152" s="1">
        <v>32.0</v>
      </c>
      <c r="I2152" s="1"/>
      <c r="J2152" s="1"/>
      <c r="K2152" s="1"/>
      <c r="L2152" s="1"/>
      <c r="M2152" s="1" t="s">
        <v>33</v>
      </c>
      <c r="N2152" s="1" t="s">
        <v>94</v>
      </c>
      <c r="O2152" s="1" t="s">
        <v>95</v>
      </c>
      <c r="P2152" s="1" t="s">
        <v>8409</v>
      </c>
      <c r="Q2152" s="3">
        <v>40299.0</v>
      </c>
      <c r="R2152" s="1"/>
      <c r="S2152" s="3">
        <v>42502.0</v>
      </c>
      <c r="T2152" s="1" t="s">
        <v>37</v>
      </c>
      <c r="U2152" s="1"/>
      <c r="V2152" s="1" t="s">
        <v>38</v>
      </c>
      <c r="W2152" s="1">
        <v>44.8596</v>
      </c>
      <c r="X2152" s="1">
        <v>-72.408</v>
      </c>
      <c r="Y2152" s="1" t="s">
        <v>8410</v>
      </c>
      <c r="Z2152" s="1"/>
      <c r="AA2152" s="1" t="s">
        <v>40</v>
      </c>
      <c r="AB2152" s="1" t="s">
        <v>96</v>
      </c>
      <c r="AC2152" s="1">
        <v>5874.0</v>
      </c>
    </row>
    <row r="2153">
      <c r="A2153" s="1" t="str">
        <f t="shared" ref="A2153:A2154" si="159">"000GBC"</f>
        <v>000GBC</v>
      </c>
      <c r="B2153" s="1" t="s">
        <v>8411</v>
      </c>
      <c r="C2153" s="1" t="s">
        <v>8412</v>
      </c>
      <c r="D2153" s="1" t="str">
        <f t="shared" ref="D2153:D2154" si="160">"8026742047"</f>
        <v>8026742047</v>
      </c>
      <c r="E2153" s="1">
        <v>4267.0</v>
      </c>
      <c r="F2153" s="1" t="s">
        <v>44</v>
      </c>
      <c r="G2153" s="1" t="s">
        <v>8413</v>
      </c>
      <c r="H2153" s="1">
        <v>2.0</v>
      </c>
      <c r="I2153" s="1"/>
      <c r="J2153" s="1"/>
      <c r="K2153" s="1"/>
      <c r="L2153" s="1"/>
      <c r="M2153" s="1" t="s">
        <v>8414</v>
      </c>
      <c r="N2153" s="1" t="s">
        <v>34</v>
      </c>
      <c r="O2153" s="1" t="s">
        <v>295</v>
      </c>
      <c r="P2153" s="1"/>
      <c r="Q2153" s="3">
        <v>40347.0</v>
      </c>
      <c r="R2153" s="1"/>
      <c r="S2153" s="3">
        <v>40347.0</v>
      </c>
      <c r="T2153" s="1" t="s">
        <v>37</v>
      </c>
      <c r="U2153" s="1"/>
      <c r="V2153" s="1" t="s">
        <v>38</v>
      </c>
      <c r="W2153" s="1"/>
      <c r="X2153" s="1"/>
      <c r="Y2153" s="1" t="s">
        <v>8415</v>
      </c>
      <c r="Z2153" s="1"/>
      <c r="AA2153" s="1" t="s">
        <v>40</v>
      </c>
      <c r="AB2153" s="1" t="s">
        <v>34</v>
      </c>
      <c r="AC2153" s="1">
        <v>0.0</v>
      </c>
    </row>
    <row r="2154">
      <c r="A2154" s="1" t="str">
        <f t="shared" si="159"/>
        <v>000GBC</v>
      </c>
      <c r="B2154" s="1" t="s">
        <v>8411</v>
      </c>
      <c r="C2154" s="1" t="s">
        <v>8412</v>
      </c>
      <c r="D2154" s="1" t="str">
        <f t="shared" si="160"/>
        <v>8026742047</v>
      </c>
      <c r="E2154" s="1">
        <v>4267.0</v>
      </c>
      <c r="F2154" s="1" t="s">
        <v>44</v>
      </c>
      <c r="G2154" s="1" t="s">
        <v>8416</v>
      </c>
      <c r="H2154" s="1">
        <v>3.0</v>
      </c>
      <c r="I2154" s="1"/>
      <c r="J2154" s="1"/>
      <c r="K2154" s="1"/>
      <c r="L2154" s="1"/>
      <c r="M2154" s="1" t="s">
        <v>33</v>
      </c>
      <c r="N2154" s="1" t="s">
        <v>34</v>
      </c>
      <c r="O2154" s="1" t="s">
        <v>295</v>
      </c>
      <c r="P2154" s="1" t="s">
        <v>36</v>
      </c>
      <c r="Q2154" s="3">
        <v>40347.0</v>
      </c>
      <c r="R2154" s="1"/>
      <c r="S2154" s="3">
        <v>40347.0</v>
      </c>
      <c r="T2154" s="1" t="s">
        <v>37</v>
      </c>
      <c r="U2154" s="1"/>
      <c r="V2154" s="1" t="s">
        <v>38</v>
      </c>
      <c r="W2154" s="1"/>
      <c r="X2154" s="1"/>
      <c r="Y2154" s="1">
        <v>0.0</v>
      </c>
      <c r="Z2154" s="1"/>
      <c r="AA2154" s="1" t="s">
        <v>40</v>
      </c>
      <c r="AB2154" s="1">
        <v>0.0</v>
      </c>
      <c r="AC2154" s="1">
        <v>0.0</v>
      </c>
    </row>
    <row r="2155">
      <c r="A2155" s="1" t="str">
        <f>"000GBD"</f>
        <v>000GBD</v>
      </c>
      <c r="B2155" s="1" t="s">
        <v>8417</v>
      </c>
      <c r="C2155" s="1" t="s">
        <v>8418</v>
      </c>
      <c r="D2155" s="1" t="str">
        <f>"8028692588"</f>
        <v>8028692588</v>
      </c>
      <c r="E2155" s="1">
        <v>4268.0</v>
      </c>
      <c r="F2155" s="1" t="s">
        <v>117</v>
      </c>
      <c r="G2155" s="1" t="s">
        <v>8419</v>
      </c>
      <c r="H2155" s="1">
        <v>0.0</v>
      </c>
      <c r="I2155" s="2">
        <v>2.0</v>
      </c>
      <c r="J2155" s="2">
        <v>2.0</v>
      </c>
      <c r="K2155" s="2">
        <v>0.0</v>
      </c>
      <c r="L2155" s="1"/>
      <c r="M2155" s="1" t="s">
        <v>8420</v>
      </c>
      <c r="N2155" s="1" t="s">
        <v>66</v>
      </c>
      <c r="O2155" s="1" t="s">
        <v>1199</v>
      </c>
      <c r="P2155" s="1" t="s">
        <v>8421</v>
      </c>
      <c r="Q2155" s="3">
        <v>40352.0</v>
      </c>
      <c r="R2155" s="1"/>
      <c r="S2155" s="3">
        <v>42858.0</v>
      </c>
      <c r="T2155" s="1" t="s">
        <v>37</v>
      </c>
      <c r="U2155" s="1"/>
      <c r="V2155" s="1" t="s">
        <v>38</v>
      </c>
      <c r="W2155" s="1">
        <v>43.1431154482677</v>
      </c>
      <c r="X2155" s="1">
        <v>-72.5052125751972</v>
      </c>
      <c r="Y2155" s="1" t="s">
        <v>8422</v>
      </c>
      <c r="Z2155" s="1"/>
      <c r="AA2155" s="1" t="s">
        <v>40</v>
      </c>
      <c r="AB2155" s="1" t="s">
        <v>8423</v>
      </c>
      <c r="AC2155" s="1">
        <v>5154.0</v>
      </c>
    </row>
    <row r="2156">
      <c r="A2156" s="1" t="str">
        <f>"0008J0"</f>
        <v>0008J0</v>
      </c>
      <c r="B2156" s="1" t="s">
        <v>505</v>
      </c>
      <c r="C2156" s="1" t="s">
        <v>506</v>
      </c>
      <c r="D2156" s="1" t="str">
        <f>"8028784056"</f>
        <v>8028784056</v>
      </c>
      <c r="E2156" s="1">
        <v>2771.0</v>
      </c>
      <c r="F2156" s="1" t="s">
        <v>44</v>
      </c>
      <c r="G2156" s="1" t="s">
        <v>8424</v>
      </c>
      <c r="H2156" s="1">
        <v>3.0</v>
      </c>
      <c r="I2156" s="1"/>
      <c r="J2156" s="1"/>
      <c r="K2156" s="1"/>
      <c r="L2156" s="1"/>
      <c r="M2156" s="1" t="s">
        <v>8425</v>
      </c>
      <c r="N2156" s="1" t="s">
        <v>107</v>
      </c>
      <c r="O2156" s="1" t="s">
        <v>724</v>
      </c>
      <c r="P2156" s="1" t="s">
        <v>8426</v>
      </c>
      <c r="Q2156" s="3">
        <v>40564.0</v>
      </c>
      <c r="R2156" s="1"/>
      <c r="S2156" s="3">
        <v>40464.0</v>
      </c>
      <c r="T2156" s="1" t="s">
        <v>164</v>
      </c>
      <c r="U2156" s="1"/>
      <c r="V2156" s="1" t="s">
        <v>38</v>
      </c>
      <c r="W2156" s="1"/>
      <c r="X2156" s="1"/>
      <c r="Y2156" s="1" t="s">
        <v>8427</v>
      </c>
      <c r="Z2156" s="1"/>
      <c r="AA2156" s="1" t="s">
        <v>40</v>
      </c>
      <c r="AB2156" s="1" t="s">
        <v>8428</v>
      </c>
      <c r="AC2156" s="1">
        <v>0.0</v>
      </c>
    </row>
    <row r="2157">
      <c r="A2157" s="1" t="str">
        <f>"000GBY"</f>
        <v>000GBY</v>
      </c>
      <c r="B2157" s="1" t="s">
        <v>8429</v>
      </c>
      <c r="C2157" s="1" t="s">
        <v>8430</v>
      </c>
      <c r="D2157" s="1" t="str">
        <f>"8027446109"</f>
        <v>8027446109</v>
      </c>
      <c r="E2157" s="1">
        <v>4271.0</v>
      </c>
      <c r="F2157" s="1" t="s">
        <v>31</v>
      </c>
      <c r="G2157" s="1" t="s">
        <v>8431</v>
      </c>
      <c r="H2157" s="1">
        <v>1.0</v>
      </c>
      <c r="I2157" s="1"/>
      <c r="J2157" s="1"/>
      <c r="K2157" s="1"/>
      <c r="L2157" s="1"/>
      <c r="M2157" s="1" t="s">
        <v>33</v>
      </c>
      <c r="N2157" s="1" t="s">
        <v>94</v>
      </c>
      <c r="O2157" s="1" t="s">
        <v>1058</v>
      </c>
      <c r="P2157" s="1" t="s">
        <v>36</v>
      </c>
      <c r="Q2157" s="3">
        <v>40558.0</v>
      </c>
      <c r="R2157" s="1"/>
      <c r="S2157" s="1"/>
      <c r="T2157" s="1" t="s">
        <v>37</v>
      </c>
      <c r="U2157" s="1"/>
      <c r="V2157" s="1" t="s">
        <v>38</v>
      </c>
      <c r="W2157" s="1">
        <v>44.7835179923249</v>
      </c>
      <c r="X2157" s="1">
        <v>-72.5073838233947</v>
      </c>
      <c r="Y2157" s="1" t="s">
        <v>8432</v>
      </c>
      <c r="Z2157" s="1"/>
      <c r="AA2157" s="1" t="s">
        <v>40</v>
      </c>
      <c r="AB2157" s="1" t="s">
        <v>1059</v>
      </c>
      <c r="AC2157" s="1">
        <v>5847.0</v>
      </c>
    </row>
    <row r="2158">
      <c r="A2158" s="1" t="str">
        <f>"0008DQ"</f>
        <v>0008DQ</v>
      </c>
      <c r="B2158" s="1" t="s">
        <v>5645</v>
      </c>
      <c r="C2158" s="1" t="s">
        <v>5646</v>
      </c>
      <c r="D2158" s="1" t="str">
        <f>"8027483034"</f>
        <v>8027483034</v>
      </c>
      <c r="E2158" s="1">
        <v>3979.0</v>
      </c>
      <c r="F2158" s="1" t="s">
        <v>117</v>
      </c>
      <c r="G2158" s="1" t="s">
        <v>8433</v>
      </c>
      <c r="H2158" s="1">
        <v>5.0</v>
      </c>
      <c r="I2158" s="2">
        <v>3.0</v>
      </c>
      <c r="J2158" s="2">
        <v>3.0</v>
      </c>
      <c r="K2158" s="2" t="s">
        <v>119</v>
      </c>
      <c r="L2158" s="1"/>
      <c r="M2158" s="1" t="s">
        <v>8434</v>
      </c>
      <c r="N2158" s="1" t="s">
        <v>94</v>
      </c>
      <c r="O2158" s="1" t="s">
        <v>1651</v>
      </c>
      <c r="P2158" s="1" t="s">
        <v>8435</v>
      </c>
      <c r="Q2158" s="3">
        <v>40554.0</v>
      </c>
      <c r="R2158" s="1"/>
      <c r="S2158" s="1"/>
      <c r="T2158" s="1" t="s">
        <v>37</v>
      </c>
      <c r="U2158" s="1"/>
      <c r="V2158" s="1" t="s">
        <v>38</v>
      </c>
      <c r="W2158" s="1">
        <v>44.852051</v>
      </c>
      <c r="X2158" s="1">
        <v>-72.074066</v>
      </c>
      <c r="Y2158" s="1" t="s">
        <v>8436</v>
      </c>
      <c r="Z2158" s="1"/>
      <c r="AA2158" s="1" t="s">
        <v>40</v>
      </c>
      <c r="AB2158" s="1" t="s">
        <v>8437</v>
      </c>
      <c r="AC2158" s="1">
        <v>5872.0</v>
      </c>
    </row>
    <row r="2159">
      <c r="A2159" s="1" t="str">
        <f>"000GBZ"</f>
        <v>000GBZ</v>
      </c>
      <c r="B2159" s="1" t="s">
        <v>8438</v>
      </c>
      <c r="C2159" s="1" t="s">
        <v>8439</v>
      </c>
      <c r="D2159" s="1" t="str">
        <f>"8027673030"</f>
        <v>8027673030</v>
      </c>
      <c r="E2159" s="1">
        <v>4272.0</v>
      </c>
      <c r="F2159" s="1" t="s">
        <v>44</v>
      </c>
      <c r="G2159" s="1" t="s">
        <v>8440</v>
      </c>
      <c r="H2159" s="1">
        <v>2.0</v>
      </c>
      <c r="I2159" s="1"/>
      <c r="J2159" s="1"/>
      <c r="K2159" s="1"/>
      <c r="L2159" s="1"/>
      <c r="M2159" s="1" t="s">
        <v>33</v>
      </c>
      <c r="N2159" s="1" t="s">
        <v>34</v>
      </c>
      <c r="O2159" s="1" t="s">
        <v>1277</v>
      </c>
      <c r="P2159" s="1" t="s">
        <v>36</v>
      </c>
      <c r="Q2159" s="3">
        <v>40569.0</v>
      </c>
      <c r="R2159" s="1"/>
      <c r="S2159" s="1"/>
      <c r="T2159" s="1" t="s">
        <v>37</v>
      </c>
      <c r="U2159" s="1"/>
      <c r="V2159" s="1" t="s">
        <v>38</v>
      </c>
      <c r="W2159" s="1"/>
      <c r="X2159" s="1"/>
      <c r="Y2159" s="1" t="s">
        <v>8441</v>
      </c>
      <c r="Z2159" s="1"/>
      <c r="AA2159" s="1" t="s">
        <v>40</v>
      </c>
      <c r="AB2159" s="1" t="s">
        <v>1278</v>
      </c>
      <c r="AC2159" s="1">
        <v>5767.0</v>
      </c>
    </row>
    <row r="2160">
      <c r="A2160" s="1" t="str">
        <f>"000GC0"</f>
        <v>000GC0</v>
      </c>
      <c r="B2160" s="1" t="s">
        <v>8442</v>
      </c>
      <c r="C2160" s="1" t="s">
        <v>8443</v>
      </c>
      <c r="D2160" s="1" t="str">
        <f>"8024792767"</f>
        <v>8024792767</v>
      </c>
      <c r="E2160" s="1">
        <v>4273.0</v>
      </c>
      <c r="F2160" s="1" t="s">
        <v>44</v>
      </c>
      <c r="G2160" s="1" t="s">
        <v>8444</v>
      </c>
      <c r="H2160" s="1">
        <v>1.0</v>
      </c>
      <c r="I2160" s="1"/>
      <c r="J2160" s="1"/>
      <c r="K2160" s="1"/>
      <c r="L2160" s="1"/>
      <c r="M2160" s="1" t="s">
        <v>8445</v>
      </c>
      <c r="N2160" s="1" t="s">
        <v>135</v>
      </c>
      <c r="O2160" s="1" t="s">
        <v>3983</v>
      </c>
      <c r="P2160" s="1" t="s">
        <v>36</v>
      </c>
      <c r="Q2160" s="3">
        <v>40569.0</v>
      </c>
      <c r="R2160" s="1"/>
      <c r="S2160" s="1"/>
      <c r="T2160" s="1" t="s">
        <v>37</v>
      </c>
      <c r="U2160" s="1"/>
      <c r="V2160" s="1" t="s">
        <v>38</v>
      </c>
      <c r="W2160" s="1"/>
      <c r="X2160" s="1"/>
      <c r="Y2160" s="1" t="s">
        <v>8446</v>
      </c>
      <c r="Z2160" s="1"/>
      <c r="AA2160" s="1" t="s">
        <v>40</v>
      </c>
      <c r="AB2160" s="1" t="s">
        <v>3986</v>
      </c>
      <c r="AC2160" s="1">
        <v>0.0</v>
      </c>
    </row>
    <row r="2161">
      <c r="A2161" s="1" t="str">
        <f>"0008G7"</f>
        <v>0008G7</v>
      </c>
      <c r="B2161" s="1" t="s">
        <v>7021</v>
      </c>
      <c r="C2161" s="1" t="s">
        <v>7022</v>
      </c>
      <c r="D2161" s="1" t="str">
        <f>"8024726749"</f>
        <v>8024726749</v>
      </c>
      <c r="E2161" s="1">
        <v>2591.0</v>
      </c>
      <c r="F2161" s="1" t="s">
        <v>117</v>
      </c>
      <c r="G2161" s="1" t="s">
        <v>8447</v>
      </c>
      <c r="H2161" s="1">
        <v>8.0</v>
      </c>
      <c r="I2161" s="2">
        <v>5.0</v>
      </c>
      <c r="J2161" s="2">
        <v>4.0</v>
      </c>
      <c r="K2161" s="2" t="s">
        <v>119</v>
      </c>
      <c r="L2161" s="1"/>
      <c r="M2161" s="1" t="s">
        <v>6168</v>
      </c>
      <c r="N2161" s="1" t="s">
        <v>213</v>
      </c>
      <c r="O2161" s="1" t="s">
        <v>214</v>
      </c>
      <c r="P2161" s="1" t="s">
        <v>8448</v>
      </c>
      <c r="Q2161" s="3">
        <v>40568.0</v>
      </c>
      <c r="R2161" s="1"/>
      <c r="S2161" s="1"/>
      <c r="T2161" s="1" t="s">
        <v>37</v>
      </c>
      <c r="U2161" s="1"/>
      <c r="V2161" s="1" t="s">
        <v>38</v>
      </c>
      <c r="W2161" s="1"/>
      <c r="X2161" s="1"/>
      <c r="Y2161" s="1" t="s">
        <v>8449</v>
      </c>
      <c r="Z2161" s="1"/>
      <c r="AA2161" s="1" t="s">
        <v>40</v>
      </c>
      <c r="AB2161" s="1" t="s">
        <v>8450</v>
      </c>
      <c r="AC2161" s="1">
        <v>5661.0</v>
      </c>
    </row>
    <row r="2162">
      <c r="A2162" s="1" t="str">
        <f t="shared" ref="A2162:A2163" si="161">"000GC8"</f>
        <v>000GC8</v>
      </c>
      <c r="B2162" s="1" t="s">
        <v>8451</v>
      </c>
      <c r="C2162" s="1" t="s">
        <v>8452</v>
      </c>
      <c r="D2162" s="1" t="str">
        <f t="shared" ref="D2162:D2163" si="162">"8024313712"</f>
        <v>8024313712</v>
      </c>
      <c r="E2162" s="1">
        <v>4275.0</v>
      </c>
      <c r="F2162" s="1" t="s">
        <v>31</v>
      </c>
      <c r="G2162" s="1" t="s">
        <v>8453</v>
      </c>
      <c r="H2162" s="1">
        <v>185.0</v>
      </c>
      <c r="I2162" s="1"/>
      <c r="J2162" s="1"/>
      <c r="K2162" s="1"/>
      <c r="L2162" s="1"/>
      <c r="M2162" s="1" t="s">
        <v>33</v>
      </c>
      <c r="N2162" s="1" t="s">
        <v>142</v>
      </c>
      <c r="O2162" s="1" t="s">
        <v>359</v>
      </c>
      <c r="P2162" s="1" t="s">
        <v>36</v>
      </c>
      <c r="Q2162" s="3">
        <v>40583.0</v>
      </c>
      <c r="R2162" s="1"/>
      <c r="S2162" s="3">
        <v>42128.0</v>
      </c>
      <c r="T2162" s="1" t="s">
        <v>164</v>
      </c>
      <c r="U2162" s="1"/>
      <c r="V2162" s="1" t="s">
        <v>38</v>
      </c>
      <c r="W2162" s="1">
        <v>43.9964228425506</v>
      </c>
      <c r="X2162" s="1">
        <v>-72.6535856723785</v>
      </c>
      <c r="Y2162" s="1" t="s">
        <v>8454</v>
      </c>
      <c r="Z2162" s="1"/>
      <c r="AA2162" s="1" t="s">
        <v>40</v>
      </c>
      <c r="AB2162" s="1" t="s">
        <v>361</v>
      </c>
      <c r="AC2162" s="1">
        <v>5060.0</v>
      </c>
    </row>
    <row r="2163">
      <c r="A2163" s="1" t="str">
        <f t="shared" si="161"/>
        <v>000GC8</v>
      </c>
      <c r="B2163" s="1" t="s">
        <v>8451</v>
      </c>
      <c r="C2163" s="1" t="s">
        <v>8452</v>
      </c>
      <c r="D2163" s="1" t="str">
        <f t="shared" si="162"/>
        <v>8024313712</v>
      </c>
      <c r="E2163" s="1">
        <v>4275.0</v>
      </c>
      <c r="F2163" s="1" t="s">
        <v>31</v>
      </c>
      <c r="G2163" s="1" t="s">
        <v>8455</v>
      </c>
      <c r="H2163" s="1">
        <v>20.0</v>
      </c>
      <c r="I2163" s="1"/>
      <c r="J2163" s="1"/>
      <c r="K2163" s="1"/>
      <c r="L2163" s="1"/>
      <c r="M2163" s="1" t="s">
        <v>8456</v>
      </c>
      <c r="N2163" s="1" t="s">
        <v>142</v>
      </c>
      <c r="O2163" s="1" t="s">
        <v>648</v>
      </c>
      <c r="P2163" s="1"/>
      <c r="Q2163" s="3">
        <v>40299.0</v>
      </c>
      <c r="R2163" s="1"/>
      <c r="S2163" s="3">
        <v>41393.0</v>
      </c>
      <c r="T2163" s="1" t="s">
        <v>164</v>
      </c>
      <c r="U2163" s="1"/>
      <c r="V2163" s="1" t="s">
        <v>38</v>
      </c>
      <c r="W2163" s="1">
        <v>43.9269739</v>
      </c>
      <c r="X2163" s="1">
        <v>-72.5345505</v>
      </c>
      <c r="Y2163" s="1" t="s">
        <v>8457</v>
      </c>
      <c r="Z2163" s="1"/>
      <c r="AA2163" s="1" t="s">
        <v>40</v>
      </c>
      <c r="AB2163" s="1" t="s">
        <v>650</v>
      </c>
      <c r="AC2163" s="1">
        <v>0.0</v>
      </c>
    </row>
    <row r="2164">
      <c r="A2164" s="1" t="str">
        <f>"000GDK"</f>
        <v>000GDK</v>
      </c>
      <c r="B2164" s="1" t="s">
        <v>8458</v>
      </c>
      <c r="C2164" s="1" t="s">
        <v>8459</v>
      </c>
      <c r="D2164" s="1" t="str">
        <f>"8022733254"</f>
        <v>8022733254</v>
      </c>
      <c r="E2164" s="1">
        <v>4276.0</v>
      </c>
      <c r="F2164" s="1" t="s">
        <v>31</v>
      </c>
      <c r="G2164" s="1" t="s">
        <v>8460</v>
      </c>
      <c r="H2164" s="1">
        <v>4.0</v>
      </c>
      <c r="I2164" s="1"/>
      <c r="J2164" s="1"/>
      <c r="K2164" s="1"/>
      <c r="L2164" s="1"/>
      <c r="M2164" s="1" t="s">
        <v>8461</v>
      </c>
      <c r="N2164" s="1" t="s">
        <v>78</v>
      </c>
      <c r="O2164" s="1" t="s">
        <v>434</v>
      </c>
      <c r="P2164" s="1" t="s">
        <v>8462</v>
      </c>
      <c r="Q2164" s="3">
        <v>40597.0</v>
      </c>
      <c r="R2164" s="1"/>
      <c r="S2164" s="1"/>
      <c r="T2164" s="1" t="s">
        <v>37</v>
      </c>
      <c r="U2164" s="1"/>
      <c r="V2164" s="1" t="s">
        <v>38</v>
      </c>
      <c r="W2164" s="1">
        <v>43.380663</v>
      </c>
      <c r="X2164" s="1">
        <v>-73.1193897</v>
      </c>
      <c r="Y2164" s="1" t="s">
        <v>8463</v>
      </c>
      <c r="Z2164" s="1"/>
      <c r="AA2164" s="1" t="s">
        <v>40</v>
      </c>
      <c r="AB2164" s="1" t="s">
        <v>435</v>
      </c>
      <c r="AC2164" s="1">
        <v>5761.0</v>
      </c>
    </row>
    <row r="2165">
      <c r="A2165" s="1" t="str">
        <f>"000GDM"</f>
        <v>000GDM</v>
      </c>
      <c r="B2165" s="1" t="s">
        <v>8464</v>
      </c>
      <c r="C2165" s="1" t="s">
        <v>8465</v>
      </c>
      <c r="D2165" s="1" t="str">
        <f>"8027307691"</f>
        <v>8027307691</v>
      </c>
      <c r="E2165" s="1">
        <v>4277.0</v>
      </c>
      <c r="F2165" s="1" t="s">
        <v>44</v>
      </c>
      <c r="G2165" s="1" t="s">
        <v>8466</v>
      </c>
      <c r="H2165" s="1">
        <v>1.0</v>
      </c>
      <c r="I2165" s="1"/>
      <c r="J2165" s="1"/>
      <c r="K2165" s="1"/>
      <c r="L2165" s="1"/>
      <c r="M2165" s="1" t="s">
        <v>33</v>
      </c>
      <c r="N2165" s="1" t="s">
        <v>213</v>
      </c>
      <c r="O2165" s="1" t="s">
        <v>1154</v>
      </c>
      <c r="P2165" s="1" t="s">
        <v>36</v>
      </c>
      <c r="Q2165" s="3">
        <v>40582.0</v>
      </c>
      <c r="R2165" s="1"/>
      <c r="S2165" s="1"/>
      <c r="T2165" s="1" t="s">
        <v>37</v>
      </c>
      <c r="U2165" s="1"/>
      <c r="V2165" s="1" t="s">
        <v>38</v>
      </c>
      <c r="W2165" s="1"/>
      <c r="X2165" s="1"/>
      <c r="Y2165" s="1" t="s">
        <v>8467</v>
      </c>
      <c r="Z2165" s="1"/>
      <c r="AA2165" s="1" t="s">
        <v>40</v>
      </c>
      <c r="AB2165" s="1" t="s">
        <v>1155</v>
      </c>
      <c r="AC2165" s="1">
        <v>5656.0</v>
      </c>
    </row>
    <row r="2166">
      <c r="A2166" s="1" t="str">
        <f>"00097D"</f>
        <v>00097D</v>
      </c>
      <c r="B2166" s="1" t="s">
        <v>8468</v>
      </c>
      <c r="C2166" s="1" t="s">
        <v>8469</v>
      </c>
      <c r="D2166" s="1" t="str">
        <f>"8023771920"</f>
        <v>8023771920</v>
      </c>
      <c r="E2166" s="1">
        <v>4030.0</v>
      </c>
      <c r="F2166" s="1" t="s">
        <v>117</v>
      </c>
      <c r="G2166" s="1" t="s">
        <v>8470</v>
      </c>
      <c r="H2166" s="1">
        <v>4.0</v>
      </c>
      <c r="I2166" s="1"/>
      <c r="J2166" s="1"/>
      <c r="K2166" s="1"/>
      <c r="L2166" s="1"/>
      <c r="M2166" s="1" t="s">
        <v>8471</v>
      </c>
      <c r="N2166" s="1" t="s">
        <v>161</v>
      </c>
      <c r="O2166" s="1" t="s">
        <v>394</v>
      </c>
      <c r="P2166" s="1"/>
      <c r="Q2166" s="3">
        <v>40641.0</v>
      </c>
      <c r="R2166" s="1"/>
      <c r="S2166" s="1"/>
      <c r="T2166" s="1" t="s">
        <v>37</v>
      </c>
      <c r="U2166" s="1"/>
      <c r="V2166" s="1" t="s">
        <v>38</v>
      </c>
      <c r="W2166" s="1">
        <v>44.2594157</v>
      </c>
      <c r="X2166" s="1">
        <v>-73.0915061</v>
      </c>
      <c r="Y2166" s="1" t="s">
        <v>8472</v>
      </c>
      <c r="Z2166" s="1"/>
      <c r="AA2166" s="1" t="s">
        <v>40</v>
      </c>
      <c r="AB2166" s="1" t="s">
        <v>308</v>
      </c>
      <c r="AC2166" s="1">
        <v>5443.0</v>
      </c>
    </row>
    <row r="2167">
      <c r="A2167" s="1" t="str">
        <f>"000GMW"</f>
        <v>000GMW</v>
      </c>
      <c r="B2167" s="1" t="s">
        <v>8473</v>
      </c>
      <c r="C2167" s="1" t="s">
        <v>8474</v>
      </c>
      <c r="D2167" s="1" t="str">
        <f>"8025633231"</f>
        <v>8025633231</v>
      </c>
      <c r="E2167" s="1">
        <v>4279.0</v>
      </c>
      <c r="F2167" s="1" t="s">
        <v>31</v>
      </c>
      <c r="G2167" s="1" t="s">
        <v>8475</v>
      </c>
      <c r="H2167" s="1">
        <v>3.0</v>
      </c>
      <c r="I2167" s="1"/>
      <c r="J2167" s="1"/>
      <c r="K2167" s="1"/>
      <c r="L2167" s="1"/>
      <c r="M2167" s="1" t="s">
        <v>8476</v>
      </c>
      <c r="N2167" s="1" t="s">
        <v>135</v>
      </c>
      <c r="O2167" s="1" t="s">
        <v>409</v>
      </c>
      <c r="P2167" s="1" t="s">
        <v>8477</v>
      </c>
      <c r="Q2167" s="3">
        <v>40648.0</v>
      </c>
      <c r="R2167" s="1"/>
      <c r="S2167" s="1"/>
      <c r="T2167" s="1" t="s">
        <v>37</v>
      </c>
      <c r="U2167" s="1"/>
      <c r="V2167" s="1" t="s">
        <v>38</v>
      </c>
      <c r="W2167" s="1">
        <v>44.402461</v>
      </c>
      <c r="X2167" s="1">
        <v>-72.2755839999999</v>
      </c>
      <c r="Y2167" s="1" t="s">
        <v>8478</v>
      </c>
      <c r="Z2167" s="1"/>
      <c r="AA2167" s="1" t="s">
        <v>40</v>
      </c>
      <c r="AB2167" s="1" t="s">
        <v>410</v>
      </c>
      <c r="AC2167" s="1">
        <v>5647.0</v>
      </c>
    </row>
    <row r="2168">
      <c r="A2168" s="1" t="str">
        <f t="shared" ref="A2168:A2169" si="163">"0008P1"</f>
        <v>0008P1</v>
      </c>
      <c r="B2168" s="1" t="s">
        <v>675</v>
      </c>
      <c r="C2168" s="1" t="s">
        <v>676</v>
      </c>
      <c r="D2168" s="1" t="str">
        <f t="shared" ref="D2168:D2169" si="164">"8027582168"</f>
        <v>8027582168</v>
      </c>
      <c r="E2168" s="1">
        <v>3212.0</v>
      </c>
      <c r="F2168" s="1" t="s">
        <v>44</v>
      </c>
      <c r="G2168" s="1" t="s">
        <v>8479</v>
      </c>
      <c r="H2168" s="1">
        <v>9.0</v>
      </c>
      <c r="I2168" s="1"/>
      <c r="J2168" s="1"/>
      <c r="K2168" s="1"/>
      <c r="L2168" s="1"/>
      <c r="M2168" s="1" t="s">
        <v>8480</v>
      </c>
      <c r="N2168" s="1" t="s">
        <v>161</v>
      </c>
      <c r="O2168" s="1" t="s">
        <v>576</v>
      </c>
      <c r="P2168" s="1"/>
      <c r="Q2168" s="3">
        <v>40648.0</v>
      </c>
      <c r="R2168" s="1"/>
      <c r="S2168" s="3">
        <v>41563.0</v>
      </c>
      <c r="T2168" s="1" t="s">
        <v>37</v>
      </c>
      <c r="U2168" s="1"/>
      <c r="V2168" s="1" t="s">
        <v>38</v>
      </c>
      <c r="W2168" s="1">
        <v>44.02919</v>
      </c>
      <c r="X2168" s="1">
        <v>-73.3876199999999</v>
      </c>
      <c r="Y2168" s="1" t="s">
        <v>8481</v>
      </c>
      <c r="Z2168" s="1"/>
      <c r="AA2168" s="1" t="s">
        <v>40</v>
      </c>
      <c r="AB2168" s="1" t="s">
        <v>161</v>
      </c>
      <c r="AC2168" s="1">
        <v>0.0</v>
      </c>
    </row>
    <row r="2169">
      <c r="A2169" s="1" t="str">
        <f t="shared" si="163"/>
        <v>0008P1</v>
      </c>
      <c r="B2169" s="1" t="s">
        <v>675</v>
      </c>
      <c r="C2169" s="1" t="s">
        <v>676</v>
      </c>
      <c r="D2169" s="1" t="str">
        <f t="shared" si="164"/>
        <v>8027582168</v>
      </c>
      <c r="E2169" s="1">
        <v>3212.0</v>
      </c>
      <c r="F2169" s="1" t="s">
        <v>44</v>
      </c>
      <c r="G2169" s="1" t="s">
        <v>8482</v>
      </c>
      <c r="H2169" s="1">
        <v>20.0</v>
      </c>
      <c r="I2169" s="1"/>
      <c r="J2169" s="1"/>
      <c r="K2169" s="1"/>
      <c r="L2169" s="1"/>
      <c r="M2169" s="1" t="s">
        <v>8483</v>
      </c>
      <c r="N2169" s="1" t="s">
        <v>161</v>
      </c>
      <c r="O2169" s="1" t="s">
        <v>576</v>
      </c>
      <c r="P2169" s="1" t="s">
        <v>8484</v>
      </c>
      <c r="Q2169" s="3">
        <v>40299.0</v>
      </c>
      <c r="R2169" s="1"/>
      <c r="S2169" s="1"/>
      <c r="T2169" s="1" t="s">
        <v>37</v>
      </c>
      <c r="U2169" s="1"/>
      <c r="V2169" s="1" t="s">
        <v>38</v>
      </c>
      <c r="W2169" s="1"/>
      <c r="X2169" s="1"/>
      <c r="Y2169" s="1" t="s">
        <v>4521</v>
      </c>
      <c r="Z2169" s="1"/>
      <c r="AA2169" s="1" t="s">
        <v>40</v>
      </c>
      <c r="AB2169" s="1" t="s">
        <v>161</v>
      </c>
      <c r="AC2169" s="1">
        <v>0.0</v>
      </c>
    </row>
    <row r="2170">
      <c r="A2170" s="1" t="str">
        <f>"0008GB"</f>
        <v>0008GB</v>
      </c>
      <c r="B2170" s="1" t="s">
        <v>5299</v>
      </c>
      <c r="C2170" s="1" t="s">
        <v>5300</v>
      </c>
      <c r="D2170" s="1" t="str">
        <f>"8029482615"</f>
        <v>8029482615</v>
      </c>
      <c r="E2170" s="1">
        <v>2706.0</v>
      </c>
      <c r="F2170" s="1" t="s">
        <v>117</v>
      </c>
      <c r="G2170" s="1" t="s">
        <v>8485</v>
      </c>
      <c r="H2170" s="1">
        <v>15.0</v>
      </c>
      <c r="I2170" s="2">
        <v>0.0</v>
      </c>
      <c r="J2170" s="2">
        <v>0.0</v>
      </c>
      <c r="K2170" s="2" t="s">
        <v>119</v>
      </c>
      <c r="L2170" s="1"/>
      <c r="M2170" s="1">
        <v>3.0</v>
      </c>
      <c r="N2170" s="1" t="s">
        <v>78</v>
      </c>
      <c r="O2170" s="1" t="s">
        <v>6059</v>
      </c>
      <c r="P2170" s="1" t="s">
        <v>8486</v>
      </c>
      <c r="Q2170" s="3">
        <v>40661.0</v>
      </c>
      <c r="R2170" s="1"/>
      <c r="S2170" s="3">
        <v>41937.0</v>
      </c>
      <c r="T2170" s="1" t="s">
        <v>37</v>
      </c>
      <c r="U2170" s="1"/>
      <c r="V2170" s="1" t="s">
        <v>38</v>
      </c>
      <c r="W2170" s="1">
        <v>43.8355851044685</v>
      </c>
      <c r="X2170" s="1">
        <v>-73.1708201766014</v>
      </c>
      <c r="Y2170" s="1" t="s">
        <v>8487</v>
      </c>
      <c r="Z2170" s="1"/>
      <c r="AA2170" s="1" t="s">
        <v>40</v>
      </c>
      <c r="AB2170" s="1" t="s">
        <v>6062</v>
      </c>
      <c r="AC2170" s="1">
        <v>5733.0</v>
      </c>
    </row>
    <row r="2171">
      <c r="A2171" s="1" t="str">
        <f>"000982"</f>
        <v>000982</v>
      </c>
      <c r="B2171" s="1" t="s">
        <v>7833</v>
      </c>
      <c r="C2171" s="1" t="s">
        <v>7834</v>
      </c>
      <c r="D2171" s="1" t="str">
        <f>"8028499884"</f>
        <v>8028499884</v>
      </c>
      <c r="E2171" s="1">
        <v>4050.0</v>
      </c>
      <c r="F2171" s="1" t="s">
        <v>117</v>
      </c>
      <c r="G2171" s="1" t="s">
        <v>8488</v>
      </c>
      <c r="H2171" s="1">
        <v>2.0</v>
      </c>
      <c r="I2171" s="2" t="s">
        <v>119</v>
      </c>
      <c r="J2171" s="2" t="s">
        <v>119</v>
      </c>
      <c r="K2171" s="2" t="s">
        <v>119</v>
      </c>
      <c r="L2171" s="1"/>
      <c r="M2171" s="1" t="s">
        <v>8489</v>
      </c>
      <c r="N2171" s="1" t="s">
        <v>57</v>
      </c>
      <c r="O2171" s="1" t="s">
        <v>559</v>
      </c>
      <c r="P2171" s="1" t="s">
        <v>8490</v>
      </c>
      <c r="Q2171" s="3">
        <v>40649.0</v>
      </c>
      <c r="R2171" s="1"/>
      <c r="S2171" s="1"/>
      <c r="T2171" s="1" t="s">
        <v>37</v>
      </c>
      <c r="U2171" s="1"/>
      <c r="V2171" s="1" t="s">
        <v>38</v>
      </c>
      <c r="W2171" s="1">
        <v>44.5415</v>
      </c>
      <c r="X2171" s="1">
        <v>-73.252375</v>
      </c>
      <c r="Y2171" s="1" t="s">
        <v>8491</v>
      </c>
      <c r="Z2171" s="1"/>
      <c r="AA2171" s="1" t="s">
        <v>40</v>
      </c>
      <c r="AB2171" s="1" t="s">
        <v>560</v>
      </c>
      <c r="AC2171" s="1">
        <v>5446.0</v>
      </c>
    </row>
    <row r="2172">
      <c r="A2172" s="1" t="str">
        <f>"000GX4"</f>
        <v>000GX4</v>
      </c>
      <c r="B2172" s="1" t="s">
        <v>8492</v>
      </c>
      <c r="C2172" s="1" t="s">
        <v>8493</v>
      </c>
      <c r="D2172" s="1" t="str">
        <f>"8026842155"</f>
        <v>8026842155</v>
      </c>
      <c r="E2172" s="1">
        <v>4286.0</v>
      </c>
      <c r="F2172" s="1" t="s">
        <v>44</v>
      </c>
      <c r="G2172" s="1" t="s">
        <v>8494</v>
      </c>
      <c r="H2172" s="1">
        <v>1.0</v>
      </c>
      <c r="I2172" s="1"/>
      <c r="J2172" s="1"/>
      <c r="K2172" s="1"/>
      <c r="L2172" s="1"/>
      <c r="M2172" s="1" t="s">
        <v>33</v>
      </c>
      <c r="N2172" s="1" t="s">
        <v>128</v>
      </c>
      <c r="O2172" s="1" t="s">
        <v>129</v>
      </c>
      <c r="P2172" s="1" t="s">
        <v>36</v>
      </c>
      <c r="Q2172" s="3">
        <v>40690.0</v>
      </c>
      <c r="R2172" s="1"/>
      <c r="S2172" s="1"/>
      <c r="T2172" s="1" t="s">
        <v>37</v>
      </c>
      <c r="U2172" s="1"/>
      <c r="V2172" s="1" t="s">
        <v>38</v>
      </c>
      <c r="W2172" s="1"/>
      <c r="X2172" s="1"/>
      <c r="Y2172" s="1" t="s">
        <v>8495</v>
      </c>
      <c r="Z2172" s="1"/>
      <c r="AA2172" s="1" t="s">
        <v>40</v>
      </c>
      <c r="AB2172" s="1" t="s">
        <v>130</v>
      </c>
      <c r="AC2172" s="1">
        <v>5828.0</v>
      </c>
    </row>
    <row r="2173">
      <c r="A2173" s="1" t="str">
        <f>"00097Z"</f>
        <v>00097Z</v>
      </c>
      <c r="B2173" s="1" t="s">
        <v>7821</v>
      </c>
      <c r="C2173" s="1" t="s">
        <v>7822</v>
      </c>
      <c r="D2173" s="1" t="str">
        <f>"8022234201"</f>
        <v>8022234201</v>
      </c>
      <c r="E2173" s="1">
        <v>4047.0</v>
      </c>
      <c r="F2173" s="1" t="s">
        <v>117</v>
      </c>
      <c r="G2173" s="1" t="s">
        <v>8496</v>
      </c>
      <c r="H2173" s="1">
        <v>2.0</v>
      </c>
      <c r="I2173" s="2" t="s">
        <v>119</v>
      </c>
      <c r="J2173" s="2" t="s">
        <v>119</v>
      </c>
      <c r="K2173" s="2" t="s">
        <v>119</v>
      </c>
      <c r="L2173" s="1"/>
      <c r="M2173" s="1" t="s">
        <v>8497</v>
      </c>
      <c r="N2173" s="1" t="s">
        <v>78</v>
      </c>
      <c r="O2173" s="1" t="s">
        <v>2574</v>
      </c>
      <c r="P2173" s="1" t="s">
        <v>8498</v>
      </c>
      <c r="Q2173" s="3">
        <v>40660.0</v>
      </c>
      <c r="R2173" s="3">
        <v>42795.0</v>
      </c>
      <c r="S2173" s="1"/>
      <c r="T2173" s="1" t="s">
        <v>37</v>
      </c>
      <c r="U2173" s="1"/>
      <c r="V2173" s="1" t="s">
        <v>38</v>
      </c>
      <c r="W2173" s="1">
        <v>43.8228007865461</v>
      </c>
      <c r="X2173" s="1">
        <v>-73.111497759819</v>
      </c>
      <c r="Y2173" s="1" t="s">
        <v>8499</v>
      </c>
      <c r="Z2173" s="1"/>
      <c r="AA2173" s="1" t="s">
        <v>40</v>
      </c>
      <c r="AB2173" s="1" t="s">
        <v>2575</v>
      </c>
      <c r="AC2173" s="1">
        <v>5733.0</v>
      </c>
    </row>
    <row r="2174">
      <c r="A2174" s="1" t="str">
        <f>"000GX5"</f>
        <v>000GX5</v>
      </c>
      <c r="B2174" s="1" t="s">
        <v>8500</v>
      </c>
      <c r="C2174" s="1" t="s">
        <v>8501</v>
      </c>
      <c r="D2174" s="1" t="str">
        <f>"6037216516"</f>
        <v>6037216516</v>
      </c>
      <c r="E2174" s="1">
        <v>4287.0</v>
      </c>
      <c r="F2174" s="1" t="s">
        <v>44</v>
      </c>
      <c r="G2174" s="1" t="s">
        <v>8502</v>
      </c>
      <c r="H2174" s="1">
        <v>2.0</v>
      </c>
      <c r="I2174" s="1"/>
      <c r="J2174" s="1"/>
      <c r="K2174" s="1"/>
      <c r="L2174" s="1"/>
      <c r="M2174" s="1" t="s">
        <v>33</v>
      </c>
      <c r="N2174" s="1" t="s">
        <v>66</v>
      </c>
      <c r="O2174" s="1" t="s">
        <v>1199</v>
      </c>
      <c r="P2174" s="1" t="s">
        <v>36</v>
      </c>
      <c r="Q2174" s="3">
        <v>40658.0</v>
      </c>
      <c r="R2174" s="1"/>
      <c r="S2174" s="1"/>
      <c r="T2174" s="1" t="s">
        <v>37</v>
      </c>
      <c r="U2174" s="1"/>
      <c r="V2174" s="1" t="s">
        <v>38</v>
      </c>
      <c r="W2174" s="1"/>
      <c r="X2174" s="1"/>
      <c r="Y2174" s="1" t="s">
        <v>8503</v>
      </c>
      <c r="Z2174" s="1"/>
      <c r="AA2174" s="1" t="s">
        <v>40</v>
      </c>
      <c r="AB2174" s="1" t="s">
        <v>8423</v>
      </c>
      <c r="AC2174" s="1">
        <v>5154.0</v>
      </c>
    </row>
    <row r="2175">
      <c r="A2175" s="1" t="str">
        <f>"000GY5"</f>
        <v>000GY5</v>
      </c>
      <c r="B2175" s="1" t="s">
        <v>8504</v>
      </c>
      <c r="C2175" s="1" t="s">
        <v>8505</v>
      </c>
      <c r="D2175" s="1" t="str">
        <f>"8023731875"</f>
        <v>8023731875</v>
      </c>
      <c r="E2175" s="1">
        <v>4297.0</v>
      </c>
      <c r="F2175" s="1" t="s">
        <v>44</v>
      </c>
      <c r="G2175" s="1" t="s">
        <v>8506</v>
      </c>
      <c r="H2175" s="1">
        <v>2.0</v>
      </c>
      <c r="I2175" s="1"/>
      <c r="J2175" s="1"/>
      <c r="K2175" s="1"/>
      <c r="L2175" s="1"/>
      <c r="M2175" s="1" t="s">
        <v>2629</v>
      </c>
      <c r="N2175" s="1" t="s">
        <v>161</v>
      </c>
      <c r="O2175" s="1" t="s">
        <v>394</v>
      </c>
      <c r="P2175" s="1" t="s">
        <v>8507</v>
      </c>
      <c r="Q2175" s="3">
        <v>40679.0</v>
      </c>
      <c r="R2175" s="1"/>
      <c r="S2175" s="1"/>
      <c r="T2175" s="1" t="s">
        <v>37</v>
      </c>
      <c r="U2175" s="1"/>
      <c r="V2175" s="1" t="s">
        <v>38</v>
      </c>
      <c r="W2175" s="1"/>
      <c r="X2175" s="1"/>
      <c r="Y2175" s="1" t="s">
        <v>8508</v>
      </c>
      <c r="Z2175" s="1"/>
      <c r="AA2175" s="1" t="s">
        <v>40</v>
      </c>
      <c r="AB2175" s="1" t="s">
        <v>395</v>
      </c>
      <c r="AC2175" s="1">
        <v>5469.0</v>
      </c>
    </row>
    <row r="2176">
      <c r="A2176" s="1" t="str">
        <f>"000GY8"</f>
        <v>000GY8</v>
      </c>
      <c r="B2176" s="1" t="s">
        <v>8509</v>
      </c>
      <c r="C2176" s="1" t="s">
        <v>8510</v>
      </c>
      <c r="D2176" s="1" t="str">
        <f>"8027549968"</f>
        <v>8027549968</v>
      </c>
      <c r="E2176" s="1">
        <v>4300.0</v>
      </c>
      <c r="F2176" s="1" t="s">
        <v>44</v>
      </c>
      <c r="G2176" s="1" t="s">
        <v>8511</v>
      </c>
      <c r="H2176" s="1">
        <v>1.0</v>
      </c>
      <c r="I2176" s="2" t="s">
        <v>119</v>
      </c>
      <c r="J2176" s="2">
        <v>1.0</v>
      </c>
      <c r="K2176" s="2" t="s">
        <v>119</v>
      </c>
      <c r="L2176" s="1"/>
      <c r="M2176" s="1" t="s">
        <v>33</v>
      </c>
      <c r="N2176" s="1" t="s">
        <v>94</v>
      </c>
      <c r="O2176" s="1" t="s">
        <v>3623</v>
      </c>
      <c r="P2176" s="1" t="s">
        <v>36</v>
      </c>
      <c r="Q2176" s="3">
        <v>40686.0</v>
      </c>
      <c r="R2176" s="1"/>
      <c r="S2176" s="1"/>
      <c r="T2176" s="1" t="s">
        <v>37</v>
      </c>
      <c r="U2176" s="1"/>
      <c r="V2176" s="1" t="s">
        <v>38</v>
      </c>
      <c r="W2176" s="1">
        <v>44.802635</v>
      </c>
      <c r="X2176" s="1">
        <v>-72.280525</v>
      </c>
      <c r="Y2176" s="1" t="s">
        <v>8512</v>
      </c>
      <c r="Z2176" s="1"/>
      <c r="AA2176" s="1" t="s">
        <v>40</v>
      </c>
      <c r="AB2176" s="1" t="s">
        <v>3624</v>
      </c>
      <c r="AC2176" s="1">
        <v>5845.0</v>
      </c>
    </row>
    <row r="2177">
      <c r="A2177" s="1" t="str">
        <f>"0007C9"</f>
        <v>0007C9</v>
      </c>
      <c r="B2177" s="1" t="s">
        <v>5081</v>
      </c>
      <c r="C2177" s="1" t="s">
        <v>5082</v>
      </c>
      <c r="D2177" s="1" t="str">
        <f>"8024682353"</f>
        <v>8024682353</v>
      </c>
      <c r="E2177" s="1">
        <v>4070.0</v>
      </c>
      <c r="F2177" s="1" t="s">
        <v>44</v>
      </c>
      <c r="G2177" s="1" t="s">
        <v>8513</v>
      </c>
      <c r="H2177" s="1">
        <v>5.0</v>
      </c>
      <c r="I2177" s="1"/>
      <c r="J2177" s="1"/>
      <c r="K2177" s="1"/>
      <c r="L2177" s="1"/>
      <c r="M2177" s="1" t="s">
        <v>8514</v>
      </c>
      <c r="N2177" s="1" t="s">
        <v>78</v>
      </c>
      <c r="O2177" s="1" t="s">
        <v>3828</v>
      </c>
      <c r="P2177" s="1"/>
      <c r="Q2177" s="3">
        <v>40705.0</v>
      </c>
      <c r="R2177" s="1"/>
      <c r="S2177" s="1"/>
      <c r="T2177" s="1" t="s">
        <v>37</v>
      </c>
      <c r="U2177" s="1"/>
      <c r="V2177" s="1" t="s">
        <v>38</v>
      </c>
      <c r="W2177" s="1"/>
      <c r="X2177" s="1"/>
      <c r="Y2177" s="1">
        <v>0.0</v>
      </c>
      <c r="Z2177" s="1"/>
      <c r="AA2177" s="1" t="s">
        <v>40</v>
      </c>
      <c r="AB2177" s="1" t="s">
        <v>3831</v>
      </c>
      <c r="AC2177" s="1">
        <v>0.0</v>
      </c>
    </row>
    <row r="2178">
      <c r="A2178" s="1" t="str">
        <f>"00087P"</f>
        <v>00087P</v>
      </c>
      <c r="B2178" s="1" t="s">
        <v>5993</v>
      </c>
      <c r="C2178" s="1" t="s">
        <v>5994</v>
      </c>
      <c r="D2178" s="1" t="str">
        <f>"8025270369"</f>
        <v>8025270369</v>
      </c>
      <c r="E2178" s="1">
        <v>3072.0</v>
      </c>
      <c r="F2178" s="1" t="s">
        <v>31</v>
      </c>
      <c r="G2178" s="1" t="s">
        <v>8515</v>
      </c>
      <c r="H2178" s="1">
        <v>17.0</v>
      </c>
      <c r="I2178" s="1"/>
      <c r="J2178" s="1"/>
      <c r="K2178" s="1"/>
      <c r="L2178" s="1"/>
      <c r="M2178" s="1" t="s">
        <v>8516</v>
      </c>
      <c r="N2178" s="1" t="s">
        <v>47</v>
      </c>
      <c r="O2178" s="1" t="s">
        <v>2753</v>
      </c>
      <c r="P2178" s="1" t="s">
        <v>8517</v>
      </c>
      <c r="Q2178" s="3">
        <v>40664.0</v>
      </c>
      <c r="R2178" s="1"/>
      <c r="S2178" s="3">
        <v>41548.0</v>
      </c>
      <c r="T2178" s="1" t="s">
        <v>37</v>
      </c>
      <c r="U2178" s="1"/>
      <c r="V2178" s="1" t="s">
        <v>38</v>
      </c>
      <c r="W2178" s="1">
        <v>44.85036</v>
      </c>
      <c r="X2178" s="1">
        <v>-73.09167</v>
      </c>
      <c r="Y2178" s="1" t="s">
        <v>2962</v>
      </c>
      <c r="Z2178" s="1"/>
      <c r="AA2178" s="1" t="s">
        <v>40</v>
      </c>
      <c r="AB2178" s="1" t="s">
        <v>5776</v>
      </c>
      <c r="AC2178" s="1">
        <v>5478.0</v>
      </c>
    </row>
    <row r="2179">
      <c r="A2179" s="1" t="str">
        <f>"000GYK"</f>
        <v>000GYK</v>
      </c>
      <c r="B2179" s="1" t="s">
        <v>8518</v>
      </c>
      <c r="C2179" s="1" t="s">
        <v>8519</v>
      </c>
      <c r="D2179" s="1" t="str">
        <f>"8023872553"</f>
        <v>8023872553</v>
      </c>
      <c r="E2179" s="1">
        <v>4304.0</v>
      </c>
      <c r="F2179" s="1" t="s">
        <v>44</v>
      </c>
      <c r="G2179" s="1" t="s">
        <v>8520</v>
      </c>
      <c r="H2179" s="1">
        <v>1.0</v>
      </c>
      <c r="I2179" s="1"/>
      <c r="J2179" s="1"/>
      <c r="K2179" s="1"/>
      <c r="L2179" s="1"/>
      <c r="M2179" s="1" t="s">
        <v>33</v>
      </c>
      <c r="N2179" s="1" t="s">
        <v>66</v>
      </c>
      <c r="O2179" s="1" t="s">
        <v>593</v>
      </c>
      <c r="P2179" s="1" t="s">
        <v>36</v>
      </c>
      <c r="Q2179" s="3">
        <v>40708.0</v>
      </c>
      <c r="R2179" s="1"/>
      <c r="S2179" s="1"/>
      <c r="T2179" s="1" t="s">
        <v>37</v>
      </c>
      <c r="U2179" s="1"/>
      <c r="V2179" s="1" t="s">
        <v>38</v>
      </c>
      <c r="W2179" s="1"/>
      <c r="X2179" s="1"/>
      <c r="Y2179" s="1" t="s">
        <v>8521</v>
      </c>
      <c r="Z2179" s="1"/>
      <c r="AA2179" s="1" t="s">
        <v>40</v>
      </c>
      <c r="AB2179" s="1" t="s">
        <v>594</v>
      </c>
      <c r="AC2179" s="1">
        <v>5346.0</v>
      </c>
    </row>
    <row r="2180">
      <c r="A2180" s="1" t="str">
        <f t="shared" ref="A2180:A2183" si="165">"0007V0"</f>
        <v>0007V0</v>
      </c>
      <c r="B2180" s="1" t="s">
        <v>8109</v>
      </c>
      <c r="C2180" s="1" t="s">
        <v>8110</v>
      </c>
      <c r="D2180" s="1" t="str">
        <f t="shared" ref="D2180:D2183" si="166">"8024623722"</f>
        <v>8024623722</v>
      </c>
      <c r="E2180" s="1">
        <v>4027.0</v>
      </c>
      <c r="F2180" s="1" t="s">
        <v>117</v>
      </c>
      <c r="G2180" s="1" t="s">
        <v>8522</v>
      </c>
      <c r="H2180" s="1">
        <v>16.0</v>
      </c>
      <c r="I2180" s="2" t="s">
        <v>119</v>
      </c>
      <c r="J2180" s="2" t="s">
        <v>119</v>
      </c>
      <c r="K2180" s="2" t="s">
        <v>119</v>
      </c>
      <c r="L2180" s="1"/>
      <c r="M2180" s="1" t="s">
        <v>8523</v>
      </c>
      <c r="N2180" s="1" t="s">
        <v>161</v>
      </c>
      <c r="O2180" s="1" t="s">
        <v>3313</v>
      </c>
      <c r="P2180" s="1" t="s">
        <v>8524</v>
      </c>
      <c r="Q2180" s="3">
        <v>40677.0</v>
      </c>
      <c r="R2180" s="1"/>
      <c r="S2180" s="3">
        <v>41943.0</v>
      </c>
      <c r="T2180" s="1" t="s">
        <v>37</v>
      </c>
      <c r="U2180" s="1"/>
      <c r="V2180" s="1" t="s">
        <v>38</v>
      </c>
      <c r="W2180" s="1">
        <v>43.93422</v>
      </c>
      <c r="X2180" s="1">
        <v>-73.13341</v>
      </c>
      <c r="Y2180" s="1" t="s">
        <v>588</v>
      </c>
      <c r="Z2180" s="1"/>
      <c r="AA2180" s="1" t="s">
        <v>40</v>
      </c>
      <c r="AB2180" s="1" t="s">
        <v>8525</v>
      </c>
      <c r="AC2180" s="1">
        <v>0.0</v>
      </c>
    </row>
    <row r="2181">
      <c r="A2181" s="1" t="str">
        <f t="shared" si="165"/>
        <v>0007V0</v>
      </c>
      <c r="B2181" s="1" t="s">
        <v>8109</v>
      </c>
      <c r="C2181" s="1" t="s">
        <v>8110</v>
      </c>
      <c r="D2181" s="1" t="str">
        <f t="shared" si="166"/>
        <v>8024623722</v>
      </c>
      <c r="E2181" s="1">
        <v>4027.0</v>
      </c>
      <c r="F2181" s="1" t="s">
        <v>117</v>
      </c>
      <c r="G2181" s="1" t="s">
        <v>8526</v>
      </c>
      <c r="H2181" s="1">
        <v>20.0</v>
      </c>
      <c r="I2181" s="2" t="s">
        <v>119</v>
      </c>
      <c r="J2181" s="2" t="s">
        <v>119</v>
      </c>
      <c r="K2181" s="2" t="s">
        <v>119</v>
      </c>
      <c r="L2181" s="1"/>
      <c r="M2181" s="1" t="s">
        <v>8527</v>
      </c>
      <c r="N2181" s="1" t="s">
        <v>161</v>
      </c>
      <c r="O2181" s="1" t="s">
        <v>3313</v>
      </c>
      <c r="P2181" s="1" t="s">
        <v>8528</v>
      </c>
      <c r="Q2181" s="3">
        <v>40677.0</v>
      </c>
      <c r="R2181" s="1"/>
      <c r="S2181" s="1"/>
      <c r="T2181" s="1" t="s">
        <v>37</v>
      </c>
      <c r="U2181" s="1"/>
      <c r="V2181" s="1" t="s">
        <v>38</v>
      </c>
      <c r="W2181" s="1">
        <v>43.8889634</v>
      </c>
      <c r="X2181" s="1">
        <v>-73.1469726999999</v>
      </c>
      <c r="Y2181" s="1" t="s">
        <v>8529</v>
      </c>
      <c r="Z2181" s="1"/>
      <c r="AA2181" s="1" t="s">
        <v>40</v>
      </c>
      <c r="AB2181" s="1" t="s">
        <v>8525</v>
      </c>
      <c r="AC2181" s="1">
        <v>0.0</v>
      </c>
    </row>
    <row r="2182">
      <c r="A2182" s="1" t="str">
        <f t="shared" si="165"/>
        <v>0007V0</v>
      </c>
      <c r="B2182" s="1" t="s">
        <v>8109</v>
      </c>
      <c r="C2182" s="1" t="s">
        <v>8110</v>
      </c>
      <c r="D2182" s="1" t="str">
        <f t="shared" si="166"/>
        <v>8024623722</v>
      </c>
      <c r="E2182" s="1">
        <v>4027.0</v>
      </c>
      <c r="F2182" s="1" t="s">
        <v>117</v>
      </c>
      <c r="G2182" s="1" t="s">
        <v>8530</v>
      </c>
      <c r="H2182" s="1">
        <v>20.0</v>
      </c>
      <c r="I2182" s="2" t="s">
        <v>119</v>
      </c>
      <c r="J2182" s="2" t="s">
        <v>119</v>
      </c>
      <c r="K2182" s="2" t="s">
        <v>119</v>
      </c>
      <c r="L2182" s="1"/>
      <c r="M2182" s="1" t="s">
        <v>8531</v>
      </c>
      <c r="N2182" s="1" t="s">
        <v>161</v>
      </c>
      <c r="O2182" s="1" t="s">
        <v>1501</v>
      </c>
      <c r="P2182" s="1" t="s">
        <v>8532</v>
      </c>
      <c r="Q2182" s="3">
        <v>40692.0</v>
      </c>
      <c r="R2182" s="1"/>
      <c r="S2182" s="3">
        <v>41576.0</v>
      </c>
      <c r="T2182" s="1" t="s">
        <v>37</v>
      </c>
      <c r="U2182" s="1"/>
      <c r="V2182" s="1" t="s">
        <v>38</v>
      </c>
      <c r="W2182" s="1">
        <v>43.84807</v>
      </c>
      <c r="X2182" s="1">
        <v>-73.08951</v>
      </c>
      <c r="Y2182" s="1" t="s">
        <v>8533</v>
      </c>
      <c r="Z2182" s="1"/>
      <c r="AA2182" s="1" t="s">
        <v>40</v>
      </c>
      <c r="AB2182" s="1" t="s">
        <v>1504</v>
      </c>
      <c r="AC2182" s="1">
        <v>0.0</v>
      </c>
    </row>
    <row r="2183">
      <c r="A2183" s="1" t="str">
        <f t="shared" si="165"/>
        <v>0007V0</v>
      </c>
      <c r="B2183" s="1" t="s">
        <v>8109</v>
      </c>
      <c r="C2183" s="1" t="s">
        <v>8110</v>
      </c>
      <c r="D2183" s="1" t="str">
        <f t="shared" si="166"/>
        <v>8024623722</v>
      </c>
      <c r="E2183" s="1">
        <v>4027.0</v>
      </c>
      <c r="F2183" s="1" t="s">
        <v>117</v>
      </c>
      <c r="G2183" s="1" t="s">
        <v>8534</v>
      </c>
      <c r="H2183" s="1">
        <v>16.0</v>
      </c>
      <c r="I2183" s="2" t="s">
        <v>119</v>
      </c>
      <c r="J2183" s="2" t="s">
        <v>119</v>
      </c>
      <c r="K2183" s="2" t="s">
        <v>119</v>
      </c>
      <c r="L2183" s="1"/>
      <c r="M2183" s="1" t="s">
        <v>8535</v>
      </c>
      <c r="N2183" s="1" t="s">
        <v>161</v>
      </c>
      <c r="O2183" s="1" t="s">
        <v>3313</v>
      </c>
      <c r="P2183" s="1" t="s">
        <v>8536</v>
      </c>
      <c r="Q2183" s="3">
        <v>40677.0</v>
      </c>
      <c r="R2183" s="1"/>
      <c r="S2183" s="3">
        <v>41943.0</v>
      </c>
      <c r="T2183" s="1" t="s">
        <v>37</v>
      </c>
      <c r="U2183" s="1"/>
      <c r="V2183" s="1" t="s">
        <v>38</v>
      </c>
      <c r="W2183" s="1">
        <v>43.9171432052578</v>
      </c>
      <c r="X2183" s="1">
        <v>-73.1028342247009</v>
      </c>
      <c r="Y2183" s="1" t="s">
        <v>8537</v>
      </c>
      <c r="Z2183" s="1"/>
      <c r="AA2183" s="1" t="s">
        <v>40</v>
      </c>
      <c r="AB2183" s="1" t="s">
        <v>8525</v>
      </c>
      <c r="AC2183" s="1">
        <v>0.0</v>
      </c>
    </row>
    <row r="2184">
      <c r="A2184" s="1" t="str">
        <f>"000GYY"</f>
        <v>000GYY</v>
      </c>
      <c r="B2184" s="1" t="s">
        <v>8538</v>
      </c>
      <c r="C2184" s="1" t="s">
        <v>8539</v>
      </c>
      <c r="D2184" s="1" t="str">
        <f>"8028954899"</f>
        <v>8028954899</v>
      </c>
      <c r="E2184" s="1">
        <v>4308.0</v>
      </c>
      <c r="F2184" s="1" t="s">
        <v>44</v>
      </c>
      <c r="G2184" s="1" t="s">
        <v>8540</v>
      </c>
      <c r="H2184" s="1">
        <v>2.0</v>
      </c>
      <c r="I2184" s="1"/>
      <c r="J2184" s="1"/>
      <c r="K2184" s="1"/>
      <c r="L2184" s="1"/>
      <c r="M2184" s="1" t="s">
        <v>33</v>
      </c>
      <c r="N2184" s="1" t="s">
        <v>94</v>
      </c>
      <c r="O2184" s="1" t="s">
        <v>1651</v>
      </c>
      <c r="P2184" s="1" t="s">
        <v>36</v>
      </c>
      <c r="Q2184" s="3">
        <v>40708.0</v>
      </c>
      <c r="R2184" s="1"/>
      <c r="S2184" s="1"/>
      <c r="T2184" s="1" t="s">
        <v>37</v>
      </c>
      <c r="U2184" s="1"/>
      <c r="V2184" s="1" t="s">
        <v>38</v>
      </c>
      <c r="W2184" s="1"/>
      <c r="X2184" s="1"/>
      <c r="Y2184" s="1" t="s">
        <v>8541</v>
      </c>
      <c r="Z2184" s="1"/>
      <c r="AA2184" s="1" t="s">
        <v>40</v>
      </c>
      <c r="AB2184" s="1" t="s">
        <v>8542</v>
      </c>
      <c r="AC2184" s="1">
        <v>5872.0</v>
      </c>
    </row>
    <row r="2185">
      <c r="A2185" s="1" t="str">
        <f t="shared" ref="A2185:A2186" si="167">"00092V"</f>
        <v>00092V</v>
      </c>
      <c r="B2185" s="1" t="s">
        <v>2079</v>
      </c>
      <c r="C2185" s="1" t="s">
        <v>2080</v>
      </c>
      <c r="D2185" s="1" t="str">
        <f t="shared" ref="D2185:D2186" si="168">"8022763808"</f>
        <v>8022763808</v>
      </c>
      <c r="E2185" s="1">
        <v>3784.0</v>
      </c>
      <c r="F2185" s="1" t="s">
        <v>117</v>
      </c>
      <c r="G2185" s="1" t="s">
        <v>8543</v>
      </c>
      <c r="H2185" s="1">
        <v>0.0</v>
      </c>
      <c r="I2185" s="2">
        <v>3.0</v>
      </c>
      <c r="J2185" s="2">
        <v>3.0</v>
      </c>
      <c r="K2185" s="2" t="s">
        <v>119</v>
      </c>
      <c r="L2185" s="1"/>
      <c r="M2185" s="1" t="s">
        <v>8544</v>
      </c>
      <c r="N2185" s="1" t="s">
        <v>142</v>
      </c>
      <c r="O2185" s="1" t="s">
        <v>474</v>
      </c>
      <c r="P2185" s="1" t="s">
        <v>8545</v>
      </c>
      <c r="Q2185" s="3">
        <v>40704.0</v>
      </c>
      <c r="R2185" s="1"/>
      <c r="S2185" s="1"/>
      <c r="T2185" s="1" t="s">
        <v>37</v>
      </c>
      <c r="U2185" s="1"/>
      <c r="V2185" s="1" t="s">
        <v>38</v>
      </c>
      <c r="W2185" s="1"/>
      <c r="X2185" s="1"/>
      <c r="Y2185" s="1" t="s">
        <v>8546</v>
      </c>
      <c r="Z2185" s="1"/>
      <c r="AA2185" s="1" t="s">
        <v>40</v>
      </c>
      <c r="AB2185" s="1" t="s">
        <v>736</v>
      </c>
      <c r="AC2185" s="1">
        <v>0.0</v>
      </c>
    </row>
    <row r="2186">
      <c r="A2186" s="1" t="str">
        <f t="shared" si="167"/>
        <v>00092V</v>
      </c>
      <c r="B2186" s="1" t="s">
        <v>2079</v>
      </c>
      <c r="C2186" s="1" t="s">
        <v>2080</v>
      </c>
      <c r="D2186" s="1" t="str">
        <f t="shared" si="168"/>
        <v>8022763808</v>
      </c>
      <c r="E2186" s="1">
        <v>3784.0</v>
      </c>
      <c r="F2186" s="1" t="s">
        <v>117</v>
      </c>
      <c r="G2186" s="1" t="s">
        <v>8547</v>
      </c>
      <c r="H2186" s="1">
        <v>0.0</v>
      </c>
      <c r="I2186" s="2">
        <v>2.0</v>
      </c>
      <c r="J2186" s="2">
        <v>2.0</v>
      </c>
      <c r="K2186" s="2" t="s">
        <v>119</v>
      </c>
      <c r="L2186" s="1"/>
      <c r="M2186" s="1" t="s">
        <v>8548</v>
      </c>
      <c r="N2186" s="1" t="s">
        <v>142</v>
      </c>
      <c r="O2186" s="1" t="s">
        <v>353</v>
      </c>
      <c r="P2186" s="1" t="s">
        <v>8549</v>
      </c>
      <c r="Q2186" s="3">
        <v>40704.0</v>
      </c>
      <c r="R2186" s="1"/>
      <c r="S2186" s="1"/>
      <c r="T2186" s="1" t="s">
        <v>37</v>
      </c>
      <c r="U2186" s="1"/>
      <c r="V2186" s="1" t="s">
        <v>38</v>
      </c>
      <c r="W2186" s="1"/>
      <c r="X2186" s="1"/>
      <c r="Y2186" s="1" t="s">
        <v>8550</v>
      </c>
      <c r="Z2186" s="1"/>
      <c r="AA2186" s="1" t="s">
        <v>40</v>
      </c>
      <c r="AB2186" s="1" t="s">
        <v>355</v>
      </c>
      <c r="AC2186" s="1">
        <v>5036.0</v>
      </c>
    </row>
    <row r="2187">
      <c r="A2187" s="1" t="str">
        <f>"000H05"</f>
        <v>000H05</v>
      </c>
      <c r="B2187" s="1" t="s">
        <v>8551</v>
      </c>
      <c r="C2187" s="1" t="s">
        <v>8552</v>
      </c>
      <c r="D2187" s="1" t="str">
        <f>"8022792085"</f>
        <v>8022792085</v>
      </c>
      <c r="E2187" s="1">
        <v>4309.0</v>
      </c>
      <c r="F2187" s="1" t="s">
        <v>44</v>
      </c>
      <c r="G2187" s="1" t="s">
        <v>8553</v>
      </c>
      <c r="H2187" s="1">
        <v>4.0</v>
      </c>
      <c r="I2187" s="1"/>
      <c r="J2187" s="1"/>
      <c r="K2187" s="1"/>
      <c r="L2187" s="1"/>
      <c r="M2187" s="1" t="s">
        <v>33</v>
      </c>
      <c r="N2187" s="1" t="s">
        <v>135</v>
      </c>
      <c r="O2187" s="1" t="s">
        <v>440</v>
      </c>
      <c r="P2187" s="1" t="s">
        <v>36</v>
      </c>
      <c r="Q2187" s="3">
        <v>40568.0</v>
      </c>
      <c r="R2187" s="1"/>
      <c r="S2187" s="3">
        <v>41485.0</v>
      </c>
      <c r="T2187" s="1" t="s">
        <v>37</v>
      </c>
      <c r="U2187" s="1"/>
      <c r="V2187" s="1" t="s">
        <v>38</v>
      </c>
      <c r="W2187" s="1">
        <v>44.14202</v>
      </c>
      <c r="X2187" s="1">
        <v>-72.81803</v>
      </c>
      <c r="Y2187" s="1" t="s">
        <v>8554</v>
      </c>
      <c r="Z2187" s="1"/>
      <c r="AA2187" s="1" t="s">
        <v>40</v>
      </c>
      <c r="AB2187" s="1" t="s">
        <v>441</v>
      </c>
      <c r="AC2187" s="1">
        <v>5673.0</v>
      </c>
    </row>
    <row r="2188">
      <c r="A2188" s="1" t="str">
        <f>"000H06"</f>
        <v>000H06</v>
      </c>
      <c r="B2188" s="1" t="s">
        <v>8555</v>
      </c>
      <c r="C2188" s="1" t="s">
        <v>8556</v>
      </c>
      <c r="D2188" s="1" t="str">
        <f>"8024561001"</f>
        <v>8024561001</v>
      </c>
      <c r="E2188" s="1">
        <v>4310.0</v>
      </c>
      <c r="F2188" s="1" t="s">
        <v>44</v>
      </c>
      <c r="G2188" s="1" t="s">
        <v>8557</v>
      </c>
      <c r="H2188" s="1">
        <v>20.0</v>
      </c>
      <c r="I2188" s="1"/>
      <c r="J2188" s="1"/>
      <c r="K2188" s="1"/>
      <c r="L2188" s="1"/>
      <c r="M2188" s="1" t="s">
        <v>8558</v>
      </c>
      <c r="N2188" s="1" t="s">
        <v>135</v>
      </c>
      <c r="O2188" s="1" t="s">
        <v>655</v>
      </c>
      <c r="P2188" s="1" t="s">
        <v>36</v>
      </c>
      <c r="Q2188" s="3">
        <v>40668.0</v>
      </c>
      <c r="R2188" s="1"/>
      <c r="S2188" s="3">
        <v>42515.0</v>
      </c>
      <c r="T2188" s="1" t="s">
        <v>37</v>
      </c>
      <c r="U2188" s="1"/>
      <c r="V2188" s="1" t="s">
        <v>38</v>
      </c>
      <c r="W2188" s="1">
        <v>44.440891</v>
      </c>
      <c r="X2188" s="1">
        <v>-72.451088</v>
      </c>
      <c r="Y2188" s="1" t="s">
        <v>8559</v>
      </c>
      <c r="Z2188" s="1"/>
      <c r="AA2188" s="1" t="s">
        <v>40</v>
      </c>
      <c r="AB2188" s="1" t="s">
        <v>656</v>
      </c>
      <c r="AC2188" s="1">
        <v>5681.0</v>
      </c>
    </row>
    <row r="2189">
      <c r="A2189" s="1" t="str">
        <f>"000H13"</f>
        <v>000H13</v>
      </c>
      <c r="B2189" s="1" t="s">
        <v>8560</v>
      </c>
      <c r="C2189" s="1" t="s">
        <v>8561</v>
      </c>
      <c r="D2189" s="1" t="str">
        <f>"8024255969"</f>
        <v>8024255969</v>
      </c>
      <c r="E2189" s="1">
        <v>4316.0</v>
      </c>
      <c r="F2189" s="1" t="s">
        <v>44</v>
      </c>
      <c r="G2189" s="1" t="s">
        <v>8562</v>
      </c>
      <c r="H2189" s="1">
        <v>4.0</v>
      </c>
      <c r="I2189" s="2">
        <v>4.0</v>
      </c>
      <c r="J2189" s="2">
        <v>2.0</v>
      </c>
      <c r="K2189" s="2" t="s">
        <v>119</v>
      </c>
      <c r="L2189" s="1"/>
      <c r="M2189" s="1" t="s">
        <v>33</v>
      </c>
      <c r="N2189" s="1" t="s">
        <v>161</v>
      </c>
      <c r="O2189" s="1" t="s">
        <v>769</v>
      </c>
      <c r="P2189" s="1" t="s">
        <v>8563</v>
      </c>
      <c r="Q2189" s="3">
        <v>40690.0</v>
      </c>
      <c r="R2189" s="1"/>
      <c r="S2189" s="3">
        <v>41891.0</v>
      </c>
      <c r="T2189" s="1" t="s">
        <v>37</v>
      </c>
      <c r="U2189" s="1"/>
      <c r="V2189" s="1" t="s">
        <v>38</v>
      </c>
      <c r="W2189" s="1">
        <v>44.2469782309676</v>
      </c>
      <c r="X2189" s="1">
        <v>-73.2220235466957</v>
      </c>
      <c r="Y2189" s="1" t="s">
        <v>8564</v>
      </c>
      <c r="Z2189" s="1"/>
      <c r="AA2189" s="1" t="s">
        <v>40</v>
      </c>
      <c r="AB2189" s="1" t="s">
        <v>6661</v>
      </c>
      <c r="AC2189" s="1">
        <v>0.0</v>
      </c>
    </row>
    <row r="2190">
      <c r="A2190" s="1" t="str">
        <f>"000H3F"</f>
        <v>000H3F</v>
      </c>
      <c r="B2190" s="1" t="s">
        <v>8565</v>
      </c>
      <c r="C2190" s="1" t="s">
        <v>8566</v>
      </c>
      <c r="D2190" s="1" t="str">
        <f>"8082586223"</f>
        <v>8082586223</v>
      </c>
      <c r="E2190" s="1">
        <v>4322.0</v>
      </c>
      <c r="F2190" s="1" t="s">
        <v>44</v>
      </c>
      <c r="G2190" s="1" t="s">
        <v>8567</v>
      </c>
      <c r="H2190" s="1">
        <v>3.0</v>
      </c>
      <c r="I2190" s="1"/>
      <c r="J2190" s="1"/>
      <c r="K2190" s="1"/>
      <c r="L2190" s="1"/>
      <c r="M2190" s="1" t="s">
        <v>8568</v>
      </c>
      <c r="N2190" s="1" t="s">
        <v>94</v>
      </c>
      <c r="O2190" s="1" t="s">
        <v>1688</v>
      </c>
      <c r="P2190" s="1" t="s">
        <v>8569</v>
      </c>
      <c r="Q2190" s="3">
        <v>40704.0</v>
      </c>
      <c r="R2190" s="1"/>
      <c r="S2190" s="1"/>
      <c r="T2190" s="1" t="s">
        <v>37</v>
      </c>
      <c r="U2190" s="1"/>
      <c r="V2190" s="1" t="s">
        <v>38</v>
      </c>
      <c r="W2190" s="1">
        <v>44.671259</v>
      </c>
      <c r="X2190" s="1">
        <v>-72.3716349999999</v>
      </c>
      <c r="Y2190" s="1" t="s">
        <v>8570</v>
      </c>
      <c r="Z2190" s="1"/>
      <c r="AA2190" s="1" t="s">
        <v>40</v>
      </c>
      <c r="AB2190" s="1" t="s">
        <v>234</v>
      </c>
      <c r="AC2190" s="1">
        <v>5827.0</v>
      </c>
    </row>
    <row r="2191">
      <c r="A2191" s="1" t="str">
        <f>"000H3K"</f>
        <v>000H3K</v>
      </c>
      <c r="B2191" s="1" t="s">
        <v>8571</v>
      </c>
      <c r="C2191" s="1" t="s">
        <v>8572</v>
      </c>
      <c r="D2191" s="1" t="str">
        <f>"8027304603"</f>
        <v>8027304603</v>
      </c>
      <c r="E2191" s="1">
        <v>4326.0</v>
      </c>
      <c r="F2191" s="1" t="s">
        <v>44</v>
      </c>
      <c r="G2191" s="1" t="s">
        <v>8573</v>
      </c>
      <c r="H2191" s="1">
        <v>2.0</v>
      </c>
      <c r="I2191" s="1"/>
      <c r="J2191" s="1"/>
      <c r="K2191" s="1"/>
      <c r="L2191" s="1"/>
      <c r="M2191" s="1" t="s">
        <v>8574</v>
      </c>
      <c r="N2191" s="1" t="s">
        <v>57</v>
      </c>
      <c r="O2191" s="1" t="s">
        <v>204</v>
      </c>
      <c r="P2191" s="1" t="s">
        <v>8575</v>
      </c>
      <c r="Q2191" s="3">
        <v>40696.0</v>
      </c>
      <c r="R2191" s="1"/>
      <c r="S2191" s="1"/>
      <c r="T2191" s="1" t="s">
        <v>37</v>
      </c>
      <c r="U2191" s="1"/>
      <c r="V2191" s="1" t="s">
        <v>38</v>
      </c>
      <c r="W2191" s="1"/>
      <c r="X2191" s="1"/>
      <c r="Y2191" s="1">
        <v>0.0</v>
      </c>
      <c r="Z2191" s="1"/>
      <c r="AA2191" s="1" t="s">
        <v>40</v>
      </c>
      <c r="AB2191" s="1" t="s">
        <v>205</v>
      </c>
      <c r="AC2191" s="1">
        <v>0.0</v>
      </c>
    </row>
    <row r="2192">
      <c r="A2192" s="1" t="str">
        <f>"0008Y2"</f>
        <v>0008Y2</v>
      </c>
      <c r="B2192" s="1" t="s">
        <v>6679</v>
      </c>
      <c r="C2192" s="1" t="s">
        <v>6680</v>
      </c>
      <c r="D2192" s="1" t="str">
        <f>"8028695460"</f>
        <v>8028695460</v>
      </c>
      <c r="E2192" s="1">
        <v>3455.0</v>
      </c>
      <c r="F2192" s="1" t="s">
        <v>31</v>
      </c>
      <c r="G2192" s="1" t="s">
        <v>8576</v>
      </c>
      <c r="H2192" s="1">
        <v>0.0</v>
      </c>
      <c r="I2192" s="1"/>
      <c r="J2192" s="1"/>
      <c r="K2192" s="1"/>
      <c r="L2192" s="1"/>
      <c r="M2192" s="1" t="s">
        <v>8577</v>
      </c>
      <c r="N2192" s="1" t="s">
        <v>66</v>
      </c>
      <c r="O2192" s="1" t="s">
        <v>73</v>
      </c>
      <c r="P2192" s="1" t="s">
        <v>8578</v>
      </c>
      <c r="Q2192" s="3">
        <v>40723.0</v>
      </c>
      <c r="R2192" s="1"/>
      <c r="S2192" s="3">
        <v>41588.0</v>
      </c>
      <c r="T2192" s="1" t="s">
        <v>37</v>
      </c>
      <c r="U2192" s="1"/>
      <c r="V2192" s="1" t="s">
        <v>38</v>
      </c>
      <c r="W2192" s="1"/>
      <c r="X2192" s="1"/>
      <c r="Y2192" s="1" t="s">
        <v>8579</v>
      </c>
      <c r="Z2192" s="1"/>
      <c r="AA2192" s="1" t="s">
        <v>40</v>
      </c>
      <c r="AB2192" s="1" t="s">
        <v>74</v>
      </c>
      <c r="AC2192" s="1">
        <v>5344.0</v>
      </c>
    </row>
    <row r="2193">
      <c r="A2193" s="1" t="str">
        <f>"000H40"</f>
        <v>000H40</v>
      </c>
      <c r="B2193" s="1" t="s">
        <v>8580</v>
      </c>
      <c r="C2193" s="1" t="s">
        <v>8581</v>
      </c>
      <c r="D2193" s="1" t="str">
        <f>"8606586280"</f>
        <v>8606586280</v>
      </c>
      <c r="E2193" s="1">
        <v>4330.0</v>
      </c>
      <c r="F2193" s="1" t="s">
        <v>44</v>
      </c>
      <c r="G2193" s="1" t="s">
        <v>8582</v>
      </c>
      <c r="H2193" s="1">
        <v>1.0</v>
      </c>
      <c r="I2193" s="2" t="s">
        <v>119</v>
      </c>
      <c r="J2193" s="2">
        <v>1.0</v>
      </c>
      <c r="K2193" s="2" t="s">
        <v>119</v>
      </c>
      <c r="L2193" s="1"/>
      <c r="M2193" s="1" t="s">
        <v>3033</v>
      </c>
      <c r="N2193" s="1" t="s">
        <v>142</v>
      </c>
      <c r="O2193" s="1" t="s">
        <v>2272</v>
      </c>
      <c r="P2193" s="1" t="s">
        <v>36</v>
      </c>
      <c r="Q2193" s="3">
        <v>40721.0</v>
      </c>
      <c r="R2193" s="1"/>
      <c r="S2193" s="3">
        <v>42205.0</v>
      </c>
      <c r="T2193" s="1" t="s">
        <v>37</v>
      </c>
      <c r="U2193" s="1"/>
      <c r="V2193" s="1" t="s">
        <v>38</v>
      </c>
      <c r="W2193" s="1">
        <v>43.9004976638706</v>
      </c>
      <c r="X2193" s="1">
        <v>-72.2645419836044</v>
      </c>
      <c r="Y2193" s="1" t="s">
        <v>8583</v>
      </c>
      <c r="Z2193" s="1"/>
      <c r="AA2193" s="1" t="s">
        <v>40</v>
      </c>
      <c r="AB2193" s="1" t="s">
        <v>8584</v>
      </c>
      <c r="AC2193" s="1">
        <v>5083.0</v>
      </c>
    </row>
    <row r="2194">
      <c r="A2194" s="1" t="str">
        <f>"000H41"</f>
        <v>000H41</v>
      </c>
      <c r="B2194" s="1" t="s">
        <v>8585</v>
      </c>
      <c r="C2194" s="1" t="s">
        <v>8586</v>
      </c>
      <c r="D2194" s="1" t="str">
        <f>"8027446566"</f>
        <v>8027446566</v>
      </c>
      <c r="E2194" s="1">
        <v>4331.0</v>
      </c>
      <c r="F2194" s="1" t="s">
        <v>117</v>
      </c>
      <c r="G2194" s="1" t="s">
        <v>8587</v>
      </c>
      <c r="H2194" s="1">
        <v>1.0</v>
      </c>
      <c r="I2194" s="2">
        <v>1.0</v>
      </c>
      <c r="J2194" s="2">
        <v>1.0</v>
      </c>
      <c r="K2194" s="2" t="s">
        <v>119</v>
      </c>
      <c r="L2194" s="1"/>
      <c r="M2194" s="1" t="s">
        <v>8588</v>
      </c>
      <c r="N2194" s="1" t="s">
        <v>94</v>
      </c>
      <c r="O2194" s="1" t="s">
        <v>1058</v>
      </c>
      <c r="P2194" s="1" t="s">
        <v>8589</v>
      </c>
      <c r="Q2194" s="3">
        <v>40725.0</v>
      </c>
      <c r="R2194" s="1"/>
      <c r="S2194" s="1"/>
      <c r="T2194" s="1" t="s">
        <v>37</v>
      </c>
      <c r="U2194" s="1"/>
      <c r="V2194" s="1" t="s">
        <v>38</v>
      </c>
      <c r="W2194" s="1">
        <v>44.817207</v>
      </c>
      <c r="X2194" s="1">
        <v>-72.3770369999999</v>
      </c>
      <c r="Y2194" s="1" t="s">
        <v>8590</v>
      </c>
      <c r="Z2194" s="1"/>
      <c r="AA2194" s="1" t="s">
        <v>40</v>
      </c>
      <c r="AB2194" s="1" t="s">
        <v>1059</v>
      </c>
      <c r="AC2194" s="1">
        <v>5847.0</v>
      </c>
    </row>
    <row r="2195">
      <c r="A2195" s="1" t="str">
        <f>"000H45"</f>
        <v>000H45</v>
      </c>
      <c r="B2195" s="1" t="s">
        <v>8591</v>
      </c>
      <c r="C2195" s="1" t="s">
        <v>8592</v>
      </c>
      <c r="D2195" s="1" t="str">
        <f>"8566738881"</f>
        <v>8566738881</v>
      </c>
      <c r="E2195" s="1">
        <v>4335.0</v>
      </c>
      <c r="F2195" s="1" t="s">
        <v>44</v>
      </c>
      <c r="G2195" s="1" t="s">
        <v>8593</v>
      </c>
      <c r="H2195" s="1">
        <v>0.0</v>
      </c>
      <c r="I2195" s="1"/>
      <c r="J2195" s="1"/>
      <c r="K2195" s="1"/>
      <c r="L2195" s="1"/>
      <c r="M2195" s="1" t="s">
        <v>33</v>
      </c>
      <c r="N2195" s="1" t="s">
        <v>142</v>
      </c>
      <c r="O2195" s="1" t="s">
        <v>540</v>
      </c>
      <c r="P2195" s="1" t="s">
        <v>36</v>
      </c>
      <c r="Q2195" s="3">
        <v>40701.0</v>
      </c>
      <c r="R2195" s="1"/>
      <c r="S2195" s="3">
        <v>42208.0</v>
      </c>
      <c r="T2195" s="1" t="s">
        <v>37</v>
      </c>
      <c r="U2195" s="1"/>
      <c r="V2195" s="1" t="s">
        <v>38</v>
      </c>
      <c r="W2195" s="1">
        <v>44.113464</v>
      </c>
      <c r="X2195" s="1">
        <v>-72.097115</v>
      </c>
      <c r="Y2195" s="1" t="s">
        <v>8594</v>
      </c>
      <c r="Z2195" s="1"/>
      <c r="AA2195" s="1" t="s">
        <v>40</v>
      </c>
      <c r="AB2195" s="1" t="s">
        <v>541</v>
      </c>
      <c r="AC2195" s="1">
        <v>5051.0</v>
      </c>
    </row>
    <row r="2196">
      <c r="A2196" s="1" t="str">
        <f>"0007FV"</f>
        <v>0007FV</v>
      </c>
      <c r="B2196" s="1" t="s">
        <v>4833</v>
      </c>
      <c r="C2196" s="1" t="s">
        <v>4834</v>
      </c>
      <c r="D2196" s="1" t="str">
        <f>"8022267353"</f>
        <v>8022267353</v>
      </c>
      <c r="E2196" s="1">
        <v>4104.0</v>
      </c>
      <c r="F2196" s="1" t="s">
        <v>117</v>
      </c>
      <c r="G2196" s="1" t="s">
        <v>8595</v>
      </c>
      <c r="H2196" s="1">
        <v>2.0</v>
      </c>
      <c r="I2196" s="2">
        <v>2.0</v>
      </c>
      <c r="J2196" s="2">
        <v>2.0</v>
      </c>
      <c r="K2196" s="2" t="s">
        <v>119</v>
      </c>
      <c r="L2196" s="1"/>
      <c r="M2196" s="1" t="s">
        <v>2629</v>
      </c>
      <c r="N2196" s="1" t="s">
        <v>34</v>
      </c>
      <c r="O2196" s="1" t="s">
        <v>1085</v>
      </c>
      <c r="P2196" s="1" t="s">
        <v>8596</v>
      </c>
      <c r="Q2196" s="3">
        <v>40729.0</v>
      </c>
      <c r="R2196" s="1"/>
      <c r="S2196" s="1"/>
      <c r="T2196" s="1" t="s">
        <v>8597</v>
      </c>
      <c r="U2196" s="1"/>
      <c r="V2196" s="1" t="s">
        <v>38</v>
      </c>
      <c r="W2196" s="1"/>
      <c r="X2196" s="1"/>
      <c r="Y2196" s="1" t="s">
        <v>8598</v>
      </c>
      <c r="Z2196" s="1"/>
      <c r="AA2196" s="1" t="s">
        <v>40</v>
      </c>
      <c r="AB2196" s="1" t="s">
        <v>1086</v>
      </c>
      <c r="AC2196" s="1">
        <v>5151.0</v>
      </c>
    </row>
    <row r="2197">
      <c r="A2197" s="1" t="str">
        <f>"0006V7"</f>
        <v>0006V7</v>
      </c>
      <c r="B2197" s="1" t="s">
        <v>8599</v>
      </c>
      <c r="C2197" s="1" t="s">
        <v>8600</v>
      </c>
      <c r="D2197" s="1" t="str">
        <f>"8022798460"</f>
        <v>8022798460</v>
      </c>
      <c r="E2197" s="1">
        <v>4340.0</v>
      </c>
      <c r="F2197" s="1" t="s">
        <v>44</v>
      </c>
      <c r="G2197" s="1" t="s">
        <v>8601</v>
      </c>
      <c r="H2197" s="1">
        <v>1.0</v>
      </c>
      <c r="I2197" s="1"/>
      <c r="J2197" s="1"/>
      <c r="K2197" s="1"/>
      <c r="L2197" s="1"/>
      <c r="M2197" s="1" t="s">
        <v>8602</v>
      </c>
      <c r="N2197" s="1" t="s">
        <v>135</v>
      </c>
      <c r="O2197" s="1" t="s">
        <v>805</v>
      </c>
      <c r="P2197" s="1" t="s">
        <v>8603</v>
      </c>
      <c r="Q2197" s="3">
        <v>40686.0</v>
      </c>
      <c r="R2197" s="1"/>
      <c r="S2197" s="1"/>
      <c r="T2197" s="1" t="s">
        <v>37</v>
      </c>
      <c r="U2197" s="1"/>
      <c r="V2197" s="1" t="s">
        <v>38</v>
      </c>
      <c r="W2197" s="1"/>
      <c r="X2197" s="1"/>
      <c r="Y2197" s="1" t="s">
        <v>8604</v>
      </c>
      <c r="Z2197" s="1"/>
      <c r="AA2197" s="1" t="s">
        <v>40</v>
      </c>
      <c r="AB2197" s="1" t="s">
        <v>806</v>
      </c>
      <c r="AC2197" s="1">
        <v>0.0</v>
      </c>
    </row>
    <row r="2198">
      <c r="A2198" s="1" t="str">
        <f>"00094X"</f>
        <v>00094X</v>
      </c>
      <c r="B2198" s="1" t="s">
        <v>8605</v>
      </c>
      <c r="C2198" s="1" t="s">
        <v>8606</v>
      </c>
      <c r="D2198" s="1" t="str">
        <f>"8024767951"</f>
        <v>8024767951</v>
      </c>
      <c r="E2198" s="1">
        <v>3890.0</v>
      </c>
      <c r="F2198" s="1" t="s">
        <v>31</v>
      </c>
      <c r="G2198" s="1" t="s">
        <v>8607</v>
      </c>
      <c r="H2198" s="1">
        <v>4.0</v>
      </c>
      <c r="I2198" s="1"/>
      <c r="J2198" s="1"/>
      <c r="K2198" s="1"/>
      <c r="L2198" s="1"/>
      <c r="M2198" s="1" t="s">
        <v>8608</v>
      </c>
      <c r="N2198" s="1" t="s">
        <v>142</v>
      </c>
      <c r="O2198" s="1" t="s">
        <v>2376</v>
      </c>
      <c r="P2198" s="1" t="s">
        <v>8609</v>
      </c>
      <c r="Q2198" s="3">
        <v>40670.0</v>
      </c>
      <c r="R2198" s="1"/>
      <c r="S2198" s="1"/>
      <c r="T2198" s="1" t="s">
        <v>37</v>
      </c>
      <c r="U2198" s="1"/>
      <c r="V2198" s="1" t="s">
        <v>38</v>
      </c>
      <c r="W2198" s="1"/>
      <c r="X2198" s="1"/>
      <c r="Y2198" s="1" t="s">
        <v>8610</v>
      </c>
      <c r="Z2198" s="1"/>
      <c r="AA2198" s="1" t="s">
        <v>40</v>
      </c>
      <c r="AB2198" s="1" t="s">
        <v>142</v>
      </c>
      <c r="AC2198" s="1">
        <v>0.0</v>
      </c>
    </row>
    <row r="2199">
      <c r="A2199" s="1" t="str">
        <f>"000H5H"</f>
        <v>000H5H</v>
      </c>
      <c r="B2199" s="1" t="s">
        <v>8611</v>
      </c>
      <c r="C2199" s="1" t="s">
        <v>8612</v>
      </c>
      <c r="D2199" s="1" t="str">
        <f>"8022510508"</f>
        <v>8022510508</v>
      </c>
      <c r="E2199" s="1">
        <v>4344.0</v>
      </c>
      <c r="F2199" s="1" t="s">
        <v>44</v>
      </c>
      <c r="G2199" s="1" t="s">
        <v>8613</v>
      </c>
      <c r="H2199" s="1">
        <v>2.0</v>
      </c>
      <c r="I2199" s="2" t="s">
        <v>119</v>
      </c>
      <c r="J2199" s="2">
        <v>2.0</v>
      </c>
      <c r="K2199" s="2" t="s">
        <v>119</v>
      </c>
      <c r="L2199" s="1"/>
      <c r="M2199" s="1" t="s">
        <v>33</v>
      </c>
      <c r="N2199" s="1" t="s">
        <v>66</v>
      </c>
      <c r="O2199" s="1" t="s">
        <v>2346</v>
      </c>
      <c r="P2199" s="1" t="s">
        <v>36</v>
      </c>
      <c r="Q2199" s="3">
        <v>40746.0</v>
      </c>
      <c r="R2199" s="1"/>
      <c r="S2199" s="3">
        <v>41409.0</v>
      </c>
      <c r="T2199" s="1" t="s">
        <v>37</v>
      </c>
      <c r="U2199" s="1"/>
      <c r="V2199" s="1" t="s">
        <v>38</v>
      </c>
      <c r="W2199" s="1"/>
      <c r="X2199" s="1"/>
      <c r="Y2199" s="1" t="s">
        <v>8614</v>
      </c>
      <c r="Z2199" s="1"/>
      <c r="AA2199" s="1" t="s">
        <v>40</v>
      </c>
      <c r="AB2199" s="1" t="s">
        <v>8615</v>
      </c>
      <c r="AC2199" s="1">
        <v>5303.0</v>
      </c>
    </row>
    <row r="2200">
      <c r="A2200" s="1" t="str">
        <f>"000H5J"</f>
        <v>000H5J</v>
      </c>
      <c r="B2200" s="1" t="s">
        <v>8616</v>
      </c>
      <c r="C2200" s="1" t="s">
        <v>8617</v>
      </c>
      <c r="D2200" s="1" t="str">
        <f>"8025332566"</f>
        <v>8025332566</v>
      </c>
      <c r="E2200" s="1">
        <v>4345.0</v>
      </c>
      <c r="F2200" s="1" t="s">
        <v>44</v>
      </c>
      <c r="G2200" s="1" t="s">
        <v>8618</v>
      </c>
      <c r="H2200" s="1">
        <v>4.0</v>
      </c>
      <c r="I2200" s="1"/>
      <c r="J2200" s="1"/>
      <c r="K2200" s="1"/>
      <c r="L2200" s="1"/>
      <c r="M2200" s="1" t="s">
        <v>8619</v>
      </c>
      <c r="N2200" s="1" t="s">
        <v>94</v>
      </c>
      <c r="O2200" s="1" t="s">
        <v>232</v>
      </c>
      <c r="P2200" s="1" t="s">
        <v>8620</v>
      </c>
      <c r="Q2200" s="3">
        <v>40743.0</v>
      </c>
      <c r="R2200" s="1"/>
      <c r="S2200" s="1"/>
      <c r="T2200" s="1" t="s">
        <v>37</v>
      </c>
      <c r="U2200" s="1"/>
      <c r="V2200" s="1" t="s">
        <v>38</v>
      </c>
      <c r="W2200" s="1">
        <v>44.5882507</v>
      </c>
      <c r="X2200" s="1">
        <v>-72.2703305999999</v>
      </c>
      <c r="Y2200" s="1" t="s">
        <v>8621</v>
      </c>
      <c r="Z2200" s="1"/>
      <c r="AA2200" s="1" t="s">
        <v>40</v>
      </c>
      <c r="AB2200" s="1" t="s">
        <v>385</v>
      </c>
      <c r="AC2200" s="1">
        <v>5841.0</v>
      </c>
    </row>
    <row r="2201">
      <c r="A2201" s="1" t="str">
        <f>"000H6Q"</f>
        <v>000H6Q</v>
      </c>
      <c r="B2201" s="1" t="s">
        <v>8622</v>
      </c>
      <c r="C2201" s="1" t="s">
        <v>8623</v>
      </c>
      <c r="D2201" s="1" t="str">
        <f>"8025986594"</f>
        <v>8025986594</v>
      </c>
      <c r="E2201" s="1">
        <v>4346.0</v>
      </c>
      <c r="F2201" s="1" t="s">
        <v>44</v>
      </c>
      <c r="G2201" s="1" t="s">
        <v>8624</v>
      </c>
      <c r="H2201" s="1">
        <v>4.0</v>
      </c>
      <c r="I2201" s="1"/>
      <c r="J2201" s="1"/>
      <c r="K2201" s="1"/>
      <c r="L2201" s="1"/>
      <c r="M2201" s="1" t="s">
        <v>33</v>
      </c>
      <c r="N2201" s="1" t="s">
        <v>34</v>
      </c>
      <c r="O2201" s="1" t="s">
        <v>88</v>
      </c>
      <c r="P2201" s="1" t="s">
        <v>36</v>
      </c>
      <c r="Q2201" s="3">
        <v>40751.0</v>
      </c>
      <c r="R2201" s="1"/>
      <c r="S2201" s="1"/>
      <c r="T2201" s="1" t="s">
        <v>37</v>
      </c>
      <c r="U2201" s="1"/>
      <c r="V2201" s="1" t="s">
        <v>38</v>
      </c>
      <c r="W2201" s="1">
        <v>43.752033</v>
      </c>
      <c r="X2201" s="1">
        <v>-72.4864269999999</v>
      </c>
      <c r="Y2201" s="1" t="s">
        <v>8625</v>
      </c>
      <c r="Z2201" s="1"/>
      <c r="AA2201" s="1" t="s">
        <v>40</v>
      </c>
      <c r="AB2201" s="1" t="s">
        <v>89</v>
      </c>
      <c r="AC2201" s="1">
        <v>5065.0</v>
      </c>
    </row>
    <row r="2202">
      <c r="A2202" s="1" t="str">
        <f>"000H6V"</f>
        <v>000H6V</v>
      </c>
      <c r="B2202" s="1" t="s">
        <v>8626</v>
      </c>
      <c r="C2202" s="1" t="s">
        <v>8627</v>
      </c>
      <c r="D2202" s="1" t="str">
        <f>"2124756985"</f>
        <v>2124756985</v>
      </c>
      <c r="E2202" s="1">
        <v>4347.0</v>
      </c>
      <c r="F2202" s="1" t="s">
        <v>44</v>
      </c>
      <c r="G2202" s="1" t="s">
        <v>8628</v>
      </c>
      <c r="H2202" s="1">
        <v>2.0</v>
      </c>
      <c r="I2202" s="1"/>
      <c r="J2202" s="1"/>
      <c r="K2202" s="1"/>
      <c r="L2202" s="1"/>
      <c r="M2202" s="1" t="s">
        <v>8629</v>
      </c>
      <c r="N2202" s="1" t="s">
        <v>66</v>
      </c>
      <c r="O2202" s="1" t="s">
        <v>908</v>
      </c>
      <c r="P2202" s="1" t="s">
        <v>36</v>
      </c>
      <c r="Q2202" s="3">
        <v>40752.0</v>
      </c>
      <c r="R2202" s="1"/>
      <c r="S2202" s="1"/>
      <c r="T2202" s="1" t="s">
        <v>37</v>
      </c>
      <c r="U2202" s="1"/>
      <c r="V2202" s="1" t="s">
        <v>38</v>
      </c>
      <c r="W2202" s="1"/>
      <c r="X2202" s="1"/>
      <c r="Y2202" s="1" t="s">
        <v>8630</v>
      </c>
      <c r="Z2202" s="1"/>
      <c r="AA2202" s="1" t="s">
        <v>40</v>
      </c>
      <c r="AB2202" s="1" t="s">
        <v>8631</v>
      </c>
      <c r="AC2202" s="1">
        <v>5355.0</v>
      </c>
    </row>
    <row r="2203">
      <c r="A2203" s="1" t="str">
        <f>"000H6X"</f>
        <v>000H6X</v>
      </c>
      <c r="B2203" s="1" t="s">
        <v>8632</v>
      </c>
      <c r="C2203" s="1" t="s">
        <v>8633</v>
      </c>
      <c r="D2203" s="1" t="str">
        <f>"8028791803"</f>
        <v>8028791803</v>
      </c>
      <c r="E2203" s="1">
        <v>4349.0</v>
      </c>
      <c r="F2203" s="1" t="s">
        <v>117</v>
      </c>
      <c r="G2203" s="1" t="s">
        <v>8634</v>
      </c>
      <c r="H2203" s="1">
        <v>2.0</v>
      </c>
      <c r="I2203" s="2">
        <v>3.0</v>
      </c>
      <c r="J2203" s="2">
        <v>2.0</v>
      </c>
      <c r="K2203" s="2" t="s">
        <v>119</v>
      </c>
      <c r="L2203" s="1"/>
      <c r="M2203" s="1" t="s">
        <v>8635</v>
      </c>
      <c r="N2203" s="1" t="s">
        <v>57</v>
      </c>
      <c r="O2203" s="1" t="s">
        <v>509</v>
      </c>
      <c r="P2203" s="1" t="s">
        <v>8636</v>
      </c>
      <c r="Q2203" s="3">
        <v>40705.0</v>
      </c>
      <c r="R2203" s="1"/>
      <c r="S2203" s="1"/>
      <c r="T2203" s="1" t="s">
        <v>37</v>
      </c>
      <c r="U2203" s="1"/>
      <c r="V2203" s="1" t="s">
        <v>38</v>
      </c>
      <c r="W2203" s="1">
        <v>44.490161</v>
      </c>
      <c r="X2203" s="1">
        <v>-73.1140849999999</v>
      </c>
      <c r="Y2203" s="1" t="s">
        <v>8637</v>
      </c>
      <c r="Z2203" s="1"/>
      <c r="AA2203" s="1" t="s">
        <v>40</v>
      </c>
      <c r="AB2203" s="1" t="s">
        <v>3296</v>
      </c>
      <c r="AC2203" s="1">
        <v>5452.0</v>
      </c>
    </row>
    <row r="2204">
      <c r="A2204" s="1" t="str">
        <f>"0008N6"</f>
        <v>0008N6</v>
      </c>
      <c r="B2204" s="1" t="s">
        <v>3290</v>
      </c>
      <c r="C2204" s="1" t="s">
        <v>3291</v>
      </c>
      <c r="D2204" s="1" t="str">
        <f>"8028782271"</f>
        <v>8028782271</v>
      </c>
      <c r="E2204" s="1">
        <v>3169.0</v>
      </c>
      <c r="F2204" s="1" t="s">
        <v>117</v>
      </c>
      <c r="G2204" s="1" t="s">
        <v>8638</v>
      </c>
      <c r="H2204" s="1">
        <v>0.0</v>
      </c>
      <c r="I2204" s="2">
        <v>0.0</v>
      </c>
      <c r="J2204" s="2">
        <v>0.0</v>
      </c>
      <c r="K2204" s="2" t="s">
        <v>119</v>
      </c>
      <c r="L2204" s="1"/>
      <c r="M2204" s="1" t="s">
        <v>8639</v>
      </c>
      <c r="N2204" s="1" t="s">
        <v>57</v>
      </c>
      <c r="O2204" s="1" t="s">
        <v>509</v>
      </c>
      <c r="P2204" s="1"/>
      <c r="Q2204" s="3">
        <v>40684.0</v>
      </c>
      <c r="R2204" s="3">
        <v>42370.0</v>
      </c>
      <c r="S2204" s="3">
        <v>42502.0</v>
      </c>
      <c r="T2204" s="1" t="s">
        <v>37</v>
      </c>
      <c r="U2204" s="1"/>
      <c r="V2204" s="1" t="s">
        <v>38</v>
      </c>
      <c r="W2204" s="1"/>
      <c r="X2204" s="1"/>
      <c r="Y2204" s="1" t="s">
        <v>8640</v>
      </c>
      <c r="Z2204" s="1"/>
      <c r="AA2204" s="1" t="s">
        <v>40</v>
      </c>
      <c r="AB2204" s="1" t="s">
        <v>3296</v>
      </c>
      <c r="AC2204" s="1">
        <v>5452.0</v>
      </c>
    </row>
    <row r="2205">
      <c r="A2205" s="1" t="str">
        <f>"00070H"</f>
        <v>00070H</v>
      </c>
      <c r="B2205" s="1" t="s">
        <v>3272</v>
      </c>
      <c r="C2205" s="1" t="s">
        <v>3273</v>
      </c>
      <c r="D2205" s="1" t="str">
        <f>"8024969250"</f>
        <v>8024969250</v>
      </c>
      <c r="E2205" s="1">
        <v>3433.0</v>
      </c>
      <c r="F2205" s="1" t="s">
        <v>117</v>
      </c>
      <c r="G2205" s="1" t="s">
        <v>8641</v>
      </c>
      <c r="H2205" s="1">
        <v>4.0</v>
      </c>
      <c r="I2205" s="2">
        <v>0.0</v>
      </c>
      <c r="J2205" s="2">
        <v>0.0</v>
      </c>
      <c r="K2205" s="2" t="s">
        <v>119</v>
      </c>
      <c r="L2205" s="1"/>
      <c r="M2205" s="1" t="s">
        <v>8642</v>
      </c>
      <c r="N2205" s="1" t="s">
        <v>34</v>
      </c>
      <c r="O2205" s="1" t="s">
        <v>1277</v>
      </c>
      <c r="P2205" s="1" t="s">
        <v>8643</v>
      </c>
      <c r="Q2205" s="3">
        <v>40670.0</v>
      </c>
      <c r="R2205" s="1"/>
      <c r="S2205" s="1"/>
      <c r="T2205" s="1" t="s">
        <v>8597</v>
      </c>
      <c r="U2205" s="1"/>
      <c r="V2205" s="1" t="s">
        <v>38</v>
      </c>
      <c r="W2205" s="1"/>
      <c r="X2205" s="1"/>
      <c r="Y2205" s="1" t="s">
        <v>5016</v>
      </c>
      <c r="Z2205" s="1"/>
      <c r="AA2205" s="1" t="s">
        <v>40</v>
      </c>
      <c r="AB2205" s="1" t="s">
        <v>1278</v>
      </c>
      <c r="AC2205" s="1">
        <v>0.0</v>
      </c>
    </row>
    <row r="2206">
      <c r="A2206" s="1" t="str">
        <f>"000HAA"</f>
        <v>000HAA</v>
      </c>
      <c r="B2206" s="1" t="s">
        <v>8644</v>
      </c>
      <c r="C2206" s="1" t="s">
        <v>8645</v>
      </c>
      <c r="D2206" s="1" t="str">
        <f>"8022790396"</f>
        <v>8022790396</v>
      </c>
      <c r="E2206" s="1">
        <v>4360.0</v>
      </c>
      <c r="F2206" s="1" t="s">
        <v>44</v>
      </c>
      <c r="G2206" s="1" t="s">
        <v>8646</v>
      </c>
      <c r="H2206" s="1">
        <v>0.0</v>
      </c>
      <c r="I2206" s="1"/>
      <c r="J2206" s="1"/>
      <c r="K2206" s="1"/>
      <c r="L2206" s="1"/>
      <c r="M2206" s="1" t="s">
        <v>8647</v>
      </c>
      <c r="N2206" s="1" t="s">
        <v>135</v>
      </c>
      <c r="O2206" s="1" t="s">
        <v>343</v>
      </c>
      <c r="P2206" s="1" t="s">
        <v>8648</v>
      </c>
      <c r="Q2206" s="3">
        <v>40766.0</v>
      </c>
      <c r="R2206" s="1"/>
      <c r="S2206" s="3">
        <v>42151.0</v>
      </c>
      <c r="T2206" s="1" t="s">
        <v>37</v>
      </c>
      <c r="U2206" s="1"/>
      <c r="V2206" s="1" t="s">
        <v>38</v>
      </c>
      <c r="W2206" s="1">
        <v>44.186306</v>
      </c>
      <c r="X2206" s="1">
        <v>-72.4760509999999</v>
      </c>
      <c r="Y2206" s="1" t="s">
        <v>8649</v>
      </c>
      <c r="Z2206" s="1"/>
      <c r="AA2206" s="1" t="s">
        <v>40</v>
      </c>
      <c r="AB2206" s="1" t="s">
        <v>4019</v>
      </c>
      <c r="AC2206" s="1">
        <v>5641.0</v>
      </c>
    </row>
    <row r="2207">
      <c r="A2207" s="1" t="str">
        <f>"000HAK"</f>
        <v>000HAK</v>
      </c>
      <c r="B2207" s="1" t="s">
        <v>8650</v>
      </c>
      <c r="C2207" s="1" t="s">
        <v>8651</v>
      </c>
      <c r="D2207" s="1" t="str">
        <f>"8023247909"</f>
        <v>8023247909</v>
      </c>
      <c r="E2207" s="1">
        <v>4365.0</v>
      </c>
      <c r="F2207" s="1" t="s">
        <v>44</v>
      </c>
      <c r="G2207" s="1" t="s">
        <v>8652</v>
      </c>
      <c r="H2207" s="1">
        <v>2.0</v>
      </c>
      <c r="I2207" s="1"/>
      <c r="J2207" s="1"/>
      <c r="K2207" s="1"/>
      <c r="L2207" s="1"/>
      <c r="M2207" s="1" t="s">
        <v>8653</v>
      </c>
      <c r="N2207" s="1" t="s">
        <v>57</v>
      </c>
      <c r="O2207" s="1" t="s">
        <v>238</v>
      </c>
      <c r="P2207" s="1"/>
      <c r="Q2207" s="3">
        <v>40783.0</v>
      </c>
      <c r="R2207" s="1"/>
      <c r="S2207" s="3">
        <v>41844.0</v>
      </c>
      <c r="T2207" s="1" t="s">
        <v>37</v>
      </c>
      <c r="U2207" s="1"/>
      <c r="V2207" s="1" t="s">
        <v>38</v>
      </c>
      <c r="W2207" s="1"/>
      <c r="X2207" s="1"/>
      <c r="Y2207" s="1" t="s">
        <v>1263</v>
      </c>
      <c r="Z2207" s="1"/>
      <c r="AA2207" s="1" t="s">
        <v>40</v>
      </c>
      <c r="AB2207" s="1" t="s">
        <v>239</v>
      </c>
      <c r="AC2207" s="1">
        <v>5482.0</v>
      </c>
    </row>
    <row r="2208">
      <c r="A2208" s="1" t="str">
        <f>"0008DK"</f>
        <v>0008DK</v>
      </c>
      <c r="B2208" s="1" t="s">
        <v>1370</v>
      </c>
      <c r="C2208" s="1" t="s">
        <v>1371</v>
      </c>
      <c r="D2208" s="1" t="str">
        <f>"8024427968"</f>
        <v>8024427968</v>
      </c>
      <c r="E2208" s="1">
        <v>3204.0</v>
      </c>
      <c r="F2208" s="1" t="s">
        <v>44</v>
      </c>
      <c r="G2208" s="1" t="s">
        <v>8654</v>
      </c>
      <c r="H2208" s="1">
        <v>30.0</v>
      </c>
      <c r="I2208" s="2" t="s">
        <v>119</v>
      </c>
      <c r="J2208" s="2" t="s">
        <v>119</v>
      </c>
      <c r="K2208" s="2" t="s">
        <v>119</v>
      </c>
      <c r="L2208" s="1"/>
      <c r="M2208" s="1" t="s">
        <v>8655</v>
      </c>
      <c r="N2208" s="1" t="s">
        <v>414</v>
      </c>
      <c r="O2208" s="1" t="s">
        <v>1160</v>
      </c>
      <c r="P2208" s="1"/>
      <c r="Q2208" s="3">
        <v>40634.0</v>
      </c>
      <c r="R2208" s="1"/>
      <c r="S2208" s="3">
        <v>42606.0</v>
      </c>
      <c r="T2208" s="1" t="s">
        <v>37</v>
      </c>
      <c r="U2208" s="1"/>
      <c r="V2208" s="1" t="s">
        <v>38</v>
      </c>
      <c r="W2208" s="1">
        <v>43.0104058075235</v>
      </c>
      <c r="X2208" s="1">
        <v>-73.1938388943672</v>
      </c>
      <c r="Y2208" s="1" t="s">
        <v>8656</v>
      </c>
      <c r="Z2208" s="1"/>
      <c r="AA2208" s="1" t="s">
        <v>40</v>
      </c>
      <c r="AB2208" s="1" t="s">
        <v>1161</v>
      </c>
      <c r="AC2208" s="1">
        <v>0.0</v>
      </c>
    </row>
    <row r="2209">
      <c r="A2209" s="1" t="str">
        <f>"000HC3"</f>
        <v>000HC3</v>
      </c>
      <c r="B2209" s="1" t="s">
        <v>8657</v>
      </c>
      <c r="C2209" s="1" t="s">
        <v>8658</v>
      </c>
      <c r="D2209" s="1" t="str">
        <f>"4014877711"</f>
        <v>4014877711</v>
      </c>
      <c r="E2209" s="1">
        <v>4368.0</v>
      </c>
      <c r="F2209" s="1" t="s">
        <v>117</v>
      </c>
      <c r="G2209" s="1" t="s">
        <v>8659</v>
      </c>
      <c r="H2209" s="1">
        <v>2.0</v>
      </c>
      <c r="I2209" s="2">
        <v>0.0</v>
      </c>
      <c r="J2209" s="2">
        <v>0.0</v>
      </c>
      <c r="K2209" s="2" t="s">
        <v>119</v>
      </c>
      <c r="L2209" s="1"/>
      <c r="M2209" s="1" t="s">
        <v>8660</v>
      </c>
      <c r="N2209" s="1" t="s">
        <v>331</v>
      </c>
      <c r="O2209" s="1" t="s">
        <v>3557</v>
      </c>
      <c r="P2209" s="1" t="s">
        <v>8661</v>
      </c>
      <c r="Q2209" s="3">
        <v>40827.0</v>
      </c>
      <c r="R2209" s="1"/>
      <c r="S2209" s="1"/>
      <c r="T2209" s="1" t="s">
        <v>37</v>
      </c>
      <c r="U2209" s="1"/>
      <c r="V2209" s="1" t="s">
        <v>38</v>
      </c>
      <c r="W2209" s="1">
        <v>44.586136</v>
      </c>
      <c r="X2209" s="1">
        <v>-71.8154369999999</v>
      </c>
      <c r="Y2209" s="1" t="s">
        <v>8662</v>
      </c>
      <c r="Z2209" s="1"/>
      <c r="AA2209" s="1" t="s">
        <v>40</v>
      </c>
      <c r="AB2209" s="1" t="s">
        <v>3558</v>
      </c>
      <c r="AC2209" s="1">
        <v>5858.0</v>
      </c>
    </row>
    <row r="2210">
      <c r="A2210" s="1" t="str">
        <f>"000HC4"</f>
        <v>000HC4</v>
      </c>
      <c r="B2210" s="1" t="s">
        <v>8663</v>
      </c>
      <c r="C2210" s="1" t="s">
        <v>8664</v>
      </c>
      <c r="D2210" s="1" t="str">
        <f>"8023805612"</f>
        <v>8023805612</v>
      </c>
      <c r="E2210" s="1">
        <v>4369.0</v>
      </c>
      <c r="F2210" s="1" t="s">
        <v>44</v>
      </c>
      <c r="G2210" s="1" t="s">
        <v>8665</v>
      </c>
      <c r="H2210" s="1">
        <v>2.0</v>
      </c>
      <c r="I2210" s="1"/>
      <c r="J2210" s="1"/>
      <c r="K2210" s="1"/>
      <c r="L2210" s="1"/>
      <c r="M2210" s="1" t="s">
        <v>33</v>
      </c>
      <c r="N2210" s="1" t="s">
        <v>66</v>
      </c>
      <c r="O2210" s="1" t="s">
        <v>1411</v>
      </c>
      <c r="P2210" s="1" t="s">
        <v>36</v>
      </c>
      <c r="Q2210" s="3">
        <v>40806.0</v>
      </c>
      <c r="R2210" s="1"/>
      <c r="S2210" s="1"/>
      <c r="T2210" s="1" t="s">
        <v>37</v>
      </c>
      <c r="U2210" s="1"/>
      <c r="V2210" s="1" t="s">
        <v>38</v>
      </c>
      <c r="W2210" s="1"/>
      <c r="X2210" s="1"/>
      <c r="Y2210" s="1" t="s">
        <v>8666</v>
      </c>
      <c r="Z2210" s="1"/>
      <c r="AA2210" s="1" t="s">
        <v>40</v>
      </c>
      <c r="AB2210" s="1" t="s">
        <v>8667</v>
      </c>
      <c r="AC2210" s="1">
        <v>5356.0</v>
      </c>
    </row>
    <row r="2211">
      <c r="A2211" s="1" t="str">
        <f t="shared" ref="A2211:A2213" si="169">"000HF1"</f>
        <v>000HF1</v>
      </c>
      <c r="B2211" s="1" t="s">
        <v>8668</v>
      </c>
      <c r="C2211" s="1" t="s">
        <v>8669</v>
      </c>
      <c r="D2211" s="1" t="str">
        <f t="shared" ref="D2211:D2213" si="170">"8023423313"</f>
        <v>8023423313</v>
      </c>
      <c r="E2211" s="1">
        <v>4373.0</v>
      </c>
      <c r="F2211" s="1" t="s">
        <v>44</v>
      </c>
      <c r="G2211" s="1" t="s">
        <v>8670</v>
      </c>
      <c r="H2211" s="1">
        <v>1.0</v>
      </c>
      <c r="I2211" s="1"/>
      <c r="J2211" s="1"/>
      <c r="K2211" s="1"/>
      <c r="L2211" s="1"/>
      <c r="M2211" s="1" t="s">
        <v>8671</v>
      </c>
      <c r="N2211" s="1" t="s">
        <v>414</v>
      </c>
      <c r="O2211" s="1" t="s">
        <v>415</v>
      </c>
      <c r="P2211" s="1" t="s">
        <v>8672</v>
      </c>
      <c r="Q2211" s="3">
        <v>40868.0</v>
      </c>
      <c r="R2211" s="1"/>
      <c r="S2211" s="1"/>
      <c r="T2211" s="1" t="s">
        <v>37</v>
      </c>
      <c r="U2211" s="1"/>
      <c r="V2211" s="1" t="s">
        <v>38</v>
      </c>
      <c r="W2211" s="1"/>
      <c r="X2211" s="1"/>
      <c r="Y2211" s="1" t="s">
        <v>8673</v>
      </c>
      <c r="Z2211" s="1"/>
      <c r="AA2211" s="1" t="s">
        <v>40</v>
      </c>
      <c r="AB2211" s="1" t="s">
        <v>6366</v>
      </c>
      <c r="AC2211" s="1">
        <v>5253.0</v>
      </c>
    </row>
    <row r="2212">
      <c r="A2212" s="1" t="str">
        <f t="shared" si="169"/>
        <v>000HF1</v>
      </c>
      <c r="B2212" s="1" t="s">
        <v>8668</v>
      </c>
      <c r="C2212" s="1" t="s">
        <v>8669</v>
      </c>
      <c r="D2212" s="1" t="str">
        <f t="shared" si="170"/>
        <v>8023423313</v>
      </c>
      <c r="E2212" s="1">
        <v>4373.0</v>
      </c>
      <c r="F2212" s="1" t="s">
        <v>44</v>
      </c>
      <c r="G2212" s="1" t="s">
        <v>8674</v>
      </c>
      <c r="H2212" s="1">
        <v>1.0</v>
      </c>
      <c r="I2212" s="1"/>
      <c r="J2212" s="1"/>
      <c r="K2212" s="1"/>
      <c r="L2212" s="1"/>
      <c r="M2212" s="1" t="s">
        <v>8675</v>
      </c>
      <c r="N2212" s="1" t="s">
        <v>414</v>
      </c>
      <c r="O2212" s="1" t="s">
        <v>415</v>
      </c>
      <c r="P2212" s="1" t="s">
        <v>8676</v>
      </c>
      <c r="Q2212" s="3">
        <v>40868.0</v>
      </c>
      <c r="R2212" s="1"/>
      <c r="S2212" s="1"/>
      <c r="T2212" s="1" t="s">
        <v>37</v>
      </c>
      <c r="U2212" s="1"/>
      <c r="V2212" s="1" t="s">
        <v>38</v>
      </c>
      <c r="W2212" s="1"/>
      <c r="X2212" s="1"/>
      <c r="Y2212" s="1" t="s">
        <v>8677</v>
      </c>
      <c r="Z2212" s="1"/>
      <c r="AA2212" s="1" t="s">
        <v>40</v>
      </c>
      <c r="AB2212" s="1" t="s">
        <v>6366</v>
      </c>
      <c r="AC2212" s="1">
        <v>5253.0</v>
      </c>
    </row>
    <row r="2213">
      <c r="A2213" s="1" t="str">
        <f t="shared" si="169"/>
        <v>000HF1</v>
      </c>
      <c r="B2213" s="1" t="s">
        <v>8668</v>
      </c>
      <c r="C2213" s="1" t="s">
        <v>8669</v>
      </c>
      <c r="D2213" s="1" t="str">
        <f t="shared" si="170"/>
        <v>8023423313</v>
      </c>
      <c r="E2213" s="1">
        <v>4373.0</v>
      </c>
      <c r="F2213" s="1" t="s">
        <v>44</v>
      </c>
      <c r="G2213" s="1" t="s">
        <v>8678</v>
      </c>
      <c r="H2213" s="1">
        <v>1.0</v>
      </c>
      <c r="I2213" s="1"/>
      <c r="J2213" s="1"/>
      <c r="K2213" s="1"/>
      <c r="L2213" s="1"/>
      <c r="M2213" s="1" t="s">
        <v>8679</v>
      </c>
      <c r="N2213" s="1" t="s">
        <v>414</v>
      </c>
      <c r="O2213" s="1" t="s">
        <v>415</v>
      </c>
      <c r="P2213" s="1" t="s">
        <v>8680</v>
      </c>
      <c r="Q2213" s="3">
        <v>40868.0</v>
      </c>
      <c r="R2213" s="1"/>
      <c r="S2213" s="1"/>
      <c r="T2213" s="1" t="s">
        <v>37</v>
      </c>
      <c r="U2213" s="1"/>
      <c r="V2213" s="1" t="s">
        <v>38</v>
      </c>
      <c r="W2213" s="1"/>
      <c r="X2213" s="1"/>
      <c r="Y2213" s="1" t="s">
        <v>8681</v>
      </c>
      <c r="Z2213" s="1"/>
      <c r="AA2213" s="1" t="s">
        <v>40</v>
      </c>
      <c r="AB2213" s="1" t="s">
        <v>6366</v>
      </c>
      <c r="AC2213" s="1">
        <v>5253.0</v>
      </c>
    </row>
    <row r="2214">
      <c r="A2214" s="1" t="str">
        <f>"000945"</f>
        <v>000945</v>
      </c>
      <c r="B2214" s="1" t="s">
        <v>7399</v>
      </c>
      <c r="C2214" s="1" t="s">
        <v>7400</v>
      </c>
      <c r="D2214" s="1" t="str">
        <f>"8025270602"</f>
        <v>8025270602</v>
      </c>
      <c r="E2214" s="1">
        <v>3837.0</v>
      </c>
      <c r="F2214" s="1" t="s">
        <v>44</v>
      </c>
      <c r="G2214" s="1" t="s">
        <v>8682</v>
      </c>
      <c r="H2214" s="1">
        <v>11.0</v>
      </c>
      <c r="I2214" s="1"/>
      <c r="J2214" s="1"/>
      <c r="K2214" s="1"/>
      <c r="L2214" s="1"/>
      <c r="M2214" s="1" t="s">
        <v>8683</v>
      </c>
      <c r="N2214" s="1" t="s">
        <v>47</v>
      </c>
      <c r="O2214" s="1" t="s">
        <v>582</v>
      </c>
      <c r="P2214" s="1" t="s">
        <v>8684</v>
      </c>
      <c r="Q2214" s="3">
        <v>40664.0</v>
      </c>
      <c r="R2214" s="1"/>
      <c r="S2214" s="3">
        <v>40683.0</v>
      </c>
      <c r="T2214" s="1" t="s">
        <v>37</v>
      </c>
      <c r="U2214" s="1"/>
      <c r="V2214" s="1" t="s">
        <v>38</v>
      </c>
      <c r="W2214" s="1"/>
      <c r="X2214" s="1"/>
      <c r="Y2214" s="1" t="s">
        <v>8685</v>
      </c>
      <c r="Z2214" s="1"/>
      <c r="AA2214" s="1" t="s">
        <v>40</v>
      </c>
      <c r="AB2214" s="1" t="s">
        <v>583</v>
      </c>
      <c r="AC2214" s="1">
        <v>0.0</v>
      </c>
    </row>
    <row r="2215">
      <c r="A2215" s="1" t="str">
        <f t="shared" ref="A2215:A2216" si="171">"000989"</f>
        <v>000989</v>
      </c>
      <c r="B2215" s="1" t="s">
        <v>7867</v>
      </c>
      <c r="C2215" s="1" t="s">
        <v>7868</v>
      </c>
      <c r="D2215" s="1" t="str">
        <f t="shared" ref="D2215:D2216" si="172">"8023339667"</f>
        <v>8023339667</v>
      </c>
      <c r="E2215" s="1">
        <v>4057.0</v>
      </c>
      <c r="F2215" s="1" t="s">
        <v>117</v>
      </c>
      <c r="G2215" s="1" t="s">
        <v>8686</v>
      </c>
      <c r="H2215" s="1">
        <v>2.0</v>
      </c>
      <c r="I2215" s="2">
        <v>1.0</v>
      </c>
      <c r="J2215" s="2">
        <v>1.0</v>
      </c>
      <c r="K2215" s="2" t="s">
        <v>829</v>
      </c>
      <c r="L2215" s="1"/>
      <c r="M2215" s="1" t="s">
        <v>8687</v>
      </c>
      <c r="N2215" s="1" t="s">
        <v>142</v>
      </c>
      <c r="O2215" s="1" t="s">
        <v>143</v>
      </c>
      <c r="P2215" s="1" t="s">
        <v>8687</v>
      </c>
      <c r="Q2215" s="3">
        <v>40664.0</v>
      </c>
      <c r="R2215" s="1"/>
      <c r="S2215" s="3">
        <v>40703.0</v>
      </c>
      <c r="T2215" s="1" t="s">
        <v>37</v>
      </c>
      <c r="U2215" s="1"/>
      <c r="V2215" s="1" t="s">
        <v>38</v>
      </c>
      <c r="W2215" s="1"/>
      <c r="X2215" s="1"/>
      <c r="Y2215" s="1" t="s">
        <v>8688</v>
      </c>
      <c r="Z2215" s="1"/>
      <c r="AA2215" s="1" t="s">
        <v>40</v>
      </c>
      <c r="AB2215" s="1" t="s">
        <v>146</v>
      </c>
      <c r="AC2215" s="1">
        <v>0.0</v>
      </c>
    </row>
    <row r="2216">
      <c r="A2216" s="1" t="str">
        <f t="shared" si="171"/>
        <v>000989</v>
      </c>
      <c r="B2216" s="1" t="s">
        <v>7867</v>
      </c>
      <c r="C2216" s="1" t="s">
        <v>7868</v>
      </c>
      <c r="D2216" s="1" t="str">
        <f t="shared" si="172"/>
        <v>8023339667</v>
      </c>
      <c r="E2216" s="1">
        <v>4057.0</v>
      </c>
      <c r="F2216" s="1" t="s">
        <v>117</v>
      </c>
      <c r="G2216" s="1" t="s">
        <v>8689</v>
      </c>
      <c r="H2216" s="1">
        <v>0.0</v>
      </c>
      <c r="I2216" s="2" t="s">
        <v>119</v>
      </c>
      <c r="J2216" s="2" t="s">
        <v>119</v>
      </c>
      <c r="K2216" s="2" t="s">
        <v>119</v>
      </c>
      <c r="L2216" s="1"/>
      <c r="M2216" s="1" t="s">
        <v>8690</v>
      </c>
      <c r="N2216" s="1" t="s">
        <v>34</v>
      </c>
      <c r="O2216" s="1" t="s">
        <v>35</v>
      </c>
      <c r="P2216" s="1" t="s">
        <v>8691</v>
      </c>
      <c r="Q2216" s="3">
        <v>41030.0</v>
      </c>
      <c r="R2216" s="1"/>
      <c r="S2216" s="3">
        <v>40703.0</v>
      </c>
      <c r="T2216" s="1" t="s">
        <v>8597</v>
      </c>
      <c r="U2216" s="1"/>
      <c r="V2216" s="1" t="s">
        <v>38</v>
      </c>
      <c r="W2216" s="1"/>
      <c r="X2216" s="1"/>
      <c r="Y2216" s="1" t="s">
        <v>8692</v>
      </c>
      <c r="Z2216" s="1"/>
      <c r="AA2216" s="1" t="s">
        <v>40</v>
      </c>
      <c r="AB2216" s="1" t="s">
        <v>345</v>
      </c>
      <c r="AC2216" s="1">
        <v>0.0</v>
      </c>
    </row>
    <row r="2217">
      <c r="A2217" s="1" t="str">
        <f>"00081P"</f>
        <v>00081P</v>
      </c>
      <c r="B2217" s="1" t="s">
        <v>7129</v>
      </c>
      <c r="C2217" s="1" t="s">
        <v>7130</v>
      </c>
      <c r="D2217" s="1" t="str">
        <f>"8023493310"</f>
        <v>8023493310</v>
      </c>
      <c r="E2217" s="1">
        <v>4003.0</v>
      </c>
      <c r="F2217" s="1" t="s">
        <v>44</v>
      </c>
      <c r="G2217" s="1" t="s">
        <v>8693</v>
      </c>
      <c r="H2217" s="1">
        <v>3.0</v>
      </c>
      <c r="I2217" s="1"/>
      <c r="J2217" s="1"/>
      <c r="K2217" s="1"/>
      <c r="L2217" s="1"/>
      <c r="M2217" s="1" t="s">
        <v>33</v>
      </c>
      <c r="N2217" s="1" t="s">
        <v>161</v>
      </c>
      <c r="O2217" s="1" t="s">
        <v>943</v>
      </c>
      <c r="P2217" s="1" t="s">
        <v>8694</v>
      </c>
      <c r="Q2217" s="3">
        <v>40664.0</v>
      </c>
      <c r="R2217" s="1"/>
      <c r="S2217" s="1"/>
      <c r="T2217" s="1" t="s">
        <v>37</v>
      </c>
      <c r="U2217" s="1"/>
      <c r="V2217" s="1" t="s">
        <v>38</v>
      </c>
      <c r="W2217" s="1"/>
      <c r="X2217" s="1"/>
      <c r="Y2217" s="1" t="s">
        <v>8695</v>
      </c>
      <c r="Z2217" s="1"/>
      <c r="AA2217" s="1" t="s">
        <v>40</v>
      </c>
      <c r="AB2217" s="1" t="s">
        <v>945</v>
      </c>
      <c r="AC2217" s="1">
        <v>5753.0</v>
      </c>
    </row>
    <row r="2218">
      <c r="A2218" s="1" t="str">
        <f t="shared" ref="A2218:A2219" si="173">"0008B2"</f>
        <v>0008B2</v>
      </c>
      <c r="B2218" s="1" t="s">
        <v>2013</v>
      </c>
      <c r="C2218" s="1" t="s">
        <v>2014</v>
      </c>
      <c r="D2218" s="1" t="str">
        <f t="shared" ref="D2218:D2219" si="174">"8027963015"</f>
        <v>8027963015</v>
      </c>
      <c r="E2218" s="1">
        <v>3846.0</v>
      </c>
      <c r="F2218" s="1" t="s">
        <v>117</v>
      </c>
      <c r="G2218" s="1" t="s">
        <v>8696</v>
      </c>
      <c r="H2218" s="1">
        <v>22.0</v>
      </c>
      <c r="I2218" s="2" t="s">
        <v>119</v>
      </c>
      <c r="J2218" s="2">
        <v>9.0</v>
      </c>
      <c r="K2218" s="2" t="s">
        <v>119</v>
      </c>
      <c r="L2218" s="2" t="s">
        <v>8697</v>
      </c>
      <c r="M2218" s="1" t="s">
        <v>8698</v>
      </c>
      <c r="N2218" s="1" t="s">
        <v>107</v>
      </c>
      <c r="O2218" s="1" t="s">
        <v>2665</v>
      </c>
      <c r="P2218" s="1" t="s">
        <v>8699</v>
      </c>
      <c r="Q2218" s="3">
        <v>40887.0</v>
      </c>
      <c r="R2218" s="1"/>
      <c r="S2218" s="3">
        <v>42559.0</v>
      </c>
      <c r="T2218" s="1" t="s">
        <v>37</v>
      </c>
      <c r="U2218" s="1">
        <v>270.0</v>
      </c>
      <c r="V2218" s="1" t="s">
        <v>38</v>
      </c>
      <c r="W2218" s="1">
        <v>44.8875863810229</v>
      </c>
      <c r="X2218" s="1">
        <v>-73.3286306262016</v>
      </c>
      <c r="Y2218" s="1" t="s">
        <v>8700</v>
      </c>
      <c r="Z2218" s="1"/>
      <c r="AA2218" s="1" t="s">
        <v>40</v>
      </c>
      <c r="AB2218" s="1" t="s">
        <v>8701</v>
      </c>
      <c r="AC2218" s="1">
        <v>5463.0</v>
      </c>
    </row>
    <row r="2219">
      <c r="A2219" s="1" t="str">
        <f t="shared" si="173"/>
        <v>0008B2</v>
      </c>
      <c r="B2219" s="1" t="s">
        <v>2013</v>
      </c>
      <c r="C2219" s="1" t="s">
        <v>2014</v>
      </c>
      <c r="D2219" s="1" t="str">
        <f t="shared" si="174"/>
        <v>8027963015</v>
      </c>
      <c r="E2219" s="1">
        <v>3846.0</v>
      </c>
      <c r="F2219" s="1" t="s">
        <v>117</v>
      </c>
      <c r="G2219" s="1" t="s">
        <v>8702</v>
      </c>
      <c r="H2219" s="1">
        <v>28.0</v>
      </c>
      <c r="I2219" s="2">
        <v>28.0</v>
      </c>
      <c r="J2219" s="2" t="s">
        <v>119</v>
      </c>
      <c r="K2219" s="2" t="s">
        <v>119</v>
      </c>
      <c r="L2219" s="2" t="s">
        <v>8697</v>
      </c>
      <c r="M2219" s="1" t="s">
        <v>8703</v>
      </c>
      <c r="N2219" s="1" t="s">
        <v>107</v>
      </c>
      <c r="O2219" s="1" t="s">
        <v>2665</v>
      </c>
      <c r="P2219" s="1" t="s">
        <v>8704</v>
      </c>
      <c r="Q2219" s="3">
        <v>40887.0</v>
      </c>
      <c r="R2219" s="1"/>
      <c r="S2219" s="1"/>
      <c r="T2219" s="1" t="s">
        <v>37</v>
      </c>
      <c r="U2219" s="1"/>
      <c r="V2219" s="1" t="s">
        <v>38</v>
      </c>
      <c r="W2219" s="1">
        <v>44.8400015637703</v>
      </c>
      <c r="X2219" s="1">
        <v>-73.3517432212829</v>
      </c>
      <c r="Y2219" s="1" t="s">
        <v>8705</v>
      </c>
      <c r="Z2219" s="1"/>
      <c r="AA2219" s="1" t="s">
        <v>40</v>
      </c>
      <c r="AB2219" s="1" t="s">
        <v>8701</v>
      </c>
      <c r="AC2219" s="1">
        <v>5463.0</v>
      </c>
    </row>
    <row r="2220">
      <c r="A2220" s="1" t="str">
        <f>"000HVV"</f>
        <v>000HVV</v>
      </c>
      <c r="B2220" s="1" t="s">
        <v>8706</v>
      </c>
      <c r="C2220" s="1" t="s">
        <v>8707</v>
      </c>
      <c r="D2220" s="1" t="str">
        <f>"8023752563"</f>
        <v>8023752563</v>
      </c>
      <c r="E2220" s="1">
        <v>4384.0</v>
      </c>
      <c r="F2220" s="1" t="s">
        <v>44</v>
      </c>
      <c r="G2220" s="1" t="s">
        <v>8708</v>
      </c>
      <c r="H2220" s="1">
        <v>1.0</v>
      </c>
      <c r="I2220" s="1"/>
      <c r="J2220" s="1"/>
      <c r="K2220" s="1"/>
      <c r="L2220" s="1"/>
      <c r="M2220" s="1" t="s">
        <v>33</v>
      </c>
      <c r="N2220" s="1" t="s">
        <v>414</v>
      </c>
      <c r="O2220" s="1" t="s">
        <v>1390</v>
      </c>
      <c r="P2220" s="1" t="s">
        <v>36</v>
      </c>
      <c r="Q2220" s="3">
        <v>41000.0</v>
      </c>
      <c r="R2220" s="1"/>
      <c r="S2220" s="1"/>
      <c r="T2220" s="1" t="s">
        <v>37</v>
      </c>
      <c r="U2220" s="1"/>
      <c r="V2220" s="1" t="s">
        <v>38</v>
      </c>
      <c r="W2220" s="1"/>
      <c r="X2220" s="1"/>
      <c r="Y2220" s="1" t="s">
        <v>8709</v>
      </c>
      <c r="Z2220" s="1"/>
      <c r="AA2220" s="1" t="s">
        <v>40</v>
      </c>
      <c r="AB2220" s="1" t="s">
        <v>1391</v>
      </c>
      <c r="AC2220" s="1">
        <v>5250.0</v>
      </c>
    </row>
    <row r="2221">
      <c r="A2221" s="1" t="str">
        <f>"000HVZ"</f>
        <v>000HVZ</v>
      </c>
      <c r="B2221" s="1" t="s">
        <v>8710</v>
      </c>
      <c r="C2221" s="1" t="s">
        <v>8711</v>
      </c>
      <c r="D2221" s="1" t="str">
        <f>"8022231150"</f>
        <v>8022231150</v>
      </c>
      <c r="E2221" s="1">
        <v>4388.0</v>
      </c>
      <c r="F2221" s="1" t="s">
        <v>117</v>
      </c>
      <c r="G2221" s="1" t="s">
        <v>8712</v>
      </c>
      <c r="H2221" s="1">
        <v>3.0</v>
      </c>
      <c r="I2221" s="2">
        <v>1.0</v>
      </c>
      <c r="J2221" s="2">
        <v>1.0</v>
      </c>
      <c r="K2221" s="2" t="s">
        <v>119</v>
      </c>
      <c r="L2221" s="2" t="s">
        <v>4799</v>
      </c>
      <c r="M2221" s="1" t="s">
        <v>8713</v>
      </c>
      <c r="N2221" s="1" t="s">
        <v>135</v>
      </c>
      <c r="O2221" s="1" t="s">
        <v>805</v>
      </c>
      <c r="P2221" s="1" t="s">
        <v>8714</v>
      </c>
      <c r="Q2221" s="3">
        <v>40974.0</v>
      </c>
      <c r="R2221" s="1"/>
      <c r="S2221" s="1"/>
      <c r="T2221" s="1" t="s">
        <v>37</v>
      </c>
      <c r="U2221" s="1"/>
      <c r="V2221" s="1" t="s">
        <v>38</v>
      </c>
      <c r="W2221" s="1">
        <v>44.2758514999999</v>
      </c>
      <c r="X2221" s="1">
        <v>-72.5200335</v>
      </c>
      <c r="Y2221" s="1" t="s">
        <v>8715</v>
      </c>
      <c r="Z2221" s="1"/>
      <c r="AA2221" s="1" t="s">
        <v>40</v>
      </c>
      <c r="AB2221" s="1" t="s">
        <v>806</v>
      </c>
      <c r="AC2221" s="1">
        <v>5651.0</v>
      </c>
    </row>
    <row r="2222">
      <c r="A2222" s="1" t="str">
        <f t="shared" ref="A2222:A2233" si="175">"00088H"</f>
        <v>00088H</v>
      </c>
      <c r="B2222" s="1" t="s">
        <v>2463</v>
      </c>
      <c r="C2222" s="1" t="s">
        <v>2464</v>
      </c>
      <c r="D2222" s="1" t="str">
        <f t="shared" ref="D2222:D2233" si="176">"8027442007"</f>
        <v>8027442007</v>
      </c>
      <c r="E2222" s="1">
        <v>3222.0</v>
      </c>
      <c r="F2222" s="1" t="s">
        <v>117</v>
      </c>
      <c r="G2222" s="1" t="s">
        <v>8716</v>
      </c>
      <c r="H2222" s="1">
        <v>32.0</v>
      </c>
      <c r="I2222" s="1"/>
      <c r="J2222" s="1"/>
      <c r="K2222" s="1"/>
      <c r="L2222" s="1"/>
      <c r="M2222" s="1" t="s">
        <v>8717</v>
      </c>
      <c r="N2222" s="1" t="s">
        <v>94</v>
      </c>
      <c r="O2222" s="1" t="s">
        <v>489</v>
      </c>
      <c r="P2222" s="1" t="s">
        <v>8718</v>
      </c>
      <c r="Q2222" s="3">
        <v>40909.0</v>
      </c>
      <c r="R2222" s="1"/>
      <c r="S2222" s="1"/>
      <c r="T2222" s="1" t="s">
        <v>37</v>
      </c>
      <c r="U2222" s="1"/>
      <c r="V2222" s="1" t="s">
        <v>38</v>
      </c>
      <c r="W2222" s="1">
        <v>44.9</v>
      </c>
      <c r="X2222" s="1">
        <v>-72.36</v>
      </c>
      <c r="Y2222" s="1" t="s">
        <v>8719</v>
      </c>
      <c r="Z2222" s="1"/>
      <c r="AA2222" s="1" t="s">
        <v>40</v>
      </c>
      <c r="AB2222" s="1" t="s">
        <v>490</v>
      </c>
      <c r="AC2222" s="1">
        <v>0.0</v>
      </c>
    </row>
    <row r="2223">
      <c r="A2223" s="1" t="str">
        <f t="shared" si="175"/>
        <v>00088H</v>
      </c>
      <c r="B2223" s="1" t="s">
        <v>2463</v>
      </c>
      <c r="C2223" s="1" t="s">
        <v>2464</v>
      </c>
      <c r="D2223" s="1" t="str">
        <f t="shared" si="176"/>
        <v>8027442007</v>
      </c>
      <c r="E2223" s="1">
        <v>3222.0</v>
      </c>
      <c r="F2223" s="1" t="s">
        <v>117</v>
      </c>
      <c r="G2223" s="1" t="s">
        <v>8720</v>
      </c>
      <c r="H2223" s="1">
        <v>32.0</v>
      </c>
      <c r="I2223" s="1"/>
      <c r="J2223" s="1"/>
      <c r="K2223" s="1"/>
      <c r="L2223" s="1"/>
      <c r="M2223" s="1" t="s">
        <v>8721</v>
      </c>
      <c r="N2223" s="1" t="s">
        <v>107</v>
      </c>
      <c r="O2223" s="1" t="s">
        <v>2016</v>
      </c>
      <c r="P2223" s="1" t="s">
        <v>8722</v>
      </c>
      <c r="Q2223" s="3">
        <v>40909.0</v>
      </c>
      <c r="R2223" s="1"/>
      <c r="S2223" s="3">
        <v>42124.0</v>
      </c>
      <c r="T2223" s="1" t="s">
        <v>164</v>
      </c>
      <c r="U2223" s="1"/>
      <c r="V2223" s="1" t="s">
        <v>38</v>
      </c>
      <c r="W2223" s="1">
        <v>44.99249</v>
      </c>
      <c r="X2223" s="1">
        <v>-73.3028899999999</v>
      </c>
      <c r="Y2223" s="1" t="s">
        <v>8723</v>
      </c>
      <c r="Z2223" s="1"/>
      <c r="AA2223" s="1" t="s">
        <v>40</v>
      </c>
      <c r="AB2223" s="1" t="s">
        <v>8724</v>
      </c>
      <c r="AC2223" s="1">
        <v>0.0</v>
      </c>
    </row>
    <row r="2224">
      <c r="A2224" s="1" t="str">
        <f t="shared" si="175"/>
        <v>00088H</v>
      </c>
      <c r="B2224" s="1" t="s">
        <v>2463</v>
      </c>
      <c r="C2224" s="1" t="s">
        <v>2464</v>
      </c>
      <c r="D2224" s="1" t="str">
        <f t="shared" si="176"/>
        <v>8027442007</v>
      </c>
      <c r="E2224" s="1">
        <v>3222.0</v>
      </c>
      <c r="F2224" s="1" t="s">
        <v>117</v>
      </c>
      <c r="G2224" s="1" t="s">
        <v>8725</v>
      </c>
      <c r="H2224" s="1">
        <v>32.0</v>
      </c>
      <c r="I2224" s="1"/>
      <c r="J2224" s="1"/>
      <c r="K2224" s="1"/>
      <c r="L2224" s="1"/>
      <c r="M2224" s="1" t="s">
        <v>8726</v>
      </c>
      <c r="N2224" s="1" t="s">
        <v>107</v>
      </c>
      <c r="O2224" s="1" t="s">
        <v>2016</v>
      </c>
      <c r="P2224" s="1" t="s">
        <v>8727</v>
      </c>
      <c r="Q2224" s="3">
        <v>40909.0</v>
      </c>
      <c r="R2224" s="1"/>
      <c r="S2224" s="3">
        <v>41915.0</v>
      </c>
      <c r="T2224" s="1" t="s">
        <v>37</v>
      </c>
      <c r="U2224" s="1"/>
      <c r="V2224" s="1" t="s">
        <v>38</v>
      </c>
      <c r="W2224" s="1">
        <v>44.97604</v>
      </c>
      <c r="X2224" s="1">
        <v>-73.2351899999999</v>
      </c>
      <c r="Y2224" s="1" t="s">
        <v>8728</v>
      </c>
      <c r="Z2224" s="1"/>
      <c r="AA2224" s="1" t="s">
        <v>40</v>
      </c>
      <c r="AB2224" s="1" t="s">
        <v>8729</v>
      </c>
      <c r="AC2224" s="1">
        <v>0.0</v>
      </c>
    </row>
    <row r="2225">
      <c r="A2225" s="1" t="str">
        <f t="shared" si="175"/>
        <v>00088H</v>
      </c>
      <c r="B2225" s="1" t="s">
        <v>2463</v>
      </c>
      <c r="C2225" s="1" t="s">
        <v>2464</v>
      </c>
      <c r="D2225" s="1" t="str">
        <f t="shared" si="176"/>
        <v>8027442007</v>
      </c>
      <c r="E2225" s="1">
        <v>3222.0</v>
      </c>
      <c r="F2225" s="1" t="s">
        <v>117</v>
      </c>
      <c r="G2225" s="1" t="s">
        <v>8730</v>
      </c>
      <c r="H2225" s="1">
        <v>32.0</v>
      </c>
      <c r="I2225" s="1"/>
      <c r="J2225" s="1"/>
      <c r="K2225" s="1"/>
      <c r="L2225" s="1"/>
      <c r="M2225" s="1" t="s">
        <v>8731</v>
      </c>
      <c r="N2225" s="1" t="s">
        <v>107</v>
      </c>
      <c r="O2225" s="1" t="s">
        <v>2016</v>
      </c>
      <c r="P2225" s="1" t="s">
        <v>8732</v>
      </c>
      <c r="Q2225" s="3">
        <v>40909.0</v>
      </c>
      <c r="R2225" s="1"/>
      <c r="S2225" s="1"/>
      <c r="T2225" s="1" t="s">
        <v>37</v>
      </c>
      <c r="U2225" s="1"/>
      <c r="V2225" s="1" t="s">
        <v>38</v>
      </c>
      <c r="W2225" s="1">
        <v>44.956</v>
      </c>
      <c r="X2225" s="1">
        <v>-73.2818899999999</v>
      </c>
      <c r="Y2225" s="1" t="s">
        <v>8733</v>
      </c>
      <c r="Z2225" s="1"/>
      <c r="AA2225" s="1" t="s">
        <v>40</v>
      </c>
      <c r="AB2225" s="1" t="s">
        <v>8724</v>
      </c>
      <c r="AC2225" s="1">
        <v>0.0</v>
      </c>
    </row>
    <row r="2226">
      <c r="A2226" s="1" t="str">
        <f t="shared" si="175"/>
        <v>00088H</v>
      </c>
      <c r="B2226" s="1" t="s">
        <v>2463</v>
      </c>
      <c r="C2226" s="1" t="s">
        <v>2464</v>
      </c>
      <c r="D2226" s="1" t="str">
        <f t="shared" si="176"/>
        <v>8027442007</v>
      </c>
      <c r="E2226" s="1">
        <v>3222.0</v>
      </c>
      <c r="F2226" s="1" t="s">
        <v>117</v>
      </c>
      <c r="G2226" s="1" t="s">
        <v>8734</v>
      </c>
      <c r="H2226" s="1">
        <v>32.0</v>
      </c>
      <c r="I2226" s="1"/>
      <c r="J2226" s="1"/>
      <c r="K2226" s="1"/>
      <c r="L2226" s="1"/>
      <c r="M2226" s="1" t="s">
        <v>8735</v>
      </c>
      <c r="N2226" s="1" t="s">
        <v>107</v>
      </c>
      <c r="O2226" s="1" t="s">
        <v>2016</v>
      </c>
      <c r="P2226" s="1" t="s">
        <v>8736</v>
      </c>
      <c r="Q2226" s="3">
        <v>40909.0</v>
      </c>
      <c r="R2226" s="1"/>
      <c r="S2226" s="3">
        <v>41200.0</v>
      </c>
      <c r="T2226" s="1" t="s">
        <v>164</v>
      </c>
      <c r="U2226" s="1"/>
      <c r="V2226" s="1" t="s">
        <v>38</v>
      </c>
      <c r="W2226" s="1">
        <v>44.9386957169446</v>
      </c>
      <c r="X2226" s="1">
        <v>-73.2760579884052</v>
      </c>
      <c r="Y2226" s="1" t="s">
        <v>588</v>
      </c>
      <c r="Z2226" s="1"/>
      <c r="AA2226" s="1" t="s">
        <v>40</v>
      </c>
      <c r="AB2226" s="1" t="s">
        <v>8724</v>
      </c>
      <c r="AC2226" s="1">
        <v>0.0</v>
      </c>
    </row>
    <row r="2227">
      <c r="A2227" s="1" t="str">
        <f t="shared" si="175"/>
        <v>00088H</v>
      </c>
      <c r="B2227" s="1" t="s">
        <v>2463</v>
      </c>
      <c r="C2227" s="1" t="s">
        <v>2464</v>
      </c>
      <c r="D2227" s="1" t="str">
        <f t="shared" si="176"/>
        <v>8027442007</v>
      </c>
      <c r="E2227" s="1">
        <v>3222.0</v>
      </c>
      <c r="F2227" s="1" t="s">
        <v>117</v>
      </c>
      <c r="G2227" s="1" t="s">
        <v>8737</v>
      </c>
      <c r="H2227" s="1">
        <v>32.0</v>
      </c>
      <c r="I2227" s="1"/>
      <c r="J2227" s="1"/>
      <c r="K2227" s="1"/>
      <c r="L2227" s="1"/>
      <c r="M2227" s="1" t="s">
        <v>8738</v>
      </c>
      <c r="N2227" s="1" t="s">
        <v>47</v>
      </c>
      <c r="O2227" s="1" t="s">
        <v>1112</v>
      </c>
      <c r="P2227" s="1" t="s">
        <v>2819</v>
      </c>
      <c r="Q2227" s="3">
        <v>40909.0</v>
      </c>
      <c r="R2227" s="1"/>
      <c r="S2227" s="3">
        <v>41941.0</v>
      </c>
      <c r="T2227" s="1" t="s">
        <v>164</v>
      </c>
      <c r="U2227" s="1"/>
      <c r="V2227" s="1" t="s">
        <v>38</v>
      </c>
      <c r="W2227" s="1">
        <v>44.8777304479537</v>
      </c>
      <c r="X2227" s="1">
        <v>-73.1522780656814</v>
      </c>
      <c r="Y2227" s="1" t="s">
        <v>8739</v>
      </c>
      <c r="Z2227" s="1"/>
      <c r="AA2227" s="1" t="s">
        <v>40</v>
      </c>
      <c r="AB2227" s="1" t="s">
        <v>1115</v>
      </c>
      <c r="AC2227" s="1">
        <v>0.0</v>
      </c>
    </row>
    <row r="2228">
      <c r="A2228" s="1" t="str">
        <f t="shared" si="175"/>
        <v>00088H</v>
      </c>
      <c r="B2228" s="1" t="s">
        <v>2463</v>
      </c>
      <c r="C2228" s="1" t="s">
        <v>2464</v>
      </c>
      <c r="D2228" s="1" t="str">
        <f t="shared" si="176"/>
        <v>8027442007</v>
      </c>
      <c r="E2228" s="1">
        <v>3222.0</v>
      </c>
      <c r="F2228" s="1" t="s">
        <v>117</v>
      </c>
      <c r="G2228" s="1" t="s">
        <v>8740</v>
      </c>
      <c r="H2228" s="1">
        <v>32.0</v>
      </c>
      <c r="I2228" s="1"/>
      <c r="J2228" s="1"/>
      <c r="K2228" s="1"/>
      <c r="L2228" s="1"/>
      <c r="M2228" s="1" t="s">
        <v>8741</v>
      </c>
      <c r="N2228" s="1" t="s">
        <v>107</v>
      </c>
      <c r="O2228" s="1" t="s">
        <v>108</v>
      </c>
      <c r="P2228" s="1" t="s">
        <v>8742</v>
      </c>
      <c r="Q2228" s="3">
        <v>40909.0</v>
      </c>
      <c r="R2228" s="1"/>
      <c r="S2228" s="1"/>
      <c r="T2228" s="1" t="s">
        <v>164</v>
      </c>
      <c r="U2228" s="1"/>
      <c r="V2228" s="1" t="s">
        <v>38</v>
      </c>
      <c r="W2228" s="1">
        <v>44.74529</v>
      </c>
      <c r="X2228" s="1">
        <v>-73.27397</v>
      </c>
      <c r="Y2228" s="1" t="s">
        <v>8743</v>
      </c>
      <c r="Z2228" s="1"/>
      <c r="AA2228" s="1" t="s">
        <v>40</v>
      </c>
      <c r="AB2228" s="1" t="s">
        <v>107</v>
      </c>
      <c r="AC2228" s="1">
        <v>0.0</v>
      </c>
    </row>
    <row r="2229">
      <c r="A2229" s="1" t="str">
        <f t="shared" si="175"/>
        <v>00088H</v>
      </c>
      <c r="B2229" s="1" t="s">
        <v>2463</v>
      </c>
      <c r="C2229" s="1" t="s">
        <v>2464</v>
      </c>
      <c r="D2229" s="1" t="str">
        <f t="shared" si="176"/>
        <v>8027442007</v>
      </c>
      <c r="E2229" s="1">
        <v>3222.0</v>
      </c>
      <c r="F2229" s="1" t="s">
        <v>117</v>
      </c>
      <c r="G2229" s="1" t="s">
        <v>8744</v>
      </c>
      <c r="H2229" s="1">
        <v>32.0</v>
      </c>
      <c r="I2229" s="1"/>
      <c r="J2229" s="1"/>
      <c r="K2229" s="1"/>
      <c r="L2229" s="1"/>
      <c r="M2229" s="1" t="s">
        <v>8745</v>
      </c>
      <c r="N2229" s="1" t="s">
        <v>107</v>
      </c>
      <c r="O2229" s="1" t="s">
        <v>2016</v>
      </c>
      <c r="P2229" s="1" t="s">
        <v>8746</v>
      </c>
      <c r="Q2229" s="3">
        <v>40909.0</v>
      </c>
      <c r="R2229" s="1"/>
      <c r="S2229" s="1"/>
      <c r="T2229" s="1" t="s">
        <v>164</v>
      </c>
      <c r="U2229" s="1"/>
      <c r="V2229" s="1" t="s">
        <v>38</v>
      </c>
      <c r="W2229" s="1">
        <v>44.9990566191425</v>
      </c>
      <c r="X2229" s="1">
        <v>-73.2234334247186</v>
      </c>
      <c r="Y2229" s="1" t="s">
        <v>8747</v>
      </c>
      <c r="Z2229" s="1"/>
      <c r="AA2229" s="1" t="s">
        <v>40</v>
      </c>
      <c r="AB2229" s="1" t="s">
        <v>8724</v>
      </c>
      <c r="AC2229" s="1">
        <v>0.0</v>
      </c>
    </row>
    <row r="2230">
      <c r="A2230" s="1" t="str">
        <f t="shared" si="175"/>
        <v>00088H</v>
      </c>
      <c r="B2230" s="1" t="s">
        <v>2463</v>
      </c>
      <c r="C2230" s="1" t="s">
        <v>2464</v>
      </c>
      <c r="D2230" s="1" t="str">
        <f t="shared" si="176"/>
        <v>8027442007</v>
      </c>
      <c r="E2230" s="1">
        <v>3222.0</v>
      </c>
      <c r="F2230" s="1" t="s">
        <v>117</v>
      </c>
      <c r="G2230" s="1" t="s">
        <v>8748</v>
      </c>
      <c r="H2230" s="1">
        <v>32.0</v>
      </c>
      <c r="I2230" s="1"/>
      <c r="J2230" s="1"/>
      <c r="K2230" s="1"/>
      <c r="L2230" s="1"/>
      <c r="M2230" s="1" t="s">
        <v>8749</v>
      </c>
      <c r="N2230" s="1" t="s">
        <v>107</v>
      </c>
      <c r="O2230" s="1" t="s">
        <v>108</v>
      </c>
      <c r="P2230" s="1" t="s">
        <v>8750</v>
      </c>
      <c r="Q2230" s="3">
        <v>40909.0</v>
      </c>
      <c r="R2230" s="1"/>
      <c r="S2230" s="3">
        <v>41913.0</v>
      </c>
      <c r="T2230" s="1" t="s">
        <v>164</v>
      </c>
      <c r="U2230" s="1"/>
      <c r="V2230" s="1" t="s">
        <v>38</v>
      </c>
      <c r="W2230" s="1">
        <v>44.67509</v>
      </c>
      <c r="X2230" s="1">
        <v>-73.31259</v>
      </c>
      <c r="Y2230" s="1" t="s">
        <v>8751</v>
      </c>
      <c r="Z2230" s="1"/>
      <c r="AA2230" s="1" t="s">
        <v>40</v>
      </c>
      <c r="AB2230" s="1" t="s">
        <v>107</v>
      </c>
      <c r="AC2230" s="1">
        <v>0.0</v>
      </c>
    </row>
    <row r="2231">
      <c r="A2231" s="1" t="str">
        <f t="shared" si="175"/>
        <v>00088H</v>
      </c>
      <c r="B2231" s="1" t="s">
        <v>2463</v>
      </c>
      <c r="C2231" s="1" t="s">
        <v>2464</v>
      </c>
      <c r="D2231" s="1" t="str">
        <f t="shared" si="176"/>
        <v>8027442007</v>
      </c>
      <c r="E2231" s="1">
        <v>3222.0</v>
      </c>
      <c r="F2231" s="1" t="s">
        <v>117</v>
      </c>
      <c r="G2231" s="1" t="s">
        <v>8752</v>
      </c>
      <c r="H2231" s="1">
        <v>32.0</v>
      </c>
      <c r="I2231" s="1"/>
      <c r="J2231" s="1"/>
      <c r="K2231" s="1"/>
      <c r="L2231" s="1"/>
      <c r="M2231" s="1" t="s">
        <v>8753</v>
      </c>
      <c r="N2231" s="1" t="s">
        <v>107</v>
      </c>
      <c r="O2231" s="1" t="s">
        <v>821</v>
      </c>
      <c r="P2231" s="1" t="s">
        <v>8754</v>
      </c>
      <c r="Q2231" s="3">
        <v>40909.0</v>
      </c>
      <c r="R2231" s="1"/>
      <c r="S2231" s="3">
        <v>41907.0</v>
      </c>
      <c r="T2231" s="1" t="s">
        <v>164</v>
      </c>
      <c r="U2231" s="1"/>
      <c r="V2231" s="1" t="s">
        <v>38</v>
      </c>
      <c r="W2231" s="1">
        <v>44.63947</v>
      </c>
      <c r="X2231" s="1">
        <v>-73.3320999999999</v>
      </c>
      <c r="Y2231" s="1" t="s">
        <v>8755</v>
      </c>
      <c r="Z2231" s="1"/>
      <c r="AA2231" s="1" t="s">
        <v>40</v>
      </c>
      <c r="AB2231" s="1" t="s">
        <v>822</v>
      </c>
      <c r="AC2231" s="1">
        <v>0.0</v>
      </c>
    </row>
    <row r="2232">
      <c r="A2232" s="1" t="str">
        <f t="shared" si="175"/>
        <v>00088H</v>
      </c>
      <c r="B2232" s="1" t="s">
        <v>2463</v>
      </c>
      <c r="C2232" s="1" t="s">
        <v>2464</v>
      </c>
      <c r="D2232" s="1" t="str">
        <f t="shared" si="176"/>
        <v>8027442007</v>
      </c>
      <c r="E2232" s="1">
        <v>3222.0</v>
      </c>
      <c r="F2232" s="1" t="s">
        <v>117</v>
      </c>
      <c r="G2232" s="1" t="s">
        <v>8756</v>
      </c>
      <c r="H2232" s="1">
        <v>32.0</v>
      </c>
      <c r="I2232" s="1"/>
      <c r="J2232" s="1"/>
      <c r="K2232" s="1"/>
      <c r="L2232" s="1"/>
      <c r="M2232" s="1" t="s">
        <v>8757</v>
      </c>
      <c r="N2232" s="1" t="s">
        <v>107</v>
      </c>
      <c r="O2232" s="1" t="s">
        <v>821</v>
      </c>
      <c r="P2232" s="1" t="s">
        <v>8758</v>
      </c>
      <c r="Q2232" s="3">
        <v>40909.0</v>
      </c>
      <c r="R2232" s="1"/>
      <c r="S2232" s="3">
        <v>41913.0</v>
      </c>
      <c r="T2232" s="1" t="s">
        <v>164</v>
      </c>
      <c r="U2232" s="1"/>
      <c r="V2232" s="1" t="s">
        <v>38</v>
      </c>
      <c r="W2232" s="1">
        <v>44.62667</v>
      </c>
      <c r="X2232" s="1">
        <v>-73.3075</v>
      </c>
      <c r="Y2232" s="1" t="s">
        <v>8759</v>
      </c>
      <c r="Z2232" s="1"/>
      <c r="AA2232" s="1" t="s">
        <v>40</v>
      </c>
      <c r="AB2232" s="1" t="s">
        <v>822</v>
      </c>
      <c r="AC2232" s="1">
        <v>0.0</v>
      </c>
    </row>
    <row r="2233">
      <c r="A2233" s="1" t="str">
        <f t="shared" si="175"/>
        <v>00088H</v>
      </c>
      <c r="B2233" s="1" t="s">
        <v>2463</v>
      </c>
      <c r="C2233" s="1" t="s">
        <v>2464</v>
      </c>
      <c r="D2233" s="1" t="str">
        <f t="shared" si="176"/>
        <v>8027442007</v>
      </c>
      <c r="E2233" s="1">
        <v>3222.0</v>
      </c>
      <c r="F2233" s="1" t="s">
        <v>117</v>
      </c>
      <c r="G2233" s="1" t="s">
        <v>8760</v>
      </c>
      <c r="H2233" s="1">
        <v>32.0</v>
      </c>
      <c r="I2233" s="1"/>
      <c r="J2233" s="1"/>
      <c r="K2233" s="1"/>
      <c r="L2233" s="1"/>
      <c r="M2233" s="1" t="s">
        <v>8761</v>
      </c>
      <c r="N2233" s="1" t="s">
        <v>107</v>
      </c>
      <c r="O2233" s="1" t="s">
        <v>724</v>
      </c>
      <c r="P2233" s="1" t="s">
        <v>8762</v>
      </c>
      <c r="Q2233" s="3">
        <v>40909.0</v>
      </c>
      <c r="R2233" s="1"/>
      <c r="S2233" s="3">
        <v>41939.0</v>
      </c>
      <c r="T2233" s="1" t="s">
        <v>164</v>
      </c>
      <c r="U2233" s="1"/>
      <c r="V2233" s="1" t="s">
        <v>38</v>
      </c>
      <c r="W2233" s="1">
        <v>44.81424</v>
      </c>
      <c r="X2233" s="1">
        <v>-73.29601</v>
      </c>
      <c r="Y2233" s="1" t="s">
        <v>8763</v>
      </c>
      <c r="Z2233" s="1"/>
      <c r="AA2233" s="1" t="s">
        <v>40</v>
      </c>
      <c r="AB2233" s="1" t="s">
        <v>725</v>
      </c>
      <c r="AC2233" s="1">
        <v>0.0</v>
      </c>
    </row>
    <row r="2234">
      <c r="A2234" s="1" t="str">
        <f>"000J68"</f>
        <v>000J68</v>
      </c>
      <c r="B2234" s="1" t="s">
        <v>8764</v>
      </c>
      <c r="C2234" s="1" t="s">
        <v>8765</v>
      </c>
      <c r="D2234" s="1" t="str">
        <f>"9783178514"</f>
        <v>9783178514</v>
      </c>
      <c r="E2234" s="1">
        <v>4394.0</v>
      </c>
      <c r="F2234" s="1" t="s">
        <v>44</v>
      </c>
      <c r="G2234" s="1" t="s">
        <v>8766</v>
      </c>
      <c r="H2234" s="1">
        <v>1.0</v>
      </c>
      <c r="I2234" s="1"/>
      <c r="J2234" s="1"/>
      <c r="K2234" s="1"/>
      <c r="L2234" s="1"/>
      <c r="M2234" s="1" t="s">
        <v>8767</v>
      </c>
      <c r="N2234" s="1" t="s">
        <v>57</v>
      </c>
      <c r="O2234" s="1" t="s">
        <v>175</v>
      </c>
      <c r="P2234" s="1" t="s">
        <v>36</v>
      </c>
      <c r="Q2234" s="3">
        <v>41022.0</v>
      </c>
      <c r="R2234" s="1"/>
      <c r="S2234" s="1"/>
      <c r="T2234" s="1" t="s">
        <v>37</v>
      </c>
      <c r="U2234" s="1"/>
      <c r="V2234" s="1" t="s">
        <v>38</v>
      </c>
      <c r="W2234" s="1"/>
      <c r="X2234" s="1"/>
      <c r="Y2234" s="1" t="s">
        <v>8768</v>
      </c>
      <c r="Z2234" s="1"/>
      <c r="AA2234" s="1" t="s">
        <v>40</v>
      </c>
      <c r="AB2234" s="1" t="s">
        <v>176</v>
      </c>
      <c r="AC2234" s="1">
        <v>5401.0</v>
      </c>
    </row>
    <row r="2235">
      <c r="A2235" s="1" t="str">
        <f>"000J7N"</f>
        <v>000J7N</v>
      </c>
      <c r="B2235" s="1" t="s">
        <v>8769</v>
      </c>
      <c r="C2235" s="1" t="s">
        <v>8770</v>
      </c>
      <c r="D2235" s="1" t="str">
        <f>"8023433306"</f>
        <v>8023433306</v>
      </c>
      <c r="E2235" s="1">
        <v>4398.0</v>
      </c>
      <c r="F2235" s="1" t="s">
        <v>31</v>
      </c>
      <c r="G2235" s="1" t="s">
        <v>8771</v>
      </c>
      <c r="H2235" s="1">
        <v>3.0</v>
      </c>
      <c r="I2235" s="1"/>
      <c r="J2235" s="1"/>
      <c r="K2235" s="1"/>
      <c r="L2235" s="1"/>
      <c r="M2235" s="1" t="s">
        <v>8772</v>
      </c>
      <c r="N2235" s="1" t="s">
        <v>57</v>
      </c>
      <c r="O2235" s="1" t="s">
        <v>509</v>
      </c>
      <c r="P2235" s="1" t="s">
        <v>8773</v>
      </c>
      <c r="Q2235" s="3">
        <v>41011.0</v>
      </c>
      <c r="R2235" s="1"/>
      <c r="S2235" s="1"/>
      <c r="T2235" s="1" t="s">
        <v>37</v>
      </c>
      <c r="U2235" s="1"/>
      <c r="V2235" s="1" t="s">
        <v>38</v>
      </c>
      <c r="W2235" s="1">
        <v>44.506183</v>
      </c>
      <c r="X2235" s="1">
        <v>-73.015525</v>
      </c>
      <c r="Y2235" s="1" t="s">
        <v>8774</v>
      </c>
      <c r="Z2235" s="1"/>
      <c r="AA2235" s="1" t="s">
        <v>40</v>
      </c>
      <c r="AB2235" s="1" t="s">
        <v>3296</v>
      </c>
      <c r="AC2235" s="1">
        <v>5452.0</v>
      </c>
    </row>
    <row r="2236">
      <c r="A2236" s="1" t="str">
        <f>"000J8Q"</f>
        <v>000J8Q</v>
      </c>
      <c r="B2236" s="1" t="s">
        <v>8775</v>
      </c>
      <c r="C2236" s="1" t="s">
        <v>8776</v>
      </c>
      <c r="D2236" s="1" t="str">
        <f>"8023752455"</f>
        <v>8023752455</v>
      </c>
      <c r="E2236" s="1">
        <v>4405.0</v>
      </c>
      <c r="F2236" s="1" t="s">
        <v>44</v>
      </c>
      <c r="G2236" s="1" t="s">
        <v>8777</v>
      </c>
      <c r="H2236" s="1">
        <v>8.0</v>
      </c>
      <c r="I2236" s="1"/>
      <c r="J2236" s="1"/>
      <c r="K2236" s="1"/>
      <c r="L2236" s="1"/>
      <c r="M2236" s="1" t="s">
        <v>33</v>
      </c>
      <c r="N2236" s="1" t="s">
        <v>414</v>
      </c>
      <c r="O2236" s="1" t="s">
        <v>1390</v>
      </c>
      <c r="P2236" s="1" t="s">
        <v>36</v>
      </c>
      <c r="Q2236" s="3">
        <v>41044.0</v>
      </c>
      <c r="R2236" s="1"/>
      <c r="S2236" s="1"/>
      <c r="T2236" s="1" t="s">
        <v>37</v>
      </c>
      <c r="U2236" s="1"/>
      <c r="V2236" s="1" t="s">
        <v>38</v>
      </c>
      <c r="W2236" s="1"/>
      <c r="X2236" s="1"/>
      <c r="Y2236" s="1" t="s">
        <v>8778</v>
      </c>
      <c r="Z2236" s="1"/>
      <c r="AA2236" s="1" t="s">
        <v>40</v>
      </c>
      <c r="AB2236" s="1" t="s">
        <v>1391</v>
      </c>
      <c r="AC2236" s="1">
        <v>5250.0</v>
      </c>
    </row>
    <row r="2237">
      <c r="A2237" s="1" t="str">
        <f>"000J92"</f>
        <v>000J92</v>
      </c>
      <c r="B2237" s="1" t="s">
        <v>8779</v>
      </c>
      <c r="C2237" s="1" t="s">
        <v>8780</v>
      </c>
      <c r="D2237" s="1"/>
      <c r="E2237" s="1">
        <v>4408.0</v>
      </c>
      <c r="F2237" s="1" t="s">
        <v>117</v>
      </c>
      <c r="G2237" s="1" t="s">
        <v>8781</v>
      </c>
      <c r="H2237" s="1">
        <v>1.0</v>
      </c>
      <c r="I2237" s="2" t="s">
        <v>119</v>
      </c>
      <c r="J2237" s="2" t="s">
        <v>119</v>
      </c>
      <c r="K2237" s="2" t="s">
        <v>119</v>
      </c>
      <c r="L2237" s="1"/>
      <c r="M2237" s="1" t="s">
        <v>8782</v>
      </c>
      <c r="N2237" s="1" t="s">
        <v>161</v>
      </c>
      <c r="O2237" s="1" t="s">
        <v>769</v>
      </c>
      <c r="P2237" s="1" t="s">
        <v>8782</v>
      </c>
      <c r="Q2237" s="3">
        <v>41087.0</v>
      </c>
      <c r="R2237" s="1"/>
      <c r="S2237" s="1"/>
      <c r="T2237" s="1" t="s">
        <v>37</v>
      </c>
      <c r="U2237" s="1"/>
      <c r="V2237" s="1" t="s">
        <v>38</v>
      </c>
      <c r="W2237" s="1">
        <v>44.2425469999999</v>
      </c>
      <c r="X2237" s="1">
        <v>-73.219284</v>
      </c>
      <c r="Y2237" s="1" t="s">
        <v>8783</v>
      </c>
      <c r="Z2237" s="1"/>
      <c r="AA2237" s="1" t="s">
        <v>40</v>
      </c>
      <c r="AB2237" s="1" t="s">
        <v>6661</v>
      </c>
      <c r="AC2237" s="1">
        <v>0.0</v>
      </c>
    </row>
    <row r="2238">
      <c r="A2238" s="1" t="str">
        <f>"000JCC"</f>
        <v>000JCC</v>
      </c>
      <c r="B2238" s="1" t="s">
        <v>8784</v>
      </c>
      <c r="C2238" s="1" t="s">
        <v>8785</v>
      </c>
      <c r="D2238" s="1" t="str">
        <f>"8027828009"</f>
        <v>8027828009</v>
      </c>
      <c r="E2238" s="1">
        <v>4413.0</v>
      </c>
      <c r="F2238" s="1" t="s">
        <v>44</v>
      </c>
      <c r="G2238" s="1" t="s">
        <v>8786</v>
      </c>
      <c r="H2238" s="1">
        <v>1.0</v>
      </c>
      <c r="I2238" s="1"/>
      <c r="J2238" s="1"/>
      <c r="K2238" s="1"/>
      <c r="L2238" s="1"/>
      <c r="M2238" s="1" t="s">
        <v>33</v>
      </c>
      <c r="N2238" s="1" t="s">
        <v>47</v>
      </c>
      <c r="O2238" s="1" t="s">
        <v>582</v>
      </c>
      <c r="P2238" s="1"/>
      <c r="Q2238" s="3">
        <v>41041.0</v>
      </c>
      <c r="R2238" s="1"/>
      <c r="S2238" s="1"/>
      <c r="T2238" s="1" t="s">
        <v>37</v>
      </c>
      <c r="U2238" s="1"/>
      <c r="V2238" s="1" t="s">
        <v>38</v>
      </c>
      <c r="W2238" s="1">
        <v>44.7204241</v>
      </c>
      <c r="X2238" s="1">
        <v>-73.1516439999999</v>
      </c>
      <c r="Y2238" s="1" t="s">
        <v>8787</v>
      </c>
      <c r="Z2238" s="1"/>
      <c r="AA2238" s="1" t="s">
        <v>40</v>
      </c>
      <c r="AB2238" s="1" t="s">
        <v>583</v>
      </c>
      <c r="AC2238" s="1">
        <v>5402.0</v>
      </c>
    </row>
    <row r="2239">
      <c r="A2239" s="1" t="str">
        <f>"0007V0"</f>
        <v>0007V0</v>
      </c>
      <c r="B2239" s="1" t="s">
        <v>8109</v>
      </c>
      <c r="C2239" s="1" t="s">
        <v>8110</v>
      </c>
      <c r="D2239" s="1" t="str">
        <f>"8024623722"</f>
        <v>8024623722</v>
      </c>
      <c r="E2239" s="1">
        <v>4027.0</v>
      </c>
      <c r="F2239" s="1" t="s">
        <v>117</v>
      </c>
      <c r="G2239" s="1" t="s">
        <v>8788</v>
      </c>
      <c r="H2239" s="1">
        <v>18.0</v>
      </c>
      <c r="I2239" s="2" t="s">
        <v>119</v>
      </c>
      <c r="J2239" s="2" t="s">
        <v>119</v>
      </c>
      <c r="K2239" s="2" t="s">
        <v>119</v>
      </c>
      <c r="L2239" s="1"/>
      <c r="M2239" s="1" t="s">
        <v>8789</v>
      </c>
      <c r="N2239" s="1" t="s">
        <v>161</v>
      </c>
      <c r="O2239" s="1" t="s">
        <v>1501</v>
      </c>
      <c r="P2239" s="1" t="s">
        <v>8790</v>
      </c>
      <c r="Q2239" s="3">
        <v>41032.0</v>
      </c>
      <c r="R2239" s="1"/>
      <c r="S2239" s="1"/>
      <c r="T2239" s="1" t="s">
        <v>37</v>
      </c>
      <c r="U2239" s="1"/>
      <c r="V2239" s="1" t="s">
        <v>38</v>
      </c>
      <c r="W2239" s="1">
        <v>43.8751618999999</v>
      </c>
      <c r="X2239" s="1">
        <v>-73.1058618</v>
      </c>
      <c r="Y2239" s="1" t="s">
        <v>8791</v>
      </c>
      <c r="Z2239" s="1"/>
      <c r="AA2239" s="1" t="s">
        <v>40</v>
      </c>
      <c r="AB2239" s="1" t="s">
        <v>1504</v>
      </c>
      <c r="AC2239" s="1">
        <v>5000.0</v>
      </c>
    </row>
    <row r="2240">
      <c r="A2240" s="1" t="str">
        <f>"000JCV"</f>
        <v>000JCV</v>
      </c>
      <c r="B2240" s="1" t="s">
        <v>8792</v>
      </c>
      <c r="C2240" s="1" t="s">
        <v>8793</v>
      </c>
      <c r="D2240" s="1" t="str">
        <f>"8023942973"</f>
        <v>8023942973</v>
      </c>
      <c r="E2240" s="1">
        <v>4416.0</v>
      </c>
      <c r="F2240" s="1" t="s">
        <v>117</v>
      </c>
      <c r="G2240" s="1" t="s">
        <v>8794</v>
      </c>
      <c r="H2240" s="1">
        <v>4.0</v>
      </c>
      <c r="I2240" s="2">
        <v>2.0</v>
      </c>
      <c r="J2240" s="2">
        <v>1.0</v>
      </c>
      <c r="K2240" s="2" t="s">
        <v>119</v>
      </c>
      <c r="L2240" s="2" t="s">
        <v>4799</v>
      </c>
      <c r="M2240" s="1" t="s">
        <v>8795</v>
      </c>
      <c r="N2240" s="1" t="s">
        <v>414</v>
      </c>
      <c r="O2240" s="1" t="s">
        <v>2004</v>
      </c>
      <c r="P2240" s="1" t="s">
        <v>8796</v>
      </c>
      <c r="Q2240" s="3">
        <v>41065.0</v>
      </c>
      <c r="R2240" s="1"/>
      <c r="S2240" s="1"/>
      <c r="T2240" s="1" t="s">
        <v>37</v>
      </c>
      <c r="U2240" s="1"/>
      <c r="V2240" s="1" t="s">
        <v>38</v>
      </c>
      <c r="W2240" s="1">
        <v>43.232506</v>
      </c>
      <c r="X2240" s="1">
        <v>-73.2163769999999</v>
      </c>
      <c r="Y2240" s="1" t="s">
        <v>8797</v>
      </c>
      <c r="Z2240" s="1"/>
      <c r="AA2240" s="1" t="s">
        <v>40</v>
      </c>
      <c r="AB2240" s="1" t="s">
        <v>8798</v>
      </c>
      <c r="AC2240" s="1">
        <v>5776.0</v>
      </c>
    </row>
    <row r="2241">
      <c r="A2241" s="1" t="str">
        <f>"0008W7"</f>
        <v>0008W7</v>
      </c>
      <c r="B2241" s="1" t="s">
        <v>3704</v>
      </c>
      <c r="C2241" s="1" t="s">
        <v>3705</v>
      </c>
      <c r="D2241" s="1" t="str">
        <f>"8026450652"</f>
        <v>8026450652</v>
      </c>
      <c r="E2241" s="1">
        <v>3381.0</v>
      </c>
      <c r="F2241" s="1" t="s">
        <v>117</v>
      </c>
      <c r="G2241" s="1" t="s">
        <v>8799</v>
      </c>
      <c r="H2241" s="1">
        <v>10.0</v>
      </c>
      <c r="I2241" s="2">
        <v>2.0</v>
      </c>
      <c r="J2241" s="2">
        <v>2.0</v>
      </c>
      <c r="K2241" s="2">
        <v>5.0</v>
      </c>
      <c r="L2241" s="1"/>
      <c r="M2241" s="1" t="s">
        <v>8800</v>
      </c>
      <c r="N2241" s="1" t="s">
        <v>78</v>
      </c>
      <c r="O2241" s="1" t="s">
        <v>434</v>
      </c>
      <c r="P2241" s="1" t="s">
        <v>8801</v>
      </c>
      <c r="Q2241" s="3">
        <v>41283.0</v>
      </c>
      <c r="R2241" s="1"/>
      <c r="S2241" s="1"/>
      <c r="T2241" s="1" t="s">
        <v>37</v>
      </c>
      <c r="U2241" s="1"/>
      <c r="V2241" s="1" t="s">
        <v>38</v>
      </c>
      <c r="W2241" s="1"/>
      <c r="X2241" s="1"/>
      <c r="Y2241" s="1" t="s">
        <v>8802</v>
      </c>
      <c r="Z2241" s="1"/>
      <c r="AA2241" s="1" t="s">
        <v>40</v>
      </c>
      <c r="AB2241" s="1" t="s">
        <v>3710</v>
      </c>
      <c r="AC2241" s="1">
        <v>5775.0</v>
      </c>
    </row>
    <row r="2242">
      <c r="A2242" s="1" t="str">
        <f t="shared" ref="A2242:A2244" si="177">"000JQW"</f>
        <v>000JQW</v>
      </c>
      <c r="B2242" s="1" t="s">
        <v>8803</v>
      </c>
      <c r="C2242" s="1" t="s">
        <v>8804</v>
      </c>
      <c r="D2242" s="1" t="str">
        <f t="shared" ref="D2242:D2244" si="178">"8026451933"</f>
        <v>8026451933</v>
      </c>
      <c r="E2242" s="1">
        <v>4432.0</v>
      </c>
      <c r="F2242" s="1" t="s">
        <v>117</v>
      </c>
      <c r="G2242" s="1" t="s">
        <v>8805</v>
      </c>
      <c r="H2242" s="1">
        <v>1.0</v>
      </c>
      <c r="I2242" s="2" t="s">
        <v>119</v>
      </c>
      <c r="J2242" s="2" t="s">
        <v>119</v>
      </c>
      <c r="K2242" s="2" t="s">
        <v>119</v>
      </c>
      <c r="L2242" s="1"/>
      <c r="M2242" s="1" t="s">
        <v>8806</v>
      </c>
      <c r="N2242" s="1" t="s">
        <v>78</v>
      </c>
      <c r="O2242" s="1" t="s">
        <v>371</v>
      </c>
      <c r="P2242" s="1" t="s">
        <v>8807</v>
      </c>
      <c r="Q2242" s="3">
        <v>41127.0</v>
      </c>
      <c r="R2242" s="1"/>
      <c r="S2242" s="1"/>
      <c r="T2242" s="1" t="s">
        <v>37</v>
      </c>
      <c r="U2242" s="1"/>
      <c r="V2242" s="1" t="s">
        <v>38</v>
      </c>
      <c r="W2242" s="1">
        <v>43.4572049</v>
      </c>
      <c r="X2242" s="1">
        <v>-73.2159279</v>
      </c>
      <c r="Y2242" s="1" t="s">
        <v>8808</v>
      </c>
      <c r="Z2242" s="1"/>
      <c r="AA2242" s="1" t="s">
        <v>40</v>
      </c>
      <c r="AB2242" s="1" t="s">
        <v>374</v>
      </c>
      <c r="AC2242" s="1">
        <v>5774.0</v>
      </c>
    </row>
    <row r="2243">
      <c r="A2243" s="1" t="str">
        <f t="shared" si="177"/>
        <v>000JQW</v>
      </c>
      <c r="B2243" s="1" t="s">
        <v>8803</v>
      </c>
      <c r="C2243" s="1" t="s">
        <v>8804</v>
      </c>
      <c r="D2243" s="1" t="str">
        <f t="shared" si="178"/>
        <v>8026451933</v>
      </c>
      <c r="E2243" s="1">
        <v>4432.0</v>
      </c>
      <c r="F2243" s="1" t="s">
        <v>117</v>
      </c>
      <c r="G2243" s="1" t="s">
        <v>8809</v>
      </c>
      <c r="H2243" s="1">
        <v>0.0</v>
      </c>
      <c r="I2243" s="2">
        <v>2.0</v>
      </c>
      <c r="J2243" s="2" t="s">
        <v>119</v>
      </c>
      <c r="K2243" s="2" t="s">
        <v>119</v>
      </c>
      <c r="L2243" s="1"/>
      <c r="M2243" s="1" t="s">
        <v>8810</v>
      </c>
      <c r="N2243" s="1" t="s">
        <v>78</v>
      </c>
      <c r="O2243" s="1" t="s">
        <v>371</v>
      </c>
      <c r="P2243" s="1" t="s">
        <v>8811</v>
      </c>
      <c r="Q2243" s="3">
        <v>41127.0</v>
      </c>
      <c r="R2243" s="3">
        <v>42887.0</v>
      </c>
      <c r="S2243" s="1"/>
      <c r="T2243" s="1" t="s">
        <v>37</v>
      </c>
      <c r="U2243" s="1"/>
      <c r="V2243" s="1" t="s">
        <v>38</v>
      </c>
      <c r="W2243" s="1">
        <v>43.4172838539897</v>
      </c>
      <c r="X2243" s="1">
        <v>-73.2016682624816</v>
      </c>
      <c r="Y2243" s="1" t="s">
        <v>8705</v>
      </c>
      <c r="Z2243" s="1"/>
      <c r="AA2243" s="1" t="s">
        <v>40</v>
      </c>
      <c r="AB2243" s="1" t="s">
        <v>374</v>
      </c>
      <c r="AC2243" s="1">
        <v>5774.0</v>
      </c>
    </row>
    <row r="2244">
      <c r="A2244" s="1" t="str">
        <f t="shared" si="177"/>
        <v>000JQW</v>
      </c>
      <c r="B2244" s="1" t="s">
        <v>8803</v>
      </c>
      <c r="C2244" s="1" t="s">
        <v>8804</v>
      </c>
      <c r="D2244" s="1" t="str">
        <f t="shared" si="178"/>
        <v>8026451933</v>
      </c>
      <c r="E2244" s="1">
        <v>4432.0</v>
      </c>
      <c r="F2244" s="1" t="s">
        <v>117</v>
      </c>
      <c r="G2244" s="1" t="s">
        <v>8812</v>
      </c>
      <c r="H2244" s="1">
        <v>1.0</v>
      </c>
      <c r="I2244" s="2">
        <v>1.0</v>
      </c>
      <c r="J2244" s="2" t="s">
        <v>119</v>
      </c>
      <c r="K2244" s="2" t="s">
        <v>119</v>
      </c>
      <c r="L2244" s="1"/>
      <c r="M2244" s="1" t="s">
        <v>8813</v>
      </c>
      <c r="N2244" s="1" t="s">
        <v>78</v>
      </c>
      <c r="O2244" s="1" t="s">
        <v>371</v>
      </c>
      <c r="P2244" s="1" t="s">
        <v>8814</v>
      </c>
      <c r="Q2244" s="3">
        <v>41127.0</v>
      </c>
      <c r="R2244" s="1"/>
      <c r="S2244" s="1"/>
      <c r="T2244" s="1" t="s">
        <v>37</v>
      </c>
      <c r="U2244" s="1"/>
      <c r="V2244" s="1" t="s">
        <v>38</v>
      </c>
      <c r="W2244" s="1">
        <v>43.446500838359</v>
      </c>
      <c r="X2244" s="1">
        <v>-73.1750392913818</v>
      </c>
      <c r="Y2244" s="1" t="s">
        <v>8815</v>
      </c>
      <c r="Z2244" s="1"/>
      <c r="AA2244" s="1" t="s">
        <v>40</v>
      </c>
      <c r="AB2244" s="1" t="s">
        <v>374</v>
      </c>
      <c r="AC2244" s="1">
        <v>5774.0</v>
      </c>
    </row>
    <row r="2245">
      <c r="A2245" s="1" t="str">
        <f>"000JQX"</f>
        <v>000JQX</v>
      </c>
      <c r="B2245" s="1" t="s">
        <v>8816</v>
      </c>
      <c r="C2245" s="1" t="s">
        <v>8817</v>
      </c>
      <c r="D2245" s="1" t="str">
        <f>"8028299597"</f>
        <v>8028299597</v>
      </c>
      <c r="E2245" s="1">
        <v>4433.0</v>
      </c>
      <c r="F2245" s="1" t="s">
        <v>44</v>
      </c>
      <c r="G2245" s="1" t="s">
        <v>8818</v>
      </c>
      <c r="H2245" s="1">
        <v>7.0</v>
      </c>
      <c r="I2245" s="1"/>
      <c r="J2245" s="1"/>
      <c r="K2245" s="1"/>
      <c r="L2245" s="1"/>
      <c r="M2245" s="1" t="s">
        <v>8819</v>
      </c>
      <c r="N2245" s="1" t="s">
        <v>213</v>
      </c>
      <c r="O2245" s="1" t="s">
        <v>620</v>
      </c>
      <c r="P2245" s="1" t="s">
        <v>8820</v>
      </c>
      <c r="Q2245" s="3">
        <v>41138.0</v>
      </c>
      <c r="R2245" s="1"/>
      <c r="S2245" s="1"/>
      <c r="T2245" s="1" t="s">
        <v>37</v>
      </c>
      <c r="U2245" s="1"/>
      <c r="V2245" s="1" t="s">
        <v>38</v>
      </c>
      <c r="W2245" s="1"/>
      <c r="X2245" s="1"/>
      <c r="Y2245" s="1" t="s">
        <v>8821</v>
      </c>
      <c r="Z2245" s="1"/>
      <c r="AA2245" s="1" t="s">
        <v>40</v>
      </c>
      <c r="AB2245" s="1" t="s">
        <v>8822</v>
      </c>
      <c r="AC2245" s="1">
        <v>5464.0</v>
      </c>
    </row>
    <row r="2246">
      <c r="A2246" s="1" t="str">
        <f>"000JQZ"</f>
        <v>000JQZ</v>
      </c>
      <c r="B2246" s="1" t="s">
        <v>8823</v>
      </c>
      <c r="C2246" s="1" t="s">
        <v>8824</v>
      </c>
      <c r="D2246" s="1" t="str">
        <f>"8028623414"</f>
        <v>8028623414</v>
      </c>
      <c r="E2246" s="1">
        <v>4435.0</v>
      </c>
      <c r="F2246" s="1" t="s">
        <v>117</v>
      </c>
      <c r="G2246" s="1" t="s">
        <v>8825</v>
      </c>
      <c r="H2246" s="1">
        <v>3.0</v>
      </c>
      <c r="I2246" s="2">
        <v>2.0</v>
      </c>
      <c r="J2246" s="2">
        <v>2.0</v>
      </c>
      <c r="K2246" s="2" t="s">
        <v>829</v>
      </c>
      <c r="L2246" s="1"/>
      <c r="M2246" s="1" t="s">
        <v>8826</v>
      </c>
      <c r="N2246" s="1" t="s">
        <v>57</v>
      </c>
      <c r="O2246" s="1" t="s">
        <v>745</v>
      </c>
      <c r="P2246" s="1" t="s">
        <v>8827</v>
      </c>
      <c r="Q2246" s="3">
        <v>41123.0</v>
      </c>
      <c r="R2246" s="1"/>
      <c r="S2246" s="1"/>
      <c r="T2246" s="1" t="s">
        <v>37</v>
      </c>
      <c r="U2246" s="1"/>
      <c r="V2246" s="1" t="s">
        <v>38</v>
      </c>
      <c r="W2246" s="1"/>
      <c r="X2246" s="1"/>
      <c r="Y2246" s="1" t="s">
        <v>8826</v>
      </c>
      <c r="Z2246" s="1"/>
      <c r="AA2246" s="1" t="s">
        <v>40</v>
      </c>
      <c r="AB2246" s="1" t="s">
        <v>746</v>
      </c>
      <c r="AC2246" s="1">
        <v>0.0</v>
      </c>
    </row>
    <row r="2247">
      <c r="A2247" s="1" t="str">
        <f>"000JV1"</f>
        <v>000JV1</v>
      </c>
      <c r="B2247" s="1" t="s">
        <v>8828</v>
      </c>
      <c r="C2247" s="1" t="s">
        <v>8829</v>
      </c>
      <c r="D2247" s="1" t="str">
        <f>"8023536602"</f>
        <v>8023536602</v>
      </c>
      <c r="E2247" s="1">
        <v>4436.0</v>
      </c>
      <c r="F2247" s="1" t="s">
        <v>117</v>
      </c>
      <c r="G2247" s="1" t="s">
        <v>8830</v>
      </c>
      <c r="H2247" s="1">
        <v>4.0</v>
      </c>
      <c r="I2247" s="2">
        <v>15.0</v>
      </c>
      <c r="J2247" s="2">
        <v>15.0</v>
      </c>
      <c r="K2247" s="2" t="s">
        <v>119</v>
      </c>
      <c r="L2247" s="1"/>
      <c r="M2247" s="1" t="s">
        <v>8831</v>
      </c>
      <c r="N2247" s="1" t="s">
        <v>34</v>
      </c>
      <c r="O2247" s="1" t="s">
        <v>457</v>
      </c>
      <c r="P2247" s="1" t="s">
        <v>8832</v>
      </c>
      <c r="Q2247" s="3">
        <v>41126.0</v>
      </c>
      <c r="R2247" s="1"/>
      <c r="S2247" s="3">
        <v>41446.0</v>
      </c>
      <c r="T2247" s="1" t="s">
        <v>37</v>
      </c>
      <c r="U2247" s="1"/>
      <c r="V2247" s="1" t="s">
        <v>38</v>
      </c>
      <c r="W2247" s="1">
        <v>43.399182</v>
      </c>
      <c r="X2247" s="1">
        <v>-72.638228</v>
      </c>
      <c r="Y2247" s="1" t="s">
        <v>8833</v>
      </c>
      <c r="Z2247" s="1"/>
      <c r="AA2247" s="1" t="s">
        <v>40</v>
      </c>
      <c r="AB2247" s="1" t="s">
        <v>458</v>
      </c>
      <c r="AC2247" s="1">
        <v>5153.0</v>
      </c>
    </row>
    <row r="2248">
      <c r="A2248" s="1" t="str">
        <f>"000JV6"</f>
        <v>000JV6</v>
      </c>
      <c r="B2248" s="1" t="s">
        <v>8834</v>
      </c>
      <c r="C2248" s="1" t="s">
        <v>8835</v>
      </c>
      <c r="D2248" s="1" t="str">
        <f>"8028887817"</f>
        <v>8028887817</v>
      </c>
      <c r="E2248" s="1">
        <v>4441.0</v>
      </c>
      <c r="F2248" s="1" t="s">
        <v>44</v>
      </c>
      <c r="G2248" s="1" t="s">
        <v>8836</v>
      </c>
      <c r="H2248" s="1">
        <v>3.0</v>
      </c>
      <c r="I2248" s="2">
        <v>3.0</v>
      </c>
      <c r="J2248" s="2">
        <v>1.0</v>
      </c>
      <c r="K2248" s="2" t="s">
        <v>829</v>
      </c>
      <c r="L2248" s="1"/>
      <c r="M2248" s="1" t="s">
        <v>33</v>
      </c>
      <c r="N2248" s="1" t="s">
        <v>213</v>
      </c>
      <c r="O2248" s="1" t="s">
        <v>2156</v>
      </c>
      <c r="P2248" s="1" t="s">
        <v>36</v>
      </c>
      <c r="Q2248" s="3">
        <v>41077.0</v>
      </c>
      <c r="R2248" s="1"/>
      <c r="S2248" s="1"/>
      <c r="T2248" s="1" t="s">
        <v>37</v>
      </c>
      <c r="U2248" s="1"/>
      <c r="V2248" s="1" t="s">
        <v>38</v>
      </c>
      <c r="W2248" s="1"/>
      <c r="X2248" s="1"/>
      <c r="Y2248" s="1" t="s">
        <v>8837</v>
      </c>
      <c r="Z2248" s="1"/>
      <c r="AA2248" s="1" t="s">
        <v>40</v>
      </c>
      <c r="AB2248" s="1" t="s">
        <v>2226</v>
      </c>
      <c r="AC2248" s="1">
        <v>5657.0</v>
      </c>
    </row>
    <row r="2249">
      <c r="A2249" s="1" t="str">
        <f>"000JV9"</f>
        <v>000JV9</v>
      </c>
      <c r="B2249" s="1" t="s">
        <v>8838</v>
      </c>
      <c r="C2249" s="1" t="s">
        <v>8839</v>
      </c>
      <c r="D2249" s="1" t="str">
        <f>"8023486324"</f>
        <v>8023486324</v>
      </c>
      <c r="E2249" s="1">
        <v>4443.0</v>
      </c>
      <c r="F2249" s="1" t="s">
        <v>44</v>
      </c>
      <c r="G2249" s="1" t="s">
        <v>8840</v>
      </c>
      <c r="H2249" s="1">
        <v>1.0</v>
      </c>
      <c r="I2249" s="1"/>
      <c r="J2249" s="1"/>
      <c r="K2249" s="1"/>
      <c r="L2249" s="1"/>
      <c r="M2249" s="1" t="s">
        <v>33</v>
      </c>
      <c r="N2249" s="1" t="s">
        <v>66</v>
      </c>
      <c r="O2249" s="1" t="s">
        <v>1921</v>
      </c>
      <c r="P2249" s="1" t="s">
        <v>36</v>
      </c>
      <c r="Q2249" s="3">
        <v>41077.0</v>
      </c>
      <c r="R2249" s="1"/>
      <c r="S2249" s="1"/>
      <c r="T2249" s="1" t="s">
        <v>37</v>
      </c>
      <c r="U2249" s="1"/>
      <c r="V2249" s="1" t="s">
        <v>38</v>
      </c>
      <c r="W2249" s="1"/>
      <c r="X2249" s="1"/>
      <c r="Y2249" s="1" t="s">
        <v>8841</v>
      </c>
      <c r="Z2249" s="1"/>
      <c r="AA2249" s="1" t="s">
        <v>40</v>
      </c>
      <c r="AB2249" s="1" t="s">
        <v>8842</v>
      </c>
      <c r="AC2249" s="1">
        <v>5341.0</v>
      </c>
    </row>
    <row r="2250">
      <c r="A2250" s="1" t="str">
        <f>"000JVA"</f>
        <v>000JVA</v>
      </c>
      <c r="B2250" s="1" t="s">
        <v>8843</v>
      </c>
      <c r="C2250" s="1" t="s">
        <v>8844</v>
      </c>
      <c r="D2250" s="1" t="str">
        <f>"8026746764"</f>
        <v>8026746764</v>
      </c>
      <c r="E2250" s="1">
        <v>4444.0</v>
      </c>
      <c r="F2250" s="1" t="s">
        <v>44</v>
      </c>
      <c r="G2250" s="1" t="s">
        <v>8845</v>
      </c>
      <c r="H2250" s="1">
        <v>2.0</v>
      </c>
      <c r="I2250" s="2" t="s">
        <v>119</v>
      </c>
      <c r="J2250" s="2">
        <v>2.0</v>
      </c>
      <c r="K2250" s="2" t="s">
        <v>119</v>
      </c>
      <c r="L2250" s="1"/>
      <c r="M2250" s="1" t="s">
        <v>8846</v>
      </c>
      <c r="N2250" s="1" t="s">
        <v>34</v>
      </c>
      <c r="O2250" s="1" t="s">
        <v>295</v>
      </c>
      <c r="P2250" s="1" t="s">
        <v>8847</v>
      </c>
      <c r="Q2250" s="3">
        <v>41088.0</v>
      </c>
      <c r="R2250" s="1"/>
      <c r="S2250" s="1"/>
      <c r="T2250" s="1" t="s">
        <v>37</v>
      </c>
      <c r="U2250" s="1"/>
      <c r="V2250" s="1" t="s">
        <v>38</v>
      </c>
      <c r="W2250" s="1">
        <v>43.515599287219</v>
      </c>
      <c r="X2250" s="1">
        <v>-72.4046230316162</v>
      </c>
      <c r="Y2250" s="1" t="s">
        <v>8848</v>
      </c>
      <c r="Z2250" s="1"/>
      <c r="AA2250" s="1" t="s">
        <v>40</v>
      </c>
      <c r="AB2250" s="1" t="s">
        <v>34</v>
      </c>
      <c r="AC2250" s="1">
        <v>5089.0</v>
      </c>
    </row>
    <row r="2251">
      <c r="A2251" s="1" t="str">
        <f>"000JVB"</f>
        <v>000JVB</v>
      </c>
      <c r="B2251" s="1" t="s">
        <v>8849</v>
      </c>
      <c r="C2251" s="1" t="s">
        <v>8850</v>
      </c>
      <c r="D2251" s="1" t="str">
        <f>"8025220575"</f>
        <v>8025220575</v>
      </c>
      <c r="E2251" s="1">
        <v>4445.0</v>
      </c>
      <c r="F2251" s="1" t="s">
        <v>44</v>
      </c>
      <c r="G2251" s="1" t="s">
        <v>8851</v>
      </c>
      <c r="H2251" s="1">
        <v>0.0</v>
      </c>
      <c r="I2251" s="1"/>
      <c r="J2251" s="1"/>
      <c r="K2251" s="1"/>
      <c r="L2251" s="1"/>
      <c r="M2251" s="1" t="s">
        <v>33</v>
      </c>
      <c r="N2251" s="1" t="s">
        <v>135</v>
      </c>
      <c r="O2251" s="1" t="s">
        <v>655</v>
      </c>
      <c r="P2251" s="1" t="s">
        <v>36</v>
      </c>
      <c r="Q2251" s="3">
        <v>41080.0</v>
      </c>
      <c r="R2251" s="1"/>
      <c r="S2251" s="3">
        <v>42163.0</v>
      </c>
      <c r="T2251" s="1" t="s">
        <v>37</v>
      </c>
      <c r="U2251" s="1"/>
      <c r="V2251" s="1" t="s">
        <v>38</v>
      </c>
      <c r="W2251" s="1">
        <v>44.4175759</v>
      </c>
      <c r="X2251" s="1">
        <v>-72.461746</v>
      </c>
      <c r="Y2251" s="1" t="s">
        <v>8852</v>
      </c>
      <c r="Z2251" s="1"/>
      <c r="AA2251" s="1" t="s">
        <v>40</v>
      </c>
      <c r="AB2251" s="1" t="s">
        <v>8853</v>
      </c>
      <c r="AC2251" s="1">
        <v>5650.0</v>
      </c>
    </row>
    <row r="2252">
      <c r="A2252" s="1" t="str">
        <f>"000JVC"</f>
        <v>000JVC</v>
      </c>
      <c r="B2252" s="1" t="s">
        <v>8854</v>
      </c>
      <c r="C2252" s="1" t="s">
        <v>8855</v>
      </c>
      <c r="D2252" s="1" t="str">
        <f>"8027852554"</f>
        <v>8027852554</v>
      </c>
      <c r="E2252" s="1">
        <v>4446.0</v>
      </c>
      <c r="F2252" s="1" t="s">
        <v>44</v>
      </c>
      <c r="G2252" s="1" t="s">
        <v>8856</v>
      </c>
      <c r="H2252" s="1">
        <v>1.0</v>
      </c>
      <c r="I2252" s="1"/>
      <c r="J2252" s="1"/>
      <c r="K2252" s="1"/>
      <c r="L2252" s="1"/>
      <c r="M2252" s="1" t="s">
        <v>33</v>
      </c>
      <c r="N2252" s="1" t="s">
        <v>142</v>
      </c>
      <c r="O2252" s="1" t="s">
        <v>143</v>
      </c>
      <c r="P2252" s="1" t="s">
        <v>36</v>
      </c>
      <c r="Q2252" s="3">
        <v>41081.0</v>
      </c>
      <c r="R2252" s="1"/>
      <c r="S2252" s="1"/>
      <c r="T2252" s="1" t="s">
        <v>37</v>
      </c>
      <c r="U2252" s="1"/>
      <c r="V2252" s="1" t="s">
        <v>38</v>
      </c>
      <c r="W2252" s="1">
        <v>43.8173572</v>
      </c>
      <c r="X2252" s="1">
        <v>-72.2239783</v>
      </c>
      <c r="Y2252" s="1" t="s">
        <v>8857</v>
      </c>
      <c r="Z2252" s="1"/>
      <c r="AA2252" s="1" t="s">
        <v>40</v>
      </c>
      <c r="AB2252" s="1" t="s">
        <v>146</v>
      </c>
      <c r="AC2252" s="1">
        <v>5074.0</v>
      </c>
    </row>
    <row r="2253">
      <c r="A2253" s="1" t="str">
        <f>"000JVD"</f>
        <v>000JVD</v>
      </c>
      <c r="B2253" s="1" t="s">
        <v>8858</v>
      </c>
      <c r="C2253" s="1" t="s">
        <v>8859</v>
      </c>
      <c r="D2253" s="1" t="str">
        <f>"8029858655"</f>
        <v>8029858655</v>
      </c>
      <c r="E2253" s="1">
        <v>4447.0</v>
      </c>
      <c r="F2253" s="1" t="s">
        <v>44</v>
      </c>
      <c r="G2253" s="1" t="s">
        <v>8860</v>
      </c>
      <c r="H2253" s="1">
        <v>2.0</v>
      </c>
      <c r="I2253" s="1"/>
      <c r="J2253" s="1"/>
      <c r="K2253" s="1"/>
      <c r="L2253" s="1"/>
      <c r="M2253" s="1" t="s">
        <v>33</v>
      </c>
      <c r="N2253" s="1" t="s">
        <v>57</v>
      </c>
      <c r="O2253" s="1" t="s">
        <v>238</v>
      </c>
      <c r="P2253" s="1" t="s">
        <v>8861</v>
      </c>
      <c r="Q2253" s="3">
        <v>41073.0</v>
      </c>
      <c r="R2253" s="1"/>
      <c r="S2253" s="1"/>
      <c r="T2253" s="1" t="s">
        <v>37</v>
      </c>
      <c r="U2253" s="1"/>
      <c r="V2253" s="1" t="s">
        <v>38</v>
      </c>
      <c r="W2253" s="1"/>
      <c r="X2253" s="1"/>
      <c r="Y2253" s="1" t="s">
        <v>8862</v>
      </c>
      <c r="Z2253" s="1"/>
      <c r="AA2253" s="1" t="s">
        <v>40</v>
      </c>
      <c r="AB2253" s="1" t="s">
        <v>239</v>
      </c>
      <c r="AC2253" s="1">
        <v>5482.0</v>
      </c>
    </row>
    <row r="2254">
      <c r="A2254" s="1" t="str">
        <f t="shared" ref="A2254:A2256" si="179">"000JVN"</f>
        <v>000JVN</v>
      </c>
      <c r="B2254" s="1" t="s">
        <v>8863</v>
      </c>
      <c r="C2254" s="1" t="s">
        <v>8864</v>
      </c>
      <c r="D2254" s="1" t="str">
        <f t="shared" ref="D2254:D2256" si="180">"8028235837"</f>
        <v>8028235837</v>
      </c>
      <c r="E2254" s="1">
        <v>4451.0</v>
      </c>
      <c r="F2254" s="1" t="s">
        <v>117</v>
      </c>
      <c r="G2254" s="1" t="s">
        <v>8865</v>
      </c>
      <c r="H2254" s="1">
        <v>30.0</v>
      </c>
      <c r="I2254" s="2" t="s">
        <v>119</v>
      </c>
      <c r="J2254" s="2" t="s">
        <v>119</v>
      </c>
      <c r="K2254" s="2" t="s">
        <v>119</v>
      </c>
      <c r="L2254" s="1"/>
      <c r="M2254" s="1" t="s">
        <v>8866</v>
      </c>
      <c r="N2254" s="1" t="s">
        <v>414</v>
      </c>
      <c r="O2254" s="1" t="s">
        <v>794</v>
      </c>
      <c r="P2254" s="1" t="s">
        <v>8867</v>
      </c>
      <c r="Q2254" s="3">
        <v>41090.0</v>
      </c>
      <c r="R2254" s="1"/>
      <c r="S2254" s="1"/>
      <c r="T2254" s="1" t="s">
        <v>37</v>
      </c>
      <c r="U2254" s="1"/>
      <c r="V2254" s="1" t="s">
        <v>38</v>
      </c>
      <c r="W2254" s="1">
        <v>42.766773</v>
      </c>
      <c r="X2254" s="1">
        <v>-73.218636</v>
      </c>
      <c r="Y2254" s="1" t="s">
        <v>8868</v>
      </c>
      <c r="Z2254" s="1"/>
      <c r="AA2254" s="1" t="s">
        <v>40</v>
      </c>
      <c r="AB2254" s="1" t="s">
        <v>797</v>
      </c>
      <c r="AC2254" s="1">
        <v>5261.0</v>
      </c>
    </row>
    <row r="2255">
      <c r="A2255" s="1" t="str">
        <f t="shared" si="179"/>
        <v>000JVN</v>
      </c>
      <c r="B2255" s="1" t="s">
        <v>8863</v>
      </c>
      <c r="C2255" s="1" t="s">
        <v>8864</v>
      </c>
      <c r="D2255" s="1" t="str">
        <f t="shared" si="180"/>
        <v>8028235837</v>
      </c>
      <c r="E2255" s="1">
        <v>4451.0</v>
      </c>
      <c r="F2255" s="1" t="s">
        <v>117</v>
      </c>
      <c r="G2255" s="1" t="s">
        <v>8869</v>
      </c>
      <c r="H2255" s="1">
        <v>130.0</v>
      </c>
      <c r="I2255" s="2" t="s">
        <v>119</v>
      </c>
      <c r="J2255" s="2" t="s">
        <v>119</v>
      </c>
      <c r="K2255" s="2" t="s">
        <v>119</v>
      </c>
      <c r="L2255" s="1"/>
      <c r="M2255" s="1" t="s">
        <v>8870</v>
      </c>
      <c r="N2255" s="1" t="s">
        <v>414</v>
      </c>
      <c r="O2255" s="1" t="s">
        <v>794</v>
      </c>
      <c r="P2255" s="1" t="s">
        <v>8871</v>
      </c>
      <c r="Q2255" s="3">
        <v>41090.0</v>
      </c>
      <c r="R2255" s="1"/>
      <c r="S2255" s="3">
        <v>42941.0</v>
      </c>
      <c r="T2255" s="1" t="s">
        <v>37</v>
      </c>
      <c r="U2255" s="1"/>
      <c r="V2255" s="1" t="s">
        <v>38</v>
      </c>
      <c r="W2255" s="1">
        <v>42.7865800089087</v>
      </c>
      <c r="X2255" s="1">
        <v>-73.2296946644783</v>
      </c>
      <c r="Y2255" s="1" t="s">
        <v>8872</v>
      </c>
      <c r="Z2255" s="1"/>
      <c r="AA2255" s="1" t="s">
        <v>40</v>
      </c>
      <c r="AB2255" s="1" t="s">
        <v>797</v>
      </c>
      <c r="AC2255" s="1">
        <v>5261.0</v>
      </c>
    </row>
    <row r="2256">
      <c r="A2256" s="1" t="str">
        <f t="shared" si="179"/>
        <v>000JVN</v>
      </c>
      <c r="B2256" s="1" t="s">
        <v>8863</v>
      </c>
      <c r="C2256" s="1" t="s">
        <v>8864</v>
      </c>
      <c r="D2256" s="1" t="str">
        <f t="shared" si="180"/>
        <v>8028235837</v>
      </c>
      <c r="E2256" s="1">
        <v>4451.0</v>
      </c>
      <c r="F2256" s="1" t="s">
        <v>117</v>
      </c>
      <c r="G2256" s="1" t="s">
        <v>8873</v>
      </c>
      <c r="H2256" s="1">
        <v>10.0</v>
      </c>
      <c r="I2256" s="2" t="s">
        <v>119</v>
      </c>
      <c r="J2256" s="2" t="s">
        <v>119</v>
      </c>
      <c r="K2256" s="2" t="s">
        <v>119</v>
      </c>
      <c r="L2256" s="1"/>
      <c r="M2256" s="1" t="s">
        <v>8874</v>
      </c>
      <c r="N2256" s="1" t="s">
        <v>414</v>
      </c>
      <c r="O2256" s="1" t="s">
        <v>1160</v>
      </c>
      <c r="P2256" s="1" t="s">
        <v>8875</v>
      </c>
      <c r="Q2256" s="3">
        <v>41090.0</v>
      </c>
      <c r="R2256" s="1"/>
      <c r="S2256" s="1"/>
      <c r="T2256" s="1" t="s">
        <v>37</v>
      </c>
      <c r="U2256" s="1"/>
      <c r="V2256" s="1" t="s">
        <v>38</v>
      </c>
      <c r="W2256" s="1"/>
      <c r="X2256" s="1"/>
      <c r="Y2256" s="1" t="s">
        <v>8876</v>
      </c>
      <c r="Z2256" s="1"/>
      <c r="AA2256" s="1" t="s">
        <v>40</v>
      </c>
      <c r="AB2256" s="1" t="s">
        <v>8877</v>
      </c>
      <c r="AC2256" s="1">
        <v>0.0</v>
      </c>
    </row>
    <row r="2257">
      <c r="A2257" s="1" t="str">
        <f t="shared" ref="A2257:A2260" si="181">"000945"</f>
        <v>000945</v>
      </c>
      <c r="B2257" s="1" t="s">
        <v>7399</v>
      </c>
      <c r="C2257" s="1" t="s">
        <v>7400</v>
      </c>
      <c r="D2257" s="1" t="str">
        <f t="shared" ref="D2257:D2260" si="182">"8025270602"</f>
        <v>8025270602</v>
      </c>
      <c r="E2257" s="1">
        <v>3837.0</v>
      </c>
      <c r="F2257" s="1" t="s">
        <v>44</v>
      </c>
      <c r="G2257" s="1" t="s">
        <v>8878</v>
      </c>
      <c r="H2257" s="1">
        <v>5.0</v>
      </c>
      <c r="I2257" s="1"/>
      <c r="J2257" s="1"/>
      <c r="K2257" s="1"/>
      <c r="L2257" s="1"/>
      <c r="M2257" s="1" t="s">
        <v>8879</v>
      </c>
      <c r="N2257" s="1" t="s">
        <v>47</v>
      </c>
      <c r="O2257" s="1" t="s">
        <v>2753</v>
      </c>
      <c r="P2257" s="1" t="s">
        <v>8880</v>
      </c>
      <c r="Q2257" s="3">
        <v>41085.0</v>
      </c>
      <c r="R2257" s="1"/>
      <c r="S2257" s="1"/>
      <c r="T2257" s="1" t="s">
        <v>37</v>
      </c>
      <c r="U2257" s="1"/>
      <c r="V2257" s="1" t="s">
        <v>38</v>
      </c>
      <c r="W2257" s="1"/>
      <c r="X2257" s="1"/>
      <c r="Y2257" s="1" t="s">
        <v>8881</v>
      </c>
      <c r="Z2257" s="1"/>
      <c r="AA2257" s="1" t="s">
        <v>40</v>
      </c>
      <c r="AB2257" s="1" t="s">
        <v>5776</v>
      </c>
      <c r="AC2257" s="1">
        <v>5478.0</v>
      </c>
    </row>
    <row r="2258">
      <c r="A2258" s="1" t="str">
        <f t="shared" si="181"/>
        <v>000945</v>
      </c>
      <c r="B2258" s="1" t="s">
        <v>7399</v>
      </c>
      <c r="C2258" s="1" t="s">
        <v>7400</v>
      </c>
      <c r="D2258" s="1" t="str">
        <f t="shared" si="182"/>
        <v>8025270602</v>
      </c>
      <c r="E2258" s="1">
        <v>3837.0</v>
      </c>
      <c r="F2258" s="1" t="s">
        <v>44</v>
      </c>
      <c r="G2258" s="1" t="s">
        <v>8882</v>
      </c>
      <c r="H2258" s="1">
        <v>5.0</v>
      </c>
      <c r="I2258" s="1"/>
      <c r="J2258" s="1"/>
      <c r="K2258" s="1"/>
      <c r="L2258" s="1"/>
      <c r="M2258" s="1" t="s">
        <v>8883</v>
      </c>
      <c r="N2258" s="1" t="s">
        <v>47</v>
      </c>
      <c r="O2258" s="1" t="s">
        <v>2753</v>
      </c>
      <c r="P2258" s="1" t="s">
        <v>8884</v>
      </c>
      <c r="Q2258" s="3">
        <v>41085.0</v>
      </c>
      <c r="R2258" s="1"/>
      <c r="S2258" s="1"/>
      <c r="T2258" s="1" t="s">
        <v>37</v>
      </c>
      <c r="U2258" s="1"/>
      <c r="V2258" s="1" t="s">
        <v>38</v>
      </c>
      <c r="W2258" s="1"/>
      <c r="X2258" s="1"/>
      <c r="Y2258" s="1" t="s">
        <v>8885</v>
      </c>
      <c r="Z2258" s="1"/>
      <c r="AA2258" s="1" t="s">
        <v>40</v>
      </c>
      <c r="AB2258" s="1" t="s">
        <v>5776</v>
      </c>
      <c r="AC2258" s="1">
        <v>5478.0</v>
      </c>
    </row>
    <row r="2259">
      <c r="A2259" s="1" t="str">
        <f t="shared" si="181"/>
        <v>000945</v>
      </c>
      <c r="B2259" s="1" t="s">
        <v>7399</v>
      </c>
      <c r="C2259" s="1" t="s">
        <v>7400</v>
      </c>
      <c r="D2259" s="1" t="str">
        <f t="shared" si="182"/>
        <v>8025270602</v>
      </c>
      <c r="E2259" s="1">
        <v>3837.0</v>
      </c>
      <c r="F2259" s="1" t="s">
        <v>44</v>
      </c>
      <c r="G2259" s="1" t="s">
        <v>8886</v>
      </c>
      <c r="H2259" s="1">
        <v>4.0</v>
      </c>
      <c r="I2259" s="1"/>
      <c r="J2259" s="1"/>
      <c r="K2259" s="1"/>
      <c r="L2259" s="1"/>
      <c r="M2259" s="1" t="s">
        <v>8887</v>
      </c>
      <c r="N2259" s="1" t="s">
        <v>47</v>
      </c>
      <c r="O2259" s="1" t="s">
        <v>2319</v>
      </c>
      <c r="P2259" s="1" t="s">
        <v>8888</v>
      </c>
      <c r="Q2259" s="3">
        <v>41085.0</v>
      </c>
      <c r="R2259" s="1"/>
      <c r="S2259" s="1"/>
      <c r="T2259" s="1" t="s">
        <v>37</v>
      </c>
      <c r="U2259" s="1"/>
      <c r="V2259" s="1" t="s">
        <v>38</v>
      </c>
      <c r="W2259" s="1"/>
      <c r="X2259" s="1"/>
      <c r="Y2259" s="1" t="s">
        <v>588</v>
      </c>
      <c r="Z2259" s="1"/>
      <c r="AA2259" s="1" t="s">
        <v>40</v>
      </c>
      <c r="AB2259" s="1" t="s">
        <v>47</v>
      </c>
      <c r="AC2259" s="1">
        <v>0.0</v>
      </c>
    </row>
    <row r="2260">
      <c r="A2260" s="1" t="str">
        <f t="shared" si="181"/>
        <v>000945</v>
      </c>
      <c r="B2260" s="1" t="s">
        <v>7399</v>
      </c>
      <c r="C2260" s="1" t="s">
        <v>7400</v>
      </c>
      <c r="D2260" s="1" t="str">
        <f t="shared" si="182"/>
        <v>8025270602</v>
      </c>
      <c r="E2260" s="1">
        <v>3837.0</v>
      </c>
      <c r="F2260" s="1" t="s">
        <v>44</v>
      </c>
      <c r="G2260" s="1" t="s">
        <v>8889</v>
      </c>
      <c r="H2260" s="1">
        <v>6.0</v>
      </c>
      <c r="I2260" s="1"/>
      <c r="J2260" s="1"/>
      <c r="K2260" s="1"/>
      <c r="L2260" s="1"/>
      <c r="M2260" s="1" t="s">
        <v>8890</v>
      </c>
      <c r="N2260" s="1" t="s">
        <v>94</v>
      </c>
      <c r="O2260" s="1" t="s">
        <v>1019</v>
      </c>
      <c r="P2260" s="1" t="s">
        <v>8891</v>
      </c>
      <c r="Q2260" s="3">
        <v>41085.0</v>
      </c>
      <c r="R2260" s="1"/>
      <c r="S2260" s="1"/>
      <c r="T2260" s="1" t="s">
        <v>37</v>
      </c>
      <c r="U2260" s="1"/>
      <c r="V2260" s="1" t="s">
        <v>38</v>
      </c>
      <c r="W2260" s="1"/>
      <c r="X2260" s="1"/>
      <c r="Y2260" s="1" t="s">
        <v>8892</v>
      </c>
      <c r="Z2260" s="1"/>
      <c r="AA2260" s="1" t="s">
        <v>40</v>
      </c>
      <c r="AB2260" s="1" t="s">
        <v>1978</v>
      </c>
      <c r="AC2260" s="1">
        <v>0.0</v>
      </c>
    </row>
    <row r="2261">
      <c r="A2261" s="1" t="str">
        <f>"000JVQ"</f>
        <v>000JVQ</v>
      </c>
      <c r="B2261" s="1" t="s">
        <v>8893</v>
      </c>
      <c r="C2261" s="1" t="s">
        <v>8894</v>
      </c>
      <c r="D2261" s="1" t="str">
        <f>"8024623373"</f>
        <v>8024623373</v>
      </c>
      <c r="E2261" s="1">
        <v>4452.0</v>
      </c>
      <c r="F2261" s="1" t="s">
        <v>117</v>
      </c>
      <c r="G2261" s="1" t="s">
        <v>8895</v>
      </c>
      <c r="H2261" s="1">
        <v>2.0</v>
      </c>
      <c r="I2261" s="2">
        <v>4.0</v>
      </c>
      <c r="J2261" s="2">
        <v>2.0</v>
      </c>
      <c r="K2261" s="2" t="s">
        <v>119</v>
      </c>
      <c r="L2261" s="1"/>
      <c r="M2261" s="1" t="s">
        <v>8896</v>
      </c>
      <c r="N2261" s="1" t="s">
        <v>161</v>
      </c>
      <c r="O2261" s="1" t="s">
        <v>162</v>
      </c>
      <c r="P2261" s="1" t="s">
        <v>8897</v>
      </c>
      <c r="Q2261" s="3">
        <v>41079.0</v>
      </c>
      <c r="R2261" s="1"/>
      <c r="S2261" s="1"/>
      <c r="T2261" s="1" t="s">
        <v>37</v>
      </c>
      <c r="U2261" s="1"/>
      <c r="V2261" s="1" t="s">
        <v>38</v>
      </c>
      <c r="W2261" s="1">
        <v>43.9855801</v>
      </c>
      <c r="X2261" s="1">
        <v>-73.1972574</v>
      </c>
      <c r="Y2261" s="1" t="s">
        <v>8898</v>
      </c>
      <c r="Z2261" s="1"/>
      <c r="AA2261" s="1" t="s">
        <v>40</v>
      </c>
      <c r="AB2261" s="1" t="s">
        <v>945</v>
      </c>
      <c r="AC2261" s="1">
        <v>5753.0</v>
      </c>
    </row>
    <row r="2262">
      <c r="A2262" s="1" t="str">
        <f>"000JW8"</f>
        <v>000JW8</v>
      </c>
      <c r="B2262" s="1" t="s">
        <v>8899</v>
      </c>
      <c r="C2262" s="1" t="s">
        <v>8900</v>
      </c>
      <c r="D2262" s="1" t="str">
        <f>"8029236339"</f>
        <v>8029236339</v>
      </c>
      <c r="E2262" s="1">
        <v>4460.0</v>
      </c>
      <c r="F2262" s="1" t="s">
        <v>44</v>
      </c>
      <c r="G2262" s="1" t="s">
        <v>8901</v>
      </c>
      <c r="H2262" s="1">
        <v>0.0</v>
      </c>
      <c r="I2262" s="2">
        <v>0.0</v>
      </c>
      <c r="J2262" s="2">
        <v>4.0</v>
      </c>
      <c r="K2262" s="2" t="s">
        <v>119</v>
      </c>
      <c r="L2262" s="2" t="s">
        <v>8902</v>
      </c>
      <c r="M2262" s="1" t="s">
        <v>8903</v>
      </c>
      <c r="N2262" s="1" t="s">
        <v>142</v>
      </c>
      <c r="O2262" s="1" t="s">
        <v>2474</v>
      </c>
      <c r="P2262" s="1" t="s">
        <v>8904</v>
      </c>
      <c r="Q2262" s="3">
        <v>41071.0</v>
      </c>
      <c r="R2262" s="1"/>
      <c r="S2262" s="3">
        <v>42597.0</v>
      </c>
      <c r="T2262" s="1" t="s">
        <v>37</v>
      </c>
      <c r="U2262" s="1"/>
      <c r="V2262" s="1" t="s">
        <v>38</v>
      </c>
      <c r="W2262" s="1">
        <v>43.9290051911184</v>
      </c>
      <c r="X2262" s="1">
        <v>-72.1196812391281</v>
      </c>
      <c r="Y2262" s="1" t="s">
        <v>8905</v>
      </c>
      <c r="Z2262" s="1"/>
      <c r="AA2262" s="1" t="s">
        <v>40</v>
      </c>
      <c r="AB2262" s="1" t="s">
        <v>2475</v>
      </c>
      <c r="AC2262" s="1">
        <v>5045.0</v>
      </c>
    </row>
    <row r="2263">
      <c r="A2263" s="1" t="str">
        <f>"000JW9"</f>
        <v>000JW9</v>
      </c>
      <c r="B2263" s="1" t="s">
        <v>8906</v>
      </c>
      <c r="C2263" s="1" t="s">
        <v>8907</v>
      </c>
      <c r="D2263" s="1" t="str">
        <f>"8025519061"</f>
        <v>8025519061</v>
      </c>
      <c r="E2263" s="1">
        <v>4461.0</v>
      </c>
      <c r="F2263" s="1" t="s">
        <v>44</v>
      </c>
      <c r="G2263" s="1" t="s">
        <v>8908</v>
      </c>
      <c r="H2263" s="1">
        <v>1.0</v>
      </c>
      <c r="I2263" s="1"/>
      <c r="J2263" s="1"/>
      <c r="K2263" s="1"/>
      <c r="L2263" s="1"/>
      <c r="M2263" s="1" t="s">
        <v>8909</v>
      </c>
      <c r="N2263" s="1" t="s">
        <v>94</v>
      </c>
      <c r="O2263" s="1" t="s">
        <v>1672</v>
      </c>
      <c r="P2263" s="1" t="s">
        <v>8910</v>
      </c>
      <c r="Q2263" s="3">
        <v>41071.0</v>
      </c>
      <c r="R2263" s="1"/>
      <c r="S2263" s="1"/>
      <c r="T2263" s="1" t="s">
        <v>37</v>
      </c>
      <c r="U2263" s="1"/>
      <c r="V2263" s="1" t="s">
        <v>38</v>
      </c>
      <c r="W2263" s="1">
        <v>44.763157</v>
      </c>
      <c r="X2263" s="1">
        <v>-72.2033769999999</v>
      </c>
      <c r="Y2263" s="1" t="s">
        <v>8911</v>
      </c>
      <c r="Z2263" s="1"/>
      <c r="AA2263" s="1" t="s">
        <v>40</v>
      </c>
      <c r="AB2263" s="1" t="s">
        <v>1673</v>
      </c>
      <c r="AC2263" s="1">
        <v>5822.0</v>
      </c>
    </row>
    <row r="2264">
      <c r="A2264" s="1" t="str">
        <f>"000JWC"</f>
        <v>000JWC</v>
      </c>
      <c r="B2264" s="1" t="s">
        <v>8912</v>
      </c>
      <c r="C2264" s="1" t="s">
        <v>8913</v>
      </c>
      <c r="D2264" s="1" t="str">
        <f>"8028567166"</f>
        <v>8028567166</v>
      </c>
      <c r="E2264" s="1">
        <v>4464.0</v>
      </c>
      <c r="F2264" s="1" t="s">
        <v>31</v>
      </c>
      <c r="G2264" s="1" t="s">
        <v>8914</v>
      </c>
      <c r="H2264" s="1">
        <v>3.0</v>
      </c>
      <c r="I2264" s="2">
        <v>2.0</v>
      </c>
      <c r="J2264" s="2">
        <v>0.0</v>
      </c>
      <c r="K2264" s="2" t="s">
        <v>829</v>
      </c>
      <c r="L2264" s="1"/>
      <c r="M2264" s="1" t="s">
        <v>8915</v>
      </c>
      <c r="N2264" s="1" t="s">
        <v>66</v>
      </c>
      <c r="O2264" s="1" t="s">
        <v>900</v>
      </c>
      <c r="P2264" s="1" t="s">
        <v>8916</v>
      </c>
      <c r="Q2264" s="3">
        <v>41043.0</v>
      </c>
      <c r="R2264" s="1"/>
      <c r="S2264" s="1"/>
      <c r="T2264" s="1" t="s">
        <v>37</v>
      </c>
      <c r="U2264" s="1"/>
      <c r="V2264" s="1" t="s">
        <v>38</v>
      </c>
      <c r="W2264" s="1">
        <v>43.214085</v>
      </c>
      <c r="X2264" s="1">
        <v>-72.7611769999999</v>
      </c>
      <c r="Y2264" s="1" t="s">
        <v>8917</v>
      </c>
      <c r="Z2264" s="1"/>
      <c r="AA2264" s="1" t="s">
        <v>40</v>
      </c>
      <c r="AB2264" s="1" t="s">
        <v>901</v>
      </c>
      <c r="AC2264" s="1">
        <v>5148.0</v>
      </c>
    </row>
    <row r="2265">
      <c r="A2265" s="1" t="str">
        <f t="shared" ref="A2265:A2266" si="183">"00092M"</f>
        <v>00092M</v>
      </c>
      <c r="B2265" s="1" t="s">
        <v>8918</v>
      </c>
      <c r="C2265" s="1" t="s">
        <v>8919</v>
      </c>
      <c r="D2265" s="1" t="str">
        <f t="shared" ref="D2265:D2266" si="184">"8029220714"</f>
        <v>8029220714</v>
      </c>
      <c r="E2265" s="1">
        <v>3779.0</v>
      </c>
      <c r="F2265" s="1" t="s">
        <v>117</v>
      </c>
      <c r="G2265" s="1" t="s">
        <v>8920</v>
      </c>
      <c r="H2265" s="1">
        <v>4.0</v>
      </c>
      <c r="I2265" s="2" t="s">
        <v>119</v>
      </c>
      <c r="J2265" s="2" t="s">
        <v>119</v>
      </c>
      <c r="K2265" s="2" t="s">
        <v>119</v>
      </c>
      <c r="L2265" s="1"/>
      <c r="M2265" s="1" t="s">
        <v>8921</v>
      </c>
      <c r="N2265" s="1" t="s">
        <v>57</v>
      </c>
      <c r="O2265" s="1" t="s">
        <v>204</v>
      </c>
      <c r="P2265" s="1" t="s">
        <v>8922</v>
      </c>
      <c r="Q2265" s="3">
        <v>41050.0</v>
      </c>
      <c r="R2265" s="1"/>
      <c r="S2265" s="3">
        <v>42556.0</v>
      </c>
      <c r="T2265" s="1" t="s">
        <v>37</v>
      </c>
      <c r="U2265" s="1"/>
      <c r="V2265" s="1" t="s">
        <v>38</v>
      </c>
      <c r="W2265" s="1"/>
      <c r="X2265" s="1"/>
      <c r="Y2265" s="1" t="s">
        <v>8923</v>
      </c>
      <c r="Z2265" s="1"/>
      <c r="AA2265" s="1" t="s">
        <v>40</v>
      </c>
      <c r="AB2265" s="1" t="s">
        <v>205</v>
      </c>
      <c r="AC2265" s="1">
        <v>0.0</v>
      </c>
    </row>
    <row r="2266">
      <c r="A2266" s="1" t="str">
        <f t="shared" si="183"/>
        <v>00092M</v>
      </c>
      <c r="B2266" s="1" t="s">
        <v>8918</v>
      </c>
      <c r="C2266" s="1" t="s">
        <v>8919</v>
      </c>
      <c r="D2266" s="1" t="str">
        <f t="shared" si="184"/>
        <v>8029220714</v>
      </c>
      <c r="E2266" s="1">
        <v>3779.0</v>
      </c>
      <c r="F2266" s="1" t="s">
        <v>117</v>
      </c>
      <c r="G2266" s="1" t="s">
        <v>8924</v>
      </c>
      <c r="H2266" s="1">
        <v>4.0</v>
      </c>
      <c r="I2266" s="2" t="s">
        <v>119</v>
      </c>
      <c r="J2266" s="2" t="s">
        <v>119</v>
      </c>
      <c r="K2266" s="2" t="s">
        <v>119</v>
      </c>
      <c r="L2266" s="1"/>
      <c r="M2266" s="1" t="s">
        <v>8925</v>
      </c>
      <c r="N2266" s="1" t="s">
        <v>57</v>
      </c>
      <c r="O2266" s="1" t="s">
        <v>1633</v>
      </c>
      <c r="P2266" s="1" t="s">
        <v>8926</v>
      </c>
      <c r="Q2266" s="3">
        <v>41050.0</v>
      </c>
      <c r="R2266" s="1"/>
      <c r="S2266" s="1"/>
      <c r="T2266" s="1" t="s">
        <v>37</v>
      </c>
      <c r="U2266" s="1"/>
      <c r="V2266" s="1" t="s">
        <v>38</v>
      </c>
      <c r="W2266" s="1"/>
      <c r="X2266" s="1"/>
      <c r="Y2266" s="1" t="s">
        <v>8927</v>
      </c>
      <c r="Z2266" s="1"/>
      <c r="AA2266" s="1" t="s">
        <v>40</v>
      </c>
      <c r="AB2266" s="1" t="s">
        <v>1634</v>
      </c>
      <c r="AC2266" s="1">
        <v>0.0</v>
      </c>
    </row>
    <row r="2267">
      <c r="A2267" s="1" t="str">
        <f>"000JWD"</f>
        <v>000JWD</v>
      </c>
      <c r="B2267" s="1" t="s">
        <v>8928</v>
      </c>
      <c r="C2267" s="1" t="s">
        <v>8929</v>
      </c>
      <c r="D2267" s="1" t="str">
        <f>"8028650557"</f>
        <v>8028650557</v>
      </c>
      <c r="E2267" s="1">
        <v>4465.0</v>
      </c>
      <c r="F2267" s="1" t="s">
        <v>117</v>
      </c>
      <c r="G2267" s="1" t="s">
        <v>8930</v>
      </c>
      <c r="H2267" s="1">
        <v>4.0</v>
      </c>
      <c r="I2267" s="2">
        <v>0.0</v>
      </c>
      <c r="J2267" s="2">
        <v>0.0</v>
      </c>
      <c r="K2267" s="2" t="s">
        <v>119</v>
      </c>
      <c r="L2267" s="2" t="s">
        <v>8931</v>
      </c>
      <c r="M2267" s="1" t="s">
        <v>8653</v>
      </c>
      <c r="N2267" s="1" t="s">
        <v>57</v>
      </c>
      <c r="O2267" s="1" t="s">
        <v>238</v>
      </c>
      <c r="P2267" s="1" t="s">
        <v>1263</v>
      </c>
      <c r="Q2267" s="3">
        <v>41049.0</v>
      </c>
      <c r="R2267" s="1"/>
      <c r="S2267" s="3">
        <v>42556.0</v>
      </c>
      <c r="T2267" s="1" t="s">
        <v>37</v>
      </c>
      <c r="U2267" s="1"/>
      <c r="V2267" s="1" t="s">
        <v>38</v>
      </c>
      <c r="W2267" s="1">
        <v>44.39004</v>
      </c>
      <c r="X2267" s="1">
        <v>-73.2715299999999</v>
      </c>
      <c r="Y2267" s="1" t="s">
        <v>1263</v>
      </c>
      <c r="Z2267" s="1"/>
      <c r="AA2267" s="1" t="s">
        <v>40</v>
      </c>
      <c r="AB2267" s="1" t="s">
        <v>239</v>
      </c>
      <c r="AC2267" s="1">
        <v>5482.0</v>
      </c>
    </row>
    <row r="2268">
      <c r="A2268" s="1" t="str">
        <f>"000JWF"</f>
        <v>000JWF</v>
      </c>
      <c r="B2268" s="1" t="s">
        <v>8932</v>
      </c>
      <c r="C2268" s="1" t="s">
        <v>8933</v>
      </c>
      <c r="D2268" s="1" t="str">
        <f>"8024343294"</f>
        <v>8024343294</v>
      </c>
      <c r="E2268" s="1">
        <v>4466.0</v>
      </c>
      <c r="F2268" s="1" t="s">
        <v>44</v>
      </c>
      <c r="G2268" s="1" t="s">
        <v>8934</v>
      </c>
      <c r="H2268" s="1">
        <v>4.0</v>
      </c>
      <c r="I2268" s="2">
        <v>4.0</v>
      </c>
      <c r="J2268" s="2">
        <v>3.0</v>
      </c>
      <c r="K2268" s="2" t="s">
        <v>119</v>
      </c>
      <c r="L2268" s="2" t="s">
        <v>8935</v>
      </c>
      <c r="M2268" s="1" t="s">
        <v>8936</v>
      </c>
      <c r="N2268" s="1" t="s">
        <v>57</v>
      </c>
      <c r="O2268" s="1" t="s">
        <v>3943</v>
      </c>
      <c r="P2268" s="1" t="s">
        <v>36</v>
      </c>
      <c r="Q2268" s="3">
        <v>41064.0</v>
      </c>
      <c r="R2268" s="1"/>
      <c r="S2268" s="1"/>
      <c r="T2268" s="1" t="s">
        <v>37</v>
      </c>
      <c r="U2268" s="1"/>
      <c r="V2268" s="1" t="s">
        <v>38</v>
      </c>
      <c r="W2268" s="1">
        <v>44.3809676548073</v>
      </c>
      <c r="X2268" s="1">
        <v>-72.9114988446235</v>
      </c>
      <c r="Y2268" s="1" t="s">
        <v>8937</v>
      </c>
      <c r="Z2268" s="1"/>
      <c r="AA2268" s="1" t="s">
        <v>40</v>
      </c>
      <c r="AB2268" s="1" t="s">
        <v>3946</v>
      </c>
      <c r="AC2268" s="1">
        <v>5676.0</v>
      </c>
    </row>
    <row r="2269">
      <c r="A2269" s="1" t="str">
        <f>"000JWJ"</f>
        <v>000JWJ</v>
      </c>
      <c r="B2269" s="1" t="s">
        <v>8938</v>
      </c>
      <c r="C2269" s="1" t="s">
        <v>8939</v>
      </c>
      <c r="D2269" s="1" t="str">
        <f>"8023252064"</f>
        <v>8023252064</v>
      </c>
      <c r="E2269" s="1">
        <v>4469.0</v>
      </c>
      <c r="F2269" s="1" t="s">
        <v>44</v>
      </c>
      <c r="G2269" s="1" t="s">
        <v>8940</v>
      </c>
      <c r="H2269" s="1">
        <v>3.0</v>
      </c>
      <c r="I2269" s="1"/>
      <c r="J2269" s="1"/>
      <c r="K2269" s="1"/>
      <c r="L2269" s="1"/>
      <c r="M2269" s="1" t="s">
        <v>33</v>
      </c>
      <c r="N2269" s="1" t="s">
        <v>78</v>
      </c>
      <c r="O2269" s="1" t="s">
        <v>434</v>
      </c>
      <c r="P2269" s="1" t="s">
        <v>8941</v>
      </c>
      <c r="Q2269" s="3">
        <v>41082.0</v>
      </c>
      <c r="R2269" s="1"/>
      <c r="S2269" s="1"/>
      <c r="T2269" s="1" t="s">
        <v>37</v>
      </c>
      <c r="U2269" s="1"/>
      <c r="V2269" s="1" t="s">
        <v>38</v>
      </c>
      <c r="W2269" s="1"/>
      <c r="X2269" s="1"/>
      <c r="Y2269" s="1" t="s">
        <v>8942</v>
      </c>
      <c r="Z2269" s="1"/>
      <c r="AA2269" s="1" t="s">
        <v>40</v>
      </c>
      <c r="AB2269" s="1" t="s">
        <v>435</v>
      </c>
      <c r="AC2269" s="1">
        <v>5761.0</v>
      </c>
    </row>
    <row r="2270">
      <c r="A2270" s="1" t="str">
        <f>"000JWK"</f>
        <v>000JWK</v>
      </c>
      <c r="B2270" s="1" t="s">
        <v>8943</v>
      </c>
      <c r="C2270" s="1" t="s">
        <v>8944</v>
      </c>
      <c r="D2270" s="1" t="str">
        <f>"8027936033"</f>
        <v>8027936033</v>
      </c>
      <c r="E2270" s="1">
        <v>4470.0</v>
      </c>
      <c r="F2270" s="1" t="s">
        <v>44</v>
      </c>
      <c r="G2270" s="1" t="s">
        <v>8945</v>
      </c>
      <c r="H2270" s="1">
        <v>2.0</v>
      </c>
      <c r="I2270" s="1"/>
      <c r="J2270" s="1"/>
      <c r="K2270" s="1"/>
      <c r="L2270" s="1"/>
      <c r="M2270" s="1" t="s">
        <v>33</v>
      </c>
      <c r="N2270" s="1" t="s">
        <v>135</v>
      </c>
      <c r="O2270" s="1" t="s">
        <v>343</v>
      </c>
      <c r="P2270" s="1" t="s">
        <v>36</v>
      </c>
      <c r="Q2270" s="3">
        <v>41291.0</v>
      </c>
      <c r="R2270" s="1"/>
      <c r="S2270" s="1"/>
      <c r="T2270" s="1" t="s">
        <v>37</v>
      </c>
      <c r="U2270" s="1"/>
      <c r="V2270" s="1" t="s">
        <v>38</v>
      </c>
      <c r="W2270" s="1"/>
      <c r="X2270" s="1"/>
      <c r="Y2270" s="1" t="s">
        <v>8946</v>
      </c>
      <c r="Z2270" s="1"/>
      <c r="AA2270" s="1" t="s">
        <v>40</v>
      </c>
      <c r="AB2270" s="1" t="s">
        <v>8947</v>
      </c>
      <c r="AC2270" s="1">
        <v>5678.0</v>
      </c>
    </row>
    <row r="2271">
      <c r="A2271" s="1" t="str">
        <f>"000JWV"</f>
        <v>000JWV</v>
      </c>
      <c r="B2271" s="1" t="s">
        <v>8948</v>
      </c>
      <c r="C2271" s="1" t="s">
        <v>8949</v>
      </c>
      <c r="D2271" s="1" t="str">
        <f>"8024345050"</f>
        <v>8024345050</v>
      </c>
      <c r="E2271" s="1">
        <v>4475.0</v>
      </c>
      <c r="F2271" s="1" t="s">
        <v>117</v>
      </c>
      <c r="G2271" s="1" t="s">
        <v>8950</v>
      </c>
      <c r="H2271" s="1">
        <v>1.0</v>
      </c>
      <c r="I2271" s="2">
        <v>2.0</v>
      </c>
      <c r="J2271" s="2">
        <v>1.0</v>
      </c>
      <c r="K2271" s="2" t="s">
        <v>829</v>
      </c>
      <c r="L2271" s="2" t="s">
        <v>5123</v>
      </c>
      <c r="M2271" s="1" t="s">
        <v>8951</v>
      </c>
      <c r="N2271" s="1" t="s">
        <v>57</v>
      </c>
      <c r="O2271" s="1" t="s">
        <v>313</v>
      </c>
      <c r="P2271" s="1" t="s">
        <v>8952</v>
      </c>
      <c r="Q2271" s="3">
        <v>41157.0</v>
      </c>
      <c r="R2271" s="1"/>
      <c r="S2271" s="3">
        <v>41723.0</v>
      </c>
      <c r="T2271" s="1" t="s">
        <v>37</v>
      </c>
      <c r="U2271" s="1"/>
      <c r="V2271" s="1" t="s">
        <v>38</v>
      </c>
      <c r="W2271" s="1">
        <v>44.2968769999999</v>
      </c>
      <c r="X2271" s="1">
        <v>-72.967164</v>
      </c>
      <c r="Y2271" s="1" t="s">
        <v>8953</v>
      </c>
      <c r="Z2271" s="1"/>
      <c r="AA2271" s="1" t="s">
        <v>40</v>
      </c>
      <c r="AB2271" s="1" t="s">
        <v>8954</v>
      </c>
      <c r="AC2271" s="1">
        <v>5462.0</v>
      </c>
    </row>
    <row r="2272">
      <c r="A2272" s="1" t="str">
        <f>"000JX4"</f>
        <v>000JX4</v>
      </c>
      <c r="B2272" s="1" t="s">
        <v>8955</v>
      </c>
      <c r="C2272" s="1" t="s">
        <v>8956</v>
      </c>
      <c r="D2272" s="1" t="str">
        <f>"8023562815"</f>
        <v>8023562815</v>
      </c>
      <c r="E2272" s="1">
        <v>4483.0</v>
      </c>
      <c r="F2272" s="1" t="s">
        <v>44</v>
      </c>
      <c r="G2272" s="1" t="s">
        <v>8957</v>
      </c>
      <c r="H2272" s="1">
        <v>1.0</v>
      </c>
      <c r="I2272" s="1"/>
      <c r="J2272" s="1"/>
      <c r="K2272" s="1"/>
      <c r="L2272" s="1"/>
      <c r="M2272" s="1" t="s">
        <v>33</v>
      </c>
      <c r="N2272" s="1" t="s">
        <v>34</v>
      </c>
      <c r="O2272" s="1" t="s">
        <v>953</v>
      </c>
      <c r="P2272" s="1" t="s">
        <v>36</v>
      </c>
      <c r="Q2272" s="3">
        <v>41213.0</v>
      </c>
      <c r="R2272" s="1"/>
      <c r="S2272" s="1"/>
      <c r="T2272" s="1" t="s">
        <v>37</v>
      </c>
      <c r="U2272" s="1"/>
      <c r="V2272" s="1" t="s">
        <v>38</v>
      </c>
      <c r="W2272" s="1">
        <v>43.672928</v>
      </c>
      <c r="X2272" s="1">
        <v>-72.379547</v>
      </c>
      <c r="Y2272" s="1" t="s">
        <v>8958</v>
      </c>
      <c r="Z2272" s="1"/>
      <c r="AA2272" s="1" t="s">
        <v>40</v>
      </c>
      <c r="AB2272" s="1" t="s">
        <v>8959</v>
      </c>
      <c r="AC2272" s="1">
        <v>5001.0</v>
      </c>
    </row>
    <row r="2273">
      <c r="A2273" s="1" t="str">
        <f>"000JX5"</f>
        <v>000JX5</v>
      </c>
      <c r="B2273" s="1" t="s">
        <v>8960</v>
      </c>
      <c r="C2273" s="1" t="s">
        <v>8961</v>
      </c>
      <c r="D2273" s="1" t="str">
        <f>"8028992150"</f>
        <v>8028992150</v>
      </c>
      <c r="E2273" s="1">
        <v>4484.0</v>
      </c>
      <c r="F2273" s="1" t="s">
        <v>117</v>
      </c>
      <c r="G2273" s="1" t="s">
        <v>8962</v>
      </c>
      <c r="H2273" s="1">
        <v>5.0</v>
      </c>
      <c r="I2273" s="2">
        <v>10.0</v>
      </c>
      <c r="J2273" s="2">
        <v>7.0</v>
      </c>
      <c r="K2273" s="2" t="s">
        <v>119</v>
      </c>
      <c r="L2273" s="1"/>
      <c r="M2273" s="1" t="s">
        <v>8963</v>
      </c>
      <c r="N2273" s="1" t="s">
        <v>57</v>
      </c>
      <c r="O2273" s="1" t="s">
        <v>509</v>
      </c>
      <c r="P2273" s="1" t="s">
        <v>8964</v>
      </c>
      <c r="Q2273" s="3">
        <v>41262.0</v>
      </c>
      <c r="R2273" s="1"/>
      <c r="S2273" s="1"/>
      <c r="T2273" s="1" t="s">
        <v>37</v>
      </c>
      <c r="U2273" s="1"/>
      <c r="V2273" s="1" t="s">
        <v>38</v>
      </c>
      <c r="W2273" s="1">
        <v>44.504166</v>
      </c>
      <c r="X2273" s="1">
        <v>-73.0063169999999</v>
      </c>
      <c r="Y2273" s="1" t="s">
        <v>8965</v>
      </c>
      <c r="Z2273" s="1"/>
      <c r="AA2273" s="1" t="s">
        <v>40</v>
      </c>
      <c r="AB2273" s="1" t="s">
        <v>331</v>
      </c>
      <c r="AC2273" s="1">
        <v>0.0</v>
      </c>
    </row>
    <row r="2274">
      <c r="A2274" s="1" t="str">
        <f>"00087P"</f>
        <v>00087P</v>
      </c>
      <c r="B2274" s="1" t="s">
        <v>5993</v>
      </c>
      <c r="C2274" s="1" t="s">
        <v>5994</v>
      </c>
      <c r="D2274" s="1" t="str">
        <f>"8025270369"</f>
        <v>8025270369</v>
      </c>
      <c r="E2274" s="1">
        <v>3072.0</v>
      </c>
      <c r="F2274" s="1" t="s">
        <v>31</v>
      </c>
      <c r="G2274" s="1" t="s">
        <v>8966</v>
      </c>
      <c r="H2274" s="1">
        <v>66.0</v>
      </c>
      <c r="I2274" s="1"/>
      <c r="J2274" s="1"/>
      <c r="K2274" s="1"/>
      <c r="L2274" s="1"/>
      <c r="M2274" s="1" t="s">
        <v>8967</v>
      </c>
      <c r="N2274" s="1" t="s">
        <v>47</v>
      </c>
      <c r="O2274" s="1" t="s">
        <v>2837</v>
      </c>
      <c r="P2274" s="1" t="s">
        <v>8968</v>
      </c>
      <c r="Q2274" s="3">
        <v>40971.0</v>
      </c>
      <c r="R2274" s="1"/>
      <c r="S2274" s="3">
        <v>42495.0</v>
      </c>
      <c r="T2274" s="1" t="s">
        <v>37</v>
      </c>
      <c r="U2274" s="1"/>
      <c r="V2274" s="1" t="s">
        <v>38</v>
      </c>
      <c r="W2274" s="1">
        <v>44.7931235691997</v>
      </c>
      <c r="X2274" s="1">
        <v>-73.0900105834007</v>
      </c>
      <c r="Y2274" s="1" t="s">
        <v>8969</v>
      </c>
      <c r="Z2274" s="1"/>
      <c r="AA2274" s="1" t="s">
        <v>40</v>
      </c>
      <c r="AB2274" s="1" t="s">
        <v>5776</v>
      </c>
      <c r="AC2274" s="1">
        <v>5478.0</v>
      </c>
    </row>
    <row r="2275">
      <c r="A2275" s="1" t="str">
        <f t="shared" ref="A2275:A2277" si="185">"00083N"</f>
        <v>00083N</v>
      </c>
      <c r="B2275" s="1" t="s">
        <v>8970</v>
      </c>
      <c r="C2275" s="1" t="s">
        <v>8971</v>
      </c>
      <c r="D2275" s="1" t="str">
        <f t="shared" ref="D2275:D2277" si="186">"8028674293"</f>
        <v>8028674293</v>
      </c>
      <c r="E2275" s="1">
        <v>4594.0</v>
      </c>
      <c r="F2275" s="1" t="s">
        <v>31</v>
      </c>
      <c r="G2275" s="1" t="s">
        <v>8972</v>
      </c>
      <c r="H2275" s="1">
        <v>24.0</v>
      </c>
      <c r="I2275" s="1"/>
      <c r="J2275" s="1"/>
      <c r="K2275" s="1"/>
      <c r="L2275" s="1"/>
      <c r="M2275" s="1" t="s">
        <v>8973</v>
      </c>
      <c r="N2275" s="1" t="s">
        <v>78</v>
      </c>
      <c r="O2275" s="1" t="s">
        <v>434</v>
      </c>
      <c r="P2275" s="1"/>
      <c r="Q2275" s="3">
        <v>41079.0</v>
      </c>
      <c r="R2275" s="1"/>
      <c r="S2275" s="3">
        <v>41079.0</v>
      </c>
      <c r="T2275" s="1" t="s">
        <v>37</v>
      </c>
      <c r="U2275" s="1"/>
      <c r="V2275" s="1" t="s">
        <v>38</v>
      </c>
      <c r="W2275" s="1"/>
      <c r="X2275" s="1"/>
      <c r="Y2275" s="1" t="s">
        <v>8974</v>
      </c>
      <c r="Z2275" s="1"/>
      <c r="AA2275" s="1" t="s">
        <v>40</v>
      </c>
      <c r="AB2275" s="1" t="s">
        <v>435</v>
      </c>
      <c r="AC2275" s="1">
        <v>5761.0</v>
      </c>
    </row>
    <row r="2276">
      <c r="A2276" s="1" t="str">
        <f t="shared" si="185"/>
        <v>00083N</v>
      </c>
      <c r="B2276" s="1" t="s">
        <v>8970</v>
      </c>
      <c r="C2276" s="1" t="s">
        <v>8971</v>
      </c>
      <c r="D2276" s="1" t="str">
        <f t="shared" si="186"/>
        <v>8028674293</v>
      </c>
      <c r="E2276" s="1">
        <v>4594.0</v>
      </c>
      <c r="F2276" s="1" t="s">
        <v>31</v>
      </c>
      <c r="G2276" s="1" t="s">
        <v>8975</v>
      </c>
      <c r="H2276" s="1">
        <v>22.0</v>
      </c>
      <c r="I2276" s="1"/>
      <c r="J2276" s="1"/>
      <c r="K2276" s="1"/>
      <c r="L2276" s="1"/>
      <c r="M2276" s="1" t="s">
        <v>8976</v>
      </c>
      <c r="N2276" s="1" t="s">
        <v>78</v>
      </c>
      <c r="O2276" s="1" t="s">
        <v>434</v>
      </c>
      <c r="P2276" s="1" t="s">
        <v>8977</v>
      </c>
      <c r="Q2276" s="3">
        <v>41079.0</v>
      </c>
      <c r="R2276" s="1"/>
      <c r="S2276" s="3">
        <v>41578.0</v>
      </c>
      <c r="T2276" s="1" t="s">
        <v>37</v>
      </c>
      <c r="U2276" s="1"/>
      <c r="V2276" s="1" t="s">
        <v>38</v>
      </c>
      <c r="W2276" s="1">
        <v>43.37896</v>
      </c>
      <c r="X2276" s="1">
        <v>-73.2272899999999</v>
      </c>
      <c r="Y2276" s="1" t="s">
        <v>8978</v>
      </c>
      <c r="Z2276" s="1"/>
      <c r="AA2276" s="1" t="s">
        <v>40</v>
      </c>
      <c r="AB2276" s="1" t="s">
        <v>435</v>
      </c>
      <c r="AC2276" s="1">
        <v>5761.0</v>
      </c>
    </row>
    <row r="2277">
      <c r="A2277" s="1" t="str">
        <f t="shared" si="185"/>
        <v>00083N</v>
      </c>
      <c r="B2277" s="1" t="s">
        <v>8970</v>
      </c>
      <c r="C2277" s="1" t="s">
        <v>8971</v>
      </c>
      <c r="D2277" s="1" t="str">
        <f t="shared" si="186"/>
        <v>8028674293</v>
      </c>
      <c r="E2277" s="1">
        <v>4594.0</v>
      </c>
      <c r="F2277" s="1" t="s">
        <v>31</v>
      </c>
      <c r="G2277" s="1" t="s">
        <v>8979</v>
      </c>
      <c r="H2277" s="1">
        <v>27.0</v>
      </c>
      <c r="I2277" s="1"/>
      <c r="J2277" s="1"/>
      <c r="K2277" s="1"/>
      <c r="L2277" s="1"/>
      <c r="M2277" s="1" t="s">
        <v>8980</v>
      </c>
      <c r="N2277" s="1" t="s">
        <v>78</v>
      </c>
      <c r="O2277" s="1" t="s">
        <v>434</v>
      </c>
      <c r="P2277" s="1" t="s">
        <v>8981</v>
      </c>
      <c r="Q2277" s="3">
        <v>41079.0</v>
      </c>
      <c r="R2277" s="1"/>
      <c r="S2277" s="3">
        <v>41479.0</v>
      </c>
      <c r="T2277" s="1" t="s">
        <v>164</v>
      </c>
      <c r="U2277" s="1"/>
      <c r="V2277" s="1" t="s">
        <v>38</v>
      </c>
      <c r="W2277" s="1"/>
      <c r="X2277" s="1"/>
      <c r="Y2277" s="1" t="s">
        <v>8982</v>
      </c>
      <c r="Z2277" s="1"/>
      <c r="AA2277" s="1" t="s">
        <v>40</v>
      </c>
      <c r="AB2277" s="1" t="s">
        <v>435</v>
      </c>
      <c r="AC2277" s="1">
        <v>5761.0</v>
      </c>
    </row>
    <row r="2278">
      <c r="A2278" s="1" t="str">
        <f>"00078P"</f>
        <v>00078P</v>
      </c>
      <c r="B2278" s="1" t="s">
        <v>8983</v>
      </c>
      <c r="C2278" s="1" t="s">
        <v>8984</v>
      </c>
      <c r="D2278" s="1"/>
      <c r="E2278" s="1">
        <v>2652.0</v>
      </c>
      <c r="F2278" s="1" t="s">
        <v>44</v>
      </c>
      <c r="G2278" s="1" t="s">
        <v>8985</v>
      </c>
      <c r="H2278" s="1">
        <v>0.0</v>
      </c>
      <c r="I2278" s="1"/>
      <c r="J2278" s="1"/>
      <c r="K2278" s="1"/>
      <c r="L2278" s="1"/>
      <c r="M2278" s="1" t="s">
        <v>8986</v>
      </c>
      <c r="N2278" s="1" t="s">
        <v>135</v>
      </c>
      <c r="O2278" s="1" t="s">
        <v>2384</v>
      </c>
      <c r="P2278" s="1"/>
      <c r="Q2278" s="3">
        <v>41027.0</v>
      </c>
      <c r="R2278" s="1"/>
      <c r="S2278" s="3">
        <v>41183.0</v>
      </c>
      <c r="T2278" s="1" t="s">
        <v>37</v>
      </c>
      <c r="U2278" s="1"/>
      <c r="V2278" s="1" t="s">
        <v>38</v>
      </c>
      <c r="W2278" s="1"/>
      <c r="X2278" s="1"/>
      <c r="Y2278" s="1" t="s">
        <v>8987</v>
      </c>
      <c r="Z2278" s="1"/>
      <c r="AA2278" s="1" t="s">
        <v>40</v>
      </c>
      <c r="AB2278" s="1" t="s">
        <v>2386</v>
      </c>
      <c r="AC2278" s="1">
        <v>0.0</v>
      </c>
    </row>
    <row r="2279">
      <c r="A2279" s="1" t="str">
        <f t="shared" ref="A2279:A2280" si="187">"000H09"</f>
        <v>000H09</v>
      </c>
      <c r="B2279" s="1" t="s">
        <v>8988</v>
      </c>
      <c r="C2279" s="1" t="s">
        <v>8989</v>
      </c>
      <c r="D2279" s="1" t="str">
        <f t="shared" ref="D2279:D2280" si="188">"8022383140"</f>
        <v>8022383140</v>
      </c>
      <c r="E2279" s="1">
        <v>4313.0</v>
      </c>
      <c r="F2279" s="1" t="s">
        <v>44</v>
      </c>
      <c r="G2279" s="1" t="s">
        <v>8990</v>
      </c>
      <c r="H2279" s="1">
        <v>1.0</v>
      </c>
      <c r="I2279" s="1"/>
      <c r="J2279" s="1"/>
      <c r="K2279" s="1"/>
      <c r="L2279" s="1"/>
      <c r="M2279" s="1" t="s">
        <v>8991</v>
      </c>
      <c r="N2279" s="1" t="s">
        <v>57</v>
      </c>
      <c r="O2279" s="1" t="s">
        <v>313</v>
      </c>
      <c r="P2279" s="1" t="s">
        <v>8992</v>
      </c>
      <c r="Q2279" s="3">
        <v>40711.0</v>
      </c>
      <c r="R2279" s="1"/>
      <c r="S2279" s="3">
        <v>41022.0</v>
      </c>
      <c r="T2279" s="1" t="s">
        <v>37</v>
      </c>
      <c r="U2279" s="1"/>
      <c r="V2279" s="1" t="s">
        <v>38</v>
      </c>
      <c r="W2279" s="1">
        <v>44.2561501372901</v>
      </c>
      <c r="X2279" s="1">
        <v>-72.9546153545379</v>
      </c>
      <c r="Y2279" s="1" t="s">
        <v>8993</v>
      </c>
      <c r="Z2279" s="1"/>
      <c r="AA2279" s="1" t="s">
        <v>40</v>
      </c>
      <c r="AB2279" s="1" t="s">
        <v>314</v>
      </c>
      <c r="AC2279" s="1">
        <v>0.0</v>
      </c>
    </row>
    <row r="2280">
      <c r="A2280" s="1" t="str">
        <f t="shared" si="187"/>
        <v>000H09</v>
      </c>
      <c r="B2280" s="1" t="s">
        <v>8988</v>
      </c>
      <c r="C2280" s="1" t="s">
        <v>8989</v>
      </c>
      <c r="D2280" s="1" t="str">
        <f t="shared" si="188"/>
        <v>8022383140</v>
      </c>
      <c r="E2280" s="1">
        <v>4313.0</v>
      </c>
      <c r="F2280" s="1" t="s">
        <v>44</v>
      </c>
      <c r="G2280" s="1" t="s">
        <v>8994</v>
      </c>
      <c r="H2280" s="1">
        <v>2.0</v>
      </c>
      <c r="I2280" s="1"/>
      <c r="J2280" s="1"/>
      <c r="K2280" s="1"/>
      <c r="L2280" s="1"/>
      <c r="M2280" s="1" t="s">
        <v>8995</v>
      </c>
      <c r="N2280" s="1" t="s">
        <v>57</v>
      </c>
      <c r="O2280" s="1" t="s">
        <v>1633</v>
      </c>
      <c r="P2280" s="1" t="s">
        <v>8996</v>
      </c>
      <c r="Q2280" s="3">
        <v>41314.0</v>
      </c>
      <c r="R2280" s="1"/>
      <c r="S2280" s="1"/>
      <c r="T2280" s="1" t="s">
        <v>37</v>
      </c>
      <c r="U2280" s="1"/>
      <c r="V2280" s="1" t="s">
        <v>38</v>
      </c>
      <c r="W2280" s="1">
        <v>44.328079</v>
      </c>
      <c r="X2280" s="1">
        <v>-73.220299</v>
      </c>
      <c r="Y2280" s="1" t="s">
        <v>8997</v>
      </c>
      <c r="Z2280" s="1"/>
      <c r="AA2280" s="1" t="s">
        <v>40</v>
      </c>
      <c r="AB2280" s="1" t="s">
        <v>1634</v>
      </c>
      <c r="AC2280" s="1">
        <v>5445.0</v>
      </c>
    </row>
    <row r="2281">
      <c r="A2281" s="1" t="str">
        <f>"000JZ9"</f>
        <v>000JZ9</v>
      </c>
      <c r="B2281" s="1" t="s">
        <v>8998</v>
      </c>
      <c r="C2281" s="1" t="s">
        <v>8999</v>
      </c>
      <c r="D2281" s="1" t="str">
        <f>"8029337351"</f>
        <v>8029337351</v>
      </c>
      <c r="E2281" s="1">
        <v>4495.0</v>
      </c>
      <c r="F2281" s="1" t="s">
        <v>44</v>
      </c>
      <c r="G2281" s="1" t="s">
        <v>9000</v>
      </c>
      <c r="H2281" s="1">
        <v>25.0</v>
      </c>
      <c r="I2281" s="1"/>
      <c r="J2281" s="1"/>
      <c r="K2281" s="1"/>
      <c r="L2281" s="1"/>
      <c r="M2281" s="1" t="s">
        <v>33</v>
      </c>
      <c r="N2281" s="1" t="s">
        <v>47</v>
      </c>
      <c r="O2281" s="1" t="s">
        <v>100</v>
      </c>
      <c r="P2281" s="1" t="s">
        <v>36</v>
      </c>
      <c r="Q2281" s="3">
        <v>41303.0</v>
      </c>
      <c r="R2281" s="1"/>
      <c r="S2281" s="1"/>
      <c r="T2281" s="1" t="s">
        <v>37</v>
      </c>
      <c r="U2281" s="1"/>
      <c r="V2281" s="1" t="s">
        <v>38</v>
      </c>
      <c r="W2281" s="1">
        <v>44.830828</v>
      </c>
      <c r="X2281" s="1">
        <v>-72.9080639999999</v>
      </c>
      <c r="Y2281" s="1" t="s">
        <v>9001</v>
      </c>
      <c r="Z2281" s="1"/>
      <c r="AA2281" s="1" t="s">
        <v>40</v>
      </c>
      <c r="AB2281" s="1" t="s">
        <v>102</v>
      </c>
      <c r="AC2281" s="1">
        <v>5455.0</v>
      </c>
    </row>
    <row r="2282">
      <c r="A2282" s="1" t="str">
        <f>"000JZH"</f>
        <v>000JZH</v>
      </c>
      <c r="B2282" s="1" t="s">
        <v>9002</v>
      </c>
      <c r="C2282" s="1" t="s">
        <v>9003</v>
      </c>
      <c r="D2282" s="1" t="str">
        <f>"8023790837"</f>
        <v>8023790837</v>
      </c>
      <c r="E2282" s="1">
        <v>4496.0</v>
      </c>
      <c r="F2282" s="1" t="s">
        <v>44</v>
      </c>
      <c r="G2282" s="1" t="s">
        <v>9004</v>
      </c>
      <c r="H2282" s="1">
        <v>1.0</v>
      </c>
      <c r="I2282" s="1"/>
      <c r="J2282" s="1"/>
      <c r="K2282" s="1"/>
      <c r="L2282" s="1"/>
      <c r="M2282" s="1" t="s">
        <v>33</v>
      </c>
      <c r="N2282" s="1" t="s">
        <v>414</v>
      </c>
      <c r="O2282" s="1" t="s">
        <v>794</v>
      </c>
      <c r="P2282" s="1" t="s">
        <v>36</v>
      </c>
      <c r="Q2282" s="3">
        <v>41325.0</v>
      </c>
      <c r="R2282" s="1"/>
      <c r="S2282" s="1"/>
      <c r="T2282" s="1" t="s">
        <v>37</v>
      </c>
      <c r="U2282" s="1"/>
      <c r="V2282" s="1" t="s">
        <v>38</v>
      </c>
      <c r="W2282" s="1"/>
      <c r="X2282" s="1"/>
      <c r="Y2282" s="1" t="s">
        <v>9005</v>
      </c>
      <c r="Z2282" s="1"/>
      <c r="AA2282" s="1" t="s">
        <v>40</v>
      </c>
      <c r="AB2282" s="1" t="s">
        <v>797</v>
      </c>
      <c r="AC2282" s="1">
        <v>5201.0</v>
      </c>
    </row>
    <row r="2283">
      <c r="A2283" s="1" t="str">
        <f>"000K03"</f>
        <v>000K03</v>
      </c>
      <c r="B2283" s="1" t="s">
        <v>9006</v>
      </c>
      <c r="C2283" s="1" t="s">
        <v>9007</v>
      </c>
      <c r="D2283" s="1" t="str">
        <f>"7033893803"</f>
        <v>7033893803</v>
      </c>
      <c r="E2283" s="1">
        <v>4500.0</v>
      </c>
      <c r="F2283" s="1" t="s">
        <v>117</v>
      </c>
      <c r="G2283" s="1" t="s">
        <v>9008</v>
      </c>
      <c r="H2283" s="1">
        <v>3.0</v>
      </c>
      <c r="I2283" s="2">
        <v>1.0</v>
      </c>
      <c r="J2283" s="2">
        <v>0.0</v>
      </c>
      <c r="K2283" s="2" t="s">
        <v>119</v>
      </c>
      <c r="L2283" s="1"/>
      <c r="M2283" s="1" t="s">
        <v>9009</v>
      </c>
      <c r="N2283" s="1" t="s">
        <v>57</v>
      </c>
      <c r="O2283" s="1" t="s">
        <v>175</v>
      </c>
      <c r="P2283" s="1" t="s">
        <v>9010</v>
      </c>
      <c r="Q2283" s="3">
        <v>41302.0</v>
      </c>
      <c r="R2283" s="1"/>
      <c r="S2283" s="1"/>
      <c r="T2283" s="1" t="s">
        <v>37</v>
      </c>
      <c r="U2283" s="1"/>
      <c r="V2283" s="1" t="s">
        <v>38</v>
      </c>
      <c r="W2283" s="1">
        <v>44.475517</v>
      </c>
      <c r="X2283" s="1">
        <v>-73.2057108999999</v>
      </c>
      <c r="Y2283" s="1" t="s">
        <v>9011</v>
      </c>
      <c r="Z2283" s="1"/>
      <c r="AA2283" s="1" t="s">
        <v>40</v>
      </c>
      <c r="AB2283" s="1" t="s">
        <v>176</v>
      </c>
      <c r="AC2283" s="1">
        <v>5401.0</v>
      </c>
    </row>
    <row r="2284">
      <c r="A2284" s="1" t="str">
        <f>"000ADW"</f>
        <v>000ADW</v>
      </c>
      <c r="B2284" s="1" t="s">
        <v>8074</v>
      </c>
      <c r="C2284" s="1" t="s">
        <v>8075</v>
      </c>
      <c r="D2284" s="1" t="str">
        <f>"8022237475"</f>
        <v>8022237475</v>
      </c>
      <c r="E2284" s="1">
        <v>4142.0</v>
      </c>
      <c r="F2284" s="1" t="s">
        <v>117</v>
      </c>
      <c r="G2284" s="1" t="s">
        <v>9012</v>
      </c>
      <c r="H2284" s="1">
        <v>4.0</v>
      </c>
      <c r="I2284" s="2">
        <v>6.0</v>
      </c>
      <c r="J2284" s="2">
        <v>6.0</v>
      </c>
      <c r="K2284" s="2" t="s">
        <v>119</v>
      </c>
      <c r="L2284" s="2" t="s">
        <v>4799</v>
      </c>
      <c r="M2284" s="1" t="s">
        <v>9013</v>
      </c>
      <c r="N2284" s="1" t="s">
        <v>135</v>
      </c>
      <c r="O2284" s="1" t="s">
        <v>3983</v>
      </c>
      <c r="P2284" s="1" t="s">
        <v>9014</v>
      </c>
      <c r="Q2284" s="3">
        <v>41376.0</v>
      </c>
      <c r="R2284" s="1"/>
      <c r="S2284" s="3">
        <v>41379.0</v>
      </c>
      <c r="T2284" s="1" t="s">
        <v>37</v>
      </c>
      <c r="U2284" s="1"/>
      <c r="V2284" s="1" t="s">
        <v>38</v>
      </c>
      <c r="W2284" s="1">
        <v>44.372953</v>
      </c>
      <c r="X2284" s="1">
        <v>-72.5471729999999</v>
      </c>
      <c r="Y2284" s="1" t="s">
        <v>9015</v>
      </c>
      <c r="Z2284" s="1"/>
      <c r="AA2284" s="1" t="s">
        <v>40</v>
      </c>
      <c r="AB2284" s="1" t="s">
        <v>3986</v>
      </c>
      <c r="AC2284" s="1">
        <v>5682.0</v>
      </c>
    </row>
    <row r="2285">
      <c r="A2285" s="1" t="str">
        <f>"000K57"</f>
        <v>000K57</v>
      </c>
      <c r="B2285" s="1" t="s">
        <v>9016</v>
      </c>
      <c r="C2285" s="1" t="s">
        <v>9017</v>
      </c>
      <c r="D2285" s="1" t="str">
        <f>"8024536450"</f>
        <v>8024536450</v>
      </c>
      <c r="E2285" s="1">
        <v>4502.0</v>
      </c>
      <c r="F2285" s="1" t="s">
        <v>44</v>
      </c>
      <c r="G2285" s="1" t="s">
        <v>9018</v>
      </c>
      <c r="H2285" s="1">
        <v>1.0</v>
      </c>
      <c r="I2285" s="1"/>
      <c r="J2285" s="1"/>
      <c r="K2285" s="1"/>
      <c r="L2285" s="1"/>
      <c r="M2285" s="1" t="s">
        <v>33</v>
      </c>
      <c r="N2285" s="1" t="s">
        <v>161</v>
      </c>
      <c r="O2285" s="1" t="s">
        <v>185</v>
      </c>
      <c r="P2285" s="1" t="s">
        <v>36</v>
      </c>
      <c r="Q2285" s="3">
        <v>41382.0</v>
      </c>
      <c r="R2285" s="1"/>
      <c r="S2285" s="1"/>
      <c r="T2285" s="1" t="s">
        <v>37</v>
      </c>
      <c r="U2285" s="1"/>
      <c r="V2285" s="1" t="s">
        <v>38</v>
      </c>
      <c r="W2285" s="1"/>
      <c r="X2285" s="1"/>
      <c r="Y2285" s="1" t="s">
        <v>9019</v>
      </c>
      <c r="Z2285" s="1"/>
      <c r="AA2285" s="1" t="s">
        <v>40</v>
      </c>
      <c r="AB2285" s="1" t="s">
        <v>186</v>
      </c>
      <c r="AC2285" s="1">
        <v>5472.0</v>
      </c>
    </row>
    <row r="2286">
      <c r="A2286" s="1" t="str">
        <f>"000J7N"</f>
        <v>000J7N</v>
      </c>
      <c r="B2286" s="1" t="s">
        <v>8769</v>
      </c>
      <c r="C2286" s="1" t="s">
        <v>8770</v>
      </c>
      <c r="D2286" s="1" t="str">
        <f>"8023433306"</f>
        <v>8023433306</v>
      </c>
      <c r="E2286" s="1">
        <v>4398.0</v>
      </c>
      <c r="F2286" s="1" t="s">
        <v>31</v>
      </c>
      <c r="G2286" s="1" t="s">
        <v>9020</v>
      </c>
      <c r="H2286" s="1">
        <v>0.0</v>
      </c>
      <c r="I2286" s="1"/>
      <c r="J2286" s="1"/>
      <c r="K2286" s="1"/>
      <c r="L2286" s="1"/>
      <c r="M2286" s="1" t="s">
        <v>9021</v>
      </c>
      <c r="N2286" s="1" t="s">
        <v>94</v>
      </c>
      <c r="O2286" s="1" t="s">
        <v>637</v>
      </c>
      <c r="P2286" s="1" t="s">
        <v>9022</v>
      </c>
      <c r="Q2286" s="3">
        <v>41382.0</v>
      </c>
      <c r="R2286" s="1"/>
      <c r="S2286" s="1"/>
      <c r="T2286" s="1" t="s">
        <v>37</v>
      </c>
      <c r="U2286" s="1"/>
      <c r="V2286" s="1" t="s">
        <v>38</v>
      </c>
      <c r="W2286" s="1">
        <v>44.880001</v>
      </c>
      <c r="X2286" s="1">
        <v>-72.2428209999999</v>
      </c>
      <c r="Y2286" s="1" t="s">
        <v>9023</v>
      </c>
      <c r="Z2286" s="1"/>
      <c r="AA2286" s="1" t="s">
        <v>40</v>
      </c>
      <c r="AB2286" s="1" t="s">
        <v>1022</v>
      </c>
      <c r="AC2286" s="1">
        <v>0.0</v>
      </c>
    </row>
    <row r="2287">
      <c r="A2287" s="1" t="str">
        <f>"000AW0"</f>
        <v>000AW0</v>
      </c>
      <c r="B2287" s="1" t="s">
        <v>8215</v>
      </c>
      <c r="C2287" s="1" t="s">
        <v>8216</v>
      </c>
      <c r="D2287" s="1" t="str">
        <f>"8024222814"</f>
        <v>8024222814</v>
      </c>
      <c r="E2287" s="1">
        <v>4202.0</v>
      </c>
      <c r="F2287" s="1" t="s">
        <v>117</v>
      </c>
      <c r="G2287" s="1" t="s">
        <v>9024</v>
      </c>
      <c r="H2287" s="1">
        <v>3.0</v>
      </c>
      <c r="I2287" s="2" t="s">
        <v>119</v>
      </c>
      <c r="J2287" s="2" t="s">
        <v>119</v>
      </c>
      <c r="K2287" s="2" t="s">
        <v>119</v>
      </c>
      <c r="L2287" s="1"/>
      <c r="M2287" s="1" t="s">
        <v>9025</v>
      </c>
      <c r="N2287" s="1" t="s">
        <v>78</v>
      </c>
      <c r="O2287" s="1" t="s">
        <v>8219</v>
      </c>
      <c r="P2287" s="1" t="s">
        <v>9026</v>
      </c>
      <c r="Q2287" s="3">
        <v>41380.0</v>
      </c>
      <c r="R2287" s="1"/>
      <c r="S2287" s="1"/>
      <c r="T2287" s="1" t="s">
        <v>37</v>
      </c>
      <c r="U2287" s="1"/>
      <c r="V2287" s="1" t="s">
        <v>38</v>
      </c>
      <c r="W2287" s="1">
        <v>43.6555709999999</v>
      </c>
      <c r="X2287" s="1">
        <v>-72.771523</v>
      </c>
      <c r="Y2287" s="1" t="s">
        <v>9027</v>
      </c>
      <c r="Z2287" s="1"/>
      <c r="AA2287" s="1" t="s">
        <v>40</v>
      </c>
      <c r="AB2287" s="1" t="s">
        <v>8222</v>
      </c>
      <c r="AC2287" s="1">
        <v>5751.0</v>
      </c>
    </row>
    <row r="2288">
      <c r="A2288" s="1" t="str">
        <f t="shared" ref="A2288:A2289" si="189">"0007WB"</f>
        <v>0007WB</v>
      </c>
      <c r="B2288" s="1" t="s">
        <v>567</v>
      </c>
      <c r="C2288" s="1" t="s">
        <v>568</v>
      </c>
      <c r="D2288" s="1" t="str">
        <f t="shared" ref="D2288:D2289" si="190">"8029895895"</f>
        <v>8029895895</v>
      </c>
      <c r="E2288" s="1">
        <v>2046.0</v>
      </c>
      <c r="F2288" s="1" t="s">
        <v>117</v>
      </c>
      <c r="G2288" s="1" t="s">
        <v>9028</v>
      </c>
      <c r="H2288" s="1">
        <v>82.0</v>
      </c>
      <c r="I2288" s="2" t="s">
        <v>119</v>
      </c>
      <c r="J2288" s="2" t="s">
        <v>119</v>
      </c>
      <c r="K2288" s="2" t="s">
        <v>119</v>
      </c>
      <c r="L2288" s="1"/>
      <c r="M2288" s="1" t="s">
        <v>9029</v>
      </c>
      <c r="N2288" s="1" t="s">
        <v>161</v>
      </c>
      <c r="O2288" s="1" t="s">
        <v>586</v>
      </c>
      <c r="P2288" s="1"/>
      <c r="Q2288" s="3">
        <v>41365.0</v>
      </c>
      <c r="R2288" s="1"/>
      <c r="S2288" s="3">
        <v>41771.0</v>
      </c>
      <c r="T2288" s="1" t="s">
        <v>37</v>
      </c>
      <c r="U2288" s="1"/>
      <c r="V2288" s="1" t="s">
        <v>38</v>
      </c>
      <c r="W2288" s="1">
        <v>44.0279770968724</v>
      </c>
      <c r="X2288" s="1">
        <v>-73.2772728919417</v>
      </c>
      <c r="Y2288" s="1" t="s">
        <v>9030</v>
      </c>
      <c r="Z2288" s="1"/>
      <c r="AA2288" s="1" t="s">
        <v>40</v>
      </c>
      <c r="AB2288" s="1" t="s">
        <v>589</v>
      </c>
      <c r="AC2288" s="1">
        <v>5734.0</v>
      </c>
    </row>
    <row r="2289">
      <c r="A2289" s="1" t="str">
        <f t="shared" si="189"/>
        <v>0007WB</v>
      </c>
      <c r="B2289" s="1" t="s">
        <v>567</v>
      </c>
      <c r="C2289" s="1" t="s">
        <v>568</v>
      </c>
      <c r="D2289" s="1" t="str">
        <f t="shared" si="190"/>
        <v>8029895895</v>
      </c>
      <c r="E2289" s="1">
        <v>2046.0</v>
      </c>
      <c r="F2289" s="1" t="s">
        <v>117</v>
      </c>
      <c r="G2289" s="1" t="s">
        <v>9031</v>
      </c>
      <c r="H2289" s="1">
        <v>15.0</v>
      </c>
      <c r="I2289" s="2" t="s">
        <v>119</v>
      </c>
      <c r="J2289" s="2" t="s">
        <v>119</v>
      </c>
      <c r="K2289" s="2" t="s">
        <v>119</v>
      </c>
      <c r="L2289" s="1"/>
      <c r="M2289" s="1" t="s">
        <v>33</v>
      </c>
      <c r="N2289" s="1" t="s">
        <v>161</v>
      </c>
      <c r="O2289" s="1" t="s">
        <v>185</v>
      </c>
      <c r="P2289" s="1" t="s">
        <v>9032</v>
      </c>
      <c r="Q2289" s="3">
        <v>40909.0</v>
      </c>
      <c r="R2289" s="1"/>
      <c r="S2289" s="1"/>
      <c r="T2289" s="1" t="s">
        <v>37</v>
      </c>
      <c r="U2289" s="1"/>
      <c r="V2289" s="1" t="s">
        <v>38</v>
      </c>
      <c r="W2289" s="1">
        <v>44.1061206231017</v>
      </c>
      <c r="X2289" s="1">
        <v>-73.1415915962134</v>
      </c>
      <c r="Y2289" s="1" t="s">
        <v>9033</v>
      </c>
      <c r="Z2289" s="1"/>
      <c r="AA2289" s="1" t="s">
        <v>40</v>
      </c>
      <c r="AB2289" s="1" t="s">
        <v>186</v>
      </c>
      <c r="AC2289" s="1">
        <v>5472.0</v>
      </c>
    </row>
    <row r="2290">
      <c r="A2290" s="1" t="str">
        <f t="shared" ref="A2290:A2292" si="191">"0007P4"</f>
        <v>0007P4</v>
      </c>
      <c r="B2290" s="1" t="s">
        <v>1258</v>
      </c>
      <c r="C2290" s="1" t="s">
        <v>1259</v>
      </c>
      <c r="D2290" s="1" t="str">
        <f t="shared" ref="D2290:D2292" si="192">"8022237316"</f>
        <v>8022237316</v>
      </c>
      <c r="E2290" s="1">
        <v>1021.0</v>
      </c>
      <c r="F2290" s="1" t="s">
        <v>117</v>
      </c>
      <c r="G2290" s="1" t="s">
        <v>9034</v>
      </c>
      <c r="H2290" s="1">
        <v>19.0</v>
      </c>
      <c r="I2290" s="2">
        <v>2.0</v>
      </c>
      <c r="J2290" s="2">
        <v>2.0</v>
      </c>
      <c r="K2290" s="2" t="s">
        <v>119</v>
      </c>
      <c r="L2290" s="2" t="s">
        <v>2117</v>
      </c>
      <c r="M2290" s="1" t="s">
        <v>9035</v>
      </c>
      <c r="N2290" s="1" t="s">
        <v>57</v>
      </c>
      <c r="O2290" s="1" t="s">
        <v>204</v>
      </c>
      <c r="P2290" s="1" t="s">
        <v>9036</v>
      </c>
      <c r="Q2290" s="3">
        <v>41424.0</v>
      </c>
      <c r="R2290" s="1"/>
      <c r="S2290" s="3">
        <v>42187.0</v>
      </c>
      <c r="T2290" s="1" t="s">
        <v>37</v>
      </c>
      <c r="U2290" s="1"/>
      <c r="V2290" s="1" t="s">
        <v>38</v>
      </c>
      <c r="W2290" s="1">
        <v>44.3370226013657</v>
      </c>
      <c r="X2290" s="1">
        <v>-73.1501034647226</v>
      </c>
      <c r="Y2290" s="1" t="s">
        <v>9037</v>
      </c>
      <c r="Z2290" s="1"/>
      <c r="AA2290" s="1" t="s">
        <v>40</v>
      </c>
      <c r="AB2290" s="1" t="s">
        <v>205</v>
      </c>
      <c r="AC2290" s="1">
        <v>0.0</v>
      </c>
    </row>
    <row r="2291">
      <c r="A2291" s="1" t="str">
        <f t="shared" si="191"/>
        <v>0007P4</v>
      </c>
      <c r="B2291" s="1" t="s">
        <v>1258</v>
      </c>
      <c r="C2291" s="1" t="s">
        <v>1259</v>
      </c>
      <c r="D2291" s="1" t="str">
        <f t="shared" si="192"/>
        <v>8022237316</v>
      </c>
      <c r="E2291" s="1">
        <v>1021.0</v>
      </c>
      <c r="F2291" s="1" t="s">
        <v>117</v>
      </c>
      <c r="G2291" s="1" t="s">
        <v>9038</v>
      </c>
      <c r="H2291" s="1">
        <v>14.0</v>
      </c>
      <c r="I2291" s="2">
        <v>1.0</v>
      </c>
      <c r="J2291" s="2">
        <v>1.0</v>
      </c>
      <c r="K2291" s="2" t="s">
        <v>119</v>
      </c>
      <c r="L2291" s="2" t="s">
        <v>1261</v>
      </c>
      <c r="M2291" s="1" t="s">
        <v>4557</v>
      </c>
      <c r="N2291" s="1" t="s">
        <v>57</v>
      </c>
      <c r="O2291" s="1" t="s">
        <v>1633</v>
      </c>
      <c r="P2291" s="1" t="s">
        <v>9039</v>
      </c>
      <c r="Q2291" s="3">
        <v>41424.0</v>
      </c>
      <c r="R2291" s="1"/>
      <c r="S2291" s="3">
        <v>41547.0</v>
      </c>
      <c r="T2291" s="1" t="s">
        <v>37</v>
      </c>
      <c r="U2291" s="1"/>
      <c r="V2291" s="1" t="s">
        <v>38</v>
      </c>
      <c r="W2291" s="1">
        <v>44.34215</v>
      </c>
      <c r="X2291" s="1">
        <v>-73.18709</v>
      </c>
      <c r="Y2291" s="1" t="s">
        <v>9040</v>
      </c>
      <c r="Z2291" s="1"/>
      <c r="AA2291" s="1" t="s">
        <v>40</v>
      </c>
      <c r="AB2291" s="1" t="s">
        <v>1634</v>
      </c>
      <c r="AC2291" s="1">
        <v>0.0</v>
      </c>
    </row>
    <row r="2292">
      <c r="A2292" s="1" t="str">
        <f t="shared" si="191"/>
        <v>0007P4</v>
      </c>
      <c r="B2292" s="1" t="s">
        <v>1258</v>
      </c>
      <c r="C2292" s="1" t="s">
        <v>1259</v>
      </c>
      <c r="D2292" s="1" t="str">
        <f t="shared" si="192"/>
        <v>8022237316</v>
      </c>
      <c r="E2292" s="1">
        <v>1021.0</v>
      </c>
      <c r="F2292" s="1" t="s">
        <v>117</v>
      </c>
      <c r="G2292" s="1" t="s">
        <v>9041</v>
      </c>
      <c r="H2292" s="1">
        <v>20.0</v>
      </c>
      <c r="I2292" s="2">
        <v>3.0</v>
      </c>
      <c r="J2292" s="2">
        <v>3.0</v>
      </c>
      <c r="K2292" s="2" t="s">
        <v>119</v>
      </c>
      <c r="L2292" s="2" t="s">
        <v>1261</v>
      </c>
      <c r="M2292" s="1" t="s">
        <v>9042</v>
      </c>
      <c r="N2292" s="1" t="s">
        <v>57</v>
      </c>
      <c r="O2292" s="1" t="s">
        <v>238</v>
      </c>
      <c r="P2292" s="1" t="s">
        <v>9043</v>
      </c>
      <c r="Q2292" s="3">
        <v>41424.0</v>
      </c>
      <c r="R2292" s="1"/>
      <c r="S2292" s="1"/>
      <c r="T2292" s="1" t="s">
        <v>37</v>
      </c>
      <c r="U2292" s="1"/>
      <c r="V2292" s="1" t="s">
        <v>38</v>
      </c>
      <c r="W2292" s="1">
        <v>44.3912278</v>
      </c>
      <c r="X2292" s="1">
        <v>-73.1422013999999</v>
      </c>
      <c r="Y2292" s="1" t="s">
        <v>9044</v>
      </c>
      <c r="Z2292" s="1"/>
      <c r="AA2292" s="1" t="s">
        <v>40</v>
      </c>
      <c r="AB2292" s="1" t="s">
        <v>239</v>
      </c>
      <c r="AC2292" s="1">
        <v>0.0</v>
      </c>
    </row>
    <row r="2293">
      <c r="A2293" s="1" t="str">
        <f>"000KGM"</f>
        <v>000KGM</v>
      </c>
      <c r="B2293" s="1" t="s">
        <v>9045</v>
      </c>
      <c r="C2293" s="1" t="s">
        <v>9046</v>
      </c>
      <c r="D2293" s="1" t="str">
        <f>"8027654647"</f>
        <v>8027654647</v>
      </c>
      <c r="E2293" s="1">
        <v>4506.0</v>
      </c>
      <c r="F2293" s="1" t="s">
        <v>117</v>
      </c>
      <c r="G2293" s="1" t="s">
        <v>9047</v>
      </c>
      <c r="H2293" s="1">
        <v>1.0</v>
      </c>
      <c r="I2293" s="2" t="s">
        <v>119</v>
      </c>
      <c r="J2293" s="2" t="s">
        <v>119</v>
      </c>
      <c r="K2293" s="2" t="s">
        <v>119</v>
      </c>
      <c r="L2293" s="1"/>
      <c r="M2293" s="1" t="s">
        <v>9048</v>
      </c>
      <c r="N2293" s="1" t="s">
        <v>142</v>
      </c>
      <c r="O2293" s="1" t="s">
        <v>243</v>
      </c>
      <c r="P2293" s="1" t="s">
        <v>9049</v>
      </c>
      <c r="Q2293" s="3">
        <v>41450.0</v>
      </c>
      <c r="R2293" s="1"/>
      <c r="S2293" s="1"/>
      <c r="T2293" s="1" t="s">
        <v>37</v>
      </c>
      <c r="U2293" s="1"/>
      <c r="V2293" s="1" t="s">
        <v>38</v>
      </c>
      <c r="W2293" s="1">
        <v>43.8303237</v>
      </c>
      <c r="X2293" s="1">
        <v>-72.3474415</v>
      </c>
      <c r="Y2293" s="1" t="s">
        <v>9050</v>
      </c>
      <c r="Z2293" s="1"/>
      <c r="AA2293" s="1" t="s">
        <v>40</v>
      </c>
      <c r="AB2293" s="1" t="s">
        <v>9051</v>
      </c>
      <c r="AC2293" s="1">
        <v>5070.0</v>
      </c>
    </row>
    <row r="2294">
      <c r="A2294" s="1" t="str">
        <f>"000KGN"</f>
        <v>000KGN</v>
      </c>
      <c r="B2294" s="1" t="s">
        <v>9052</v>
      </c>
      <c r="C2294" s="1" t="s">
        <v>9053</v>
      </c>
      <c r="D2294" s="1" t="str">
        <f>"8027800887"</f>
        <v>8027800887</v>
      </c>
      <c r="E2294" s="1">
        <v>4507.0</v>
      </c>
      <c r="F2294" s="1" t="s">
        <v>44</v>
      </c>
      <c r="G2294" s="1" t="s">
        <v>9054</v>
      </c>
      <c r="H2294" s="1">
        <v>3.0</v>
      </c>
      <c r="I2294" s="1"/>
      <c r="J2294" s="1"/>
      <c r="K2294" s="1"/>
      <c r="L2294" s="1"/>
      <c r="M2294" s="1" t="s">
        <v>33</v>
      </c>
      <c r="N2294" s="1" t="s">
        <v>66</v>
      </c>
      <c r="O2294" s="1" t="s">
        <v>1411</v>
      </c>
      <c r="P2294" s="1" t="s">
        <v>36</v>
      </c>
      <c r="Q2294" s="3">
        <v>41449.0</v>
      </c>
      <c r="R2294" s="1"/>
      <c r="S2294" s="1"/>
      <c r="T2294" s="1" t="s">
        <v>37</v>
      </c>
      <c r="U2294" s="1"/>
      <c r="V2294" s="1" t="s">
        <v>38</v>
      </c>
      <c r="W2294" s="1">
        <v>42.9072</v>
      </c>
      <c r="X2294" s="1">
        <v>-72.8458</v>
      </c>
      <c r="Y2294" s="1" t="s">
        <v>9055</v>
      </c>
      <c r="Z2294" s="1"/>
      <c r="AA2294" s="1" t="s">
        <v>40</v>
      </c>
      <c r="AB2294" s="1" t="s">
        <v>1412</v>
      </c>
      <c r="AC2294" s="1">
        <v>5361.0</v>
      </c>
    </row>
    <row r="2295">
      <c r="A2295" s="1" t="str">
        <f t="shared" ref="A2295:A2296" si="193">"00098Y"</f>
        <v>00098Y</v>
      </c>
      <c r="B2295" s="1" t="s">
        <v>9056</v>
      </c>
      <c r="C2295" s="1" t="s">
        <v>9057</v>
      </c>
      <c r="D2295" s="1" t="str">
        <f t="shared" ref="D2295:D2296" si="194">"8023092492"</f>
        <v>8023092492</v>
      </c>
      <c r="E2295" s="1">
        <v>4079.0</v>
      </c>
      <c r="F2295" s="1" t="s">
        <v>117</v>
      </c>
      <c r="G2295" s="1" t="s">
        <v>9058</v>
      </c>
      <c r="H2295" s="1">
        <v>1.0</v>
      </c>
      <c r="I2295" s="2">
        <v>1.0</v>
      </c>
      <c r="J2295" s="2">
        <v>1.0</v>
      </c>
      <c r="K2295" s="2" t="s">
        <v>119</v>
      </c>
      <c r="L2295" s="2" t="s">
        <v>9059</v>
      </c>
      <c r="M2295" s="1" t="s">
        <v>9060</v>
      </c>
      <c r="N2295" s="1" t="s">
        <v>57</v>
      </c>
      <c r="O2295" s="1" t="s">
        <v>256</v>
      </c>
      <c r="P2295" s="1" t="s">
        <v>9061</v>
      </c>
      <c r="Q2295" s="3">
        <v>36892.0</v>
      </c>
      <c r="R2295" s="1"/>
      <c r="S2295" s="3">
        <v>41442.0</v>
      </c>
      <c r="T2295" s="1" t="s">
        <v>37</v>
      </c>
      <c r="U2295" s="1"/>
      <c r="V2295" s="1" t="s">
        <v>38</v>
      </c>
      <c r="W2295" s="1">
        <v>44.6146824055709</v>
      </c>
      <c r="X2295" s="1">
        <v>-73.2017111778259</v>
      </c>
      <c r="Y2295" s="1" t="s">
        <v>9062</v>
      </c>
      <c r="Z2295" s="1"/>
      <c r="AA2295" s="1" t="s">
        <v>40</v>
      </c>
      <c r="AB2295" s="1" t="s">
        <v>257</v>
      </c>
      <c r="AC2295" s="1">
        <v>5468.0</v>
      </c>
    </row>
    <row r="2296">
      <c r="A2296" s="1" t="str">
        <f t="shared" si="193"/>
        <v>00098Y</v>
      </c>
      <c r="B2296" s="1" t="s">
        <v>9056</v>
      </c>
      <c r="C2296" s="1" t="s">
        <v>9057</v>
      </c>
      <c r="D2296" s="1" t="str">
        <f t="shared" si="194"/>
        <v>8023092492</v>
      </c>
      <c r="E2296" s="1">
        <v>4079.0</v>
      </c>
      <c r="F2296" s="1" t="s">
        <v>117</v>
      </c>
      <c r="G2296" s="1" t="s">
        <v>9063</v>
      </c>
      <c r="H2296" s="1">
        <v>1.0</v>
      </c>
      <c r="I2296" s="2" t="s">
        <v>119</v>
      </c>
      <c r="J2296" s="2" t="s">
        <v>119</v>
      </c>
      <c r="K2296" s="2" t="s">
        <v>119</v>
      </c>
      <c r="L2296" s="1"/>
      <c r="M2296" s="1" t="s">
        <v>9064</v>
      </c>
      <c r="N2296" s="1" t="s">
        <v>57</v>
      </c>
      <c r="O2296" s="1" t="s">
        <v>256</v>
      </c>
      <c r="P2296" s="1" t="s">
        <v>9061</v>
      </c>
      <c r="Q2296" s="3">
        <v>41370.0</v>
      </c>
      <c r="R2296" s="1"/>
      <c r="S2296" s="3">
        <v>41442.0</v>
      </c>
      <c r="T2296" s="1" t="s">
        <v>37</v>
      </c>
      <c r="U2296" s="1"/>
      <c r="V2296" s="1" t="s">
        <v>38</v>
      </c>
      <c r="W2296" s="1">
        <v>44.597222</v>
      </c>
      <c r="X2296" s="1">
        <v>-73.160278</v>
      </c>
      <c r="Y2296" s="1" t="s">
        <v>9065</v>
      </c>
      <c r="Z2296" s="1"/>
      <c r="AA2296" s="1" t="s">
        <v>40</v>
      </c>
      <c r="AB2296" s="1" t="s">
        <v>9066</v>
      </c>
      <c r="AC2296" s="1">
        <v>0.0</v>
      </c>
    </row>
    <row r="2297">
      <c r="A2297" s="1" t="str">
        <f>"000KGY"</f>
        <v>000KGY</v>
      </c>
      <c r="B2297" s="1" t="s">
        <v>9067</v>
      </c>
      <c r="C2297" s="1" t="s">
        <v>9068</v>
      </c>
      <c r="D2297" s="1"/>
      <c r="E2297" s="1">
        <v>4508.0</v>
      </c>
      <c r="F2297" s="1" t="s">
        <v>117</v>
      </c>
      <c r="G2297" s="1" t="s">
        <v>9069</v>
      </c>
      <c r="H2297" s="1">
        <v>2.0</v>
      </c>
      <c r="I2297" s="2">
        <v>1.0</v>
      </c>
      <c r="J2297" s="2" t="s">
        <v>119</v>
      </c>
      <c r="K2297" s="2" t="s">
        <v>119</v>
      </c>
      <c r="L2297" s="1"/>
      <c r="M2297" s="1" t="s">
        <v>9070</v>
      </c>
      <c r="N2297" s="1" t="s">
        <v>47</v>
      </c>
      <c r="O2297" s="1" t="s">
        <v>1112</v>
      </c>
      <c r="P2297" s="1" t="s">
        <v>6946</v>
      </c>
      <c r="Q2297" s="3">
        <v>41407.0</v>
      </c>
      <c r="R2297" s="1"/>
      <c r="S2297" s="1"/>
      <c r="T2297" s="1" t="s">
        <v>37</v>
      </c>
      <c r="U2297" s="1"/>
      <c r="V2297" s="1" t="s">
        <v>38</v>
      </c>
      <c r="W2297" s="1">
        <v>44.946888</v>
      </c>
      <c r="X2297" s="1">
        <v>-73.0765989999999</v>
      </c>
      <c r="Y2297" s="1" t="s">
        <v>9071</v>
      </c>
      <c r="Z2297" s="1"/>
      <c r="AA2297" s="1" t="s">
        <v>40</v>
      </c>
      <c r="AB2297" s="1" t="s">
        <v>1115</v>
      </c>
      <c r="AC2297" s="1">
        <v>5488.0</v>
      </c>
    </row>
    <row r="2298">
      <c r="A2298" s="1" t="str">
        <f>"000AW8"</f>
        <v>000AW8</v>
      </c>
      <c r="B2298" s="1" t="s">
        <v>8246</v>
      </c>
      <c r="C2298" s="1" t="s">
        <v>8247</v>
      </c>
      <c r="D2298" s="1" t="str">
        <f>"8029993833"</f>
        <v>8029993833</v>
      </c>
      <c r="E2298" s="1">
        <v>4209.0</v>
      </c>
      <c r="F2298" s="1" t="s">
        <v>117</v>
      </c>
      <c r="G2298" s="1" t="s">
        <v>9072</v>
      </c>
      <c r="H2298" s="1">
        <v>4.0</v>
      </c>
      <c r="I2298" s="2" t="s">
        <v>119</v>
      </c>
      <c r="J2298" s="2" t="s">
        <v>119</v>
      </c>
      <c r="K2298" s="2" t="s">
        <v>119</v>
      </c>
      <c r="L2298" s="1"/>
      <c r="M2298" s="1" t="s">
        <v>9073</v>
      </c>
      <c r="N2298" s="1" t="s">
        <v>57</v>
      </c>
      <c r="O2298" s="1" t="s">
        <v>58</v>
      </c>
      <c r="P2298" s="1" t="s">
        <v>9074</v>
      </c>
      <c r="Q2298" s="3">
        <v>41415.0</v>
      </c>
      <c r="R2298" s="1"/>
      <c r="S2298" s="1"/>
      <c r="T2298" s="1" t="s">
        <v>37</v>
      </c>
      <c r="U2298" s="1"/>
      <c r="V2298" s="1" t="s">
        <v>38</v>
      </c>
      <c r="W2298" s="1">
        <v>44.5880699</v>
      </c>
      <c r="X2298" s="1">
        <v>-72.8651649999999</v>
      </c>
      <c r="Y2298" s="1" t="s">
        <v>9075</v>
      </c>
      <c r="Z2298" s="1"/>
      <c r="AA2298" s="1" t="s">
        <v>40</v>
      </c>
      <c r="AB2298" s="1" t="s">
        <v>61</v>
      </c>
      <c r="AC2298" s="1">
        <v>0.0</v>
      </c>
    </row>
    <row r="2299">
      <c r="A2299" s="1" t="str">
        <f>"000KH4"</f>
        <v>000KH4</v>
      </c>
      <c r="B2299" s="1" t="s">
        <v>9076</v>
      </c>
      <c r="C2299" s="1" t="s">
        <v>9077</v>
      </c>
      <c r="D2299" s="1" t="str">
        <f>"8022642171"</f>
        <v>8022642171</v>
      </c>
      <c r="E2299" s="1">
        <v>4514.0</v>
      </c>
      <c r="F2299" s="1" t="s">
        <v>117</v>
      </c>
      <c r="G2299" s="1" t="s">
        <v>9078</v>
      </c>
      <c r="H2299" s="1">
        <v>2.0</v>
      </c>
      <c r="I2299" s="2">
        <v>6.0</v>
      </c>
      <c r="J2299" s="2">
        <v>5.0</v>
      </c>
      <c r="K2299" s="2" t="s">
        <v>119</v>
      </c>
      <c r="L2299" s="1"/>
      <c r="M2299" s="1" t="s">
        <v>9079</v>
      </c>
      <c r="N2299" s="1" t="s">
        <v>57</v>
      </c>
      <c r="O2299" s="1" t="s">
        <v>175</v>
      </c>
      <c r="P2299" s="1" t="s">
        <v>2741</v>
      </c>
      <c r="Q2299" s="3">
        <v>41415.0</v>
      </c>
      <c r="R2299" s="1"/>
      <c r="S2299" s="3">
        <v>42889.0</v>
      </c>
      <c r="T2299" s="1" t="s">
        <v>37</v>
      </c>
      <c r="U2299" s="1"/>
      <c r="V2299" s="1" t="s">
        <v>38</v>
      </c>
      <c r="W2299" s="1">
        <v>44.4934977008569</v>
      </c>
      <c r="X2299" s="1">
        <v>-73.2043397426605</v>
      </c>
      <c r="Y2299" s="1" t="s">
        <v>174</v>
      </c>
      <c r="Z2299" s="1"/>
      <c r="AA2299" s="1" t="s">
        <v>40</v>
      </c>
      <c r="AB2299" s="1" t="s">
        <v>176</v>
      </c>
      <c r="AC2299" s="1">
        <v>5401.0</v>
      </c>
    </row>
    <row r="2300">
      <c r="A2300" s="1" t="str">
        <f>"000KHC"</f>
        <v>000KHC</v>
      </c>
      <c r="B2300" s="1" t="s">
        <v>9080</v>
      </c>
      <c r="C2300" s="1" t="s">
        <v>9081</v>
      </c>
      <c r="D2300" s="1" t="str">
        <f>"8028817693"</f>
        <v>8028817693</v>
      </c>
      <c r="E2300" s="1">
        <v>4520.0</v>
      </c>
      <c r="F2300" s="1" t="s">
        <v>31</v>
      </c>
      <c r="G2300" s="1" t="s">
        <v>9082</v>
      </c>
      <c r="H2300" s="1">
        <v>8.0</v>
      </c>
      <c r="I2300" s="1"/>
      <c r="J2300" s="1"/>
      <c r="K2300" s="1"/>
      <c r="L2300" s="1"/>
      <c r="M2300" s="1" t="s">
        <v>33</v>
      </c>
      <c r="N2300" s="1" t="s">
        <v>161</v>
      </c>
      <c r="O2300" s="1" t="s">
        <v>394</v>
      </c>
      <c r="P2300" s="1" t="s">
        <v>36</v>
      </c>
      <c r="Q2300" s="3">
        <v>41391.0</v>
      </c>
      <c r="R2300" s="1"/>
      <c r="S2300" s="1"/>
      <c r="T2300" s="1" t="s">
        <v>37</v>
      </c>
      <c r="U2300" s="1"/>
      <c r="V2300" s="1" t="s">
        <v>38</v>
      </c>
      <c r="W2300" s="1">
        <v>44.267115</v>
      </c>
      <c r="X2300" s="1">
        <v>-73.1603125</v>
      </c>
      <c r="Y2300" s="1" t="s">
        <v>9083</v>
      </c>
      <c r="Z2300" s="1"/>
      <c r="AA2300" s="1" t="s">
        <v>40</v>
      </c>
      <c r="AB2300" s="1" t="s">
        <v>395</v>
      </c>
      <c r="AC2300" s="1">
        <v>5469.0</v>
      </c>
    </row>
    <row r="2301">
      <c r="A2301" s="1" t="str">
        <f>"000KHD"</f>
        <v>000KHD</v>
      </c>
      <c r="B2301" s="1" t="s">
        <v>9084</v>
      </c>
      <c r="C2301" s="1" t="s">
        <v>9085</v>
      </c>
      <c r="D2301" s="1" t="str">
        <f>"2033403336"</f>
        <v>2033403336</v>
      </c>
      <c r="E2301" s="1">
        <v>4521.0</v>
      </c>
      <c r="F2301" s="1" t="s">
        <v>117</v>
      </c>
      <c r="G2301" s="1" t="s">
        <v>9086</v>
      </c>
      <c r="H2301" s="1">
        <v>1.0</v>
      </c>
      <c r="I2301" s="2">
        <v>0.0</v>
      </c>
      <c r="J2301" s="2">
        <v>0.0</v>
      </c>
      <c r="K2301" s="2" t="s">
        <v>119</v>
      </c>
      <c r="L2301" s="1"/>
      <c r="M2301" s="1" t="s">
        <v>3033</v>
      </c>
      <c r="N2301" s="1" t="s">
        <v>142</v>
      </c>
      <c r="O2301" s="1" t="s">
        <v>540</v>
      </c>
      <c r="P2301" s="1" t="s">
        <v>9087</v>
      </c>
      <c r="Q2301" s="3">
        <v>41451.0</v>
      </c>
      <c r="R2301" s="1"/>
      <c r="S2301" s="1"/>
      <c r="T2301" s="1" t="s">
        <v>37</v>
      </c>
      <c r="U2301" s="1"/>
      <c r="V2301" s="1" t="s">
        <v>38</v>
      </c>
      <c r="W2301" s="1">
        <v>44.097094</v>
      </c>
      <c r="X2301" s="1">
        <v>-72.116485</v>
      </c>
      <c r="Y2301" s="1" t="s">
        <v>9088</v>
      </c>
      <c r="Z2301" s="1"/>
      <c r="AA2301" s="1" t="s">
        <v>40</v>
      </c>
      <c r="AB2301" s="1" t="s">
        <v>541</v>
      </c>
      <c r="AC2301" s="1">
        <v>5051.0</v>
      </c>
    </row>
    <row r="2302">
      <c r="A2302" s="1" t="str">
        <f>"000KHH"</f>
        <v>000KHH</v>
      </c>
      <c r="B2302" s="1" t="s">
        <v>9089</v>
      </c>
      <c r="C2302" s="1" t="s">
        <v>9090</v>
      </c>
      <c r="D2302" s="1" t="str">
        <f>"9169957415"</f>
        <v>9169957415</v>
      </c>
      <c r="E2302" s="1">
        <v>4524.0</v>
      </c>
      <c r="F2302" s="1" t="s">
        <v>44</v>
      </c>
      <c r="G2302" s="1" t="s">
        <v>9091</v>
      </c>
      <c r="H2302" s="1">
        <v>1.0</v>
      </c>
      <c r="I2302" s="1"/>
      <c r="J2302" s="1"/>
      <c r="K2302" s="1"/>
      <c r="L2302" s="1"/>
      <c r="M2302" s="1" t="s">
        <v>9092</v>
      </c>
      <c r="N2302" s="1" t="s">
        <v>414</v>
      </c>
      <c r="O2302" s="1" t="s">
        <v>794</v>
      </c>
      <c r="P2302" s="1" t="s">
        <v>9093</v>
      </c>
      <c r="Q2302" s="3">
        <v>41407.0</v>
      </c>
      <c r="R2302" s="1"/>
      <c r="S2302" s="3">
        <v>41536.0</v>
      </c>
      <c r="T2302" s="1" t="s">
        <v>37</v>
      </c>
      <c r="U2302" s="1"/>
      <c r="V2302" s="1" t="s">
        <v>38</v>
      </c>
      <c r="W2302" s="1">
        <v>42.79217</v>
      </c>
      <c r="X2302" s="1">
        <v>-73.24662</v>
      </c>
      <c r="Y2302" s="1" t="s">
        <v>9094</v>
      </c>
      <c r="Z2302" s="1"/>
      <c r="AA2302" s="1" t="s">
        <v>40</v>
      </c>
      <c r="AB2302" s="1" t="s">
        <v>797</v>
      </c>
      <c r="AC2302" s="1">
        <v>5261.0</v>
      </c>
    </row>
    <row r="2303">
      <c r="A2303" s="1" t="str">
        <f t="shared" ref="A2303:A2306" si="195">"000KHJ"</f>
        <v>000KHJ</v>
      </c>
      <c r="B2303" s="1" t="s">
        <v>9095</v>
      </c>
      <c r="C2303" s="1" t="s">
        <v>9096</v>
      </c>
      <c r="D2303" s="1" t="str">
        <f t="shared" ref="D2303:D2306" si="196">"8027852251"</f>
        <v>8027852251</v>
      </c>
      <c r="E2303" s="1">
        <v>4525.0</v>
      </c>
      <c r="F2303" s="1" t="s">
        <v>31</v>
      </c>
      <c r="G2303" s="1" t="s">
        <v>9097</v>
      </c>
      <c r="H2303" s="1">
        <v>1.0</v>
      </c>
      <c r="I2303" s="1"/>
      <c r="J2303" s="1"/>
      <c r="K2303" s="1"/>
      <c r="L2303" s="1"/>
      <c r="M2303" s="1" t="s">
        <v>33</v>
      </c>
      <c r="N2303" s="1" t="s">
        <v>142</v>
      </c>
      <c r="O2303" s="1" t="s">
        <v>143</v>
      </c>
      <c r="P2303" s="1" t="s">
        <v>9098</v>
      </c>
      <c r="Q2303" s="3">
        <v>41406.0</v>
      </c>
      <c r="R2303" s="1"/>
      <c r="S2303" s="3">
        <v>42597.0</v>
      </c>
      <c r="T2303" s="1" t="s">
        <v>37</v>
      </c>
      <c r="U2303" s="1"/>
      <c r="V2303" s="1" t="s">
        <v>38</v>
      </c>
      <c r="W2303" s="1">
        <v>43.85975</v>
      </c>
      <c r="X2303" s="1">
        <v>-72.27438</v>
      </c>
      <c r="Y2303" s="1" t="s">
        <v>9099</v>
      </c>
      <c r="Z2303" s="1"/>
      <c r="AA2303" s="1" t="s">
        <v>40</v>
      </c>
      <c r="AB2303" s="1" t="s">
        <v>9100</v>
      </c>
      <c r="AC2303" s="1">
        <v>5075.0</v>
      </c>
    </row>
    <row r="2304">
      <c r="A2304" s="1" t="str">
        <f t="shared" si="195"/>
        <v>000KHJ</v>
      </c>
      <c r="B2304" s="1" t="s">
        <v>9095</v>
      </c>
      <c r="C2304" s="1" t="s">
        <v>9096</v>
      </c>
      <c r="D2304" s="1" t="str">
        <f t="shared" si="196"/>
        <v>8027852251</v>
      </c>
      <c r="E2304" s="1">
        <v>4525.0</v>
      </c>
      <c r="F2304" s="1" t="s">
        <v>31</v>
      </c>
      <c r="G2304" s="1" t="s">
        <v>9101</v>
      </c>
      <c r="H2304" s="1">
        <v>0.0</v>
      </c>
      <c r="I2304" s="1"/>
      <c r="J2304" s="1"/>
      <c r="K2304" s="1"/>
      <c r="L2304" s="1"/>
      <c r="M2304" s="1" t="s">
        <v>9102</v>
      </c>
      <c r="N2304" s="1" t="s">
        <v>142</v>
      </c>
      <c r="O2304" s="1" t="s">
        <v>2474</v>
      </c>
      <c r="P2304" s="1" t="s">
        <v>9103</v>
      </c>
      <c r="Q2304" s="3">
        <v>41406.0</v>
      </c>
      <c r="R2304" s="1"/>
      <c r="S2304" s="3">
        <v>42597.0</v>
      </c>
      <c r="T2304" s="1" t="s">
        <v>37</v>
      </c>
      <c r="U2304" s="1"/>
      <c r="V2304" s="1" t="s">
        <v>38</v>
      </c>
      <c r="W2304" s="1">
        <v>43.896194</v>
      </c>
      <c r="X2304" s="1">
        <v>-72.172836</v>
      </c>
      <c r="Y2304" s="1" t="s">
        <v>9104</v>
      </c>
      <c r="Z2304" s="1"/>
      <c r="AA2304" s="1" t="s">
        <v>40</v>
      </c>
      <c r="AB2304" s="1" t="s">
        <v>2475</v>
      </c>
      <c r="AC2304" s="1">
        <v>5045.0</v>
      </c>
    </row>
    <row r="2305">
      <c r="A2305" s="1" t="str">
        <f t="shared" si="195"/>
        <v>000KHJ</v>
      </c>
      <c r="B2305" s="1" t="s">
        <v>9095</v>
      </c>
      <c r="C2305" s="1" t="s">
        <v>9096</v>
      </c>
      <c r="D2305" s="1" t="str">
        <f t="shared" si="196"/>
        <v>8027852251</v>
      </c>
      <c r="E2305" s="1">
        <v>4525.0</v>
      </c>
      <c r="F2305" s="1" t="s">
        <v>31</v>
      </c>
      <c r="G2305" s="1" t="s">
        <v>9105</v>
      </c>
      <c r="H2305" s="1">
        <v>1.0</v>
      </c>
      <c r="I2305" s="1"/>
      <c r="J2305" s="1"/>
      <c r="K2305" s="1"/>
      <c r="L2305" s="1"/>
      <c r="M2305" s="1" t="s">
        <v>9106</v>
      </c>
      <c r="N2305" s="1" t="s">
        <v>142</v>
      </c>
      <c r="O2305" s="1" t="s">
        <v>1213</v>
      </c>
      <c r="P2305" s="1" t="s">
        <v>9107</v>
      </c>
      <c r="Q2305" s="3">
        <v>41406.0</v>
      </c>
      <c r="R2305" s="1"/>
      <c r="S2305" s="1"/>
      <c r="T2305" s="1" t="s">
        <v>37</v>
      </c>
      <c r="U2305" s="1"/>
      <c r="V2305" s="1" t="s">
        <v>38</v>
      </c>
      <c r="W2305" s="1">
        <v>43.947231</v>
      </c>
      <c r="X2305" s="1">
        <v>-72.3095089999999</v>
      </c>
      <c r="Y2305" s="1" t="s">
        <v>9108</v>
      </c>
      <c r="Z2305" s="1"/>
      <c r="AA2305" s="1" t="s">
        <v>40</v>
      </c>
      <c r="AB2305" s="1" t="s">
        <v>1214</v>
      </c>
      <c r="AC2305" s="1">
        <v>5079.0</v>
      </c>
    </row>
    <row r="2306">
      <c r="A2306" s="1" t="str">
        <f t="shared" si="195"/>
        <v>000KHJ</v>
      </c>
      <c r="B2306" s="1" t="s">
        <v>9095</v>
      </c>
      <c r="C2306" s="1" t="s">
        <v>9096</v>
      </c>
      <c r="D2306" s="1" t="str">
        <f t="shared" si="196"/>
        <v>8027852251</v>
      </c>
      <c r="E2306" s="1">
        <v>4525.0</v>
      </c>
      <c r="F2306" s="1" t="s">
        <v>31</v>
      </c>
      <c r="G2306" s="1" t="s">
        <v>9109</v>
      </c>
      <c r="H2306" s="1">
        <v>2.0</v>
      </c>
      <c r="I2306" s="1"/>
      <c r="J2306" s="1"/>
      <c r="K2306" s="1"/>
      <c r="L2306" s="1"/>
      <c r="M2306" s="1" t="s">
        <v>9110</v>
      </c>
      <c r="N2306" s="1" t="s">
        <v>142</v>
      </c>
      <c r="O2306" s="1" t="s">
        <v>143</v>
      </c>
      <c r="P2306" s="1" t="s">
        <v>9111</v>
      </c>
      <c r="Q2306" s="3">
        <v>41406.0</v>
      </c>
      <c r="R2306" s="1"/>
      <c r="S2306" s="1"/>
      <c r="T2306" s="1" t="s">
        <v>37</v>
      </c>
      <c r="U2306" s="1"/>
      <c r="V2306" s="1" t="s">
        <v>38</v>
      </c>
      <c r="W2306" s="1"/>
      <c r="X2306" s="1"/>
      <c r="Y2306" s="1" t="s">
        <v>9112</v>
      </c>
      <c r="Z2306" s="1"/>
      <c r="AA2306" s="1" t="s">
        <v>40</v>
      </c>
      <c r="AB2306" s="1" t="s">
        <v>9113</v>
      </c>
      <c r="AC2306" s="1">
        <v>5058.0</v>
      </c>
    </row>
    <row r="2307">
      <c r="A2307" s="1" t="str">
        <f>"000KHN"</f>
        <v>000KHN</v>
      </c>
      <c r="B2307" s="1" t="s">
        <v>9114</v>
      </c>
      <c r="C2307" s="1" t="s">
        <v>9115</v>
      </c>
      <c r="D2307" s="1" t="str">
        <f>"8024262087"</f>
        <v>8024262087</v>
      </c>
      <c r="E2307" s="1">
        <v>4528.0</v>
      </c>
      <c r="F2307" s="1" t="s">
        <v>117</v>
      </c>
      <c r="G2307" s="1" t="s">
        <v>9116</v>
      </c>
      <c r="H2307" s="1">
        <v>2.0</v>
      </c>
      <c r="I2307" s="2">
        <v>0.0</v>
      </c>
      <c r="J2307" s="2">
        <v>0.0</v>
      </c>
      <c r="K2307" s="2" t="s">
        <v>119</v>
      </c>
      <c r="L2307" s="1"/>
      <c r="M2307" s="1" t="s">
        <v>9117</v>
      </c>
      <c r="N2307" s="1" t="s">
        <v>135</v>
      </c>
      <c r="O2307" s="1" t="s">
        <v>1073</v>
      </c>
      <c r="P2307" s="1" t="s">
        <v>9118</v>
      </c>
      <c r="Q2307" s="3">
        <v>41407.0</v>
      </c>
      <c r="R2307" s="1"/>
      <c r="S2307" s="3">
        <v>42144.0</v>
      </c>
      <c r="T2307" s="1" t="s">
        <v>37</v>
      </c>
      <c r="U2307" s="1"/>
      <c r="V2307" s="1" t="s">
        <v>38</v>
      </c>
      <c r="W2307" s="1">
        <v>44.339427</v>
      </c>
      <c r="X2307" s="1">
        <v>-72.4112529999999</v>
      </c>
      <c r="Y2307" s="1" t="s">
        <v>9119</v>
      </c>
      <c r="Z2307" s="1"/>
      <c r="AA2307" s="1" t="s">
        <v>40</v>
      </c>
      <c r="AB2307" s="1" t="s">
        <v>1075</v>
      </c>
      <c r="AC2307" s="1">
        <v>5602.0</v>
      </c>
    </row>
    <row r="2308">
      <c r="A2308" s="1" t="str">
        <f>"000KHQ"</f>
        <v>000KHQ</v>
      </c>
      <c r="B2308" s="1" t="s">
        <v>9120</v>
      </c>
      <c r="C2308" s="1" t="s">
        <v>9121</v>
      </c>
      <c r="D2308" s="1" t="str">
        <f>"8026732488"</f>
        <v>8026732488</v>
      </c>
      <c r="E2308" s="1">
        <v>4530.0</v>
      </c>
      <c r="F2308" s="1" t="s">
        <v>44</v>
      </c>
      <c r="G2308" s="1" t="s">
        <v>9122</v>
      </c>
      <c r="H2308" s="1">
        <v>3.0</v>
      </c>
      <c r="I2308" s="2">
        <v>3.0</v>
      </c>
      <c r="J2308" s="2">
        <v>3.0</v>
      </c>
      <c r="K2308" s="2" t="s">
        <v>119</v>
      </c>
      <c r="L2308" s="1"/>
      <c r="M2308" s="1" t="s">
        <v>33</v>
      </c>
      <c r="N2308" s="1" t="s">
        <v>94</v>
      </c>
      <c r="O2308" s="1" t="s">
        <v>5074</v>
      </c>
      <c r="P2308" s="1" t="s">
        <v>9123</v>
      </c>
      <c r="Q2308" s="3">
        <v>41451.0</v>
      </c>
      <c r="R2308" s="1"/>
      <c r="S2308" s="1"/>
      <c r="T2308" s="1" t="s">
        <v>37</v>
      </c>
      <c r="U2308" s="1"/>
      <c r="V2308" s="1" t="s">
        <v>38</v>
      </c>
      <c r="W2308" s="1">
        <v>44.814995</v>
      </c>
      <c r="X2308" s="1">
        <v>-72.07792</v>
      </c>
      <c r="Y2308" s="1" t="s">
        <v>9124</v>
      </c>
      <c r="Z2308" s="1"/>
      <c r="AA2308" s="1" t="s">
        <v>40</v>
      </c>
      <c r="AB2308" s="1" t="s">
        <v>5076</v>
      </c>
      <c r="AC2308" s="1">
        <v>5860.0</v>
      </c>
    </row>
    <row r="2309">
      <c r="A2309" s="1" t="str">
        <f t="shared" ref="A2309:A2316" si="197">"000HA5"</f>
        <v>000HA5</v>
      </c>
      <c r="B2309" s="1" t="s">
        <v>9125</v>
      </c>
      <c r="C2309" s="1" t="s">
        <v>9126</v>
      </c>
      <c r="D2309" s="1" t="str">
        <f t="shared" ref="D2309:D2316" si="198">"8022365406"</f>
        <v>8022365406</v>
      </c>
      <c r="E2309" s="1">
        <v>4355.0</v>
      </c>
      <c r="F2309" s="1" t="s">
        <v>31</v>
      </c>
      <c r="G2309" s="1" t="s">
        <v>9127</v>
      </c>
      <c r="H2309" s="1">
        <v>0.0</v>
      </c>
      <c r="I2309" s="1"/>
      <c r="J2309" s="1"/>
      <c r="K2309" s="1"/>
      <c r="L2309" s="1"/>
      <c r="M2309" s="1" t="s">
        <v>9128</v>
      </c>
      <c r="N2309" s="1" t="s">
        <v>78</v>
      </c>
      <c r="O2309" s="1" t="s">
        <v>6011</v>
      </c>
      <c r="P2309" s="1" t="s">
        <v>9129</v>
      </c>
      <c r="Q2309" s="3">
        <v>41408.0</v>
      </c>
      <c r="R2309" s="3">
        <v>42155.0</v>
      </c>
      <c r="S2309" s="3">
        <v>41836.0</v>
      </c>
      <c r="T2309" s="1" t="s">
        <v>37</v>
      </c>
      <c r="U2309" s="1"/>
      <c r="V2309" s="1" t="s">
        <v>38</v>
      </c>
      <c r="W2309" s="1">
        <v>43.60507</v>
      </c>
      <c r="X2309" s="1">
        <v>-73.07114</v>
      </c>
      <c r="Y2309" s="1" t="s">
        <v>9130</v>
      </c>
      <c r="Z2309" s="1"/>
      <c r="AA2309" s="1" t="s">
        <v>40</v>
      </c>
      <c r="AB2309" s="1" t="s">
        <v>6012</v>
      </c>
      <c r="AC2309" s="1">
        <v>0.0</v>
      </c>
    </row>
    <row r="2310">
      <c r="A2310" s="1" t="str">
        <f t="shared" si="197"/>
        <v>000HA5</v>
      </c>
      <c r="B2310" s="1" t="s">
        <v>9125</v>
      </c>
      <c r="C2310" s="1" t="s">
        <v>9126</v>
      </c>
      <c r="D2310" s="1" t="str">
        <f t="shared" si="198"/>
        <v>8022365406</v>
      </c>
      <c r="E2310" s="1">
        <v>4355.0</v>
      </c>
      <c r="F2310" s="1" t="s">
        <v>31</v>
      </c>
      <c r="G2310" s="1" t="s">
        <v>9131</v>
      </c>
      <c r="H2310" s="1">
        <v>0.0</v>
      </c>
      <c r="I2310" s="1"/>
      <c r="J2310" s="1"/>
      <c r="K2310" s="1"/>
      <c r="L2310" s="1"/>
      <c r="M2310" s="1" t="s">
        <v>7878</v>
      </c>
      <c r="N2310" s="1" t="s">
        <v>78</v>
      </c>
      <c r="O2310" s="1" t="s">
        <v>452</v>
      </c>
      <c r="P2310" s="1" t="s">
        <v>9132</v>
      </c>
      <c r="Q2310" s="3">
        <v>41439.0</v>
      </c>
      <c r="R2310" s="3">
        <v>42155.0</v>
      </c>
      <c r="S2310" s="3">
        <v>41836.0</v>
      </c>
      <c r="T2310" s="1" t="s">
        <v>37</v>
      </c>
      <c r="U2310" s="1"/>
      <c r="V2310" s="1" t="s">
        <v>38</v>
      </c>
      <c r="W2310" s="1"/>
      <c r="X2310" s="1"/>
      <c r="Y2310" s="1" t="s">
        <v>9133</v>
      </c>
      <c r="Z2310" s="1"/>
      <c r="AA2310" s="1" t="s">
        <v>40</v>
      </c>
      <c r="AB2310" s="1" t="s">
        <v>78</v>
      </c>
      <c r="AC2310" s="1">
        <v>0.0</v>
      </c>
    </row>
    <row r="2311">
      <c r="A2311" s="1" t="str">
        <f t="shared" si="197"/>
        <v>000HA5</v>
      </c>
      <c r="B2311" s="1" t="s">
        <v>9125</v>
      </c>
      <c r="C2311" s="1" t="s">
        <v>9126</v>
      </c>
      <c r="D2311" s="1" t="str">
        <f t="shared" si="198"/>
        <v>8022365406</v>
      </c>
      <c r="E2311" s="1">
        <v>4355.0</v>
      </c>
      <c r="F2311" s="1" t="s">
        <v>31</v>
      </c>
      <c r="G2311" s="1" t="s">
        <v>9134</v>
      </c>
      <c r="H2311" s="1">
        <v>0.0</v>
      </c>
      <c r="I2311" s="1"/>
      <c r="J2311" s="1"/>
      <c r="K2311" s="1"/>
      <c r="L2311" s="1"/>
      <c r="M2311" s="1" t="s">
        <v>9135</v>
      </c>
      <c r="N2311" s="1" t="s">
        <v>78</v>
      </c>
      <c r="O2311" s="1" t="s">
        <v>79</v>
      </c>
      <c r="P2311" s="1" t="s">
        <v>9136</v>
      </c>
      <c r="Q2311" s="3">
        <v>41439.0</v>
      </c>
      <c r="R2311" s="3">
        <v>42155.0</v>
      </c>
      <c r="S2311" s="3">
        <v>41836.0</v>
      </c>
      <c r="T2311" s="1" t="s">
        <v>37</v>
      </c>
      <c r="U2311" s="1"/>
      <c r="V2311" s="1" t="s">
        <v>38</v>
      </c>
      <c r="W2311" s="1"/>
      <c r="X2311" s="1"/>
      <c r="Y2311" s="1" t="s">
        <v>9137</v>
      </c>
      <c r="Z2311" s="1"/>
      <c r="AA2311" s="1" t="s">
        <v>40</v>
      </c>
      <c r="AB2311" s="1" t="s">
        <v>80</v>
      </c>
      <c r="AC2311" s="1">
        <v>0.0</v>
      </c>
    </row>
    <row r="2312">
      <c r="A2312" s="1" t="str">
        <f t="shared" si="197"/>
        <v>000HA5</v>
      </c>
      <c r="B2312" s="1" t="s">
        <v>9125</v>
      </c>
      <c r="C2312" s="1" t="s">
        <v>9126</v>
      </c>
      <c r="D2312" s="1" t="str">
        <f t="shared" si="198"/>
        <v>8022365406</v>
      </c>
      <c r="E2312" s="1">
        <v>4355.0</v>
      </c>
      <c r="F2312" s="1" t="s">
        <v>31</v>
      </c>
      <c r="G2312" s="1" t="s">
        <v>9138</v>
      </c>
      <c r="H2312" s="1">
        <v>0.0</v>
      </c>
      <c r="I2312" s="1"/>
      <c r="J2312" s="1"/>
      <c r="K2312" s="1"/>
      <c r="L2312" s="1"/>
      <c r="M2312" s="1" t="s">
        <v>9139</v>
      </c>
      <c r="N2312" s="1" t="s">
        <v>78</v>
      </c>
      <c r="O2312" s="1" t="s">
        <v>1124</v>
      </c>
      <c r="P2312" s="1" t="s">
        <v>9140</v>
      </c>
      <c r="Q2312" s="3">
        <v>41439.0</v>
      </c>
      <c r="R2312" s="3">
        <v>42155.0</v>
      </c>
      <c r="S2312" s="3">
        <v>41836.0</v>
      </c>
      <c r="T2312" s="1" t="s">
        <v>37</v>
      </c>
      <c r="U2312" s="1"/>
      <c r="V2312" s="1" t="s">
        <v>38</v>
      </c>
      <c r="W2312" s="1"/>
      <c r="X2312" s="1"/>
      <c r="Y2312" s="1" t="s">
        <v>9141</v>
      </c>
      <c r="Z2312" s="1"/>
      <c r="AA2312" s="1" t="s">
        <v>40</v>
      </c>
      <c r="AB2312" s="1" t="s">
        <v>1127</v>
      </c>
      <c r="AC2312" s="1">
        <v>0.0</v>
      </c>
    </row>
    <row r="2313">
      <c r="A2313" s="1" t="str">
        <f t="shared" si="197"/>
        <v>000HA5</v>
      </c>
      <c r="B2313" s="1" t="s">
        <v>9125</v>
      </c>
      <c r="C2313" s="1" t="s">
        <v>9126</v>
      </c>
      <c r="D2313" s="1" t="str">
        <f t="shared" si="198"/>
        <v>8022365406</v>
      </c>
      <c r="E2313" s="1">
        <v>4355.0</v>
      </c>
      <c r="F2313" s="1" t="s">
        <v>31</v>
      </c>
      <c r="G2313" s="1" t="s">
        <v>9142</v>
      </c>
      <c r="H2313" s="1">
        <v>5.0</v>
      </c>
      <c r="I2313" s="1"/>
      <c r="J2313" s="1"/>
      <c r="K2313" s="1"/>
      <c r="L2313" s="1"/>
      <c r="M2313" s="1" t="s">
        <v>9143</v>
      </c>
      <c r="N2313" s="1" t="s">
        <v>78</v>
      </c>
      <c r="O2313" s="1" t="s">
        <v>426</v>
      </c>
      <c r="P2313" s="1"/>
      <c r="Q2313" s="3">
        <v>41439.0</v>
      </c>
      <c r="R2313" s="1"/>
      <c r="S2313" s="3">
        <v>42201.0</v>
      </c>
      <c r="T2313" s="1" t="s">
        <v>37</v>
      </c>
      <c r="U2313" s="1"/>
      <c r="V2313" s="1" t="s">
        <v>38</v>
      </c>
      <c r="W2313" s="1">
        <v>43.75284</v>
      </c>
      <c r="X2313" s="1">
        <v>-73.3506499999999</v>
      </c>
      <c r="Y2313" s="1">
        <v>0.0</v>
      </c>
      <c r="Z2313" s="1"/>
      <c r="AA2313" s="1" t="s">
        <v>40</v>
      </c>
      <c r="AB2313" s="1" t="s">
        <v>427</v>
      </c>
      <c r="AC2313" s="1">
        <v>0.0</v>
      </c>
    </row>
    <row r="2314">
      <c r="A2314" s="1" t="str">
        <f t="shared" si="197"/>
        <v>000HA5</v>
      </c>
      <c r="B2314" s="1" t="s">
        <v>9125</v>
      </c>
      <c r="C2314" s="1" t="s">
        <v>9126</v>
      </c>
      <c r="D2314" s="1" t="str">
        <f t="shared" si="198"/>
        <v>8022365406</v>
      </c>
      <c r="E2314" s="1">
        <v>4355.0</v>
      </c>
      <c r="F2314" s="1" t="s">
        <v>31</v>
      </c>
      <c r="G2314" s="1" t="s">
        <v>9144</v>
      </c>
      <c r="H2314" s="1">
        <v>4.0</v>
      </c>
      <c r="I2314" s="1"/>
      <c r="J2314" s="1"/>
      <c r="K2314" s="1"/>
      <c r="L2314" s="1"/>
      <c r="M2314" s="1" t="s">
        <v>9145</v>
      </c>
      <c r="N2314" s="1" t="s">
        <v>78</v>
      </c>
      <c r="O2314" s="1" t="s">
        <v>426</v>
      </c>
      <c r="P2314" s="1"/>
      <c r="Q2314" s="3">
        <v>41439.0</v>
      </c>
      <c r="R2314" s="1"/>
      <c r="S2314" s="3">
        <v>42201.0</v>
      </c>
      <c r="T2314" s="1" t="s">
        <v>37</v>
      </c>
      <c r="U2314" s="1"/>
      <c r="V2314" s="1" t="s">
        <v>38</v>
      </c>
      <c r="W2314" s="1">
        <v>43.70895</v>
      </c>
      <c r="X2314" s="1">
        <v>-73.34201</v>
      </c>
      <c r="Y2314" s="1" t="s">
        <v>9146</v>
      </c>
      <c r="Z2314" s="1"/>
      <c r="AA2314" s="1" t="s">
        <v>40</v>
      </c>
      <c r="AB2314" s="1" t="s">
        <v>427</v>
      </c>
      <c r="AC2314" s="1">
        <v>0.0</v>
      </c>
    </row>
    <row r="2315">
      <c r="A2315" s="1" t="str">
        <f t="shared" si="197"/>
        <v>000HA5</v>
      </c>
      <c r="B2315" s="1" t="s">
        <v>9125</v>
      </c>
      <c r="C2315" s="1" t="s">
        <v>9126</v>
      </c>
      <c r="D2315" s="1" t="str">
        <f t="shared" si="198"/>
        <v>8022365406</v>
      </c>
      <c r="E2315" s="1">
        <v>4355.0</v>
      </c>
      <c r="F2315" s="1" t="s">
        <v>31</v>
      </c>
      <c r="G2315" s="1" t="s">
        <v>9147</v>
      </c>
      <c r="H2315" s="1">
        <v>17.0</v>
      </c>
      <c r="I2315" s="1"/>
      <c r="J2315" s="1"/>
      <c r="K2315" s="1"/>
      <c r="L2315" s="1"/>
      <c r="M2315" s="1" t="s">
        <v>9148</v>
      </c>
      <c r="N2315" s="1" t="s">
        <v>78</v>
      </c>
      <c r="O2315" s="1" t="s">
        <v>855</v>
      </c>
      <c r="P2315" s="1" t="s">
        <v>9149</v>
      </c>
      <c r="Q2315" s="3">
        <v>41439.0</v>
      </c>
      <c r="R2315" s="1"/>
      <c r="S2315" s="3">
        <v>41850.0</v>
      </c>
      <c r="T2315" s="1" t="s">
        <v>37</v>
      </c>
      <c r="U2315" s="1"/>
      <c r="V2315" s="1" t="s">
        <v>38</v>
      </c>
      <c r="W2315" s="1">
        <v>43.6205356601333</v>
      </c>
      <c r="X2315" s="1">
        <v>-73.2084381580352</v>
      </c>
      <c r="Y2315" s="1" t="s">
        <v>9150</v>
      </c>
      <c r="Z2315" s="1"/>
      <c r="AA2315" s="1" t="s">
        <v>40</v>
      </c>
      <c r="AB2315" s="1" t="s">
        <v>857</v>
      </c>
      <c r="AC2315" s="1">
        <v>0.0</v>
      </c>
    </row>
    <row r="2316">
      <c r="A2316" s="1" t="str">
        <f t="shared" si="197"/>
        <v>000HA5</v>
      </c>
      <c r="B2316" s="1" t="s">
        <v>9125</v>
      </c>
      <c r="C2316" s="1" t="s">
        <v>9126</v>
      </c>
      <c r="D2316" s="1" t="str">
        <f t="shared" si="198"/>
        <v>8022365406</v>
      </c>
      <c r="E2316" s="1">
        <v>4355.0</v>
      </c>
      <c r="F2316" s="1" t="s">
        <v>31</v>
      </c>
      <c r="G2316" s="1" t="s">
        <v>9151</v>
      </c>
      <c r="H2316" s="1">
        <v>12.0</v>
      </c>
      <c r="I2316" s="1"/>
      <c r="J2316" s="1"/>
      <c r="K2316" s="1"/>
      <c r="L2316" s="1"/>
      <c r="M2316" s="1" t="s">
        <v>9152</v>
      </c>
      <c r="N2316" s="1" t="s">
        <v>78</v>
      </c>
      <c r="O2316" s="1" t="s">
        <v>615</v>
      </c>
      <c r="P2316" s="1" t="s">
        <v>9153</v>
      </c>
      <c r="Q2316" s="3">
        <v>40777.0</v>
      </c>
      <c r="R2316" s="1"/>
      <c r="S2316" s="1"/>
      <c r="T2316" s="1" t="s">
        <v>37</v>
      </c>
      <c r="U2316" s="1"/>
      <c r="V2316" s="1" t="s">
        <v>38</v>
      </c>
      <c r="W2316" s="1">
        <v>43.5612918932974</v>
      </c>
      <c r="X2316" s="1">
        <v>-73.2223963737487</v>
      </c>
      <c r="Y2316" s="1" t="s">
        <v>9154</v>
      </c>
      <c r="Z2316" s="1"/>
      <c r="AA2316" s="1" t="s">
        <v>40</v>
      </c>
      <c r="AB2316" s="1" t="s">
        <v>616</v>
      </c>
      <c r="AC2316" s="1">
        <v>0.0</v>
      </c>
    </row>
    <row r="2317">
      <c r="A2317" s="1" t="str">
        <f>"000KKN"</f>
        <v>000KKN</v>
      </c>
      <c r="B2317" s="1" t="s">
        <v>9155</v>
      </c>
      <c r="C2317" s="1" t="s">
        <v>9156</v>
      </c>
      <c r="D2317" s="1" t="str">
        <f>"8027709903"</f>
        <v>8027709903</v>
      </c>
      <c r="E2317" s="1">
        <v>4542.0</v>
      </c>
      <c r="F2317" s="1" t="s">
        <v>117</v>
      </c>
      <c r="G2317" s="1" t="s">
        <v>9157</v>
      </c>
      <c r="H2317" s="1">
        <v>3.0</v>
      </c>
      <c r="I2317" s="2">
        <v>1.0</v>
      </c>
      <c r="J2317" s="2">
        <v>1.0</v>
      </c>
      <c r="K2317" s="2" t="s">
        <v>119</v>
      </c>
      <c r="L2317" s="1"/>
      <c r="M2317" s="1" t="s">
        <v>9158</v>
      </c>
      <c r="N2317" s="1" t="s">
        <v>78</v>
      </c>
      <c r="O2317" s="1" t="s">
        <v>1124</v>
      </c>
      <c r="P2317" s="1" t="s">
        <v>9159</v>
      </c>
      <c r="Q2317" s="3">
        <v>41414.0</v>
      </c>
      <c r="R2317" s="1"/>
      <c r="S2317" s="1"/>
      <c r="T2317" s="1" t="s">
        <v>37</v>
      </c>
      <c r="U2317" s="1"/>
      <c r="V2317" s="1" t="s">
        <v>38</v>
      </c>
      <c r="W2317" s="1">
        <v>43.485752</v>
      </c>
      <c r="X2317" s="1">
        <v>-72.982615</v>
      </c>
      <c r="Y2317" s="1" t="s">
        <v>9160</v>
      </c>
      <c r="Z2317" s="1"/>
      <c r="AA2317" s="1" t="s">
        <v>40</v>
      </c>
      <c r="AB2317" s="1" t="s">
        <v>1127</v>
      </c>
      <c r="AC2317" s="1">
        <v>5773.0</v>
      </c>
    </row>
    <row r="2318">
      <c r="A2318" s="1" t="str">
        <f>"000KKV"</f>
        <v>000KKV</v>
      </c>
      <c r="B2318" s="1" t="s">
        <v>9161</v>
      </c>
      <c r="C2318" s="1" t="s">
        <v>9162</v>
      </c>
      <c r="D2318" s="1" t="str">
        <f>"8025923111"</f>
        <v>8025923111</v>
      </c>
      <c r="E2318" s="1">
        <v>4545.0</v>
      </c>
      <c r="F2318" s="1" t="s">
        <v>44</v>
      </c>
      <c r="G2318" s="1" t="s">
        <v>9163</v>
      </c>
      <c r="H2318" s="1">
        <v>1.0</v>
      </c>
      <c r="I2318" s="2">
        <v>2.0</v>
      </c>
      <c r="J2318" s="2">
        <v>2.0</v>
      </c>
      <c r="K2318" s="2" t="s">
        <v>829</v>
      </c>
      <c r="L2318" s="1"/>
      <c r="M2318" s="1" t="s">
        <v>9164</v>
      </c>
      <c r="N2318" s="1" t="s">
        <v>128</v>
      </c>
      <c r="O2318" s="1" t="s">
        <v>1695</v>
      </c>
      <c r="P2318" s="1" t="s">
        <v>9165</v>
      </c>
      <c r="Q2318" s="3">
        <v>41432.0</v>
      </c>
      <c r="R2318" s="1"/>
      <c r="S2318" s="1"/>
      <c r="T2318" s="1" t="s">
        <v>37</v>
      </c>
      <c r="U2318" s="1"/>
      <c r="V2318" s="1" t="s">
        <v>38</v>
      </c>
      <c r="W2318" s="1">
        <v>44.3039245999999</v>
      </c>
      <c r="X2318" s="1">
        <v>-72.203475</v>
      </c>
      <c r="Y2318" s="1" t="s">
        <v>9166</v>
      </c>
      <c r="Z2318" s="1"/>
      <c r="AA2318" s="1" t="s">
        <v>40</v>
      </c>
      <c r="AB2318" s="1" t="s">
        <v>1696</v>
      </c>
      <c r="AC2318" s="1">
        <v>5862.0</v>
      </c>
    </row>
    <row r="2319">
      <c r="A2319" s="1" t="str">
        <f>"000KM2"</f>
        <v>000KM2</v>
      </c>
      <c r="B2319" s="1" t="s">
        <v>9167</v>
      </c>
      <c r="C2319" s="1" t="s">
        <v>9168</v>
      </c>
      <c r="D2319" s="1" t="str">
        <f>"8028273701"</f>
        <v>8028273701</v>
      </c>
      <c r="E2319" s="1">
        <v>4552.0</v>
      </c>
      <c r="F2319" s="1" t="s">
        <v>31</v>
      </c>
      <c r="G2319" s="1" t="s">
        <v>9169</v>
      </c>
      <c r="H2319" s="1">
        <v>3.0</v>
      </c>
      <c r="I2319" s="1"/>
      <c r="J2319" s="1"/>
      <c r="K2319" s="1"/>
      <c r="L2319" s="1"/>
      <c r="M2319" s="1" t="s">
        <v>33</v>
      </c>
      <c r="N2319" s="1" t="s">
        <v>47</v>
      </c>
      <c r="O2319" s="1" t="s">
        <v>928</v>
      </c>
      <c r="P2319" s="1" t="s">
        <v>9170</v>
      </c>
      <c r="Q2319" s="3">
        <v>41424.0</v>
      </c>
      <c r="R2319" s="1"/>
      <c r="S2319" s="1"/>
      <c r="T2319" s="1" t="s">
        <v>37</v>
      </c>
      <c r="U2319" s="1"/>
      <c r="V2319" s="1" t="s">
        <v>38</v>
      </c>
      <c r="W2319" s="1">
        <v>44.77779</v>
      </c>
      <c r="X2319" s="1">
        <v>-72.7881469999999</v>
      </c>
      <c r="Y2319" s="1" t="s">
        <v>9171</v>
      </c>
      <c r="Z2319" s="1"/>
      <c r="AA2319" s="1" t="s">
        <v>40</v>
      </c>
      <c r="AB2319" s="1" t="s">
        <v>929</v>
      </c>
      <c r="AC2319" s="1">
        <v>5441.0</v>
      </c>
    </row>
    <row r="2320">
      <c r="A2320" s="1" t="str">
        <f>"000KM3"</f>
        <v>000KM3</v>
      </c>
      <c r="B2320" s="1" t="s">
        <v>9172</v>
      </c>
      <c r="C2320" s="1" t="s">
        <v>9173</v>
      </c>
      <c r="D2320" s="1" t="str">
        <f>"9709031556"</f>
        <v>9709031556</v>
      </c>
      <c r="E2320" s="1">
        <v>4553.0</v>
      </c>
      <c r="F2320" s="1" t="s">
        <v>117</v>
      </c>
      <c r="G2320" s="1" t="s">
        <v>9174</v>
      </c>
      <c r="H2320" s="1">
        <v>2.0</v>
      </c>
      <c r="I2320" s="2">
        <v>2.0</v>
      </c>
      <c r="J2320" s="2">
        <v>2.0</v>
      </c>
      <c r="K2320" s="2" t="s">
        <v>119</v>
      </c>
      <c r="L2320" s="2" t="s">
        <v>9175</v>
      </c>
      <c r="M2320" s="1" t="s">
        <v>9176</v>
      </c>
      <c r="N2320" s="1" t="s">
        <v>135</v>
      </c>
      <c r="O2320" s="1" t="s">
        <v>1142</v>
      </c>
      <c r="P2320" s="1" t="s">
        <v>9177</v>
      </c>
      <c r="Q2320" s="3">
        <v>41431.0</v>
      </c>
      <c r="R2320" s="1"/>
      <c r="S2320" s="1"/>
      <c r="T2320" s="1" t="s">
        <v>37</v>
      </c>
      <c r="U2320" s="1"/>
      <c r="V2320" s="1" t="s">
        <v>38</v>
      </c>
      <c r="W2320" s="1">
        <v>44.699225</v>
      </c>
      <c r="X2320" s="1">
        <v>-73.0055669999999</v>
      </c>
      <c r="Y2320" s="1" t="s">
        <v>9178</v>
      </c>
      <c r="Z2320" s="1"/>
      <c r="AA2320" s="1" t="s">
        <v>40</v>
      </c>
      <c r="AB2320" s="1" t="s">
        <v>1145</v>
      </c>
      <c r="AC2320" s="1">
        <v>5602.0</v>
      </c>
    </row>
    <row r="2321">
      <c r="A2321" s="1" t="str">
        <f>"000KM6"</f>
        <v>000KM6</v>
      </c>
      <c r="B2321" s="1" t="s">
        <v>9179</v>
      </c>
      <c r="C2321" s="1" t="s">
        <v>9180</v>
      </c>
      <c r="D2321" s="1" t="str">
        <f>"8024579409"</f>
        <v>8024579409</v>
      </c>
      <c r="E2321" s="1">
        <v>4556.0</v>
      </c>
      <c r="F2321" s="1" t="s">
        <v>117</v>
      </c>
      <c r="G2321" s="1" t="s">
        <v>9181</v>
      </c>
      <c r="H2321" s="1">
        <v>1.0</v>
      </c>
      <c r="I2321" s="2">
        <v>0.0</v>
      </c>
      <c r="J2321" s="2">
        <v>0.0</v>
      </c>
      <c r="K2321" s="2" t="s">
        <v>119</v>
      </c>
      <c r="L2321" s="1"/>
      <c r="M2321" s="1" t="s">
        <v>9182</v>
      </c>
      <c r="N2321" s="1" t="s">
        <v>34</v>
      </c>
      <c r="O2321" s="1" t="s">
        <v>324</v>
      </c>
      <c r="P2321" s="1" t="s">
        <v>9183</v>
      </c>
      <c r="Q2321" s="3">
        <v>41466.0</v>
      </c>
      <c r="R2321" s="1"/>
      <c r="S2321" s="3">
        <v>42887.0</v>
      </c>
      <c r="T2321" s="1" t="s">
        <v>37</v>
      </c>
      <c r="U2321" s="1"/>
      <c r="V2321" s="1" t="s">
        <v>38</v>
      </c>
      <c r="W2321" s="1">
        <v>43.5799361887949</v>
      </c>
      <c r="X2321" s="1">
        <v>-72.5397098064422</v>
      </c>
      <c r="Y2321" s="1" t="s">
        <v>9184</v>
      </c>
      <c r="Z2321" s="1"/>
      <c r="AA2321" s="1" t="s">
        <v>40</v>
      </c>
      <c r="AB2321" s="1" t="s">
        <v>326</v>
      </c>
      <c r="AC2321" s="1">
        <v>5091.0</v>
      </c>
    </row>
    <row r="2322">
      <c r="A2322" s="1" t="str">
        <f t="shared" ref="A2322:A2324" si="199">"000KM7"</f>
        <v>000KM7</v>
      </c>
      <c r="B2322" s="1" t="s">
        <v>9185</v>
      </c>
      <c r="C2322" s="1" t="s">
        <v>9186</v>
      </c>
      <c r="D2322" s="1" t="str">
        <f t="shared" ref="D2322:D2324" si="200">"8023633999"</f>
        <v>8023633999</v>
      </c>
      <c r="E2322" s="1">
        <v>4557.0</v>
      </c>
      <c r="F2322" s="1" t="s">
        <v>44</v>
      </c>
      <c r="G2322" s="1" t="s">
        <v>9187</v>
      </c>
      <c r="H2322" s="1">
        <v>2.0</v>
      </c>
      <c r="I2322" s="1"/>
      <c r="J2322" s="1"/>
      <c r="K2322" s="1"/>
      <c r="L2322" s="1"/>
      <c r="M2322" s="1" t="s">
        <v>9188</v>
      </c>
      <c r="N2322" s="1" t="s">
        <v>57</v>
      </c>
      <c r="O2322" s="1" t="s">
        <v>175</v>
      </c>
      <c r="P2322" s="1" t="s">
        <v>36</v>
      </c>
      <c r="Q2322" s="3">
        <v>41413.0</v>
      </c>
      <c r="R2322" s="1"/>
      <c r="S2322" s="1"/>
      <c r="T2322" s="1" t="s">
        <v>37</v>
      </c>
      <c r="U2322" s="1"/>
      <c r="V2322" s="1" t="s">
        <v>38</v>
      </c>
      <c r="W2322" s="1"/>
      <c r="X2322" s="1"/>
      <c r="Y2322" s="1" t="s">
        <v>9189</v>
      </c>
      <c r="Z2322" s="1"/>
      <c r="AA2322" s="1" t="s">
        <v>40</v>
      </c>
      <c r="AB2322" s="1" t="s">
        <v>176</v>
      </c>
      <c r="AC2322" s="1">
        <v>5401.0</v>
      </c>
    </row>
    <row r="2323">
      <c r="A2323" s="1" t="str">
        <f t="shared" si="199"/>
        <v>000KM7</v>
      </c>
      <c r="B2323" s="1" t="s">
        <v>9185</v>
      </c>
      <c r="C2323" s="1" t="s">
        <v>9186</v>
      </c>
      <c r="D2323" s="1" t="str">
        <f t="shared" si="200"/>
        <v>8023633999</v>
      </c>
      <c r="E2323" s="1">
        <v>4557.0</v>
      </c>
      <c r="F2323" s="1" t="s">
        <v>44</v>
      </c>
      <c r="G2323" s="1" t="s">
        <v>9190</v>
      </c>
      <c r="H2323" s="1">
        <v>1.0</v>
      </c>
      <c r="I2323" s="1"/>
      <c r="J2323" s="1"/>
      <c r="K2323" s="1"/>
      <c r="L2323" s="1"/>
      <c r="M2323" s="1" t="s">
        <v>9191</v>
      </c>
      <c r="N2323" s="1" t="s">
        <v>57</v>
      </c>
      <c r="O2323" s="1" t="s">
        <v>175</v>
      </c>
      <c r="P2323" s="1" t="s">
        <v>9192</v>
      </c>
      <c r="Q2323" s="3">
        <v>41413.0</v>
      </c>
      <c r="R2323" s="1"/>
      <c r="S2323" s="1"/>
      <c r="T2323" s="1" t="s">
        <v>37</v>
      </c>
      <c r="U2323" s="1"/>
      <c r="V2323" s="1" t="s">
        <v>38</v>
      </c>
      <c r="W2323" s="1"/>
      <c r="X2323" s="1"/>
      <c r="Y2323" s="1" t="s">
        <v>9193</v>
      </c>
      <c r="Z2323" s="1"/>
      <c r="AA2323" s="1" t="s">
        <v>40</v>
      </c>
      <c r="AB2323" s="1" t="s">
        <v>176</v>
      </c>
      <c r="AC2323" s="1">
        <v>5401.0</v>
      </c>
    </row>
    <row r="2324">
      <c r="A2324" s="1" t="str">
        <f t="shared" si="199"/>
        <v>000KM7</v>
      </c>
      <c r="B2324" s="1" t="s">
        <v>9185</v>
      </c>
      <c r="C2324" s="1" t="s">
        <v>9186</v>
      </c>
      <c r="D2324" s="1" t="str">
        <f t="shared" si="200"/>
        <v>8023633999</v>
      </c>
      <c r="E2324" s="1">
        <v>4557.0</v>
      </c>
      <c r="F2324" s="1" t="s">
        <v>44</v>
      </c>
      <c r="G2324" s="1" t="s">
        <v>9194</v>
      </c>
      <c r="H2324" s="1">
        <v>1.0</v>
      </c>
      <c r="I2324" s="1"/>
      <c r="J2324" s="1"/>
      <c r="K2324" s="1"/>
      <c r="L2324" s="1"/>
      <c r="M2324" s="1" t="s">
        <v>9195</v>
      </c>
      <c r="N2324" s="1" t="s">
        <v>57</v>
      </c>
      <c r="O2324" s="1" t="s">
        <v>175</v>
      </c>
      <c r="P2324" s="1" t="s">
        <v>9196</v>
      </c>
      <c r="Q2324" s="3">
        <v>41413.0</v>
      </c>
      <c r="R2324" s="1"/>
      <c r="S2324" s="1"/>
      <c r="T2324" s="1" t="s">
        <v>37</v>
      </c>
      <c r="U2324" s="1"/>
      <c r="V2324" s="1" t="s">
        <v>38</v>
      </c>
      <c r="W2324" s="1"/>
      <c r="X2324" s="1"/>
      <c r="Y2324" s="1" t="s">
        <v>9197</v>
      </c>
      <c r="Z2324" s="1"/>
      <c r="AA2324" s="1" t="s">
        <v>40</v>
      </c>
      <c r="AB2324" s="1" t="s">
        <v>176</v>
      </c>
      <c r="AC2324" s="1">
        <v>5401.0</v>
      </c>
    </row>
    <row r="2325">
      <c r="A2325" s="1" t="str">
        <f>"000KM9"</f>
        <v>000KM9</v>
      </c>
      <c r="B2325" s="1" t="s">
        <v>9198</v>
      </c>
      <c r="C2325" s="1" t="s">
        <v>9199</v>
      </c>
      <c r="D2325" s="1" t="str">
        <f>"8028966518"</f>
        <v>8028966518</v>
      </c>
      <c r="E2325" s="1">
        <v>4559.0</v>
      </c>
      <c r="F2325" s="1" t="s">
        <v>31</v>
      </c>
      <c r="G2325" s="1" t="s">
        <v>9200</v>
      </c>
      <c r="H2325" s="1">
        <v>4.0</v>
      </c>
      <c r="I2325" s="1"/>
      <c r="J2325" s="1"/>
      <c r="K2325" s="1"/>
      <c r="L2325" s="1"/>
      <c r="M2325" s="1" t="s">
        <v>9201</v>
      </c>
      <c r="N2325" s="1" t="s">
        <v>66</v>
      </c>
      <c r="O2325" s="1" t="s">
        <v>908</v>
      </c>
      <c r="P2325" s="1" t="s">
        <v>9202</v>
      </c>
      <c r="Q2325" s="3">
        <v>41429.0</v>
      </c>
      <c r="R2325" s="1"/>
      <c r="S2325" s="1"/>
      <c r="T2325" s="1" t="s">
        <v>37</v>
      </c>
      <c r="U2325" s="1"/>
      <c r="V2325" s="1" t="s">
        <v>38</v>
      </c>
      <c r="W2325" s="1">
        <v>43.018133</v>
      </c>
      <c r="X2325" s="1">
        <v>-72.829648</v>
      </c>
      <c r="Y2325" s="1" t="s">
        <v>9203</v>
      </c>
      <c r="Z2325" s="1"/>
      <c r="AA2325" s="1" t="s">
        <v>40</v>
      </c>
      <c r="AB2325" s="1" t="s">
        <v>8631</v>
      </c>
      <c r="AC2325" s="1">
        <v>5360.0</v>
      </c>
    </row>
    <row r="2326">
      <c r="A2326" s="1" t="str">
        <f>"000KMK"</f>
        <v>000KMK</v>
      </c>
      <c r="B2326" s="1" t="s">
        <v>9204</v>
      </c>
      <c r="C2326" s="1" t="s">
        <v>9205</v>
      </c>
      <c r="D2326" s="1" t="str">
        <f>"8026843872"</f>
        <v>8026843872</v>
      </c>
      <c r="E2326" s="1">
        <v>4568.0</v>
      </c>
      <c r="F2326" s="1" t="s">
        <v>117</v>
      </c>
      <c r="G2326" s="1" t="s">
        <v>9206</v>
      </c>
      <c r="H2326" s="1">
        <v>1.0</v>
      </c>
      <c r="I2326" s="2" t="s">
        <v>119</v>
      </c>
      <c r="J2326" s="2" t="s">
        <v>119</v>
      </c>
      <c r="K2326" s="2" t="s">
        <v>119</v>
      </c>
      <c r="L2326" s="1"/>
      <c r="M2326" s="1" t="s">
        <v>9207</v>
      </c>
      <c r="N2326" s="1" t="s">
        <v>128</v>
      </c>
      <c r="O2326" s="1" t="s">
        <v>129</v>
      </c>
      <c r="P2326" s="1" t="s">
        <v>9208</v>
      </c>
      <c r="Q2326" s="3">
        <v>41445.0</v>
      </c>
      <c r="R2326" s="1"/>
      <c r="S2326" s="3">
        <v>42220.0</v>
      </c>
      <c r="T2326" s="1" t="s">
        <v>37</v>
      </c>
      <c r="U2326" s="1"/>
      <c r="V2326" s="1" t="s">
        <v>38</v>
      </c>
      <c r="W2326" s="1">
        <v>44.42442</v>
      </c>
      <c r="X2326" s="1">
        <v>-72.0555</v>
      </c>
      <c r="Y2326" s="1" t="s">
        <v>9209</v>
      </c>
      <c r="Z2326" s="1"/>
      <c r="AA2326" s="1" t="s">
        <v>40</v>
      </c>
      <c r="AB2326" s="1" t="s">
        <v>130</v>
      </c>
      <c r="AC2326" s="1">
        <v>5828.0</v>
      </c>
    </row>
    <row r="2327">
      <c r="A2327" s="1" t="str">
        <f>"000KMN"</f>
        <v>000KMN</v>
      </c>
      <c r="B2327" s="1" t="s">
        <v>9210</v>
      </c>
      <c r="C2327" s="1" t="s">
        <v>9211</v>
      </c>
      <c r="D2327" s="1" t="str">
        <f>"8024858018"</f>
        <v>8024858018</v>
      </c>
      <c r="E2327" s="1">
        <v>4570.0</v>
      </c>
      <c r="F2327" s="1" t="s">
        <v>44</v>
      </c>
      <c r="G2327" s="1" t="s">
        <v>9212</v>
      </c>
      <c r="H2327" s="1">
        <v>1.0</v>
      </c>
      <c r="I2327" s="1"/>
      <c r="J2327" s="1"/>
      <c r="K2327" s="1"/>
      <c r="L2327" s="1"/>
      <c r="M2327" s="1" t="s">
        <v>33</v>
      </c>
      <c r="N2327" s="1" t="s">
        <v>135</v>
      </c>
      <c r="O2327" s="1" t="s">
        <v>2243</v>
      </c>
      <c r="P2327" s="1" t="s">
        <v>36</v>
      </c>
      <c r="Q2327" s="3">
        <v>41445.0</v>
      </c>
      <c r="R2327" s="1"/>
      <c r="S2327" s="1"/>
      <c r="T2327" s="1" t="s">
        <v>37</v>
      </c>
      <c r="U2327" s="1"/>
      <c r="V2327" s="1" t="s">
        <v>38</v>
      </c>
      <c r="W2327" s="1">
        <v>44.0923206999999</v>
      </c>
      <c r="X2327" s="1">
        <v>-72.7410459</v>
      </c>
      <c r="Y2327" s="1" t="s">
        <v>9213</v>
      </c>
      <c r="Z2327" s="1"/>
      <c r="AA2327" s="1" t="s">
        <v>40</v>
      </c>
      <c r="AB2327" s="1" t="s">
        <v>2244</v>
      </c>
      <c r="AC2327" s="1">
        <v>5669.0</v>
      </c>
    </row>
    <row r="2328">
      <c r="A2328" s="1" t="str">
        <f>"000KMQ"</f>
        <v>000KMQ</v>
      </c>
      <c r="B2328" s="1" t="s">
        <v>9214</v>
      </c>
      <c r="C2328" s="1" t="s">
        <v>9215</v>
      </c>
      <c r="D2328" s="1" t="str">
        <f>"8606143464"</f>
        <v>8606143464</v>
      </c>
      <c r="E2328" s="1">
        <v>4571.0</v>
      </c>
      <c r="F2328" s="1" t="s">
        <v>117</v>
      </c>
      <c r="G2328" s="1" t="s">
        <v>9216</v>
      </c>
      <c r="H2328" s="1">
        <v>1.0</v>
      </c>
      <c r="I2328" s="2">
        <v>1.0</v>
      </c>
      <c r="J2328" s="2">
        <v>0.0</v>
      </c>
      <c r="K2328" s="2" t="s">
        <v>119</v>
      </c>
      <c r="L2328" s="1"/>
      <c r="M2328" s="1" t="s">
        <v>6753</v>
      </c>
      <c r="N2328" s="1" t="s">
        <v>78</v>
      </c>
      <c r="O2328" s="1" t="s">
        <v>855</v>
      </c>
      <c r="P2328" s="1" t="s">
        <v>9217</v>
      </c>
      <c r="Q2328" s="3">
        <v>41426.0</v>
      </c>
      <c r="R2328" s="1"/>
      <c r="S2328" s="3">
        <v>41466.0</v>
      </c>
      <c r="T2328" s="1" t="s">
        <v>37</v>
      </c>
      <c r="U2328" s="1"/>
      <c r="V2328" s="1" t="s">
        <v>38</v>
      </c>
      <c r="W2328" s="1">
        <v>43.6620196999999</v>
      </c>
      <c r="X2328" s="1">
        <v>-73.1700075999999</v>
      </c>
      <c r="Y2328" s="1" t="s">
        <v>9218</v>
      </c>
      <c r="Z2328" s="1"/>
      <c r="AA2328" s="1" t="s">
        <v>40</v>
      </c>
      <c r="AB2328" s="1" t="s">
        <v>857</v>
      </c>
      <c r="AC2328" s="1">
        <v>0.0</v>
      </c>
    </row>
    <row r="2329">
      <c r="A2329" s="1" t="str">
        <f t="shared" ref="A2329:A2330" si="201">"00081Y"</f>
        <v>00081Y</v>
      </c>
      <c r="B2329" s="1" t="s">
        <v>1108</v>
      </c>
      <c r="C2329" s="1" t="s">
        <v>1109</v>
      </c>
      <c r="D2329" s="1" t="str">
        <f t="shared" ref="D2329:D2330" si="202">"8025242433"</f>
        <v>8025242433</v>
      </c>
      <c r="E2329" s="1">
        <v>1523.0</v>
      </c>
      <c r="F2329" s="1" t="s">
        <v>117</v>
      </c>
      <c r="G2329" s="1" t="s">
        <v>9219</v>
      </c>
      <c r="H2329" s="1">
        <v>25.0</v>
      </c>
      <c r="I2329" s="2" t="s">
        <v>119</v>
      </c>
      <c r="J2329" s="2" t="s">
        <v>119</v>
      </c>
      <c r="K2329" s="2" t="s">
        <v>119</v>
      </c>
      <c r="L2329" s="1"/>
      <c r="M2329" s="1" t="s">
        <v>9220</v>
      </c>
      <c r="N2329" s="1" t="s">
        <v>47</v>
      </c>
      <c r="O2329" s="1" t="s">
        <v>2753</v>
      </c>
      <c r="P2329" s="1" t="s">
        <v>9221</v>
      </c>
      <c r="Q2329" s="3">
        <v>41334.0</v>
      </c>
      <c r="R2329" s="1"/>
      <c r="S2329" s="3">
        <v>41941.0</v>
      </c>
      <c r="T2329" s="1" t="s">
        <v>37</v>
      </c>
      <c r="U2329" s="1"/>
      <c r="V2329" s="1" t="s">
        <v>38</v>
      </c>
      <c r="W2329" s="1">
        <v>44.7762</v>
      </c>
      <c r="X2329" s="1">
        <v>-73.075666</v>
      </c>
      <c r="Y2329" s="1" t="s">
        <v>9222</v>
      </c>
      <c r="Z2329" s="1"/>
      <c r="AA2329" s="1" t="s">
        <v>40</v>
      </c>
      <c r="AB2329" s="1" t="s">
        <v>5776</v>
      </c>
      <c r="AC2329" s="1">
        <v>5478.0</v>
      </c>
    </row>
    <row r="2330">
      <c r="A2330" s="1" t="str">
        <f t="shared" si="201"/>
        <v>00081Y</v>
      </c>
      <c r="B2330" s="1" t="s">
        <v>1108</v>
      </c>
      <c r="C2330" s="1" t="s">
        <v>1109</v>
      </c>
      <c r="D2330" s="1" t="str">
        <f t="shared" si="202"/>
        <v>8025242433</v>
      </c>
      <c r="E2330" s="1">
        <v>1523.0</v>
      </c>
      <c r="F2330" s="1" t="s">
        <v>117</v>
      </c>
      <c r="G2330" s="1" t="s">
        <v>9223</v>
      </c>
      <c r="H2330" s="1">
        <v>50.0</v>
      </c>
      <c r="I2330" s="2" t="s">
        <v>119</v>
      </c>
      <c r="J2330" s="2" t="s">
        <v>119</v>
      </c>
      <c r="K2330" s="2" t="s">
        <v>119</v>
      </c>
      <c r="L2330" s="1"/>
      <c r="M2330" s="1" t="s">
        <v>9224</v>
      </c>
      <c r="N2330" s="1" t="s">
        <v>47</v>
      </c>
      <c r="O2330" s="1" t="s">
        <v>2753</v>
      </c>
      <c r="P2330" s="1" t="s">
        <v>9225</v>
      </c>
      <c r="Q2330" s="3">
        <v>41365.0</v>
      </c>
      <c r="R2330" s="1"/>
      <c r="S2330" s="3">
        <v>41388.0</v>
      </c>
      <c r="T2330" s="1" t="s">
        <v>164</v>
      </c>
      <c r="U2330" s="1"/>
      <c r="V2330" s="1" t="s">
        <v>38</v>
      </c>
      <c r="W2330" s="1">
        <v>44.812329</v>
      </c>
      <c r="X2330" s="1">
        <v>-73.0499339</v>
      </c>
      <c r="Y2330" s="1" t="s">
        <v>9226</v>
      </c>
      <c r="Z2330" s="1"/>
      <c r="AA2330" s="1" t="s">
        <v>40</v>
      </c>
      <c r="AB2330" s="1" t="s">
        <v>5776</v>
      </c>
      <c r="AC2330" s="1">
        <v>5478.0</v>
      </c>
    </row>
    <row r="2331">
      <c r="A2331" s="1" t="str">
        <f>"000AWD"</f>
        <v>000AWD</v>
      </c>
      <c r="B2331" s="1" t="s">
        <v>8258</v>
      </c>
      <c r="C2331" s="1" t="s">
        <v>8259</v>
      </c>
      <c r="D2331" s="1" t="str">
        <f>"8028492494"</f>
        <v>8028492494</v>
      </c>
      <c r="E2331" s="1">
        <v>4214.0</v>
      </c>
      <c r="F2331" s="1" t="s">
        <v>44</v>
      </c>
      <c r="G2331" s="1" t="s">
        <v>9227</v>
      </c>
      <c r="H2331" s="1">
        <v>2.0</v>
      </c>
      <c r="I2331" s="1"/>
      <c r="J2331" s="1"/>
      <c r="K2331" s="1"/>
      <c r="L2331" s="1"/>
      <c r="M2331" s="1" t="s">
        <v>9228</v>
      </c>
      <c r="N2331" s="1" t="s">
        <v>47</v>
      </c>
      <c r="O2331" s="1" t="s">
        <v>763</v>
      </c>
      <c r="P2331" s="1"/>
      <c r="Q2331" s="3">
        <v>41365.0</v>
      </c>
      <c r="R2331" s="1"/>
      <c r="S2331" s="1"/>
      <c r="T2331" s="1" t="s">
        <v>37</v>
      </c>
      <c r="U2331" s="1"/>
      <c r="V2331" s="1" t="s">
        <v>38</v>
      </c>
      <c r="W2331" s="1"/>
      <c r="X2331" s="1"/>
      <c r="Y2331" s="1" t="s">
        <v>9229</v>
      </c>
      <c r="Z2331" s="1"/>
      <c r="AA2331" s="1" t="s">
        <v>40</v>
      </c>
      <c r="AB2331" s="1" t="s">
        <v>764</v>
      </c>
      <c r="AC2331" s="1">
        <v>5444.0</v>
      </c>
    </row>
    <row r="2332">
      <c r="A2332" s="1" t="str">
        <f t="shared" ref="A2332:A2334" si="203">"000982"</f>
        <v>000982</v>
      </c>
      <c r="B2332" s="1" t="s">
        <v>7833</v>
      </c>
      <c r="C2332" s="1" t="s">
        <v>7834</v>
      </c>
      <c r="D2332" s="1" t="str">
        <f t="shared" ref="D2332:D2334" si="204">"8028499884"</f>
        <v>8028499884</v>
      </c>
      <c r="E2332" s="1">
        <v>4050.0</v>
      </c>
      <c r="F2332" s="1" t="s">
        <v>117</v>
      </c>
      <c r="G2332" s="1" t="s">
        <v>9230</v>
      </c>
      <c r="H2332" s="1">
        <v>4.0</v>
      </c>
      <c r="I2332" s="2" t="s">
        <v>119</v>
      </c>
      <c r="J2332" s="2" t="s">
        <v>119</v>
      </c>
      <c r="K2332" s="2" t="s">
        <v>119</v>
      </c>
      <c r="L2332" s="1"/>
      <c r="M2332" s="1" t="s">
        <v>9231</v>
      </c>
      <c r="N2332" s="1" t="s">
        <v>47</v>
      </c>
      <c r="O2332" s="1" t="s">
        <v>378</v>
      </c>
      <c r="P2332" s="1" t="s">
        <v>9232</v>
      </c>
      <c r="Q2332" s="3">
        <v>41463.0</v>
      </c>
      <c r="R2332" s="1"/>
      <c r="S2332" s="1"/>
      <c r="T2332" s="1" t="s">
        <v>37</v>
      </c>
      <c r="U2332" s="1"/>
      <c r="V2332" s="1" t="s">
        <v>38</v>
      </c>
      <c r="W2332" s="1">
        <v>44.742058</v>
      </c>
      <c r="X2332" s="1">
        <v>-73.049242</v>
      </c>
      <c r="Y2332" s="1" t="s">
        <v>9233</v>
      </c>
      <c r="Z2332" s="1"/>
      <c r="AA2332" s="1" t="s">
        <v>40</v>
      </c>
      <c r="AB2332" s="1" t="s">
        <v>381</v>
      </c>
      <c r="AC2332" s="1">
        <v>5454.0</v>
      </c>
    </row>
    <row r="2333">
      <c r="A2333" s="1" t="str">
        <f t="shared" si="203"/>
        <v>000982</v>
      </c>
      <c r="B2333" s="1" t="s">
        <v>7833</v>
      </c>
      <c r="C2333" s="1" t="s">
        <v>7834</v>
      </c>
      <c r="D2333" s="1" t="str">
        <f t="shared" si="204"/>
        <v>8028499884</v>
      </c>
      <c r="E2333" s="1">
        <v>4050.0</v>
      </c>
      <c r="F2333" s="1" t="s">
        <v>117</v>
      </c>
      <c r="G2333" s="1" t="s">
        <v>9234</v>
      </c>
      <c r="H2333" s="1">
        <v>3.0</v>
      </c>
      <c r="I2333" s="2" t="s">
        <v>119</v>
      </c>
      <c r="J2333" s="2" t="s">
        <v>119</v>
      </c>
      <c r="K2333" s="2" t="s">
        <v>119</v>
      </c>
      <c r="L2333" s="1"/>
      <c r="M2333" s="1" t="s">
        <v>9235</v>
      </c>
      <c r="N2333" s="1" t="s">
        <v>57</v>
      </c>
      <c r="O2333" s="1" t="s">
        <v>58</v>
      </c>
      <c r="P2333" s="1" t="s">
        <v>9236</v>
      </c>
      <c r="Q2333" s="3">
        <v>41463.0</v>
      </c>
      <c r="R2333" s="1"/>
      <c r="S2333" s="1"/>
      <c r="T2333" s="1" t="s">
        <v>37</v>
      </c>
      <c r="U2333" s="1"/>
      <c r="V2333" s="1" t="s">
        <v>38</v>
      </c>
      <c r="W2333" s="1">
        <v>44.626142</v>
      </c>
      <c r="X2333" s="1">
        <v>-72.889222</v>
      </c>
      <c r="Y2333" s="1" t="s">
        <v>9237</v>
      </c>
      <c r="Z2333" s="1"/>
      <c r="AA2333" s="1" t="s">
        <v>40</v>
      </c>
      <c r="AB2333" s="1" t="s">
        <v>61</v>
      </c>
      <c r="AC2333" s="1">
        <v>5489.0</v>
      </c>
    </row>
    <row r="2334">
      <c r="A2334" s="1" t="str">
        <f t="shared" si="203"/>
        <v>000982</v>
      </c>
      <c r="B2334" s="1" t="s">
        <v>7833</v>
      </c>
      <c r="C2334" s="1" t="s">
        <v>7834</v>
      </c>
      <c r="D2334" s="1" t="str">
        <f t="shared" si="204"/>
        <v>8028499884</v>
      </c>
      <c r="E2334" s="1">
        <v>4050.0</v>
      </c>
      <c r="F2334" s="1" t="s">
        <v>117</v>
      </c>
      <c r="G2334" s="1" t="s">
        <v>9238</v>
      </c>
      <c r="H2334" s="1">
        <v>10.0</v>
      </c>
      <c r="I2334" s="2" t="s">
        <v>119</v>
      </c>
      <c r="J2334" s="2" t="s">
        <v>119</v>
      </c>
      <c r="K2334" s="2" t="s">
        <v>119</v>
      </c>
      <c r="L2334" s="1"/>
      <c r="M2334" s="1" t="s">
        <v>9239</v>
      </c>
      <c r="N2334" s="1" t="s">
        <v>57</v>
      </c>
      <c r="O2334" s="1" t="s">
        <v>155</v>
      </c>
      <c r="P2334" s="1" t="s">
        <v>9240</v>
      </c>
      <c r="Q2334" s="3">
        <v>41463.0</v>
      </c>
      <c r="R2334" s="1"/>
      <c r="S2334" s="1"/>
      <c r="T2334" s="1" t="s">
        <v>37</v>
      </c>
      <c r="U2334" s="1"/>
      <c r="V2334" s="1" t="s">
        <v>38</v>
      </c>
      <c r="W2334" s="1">
        <v>44.6367</v>
      </c>
      <c r="X2334" s="1">
        <v>-73.015244</v>
      </c>
      <c r="Y2334" s="1" t="s">
        <v>9241</v>
      </c>
      <c r="Z2334" s="1"/>
      <c r="AA2334" s="1" t="s">
        <v>40</v>
      </c>
      <c r="AB2334" s="1" t="s">
        <v>156</v>
      </c>
      <c r="AC2334" s="1">
        <v>5494.0</v>
      </c>
    </row>
    <row r="2335">
      <c r="A2335" s="1" t="str">
        <f>"000AH7"</f>
        <v>000AH7</v>
      </c>
      <c r="B2335" s="1" t="s">
        <v>9242</v>
      </c>
      <c r="C2335" s="1" t="s">
        <v>9243</v>
      </c>
      <c r="D2335" s="1" t="str">
        <f>"8802236011"</f>
        <v>8802236011</v>
      </c>
      <c r="E2335" s="1">
        <v>4152.0</v>
      </c>
      <c r="F2335" s="1" t="s">
        <v>117</v>
      </c>
      <c r="G2335" s="1" t="s">
        <v>9244</v>
      </c>
      <c r="H2335" s="1">
        <v>1.0</v>
      </c>
      <c r="I2335" s="2" t="s">
        <v>119</v>
      </c>
      <c r="J2335" s="2">
        <v>1.0</v>
      </c>
      <c r="K2335" s="2" t="s">
        <v>829</v>
      </c>
      <c r="L2335" s="1"/>
      <c r="M2335" s="1" t="s">
        <v>9245</v>
      </c>
      <c r="N2335" s="1" t="s">
        <v>135</v>
      </c>
      <c r="O2335" s="1" t="s">
        <v>279</v>
      </c>
      <c r="P2335" s="1" t="s">
        <v>9246</v>
      </c>
      <c r="Q2335" s="3">
        <v>40309.0</v>
      </c>
      <c r="R2335" s="1"/>
      <c r="S2335" s="3">
        <v>41842.0</v>
      </c>
      <c r="T2335" s="1" t="s">
        <v>37</v>
      </c>
      <c r="U2335" s="1"/>
      <c r="V2335" s="1" t="s">
        <v>38</v>
      </c>
      <c r="W2335" s="1">
        <v>44.233611</v>
      </c>
      <c r="X2335" s="1">
        <v>-72.656111</v>
      </c>
      <c r="Y2335" s="1" t="s">
        <v>9247</v>
      </c>
      <c r="Z2335" s="1"/>
      <c r="AA2335" s="1" t="s">
        <v>40</v>
      </c>
      <c r="AB2335" s="1" t="s">
        <v>281</v>
      </c>
      <c r="AC2335" s="1">
        <v>5602.0</v>
      </c>
    </row>
    <row r="2336">
      <c r="A2336" s="1" t="str">
        <f>"000KP9"</f>
        <v>000KP9</v>
      </c>
      <c r="B2336" s="1" t="s">
        <v>9248</v>
      </c>
      <c r="C2336" s="1" t="s">
        <v>9249</v>
      </c>
      <c r="D2336" s="1" t="str">
        <f>"8025923608"</f>
        <v>8025923608</v>
      </c>
      <c r="E2336" s="1">
        <v>4581.0</v>
      </c>
      <c r="F2336" s="1" t="s">
        <v>44</v>
      </c>
      <c r="G2336" s="1" t="s">
        <v>9250</v>
      </c>
      <c r="H2336" s="1">
        <v>1.0</v>
      </c>
      <c r="I2336" s="1"/>
      <c r="J2336" s="1"/>
      <c r="K2336" s="1"/>
      <c r="L2336" s="1"/>
      <c r="M2336" s="1" t="s">
        <v>33</v>
      </c>
      <c r="N2336" s="1" t="s">
        <v>128</v>
      </c>
      <c r="O2336" s="1" t="s">
        <v>1695</v>
      </c>
      <c r="P2336" s="1" t="s">
        <v>36</v>
      </c>
      <c r="Q2336" s="3">
        <v>41426.0</v>
      </c>
      <c r="R2336" s="1"/>
      <c r="S2336" s="1"/>
      <c r="T2336" s="1" t="s">
        <v>37</v>
      </c>
      <c r="U2336" s="1"/>
      <c r="V2336" s="1" t="s">
        <v>38</v>
      </c>
      <c r="W2336" s="1">
        <v>44.3551622</v>
      </c>
      <c r="X2336" s="1">
        <v>-72.1883328</v>
      </c>
      <c r="Y2336" s="1" t="s">
        <v>9251</v>
      </c>
      <c r="Z2336" s="1"/>
      <c r="AA2336" s="1" t="s">
        <v>40</v>
      </c>
      <c r="AB2336" s="1" t="s">
        <v>1696</v>
      </c>
      <c r="AC2336" s="1">
        <v>5862.0</v>
      </c>
    </row>
    <row r="2337">
      <c r="A2337" s="1" t="str">
        <f>"000KPB"</f>
        <v>000KPB</v>
      </c>
      <c r="B2337" s="1" t="s">
        <v>9252</v>
      </c>
      <c r="C2337" s="1" t="s">
        <v>9253</v>
      </c>
      <c r="D2337" s="1"/>
      <c r="E2337" s="1">
        <v>4583.0</v>
      </c>
      <c r="F2337" s="1" t="s">
        <v>44</v>
      </c>
      <c r="G2337" s="1" t="s">
        <v>9254</v>
      </c>
      <c r="H2337" s="1">
        <v>2.0</v>
      </c>
      <c r="I2337" s="1"/>
      <c r="J2337" s="1"/>
      <c r="K2337" s="1"/>
      <c r="L2337" s="1"/>
      <c r="M2337" s="1" t="s">
        <v>9255</v>
      </c>
      <c r="N2337" s="1" t="s">
        <v>128</v>
      </c>
      <c r="O2337" s="1" t="s">
        <v>1048</v>
      </c>
      <c r="P2337" s="1" t="s">
        <v>9256</v>
      </c>
      <c r="Q2337" s="3">
        <v>41460.0</v>
      </c>
      <c r="R2337" s="1"/>
      <c r="S2337" s="1"/>
      <c r="T2337" s="1" t="s">
        <v>37</v>
      </c>
      <c r="U2337" s="1"/>
      <c r="V2337" s="1" t="s">
        <v>38</v>
      </c>
      <c r="W2337" s="1"/>
      <c r="X2337" s="1"/>
      <c r="Y2337" s="1" t="s">
        <v>9257</v>
      </c>
      <c r="Z2337" s="1"/>
      <c r="AA2337" s="1" t="s">
        <v>40</v>
      </c>
      <c r="AB2337" s="1" t="s">
        <v>9258</v>
      </c>
      <c r="AC2337" s="1">
        <v>5042.0</v>
      </c>
    </row>
    <row r="2338">
      <c r="A2338" s="1" t="str">
        <f>"000KPD"</f>
        <v>000KPD</v>
      </c>
      <c r="B2338" s="1" t="s">
        <v>9259</v>
      </c>
      <c r="C2338" s="1" t="s">
        <v>9260</v>
      </c>
      <c r="D2338" s="1" t="str">
        <f>"8027489381"</f>
        <v>8027489381</v>
      </c>
      <c r="E2338" s="1">
        <v>4584.0</v>
      </c>
      <c r="F2338" s="1" t="s">
        <v>117</v>
      </c>
      <c r="G2338" s="1" t="s">
        <v>9261</v>
      </c>
      <c r="H2338" s="1">
        <v>1.0</v>
      </c>
      <c r="I2338" s="2">
        <v>2.0</v>
      </c>
      <c r="J2338" s="2">
        <v>2.0</v>
      </c>
      <c r="K2338" s="2" t="s">
        <v>119</v>
      </c>
      <c r="L2338" s="1"/>
      <c r="M2338" s="1" t="s">
        <v>9262</v>
      </c>
      <c r="N2338" s="1" t="s">
        <v>128</v>
      </c>
      <c r="O2338" s="1" t="s">
        <v>1707</v>
      </c>
      <c r="P2338" s="1" t="s">
        <v>9263</v>
      </c>
      <c r="Q2338" s="3">
        <v>41460.0</v>
      </c>
      <c r="R2338" s="1"/>
      <c r="S2338" s="3">
        <v>41858.0</v>
      </c>
      <c r="T2338" s="1" t="s">
        <v>37</v>
      </c>
      <c r="U2338" s="1"/>
      <c r="V2338" s="1" t="s">
        <v>38</v>
      </c>
      <c r="W2338" s="1">
        <v>44.46439</v>
      </c>
      <c r="X2338" s="1">
        <v>-72.0504399999999</v>
      </c>
      <c r="Y2338" s="1" t="s">
        <v>9264</v>
      </c>
      <c r="Z2338" s="1"/>
      <c r="AA2338" s="1" t="s">
        <v>40</v>
      </c>
      <c r="AB2338" s="1" t="s">
        <v>196</v>
      </c>
      <c r="AC2338" s="1">
        <v>5819.0</v>
      </c>
    </row>
    <row r="2339">
      <c r="A2339" s="1" t="str">
        <f>"000KPF"</f>
        <v>000KPF</v>
      </c>
      <c r="B2339" s="1" t="s">
        <v>9265</v>
      </c>
      <c r="C2339" s="1" t="s">
        <v>9266</v>
      </c>
      <c r="D2339" s="1" t="str">
        <f>"8027483688"</f>
        <v>8027483688</v>
      </c>
      <c r="E2339" s="1">
        <v>4585.0</v>
      </c>
      <c r="F2339" s="1" t="s">
        <v>31</v>
      </c>
      <c r="G2339" s="1" t="s">
        <v>9267</v>
      </c>
      <c r="H2339" s="1">
        <v>2.0</v>
      </c>
      <c r="I2339" s="1"/>
      <c r="J2339" s="1"/>
      <c r="K2339" s="1"/>
      <c r="L2339" s="1"/>
      <c r="M2339" s="1" t="s">
        <v>9268</v>
      </c>
      <c r="N2339" s="1" t="s">
        <v>128</v>
      </c>
      <c r="O2339" s="1" t="s">
        <v>1707</v>
      </c>
      <c r="P2339" s="1" t="s">
        <v>9269</v>
      </c>
      <c r="Q2339" s="3">
        <v>41458.0</v>
      </c>
      <c r="R2339" s="1"/>
      <c r="S2339" s="1"/>
      <c r="T2339" s="1" t="s">
        <v>37</v>
      </c>
      <c r="U2339" s="1"/>
      <c r="V2339" s="1" t="s">
        <v>38</v>
      </c>
      <c r="W2339" s="1">
        <v>44.464821</v>
      </c>
      <c r="X2339" s="1">
        <v>-72.050316</v>
      </c>
      <c r="Y2339" s="1" t="s">
        <v>9264</v>
      </c>
      <c r="Z2339" s="1"/>
      <c r="AA2339" s="1" t="s">
        <v>40</v>
      </c>
      <c r="AB2339" s="1" t="s">
        <v>196</v>
      </c>
      <c r="AC2339" s="1">
        <v>5819.0</v>
      </c>
    </row>
    <row r="2340">
      <c r="A2340" s="1" t="str">
        <f t="shared" ref="A2340:A2341" si="205">"00093M"</f>
        <v>00093M</v>
      </c>
      <c r="B2340" s="1" t="s">
        <v>7338</v>
      </c>
      <c r="C2340" s="1" t="s">
        <v>7339</v>
      </c>
      <c r="D2340" s="1" t="str">
        <f t="shared" ref="D2340:D2341" si="206">"8022451011"</f>
        <v>8022451011</v>
      </c>
      <c r="E2340" s="1">
        <v>3816.0</v>
      </c>
      <c r="F2340" s="1" t="s">
        <v>44</v>
      </c>
      <c r="G2340" s="1" t="s">
        <v>9270</v>
      </c>
      <c r="H2340" s="1">
        <v>11.0</v>
      </c>
      <c r="I2340" s="1"/>
      <c r="J2340" s="1"/>
      <c r="K2340" s="1"/>
      <c r="L2340" s="1"/>
      <c r="M2340" s="1" t="s">
        <v>9271</v>
      </c>
      <c r="N2340" s="1" t="s">
        <v>34</v>
      </c>
      <c r="O2340" s="1" t="s">
        <v>4105</v>
      </c>
      <c r="P2340" s="1" t="s">
        <v>9272</v>
      </c>
      <c r="Q2340" s="3">
        <v>41471.0</v>
      </c>
      <c r="R2340" s="1"/>
      <c r="S2340" s="3">
        <v>41471.0</v>
      </c>
      <c r="T2340" s="1" t="s">
        <v>37</v>
      </c>
      <c r="U2340" s="1"/>
      <c r="V2340" s="1" t="s">
        <v>38</v>
      </c>
      <c r="W2340" s="1">
        <v>43.478889</v>
      </c>
      <c r="X2340" s="1">
        <v>-72.603611</v>
      </c>
      <c r="Y2340" s="1" t="s">
        <v>9273</v>
      </c>
      <c r="Z2340" s="1"/>
      <c r="AA2340" s="1" t="s">
        <v>40</v>
      </c>
      <c r="AB2340" s="1" t="s">
        <v>4106</v>
      </c>
      <c r="AC2340" s="1">
        <v>5062.0</v>
      </c>
    </row>
    <row r="2341">
      <c r="A2341" s="1" t="str">
        <f t="shared" si="205"/>
        <v>00093M</v>
      </c>
      <c r="B2341" s="1" t="s">
        <v>7338</v>
      </c>
      <c r="C2341" s="1" t="s">
        <v>7339</v>
      </c>
      <c r="D2341" s="1" t="str">
        <f t="shared" si="206"/>
        <v>8022451011</v>
      </c>
      <c r="E2341" s="1">
        <v>3816.0</v>
      </c>
      <c r="F2341" s="1" t="s">
        <v>44</v>
      </c>
      <c r="G2341" s="1" t="s">
        <v>9274</v>
      </c>
      <c r="H2341" s="1">
        <v>1.0</v>
      </c>
      <c r="I2341" s="1"/>
      <c r="J2341" s="1"/>
      <c r="K2341" s="1"/>
      <c r="L2341" s="1"/>
      <c r="M2341" s="1" t="s">
        <v>9275</v>
      </c>
      <c r="N2341" s="1" t="s">
        <v>34</v>
      </c>
      <c r="O2341" s="1" t="s">
        <v>4105</v>
      </c>
      <c r="P2341" s="1" t="s">
        <v>9276</v>
      </c>
      <c r="Q2341" s="3">
        <v>41395.0</v>
      </c>
      <c r="R2341" s="1"/>
      <c r="S2341" s="3">
        <v>41471.0</v>
      </c>
      <c r="T2341" s="1" t="s">
        <v>37</v>
      </c>
      <c r="U2341" s="1"/>
      <c r="V2341" s="1" t="s">
        <v>38</v>
      </c>
      <c r="W2341" s="1">
        <v>43.509444</v>
      </c>
      <c r="X2341" s="1">
        <v>-72.530833</v>
      </c>
      <c r="Y2341" s="1" t="s">
        <v>9277</v>
      </c>
      <c r="Z2341" s="1"/>
      <c r="AA2341" s="1" t="s">
        <v>40</v>
      </c>
      <c r="AB2341" s="1" t="s">
        <v>4106</v>
      </c>
      <c r="AC2341" s="1">
        <v>5062.0</v>
      </c>
    </row>
    <row r="2342">
      <c r="A2342" s="1" t="str">
        <f>"000KQJ"</f>
        <v>000KQJ</v>
      </c>
      <c r="B2342" s="1" t="s">
        <v>9278</v>
      </c>
      <c r="C2342" s="1" t="s">
        <v>9279</v>
      </c>
      <c r="D2342" s="1" t="str">
        <f>"2035503334"</f>
        <v>2035503334</v>
      </c>
      <c r="E2342" s="1">
        <v>4590.0</v>
      </c>
      <c r="F2342" s="1" t="s">
        <v>31</v>
      </c>
      <c r="G2342" s="1" t="s">
        <v>9280</v>
      </c>
      <c r="H2342" s="1">
        <v>7.0</v>
      </c>
      <c r="I2342" s="1"/>
      <c r="J2342" s="1"/>
      <c r="K2342" s="1"/>
      <c r="L2342" s="1"/>
      <c r="M2342" s="1" t="s">
        <v>8660</v>
      </c>
      <c r="N2342" s="1" t="s">
        <v>78</v>
      </c>
      <c r="O2342" s="1" t="s">
        <v>272</v>
      </c>
      <c r="P2342" s="1" t="s">
        <v>36</v>
      </c>
      <c r="Q2342" s="3">
        <v>41486.0</v>
      </c>
      <c r="R2342" s="1"/>
      <c r="S2342" s="3">
        <v>42179.0</v>
      </c>
      <c r="T2342" s="1" t="s">
        <v>37</v>
      </c>
      <c r="U2342" s="1"/>
      <c r="V2342" s="1" t="s">
        <v>38</v>
      </c>
      <c r="W2342" s="1">
        <v>43.4284074486961</v>
      </c>
      <c r="X2342" s="1">
        <v>-72.783710360527</v>
      </c>
      <c r="Y2342" s="1" t="s">
        <v>9281</v>
      </c>
      <c r="Z2342" s="1"/>
      <c r="AA2342" s="1" t="s">
        <v>40</v>
      </c>
      <c r="AB2342" s="1" t="s">
        <v>9282</v>
      </c>
      <c r="AC2342" s="1">
        <v>0.0</v>
      </c>
    </row>
    <row r="2343">
      <c r="A2343" s="1" t="str">
        <f>"00083N"</f>
        <v>00083N</v>
      </c>
      <c r="B2343" s="1" t="s">
        <v>8970</v>
      </c>
      <c r="C2343" s="1" t="s">
        <v>8971</v>
      </c>
      <c r="D2343" s="1" t="str">
        <f>"8028674293"</f>
        <v>8028674293</v>
      </c>
      <c r="E2343" s="1">
        <v>4594.0</v>
      </c>
      <c r="F2343" s="1" t="s">
        <v>31</v>
      </c>
      <c r="G2343" s="1" t="s">
        <v>9283</v>
      </c>
      <c r="H2343" s="1">
        <v>28.0</v>
      </c>
      <c r="I2343" s="1"/>
      <c r="J2343" s="1"/>
      <c r="K2343" s="1"/>
      <c r="L2343" s="1"/>
      <c r="M2343" s="1" t="s">
        <v>9284</v>
      </c>
      <c r="N2343" s="1" t="s">
        <v>78</v>
      </c>
      <c r="O2343" s="1" t="s">
        <v>371</v>
      </c>
      <c r="P2343" s="1"/>
      <c r="Q2343" s="3">
        <v>41275.0</v>
      </c>
      <c r="R2343" s="1"/>
      <c r="S2343" s="3">
        <v>41578.0</v>
      </c>
      <c r="T2343" s="1" t="s">
        <v>37</v>
      </c>
      <c r="U2343" s="1"/>
      <c r="V2343" s="1" t="s">
        <v>38</v>
      </c>
      <c r="W2343" s="1">
        <v>43.4128</v>
      </c>
      <c r="X2343" s="1">
        <v>-73.2192</v>
      </c>
      <c r="Y2343" s="1" t="s">
        <v>9285</v>
      </c>
      <c r="Z2343" s="1"/>
      <c r="AA2343" s="1" t="s">
        <v>40</v>
      </c>
      <c r="AB2343" s="1" t="s">
        <v>374</v>
      </c>
      <c r="AC2343" s="1">
        <v>0.0</v>
      </c>
    </row>
    <row r="2344">
      <c r="A2344" s="1" t="str">
        <f>"0007WB"</f>
        <v>0007WB</v>
      </c>
      <c r="B2344" s="1" t="s">
        <v>567</v>
      </c>
      <c r="C2344" s="1" t="s">
        <v>568</v>
      </c>
      <c r="D2344" s="1" t="str">
        <f>"8029895895"</f>
        <v>8029895895</v>
      </c>
      <c r="E2344" s="1">
        <v>2046.0</v>
      </c>
      <c r="F2344" s="1" t="s">
        <v>117</v>
      </c>
      <c r="G2344" s="1" t="s">
        <v>9286</v>
      </c>
      <c r="H2344" s="1">
        <v>15.0</v>
      </c>
      <c r="I2344" s="2" t="s">
        <v>119</v>
      </c>
      <c r="J2344" s="2" t="s">
        <v>119</v>
      </c>
      <c r="K2344" s="2" t="s">
        <v>119</v>
      </c>
      <c r="L2344" s="1"/>
      <c r="M2344" s="1" t="s">
        <v>9287</v>
      </c>
      <c r="N2344" s="1" t="s">
        <v>161</v>
      </c>
      <c r="O2344" s="1" t="s">
        <v>3541</v>
      </c>
      <c r="P2344" s="1"/>
      <c r="Q2344" s="3">
        <v>41507.0</v>
      </c>
      <c r="R2344" s="1"/>
      <c r="S2344" s="1"/>
      <c r="T2344" s="1" t="s">
        <v>37</v>
      </c>
      <c r="U2344" s="1"/>
      <c r="V2344" s="1" t="s">
        <v>38</v>
      </c>
      <c r="W2344" s="1">
        <v>43.8884611172594</v>
      </c>
      <c r="X2344" s="1">
        <v>-73.2301142926735</v>
      </c>
      <c r="Y2344" s="1" t="s">
        <v>9288</v>
      </c>
      <c r="Z2344" s="1"/>
      <c r="AA2344" s="1" t="s">
        <v>40</v>
      </c>
      <c r="AB2344" s="1" t="s">
        <v>3544</v>
      </c>
      <c r="AC2344" s="1">
        <v>0.0</v>
      </c>
    </row>
    <row r="2345">
      <c r="A2345" s="1" t="str">
        <f>"00070D"</f>
        <v>00070D</v>
      </c>
      <c r="B2345" s="1" t="s">
        <v>527</v>
      </c>
      <c r="C2345" s="1" t="s">
        <v>528</v>
      </c>
      <c r="D2345" s="1" t="str">
        <f>"8024923458"</f>
        <v>8024923458</v>
      </c>
      <c r="E2345" s="1">
        <v>41.0</v>
      </c>
      <c r="F2345" s="1" t="s">
        <v>31</v>
      </c>
      <c r="G2345" s="1" t="s">
        <v>9289</v>
      </c>
      <c r="H2345" s="1">
        <v>17.0</v>
      </c>
      <c r="I2345" s="1"/>
      <c r="J2345" s="1"/>
      <c r="K2345" s="1"/>
      <c r="L2345" s="1"/>
      <c r="M2345" s="1" t="s">
        <v>9290</v>
      </c>
      <c r="N2345" s="1" t="s">
        <v>161</v>
      </c>
      <c r="O2345" s="1" t="s">
        <v>586</v>
      </c>
      <c r="P2345" s="1"/>
      <c r="Q2345" s="3">
        <v>36892.0</v>
      </c>
      <c r="R2345" s="1"/>
      <c r="S2345" s="3">
        <v>40848.0</v>
      </c>
      <c r="T2345" s="1" t="s">
        <v>37</v>
      </c>
      <c r="U2345" s="1"/>
      <c r="V2345" s="1" t="s">
        <v>38</v>
      </c>
      <c r="W2345" s="1">
        <v>44.017222</v>
      </c>
      <c r="X2345" s="1">
        <v>-73.369722</v>
      </c>
      <c r="Y2345" s="1" t="s">
        <v>9291</v>
      </c>
      <c r="Z2345" s="1"/>
      <c r="AA2345" s="1" t="s">
        <v>40</v>
      </c>
      <c r="AB2345" s="1" t="s">
        <v>589</v>
      </c>
      <c r="AC2345" s="1">
        <v>5734.0</v>
      </c>
    </row>
    <row r="2346">
      <c r="A2346" s="1" t="str">
        <f>"00073A"</f>
        <v>00073A</v>
      </c>
      <c r="B2346" s="1" t="s">
        <v>4305</v>
      </c>
      <c r="C2346" s="1" t="s">
        <v>4306</v>
      </c>
      <c r="D2346" s="1" t="str">
        <f>"8026357611"</f>
        <v>8026357611</v>
      </c>
      <c r="E2346" s="1">
        <v>4012.0</v>
      </c>
      <c r="F2346" s="1" t="s">
        <v>117</v>
      </c>
      <c r="G2346" s="1" t="s">
        <v>9292</v>
      </c>
      <c r="H2346" s="1">
        <v>0.0</v>
      </c>
      <c r="I2346" s="2">
        <v>4.0</v>
      </c>
      <c r="J2346" s="2">
        <v>4.0</v>
      </c>
      <c r="K2346" s="2" t="s">
        <v>119</v>
      </c>
      <c r="L2346" s="1"/>
      <c r="M2346" s="1" t="s">
        <v>9293</v>
      </c>
      <c r="N2346" s="1" t="s">
        <v>213</v>
      </c>
      <c r="O2346" s="1" t="s">
        <v>1154</v>
      </c>
      <c r="P2346" s="1" t="s">
        <v>4309</v>
      </c>
      <c r="Q2346" s="3">
        <v>36892.0</v>
      </c>
      <c r="R2346" s="1"/>
      <c r="S2346" s="1"/>
      <c r="T2346" s="1" t="s">
        <v>37</v>
      </c>
      <c r="U2346" s="1"/>
      <c r="V2346" s="1" t="s">
        <v>38</v>
      </c>
      <c r="W2346" s="1">
        <v>44.683559</v>
      </c>
      <c r="X2346" s="1">
        <v>-72.68866</v>
      </c>
      <c r="Y2346" s="1" t="s">
        <v>9294</v>
      </c>
      <c r="Z2346" s="1"/>
      <c r="AA2346" s="1" t="s">
        <v>40</v>
      </c>
      <c r="AB2346" s="1" t="s">
        <v>1155</v>
      </c>
      <c r="AC2346" s="1">
        <v>5656.0</v>
      </c>
    </row>
    <row r="2347">
      <c r="A2347" s="1" t="str">
        <f>"00078P"</f>
        <v>00078P</v>
      </c>
      <c r="B2347" s="1" t="s">
        <v>8983</v>
      </c>
      <c r="C2347" s="1" t="s">
        <v>8984</v>
      </c>
      <c r="D2347" s="1"/>
      <c r="E2347" s="1">
        <v>2652.0</v>
      </c>
      <c r="F2347" s="1" t="s">
        <v>44</v>
      </c>
      <c r="G2347" s="1" t="s">
        <v>9295</v>
      </c>
      <c r="H2347" s="1">
        <v>0.0</v>
      </c>
      <c r="I2347" s="1"/>
      <c r="J2347" s="1"/>
      <c r="K2347" s="1"/>
      <c r="L2347" s="1"/>
      <c r="M2347" s="1" t="s">
        <v>33</v>
      </c>
      <c r="N2347" s="1" t="s">
        <v>135</v>
      </c>
      <c r="O2347" s="1" t="s">
        <v>440</v>
      </c>
      <c r="P2347" s="1" t="s">
        <v>36</v>
      </c>
      <c r="Q2347" s="3">
        <v>36892.0</v>
      </c>
      <c r="R2347" s="1"/>
      <c r="S2347" s="3">
        <v>41183.0</v>
      </c>
      <c r="T2347" s="1" t="s">
        <v>37</v>
      </c>
      <c r="U2347" s="1"/>
      <c r="V2347" s="1" t="s">
        <v>38</v>
      </c>
      <c r="W2347" s="1"/>
      <c r="X2347" s="1"/>
      <c r="Y2347" s="1" t="s">
        <v>9296</v>
      </c>
      <c r="Z2347" s="1"/>
      <c r="AA2347" s="1" t="s">
        <v>40</v>
      </c>
      <c r="AB2347" s="1" t="s">
        <v>441</v>
      </c>
      <c r="AC2347" s="1">
        <v>5673.0</v>
      </c>
    </row>
    <row r="2348">
      <c r="A2348" s="1" t="str">
        <f>"0007AF"</f>
        <v>0007AF</v>
      </c>
      <c r="B2348" s="1" t="s">
        <v>9297</v>
      </c>
      <c r="C2348" s="1" t="s">
        <v>9298</v>
      </c>
      <c r="D2348" s="1" t="str">
        <f>"8027638167"</f>
        <v>8027638167</v>
      </c>
      <c r="E2348" s="1">
        <v>532.0</v>
      </c>
      <c r="F2348" s="1" t="s">
        <v>31</v>
      </c>
      <c r="G2348" s="1" t="s">
        <v>9299</v>
      </c>
      <c r="H2348" s="1">
        <v>2.0</v>
      </c>
      <c r="I2348" s="1"/>
      <c r="J2348" s="1"/>
      <c r="K2348" s="1"/>
      <c r="L2348" s="1"/>
      <c r="M2348" s="1" t="s">
        <v>33</v>
      </c>
      <c r="N2348" s="1" t="s">
        <v>34</v>
      </c>
      <c r="O2348" s="1" t="s">
        <v>35</v>
      </c>
      <c r="P2348" s="1" t="s">
        <v>9300</v>
      </c>
      <c r="Q2348" s="3">
        <v>36892.0</v>
      </c>
      <c r="R2348" s="1"/>
      <c r="S2348" s="3">
        <v>41375.0</v>
      </c>
      <c r="T2348" s="1" t="s">
        <v>37</v>
      </c>
      <c r="U2348" s="1"/>
      <c r="V2348" s="1" t="s">
        <v>38</v>
      </c>
      <c r="W2348" s="1"/>
      <c r="X2348" s="1"/>
      <c r="Y2348" s="1" t="s">
        <v>9301</v>
      </c>
      <c r="Z2348" s="1"/>
      <c r="AA2348" s="1" t="s">
        <v>40</v>
      </c>
      <c r="AB2348" s="1" t="s">
        <v>9302</v>
      </c>
      <c r="AC2348" s="1">
        <v>5068.0</v>
      </c>
    </row>
    <row r="2349">
      <c r="A2349" s="1" t="str">
        <f>"0007V0"</f>
        <v>0007V0</v>
      </c>
      <c r="B2349" s="1" t="s">
        <v>8109</v>
      </c>
      <c r="C2349" s="1" t="s">
        <v>8110</v>
      </c>
      <c r="D2349" s="1" t="str">
        <f>"8024623722"</f>
        <v>8024623722</v>
      </c>
      <c r="E2349" s="1">
        <v>4027.0</v>
      </c>
      <c r="F2349" s="1" t="s">
        <v>117</v>
      </c>
      <c r="G2349" s="1" t="s">
        <v>9303</v>
      </c>
      <c r="H2349" s="1">
        <v>16.0</v>
      </c>
      <c r="I2349" s="2" t="s">
        <v>119</v>
      </c>
      <c r="J2349" s="2" t="s">
        <v>119</v>
      </c>
      <c r="K2349" s="2" t="s">
        <v>119</v>
      </c>
      <c r="L2349" s="1"/>
      <c r="M2349" s="1" t="s">
        <v>9304</v>
      </c>
      <c r="N2349" s="1" t="s">
        <v>161</v>
      </c>
      <c r="O2349" s="1" t="s">
        <v>162</v>
      </c>
      <c r="P2349" s="1" t="s">
        <v>9305</v>
      </c>
      <c r="Q2349" s="3">
        <v>36892.0</v>
      </c>
      <c r="R2349" s="1"/>
      <c r="S2349" s="3">
        <v>42872.0</v>
      </c>
      <c r="T2349" s="1" t="s">
        <v>37</v>
      </c>
      <c r="U2349" s="1"/>
      <c r="V2349" s="1" t="s">
        <v>38</v>
      </c>
      <c r="W2349" s="1">
        <v>43.980839</v>
      </c>
      <c r="X2349" s="1">
        <v>-73.2520979999999</v>
      </c>
      <c r="Y2349" s="1" t="s">
        <v>9306</v>
      </c>
      <c r="Z2349" s="1"/>
      <c r="AA2349" s="1" t="s">
        <v>40</v>
      </c>
      <c r="AB2349" s="1" t="s">
        <v>166</v>
      </c>
      <c r="AC2349" s="1">
        <v>5753.0</v>
      </c>
    </row>
    <row r="2350">
      <c r="A2350" s="1" t="str">
        <f>"0007ZC"</f>
        <v>0007ZC</v>
      </c>
      <c r="B2350" s="1" t="s">
        <v>9307</v>
      </c>
      <c r="C2350" s="1" t="s">
        <v>9308</v>
      </c>
      <c r="D2350" s="1" t="str">
        <f>"8028883736"</f>
        <v>8028883736</v>
      </c>
      <c r="E2350" s="1">
        <v>2985.0</v>
      </c>
      <c r="F2350" s="1" t="s">
        <v>44</v>
      </c>
      <c r="G2350" s="1" t="s">
        <v>9309</v>
      </c>
      <c r="H2350" s="1">
        <v>1.0</v>
      </c>
      <c r="I2350" s="2" t="s">
        <v>119</v>
      </c>
      <c r="J2350" s="2" t="s">
        <v>119</v>
      </c>
      <c r="K2350" s="2" t="s">
        <v>119</v>
      </c>
      <c r="L2350" s="1"/>
      <c r="M2350" s="1" t="s">
        <v>9310</v>
      </c>
      <c r="N2350" s="1" t="s">
        <v>213</v>
      </c>
      <c r="O2350" s="1" t="s">
        <v>2562</v>
      </c>
      <c r="P2350" s="1" t="s">
        <v>9311</v>
      </c>
      <c r="Q2350" s="3">
        <v>36892.0</v>
      </c>
      <c r="R2350" s="1"/>
      <c r="S2350" s="3">
        <v>35536.0</v>
      </c>
      <c r="T2350" s="1" t="s">
        <v>37</v>
      </c>
      <c r="U2350" s="1"/>
      <c r="V2350" s="1" t="s">
        <v>38</v>
      </c>
      <c r="W2350" s="1">
        <v>44.54882</v>
      </c>
      <c r="X2350" s="1">
        <v>-72.512001</v>
      </c>
      <c r="Y2350" s="1" t="s">
        <v>9312</v>
      </c>
      <c r="Z2350" s="1"/>
      <c r="AA2350" s="1" t="s">
        <v>40</v>
      </c>
      <c r="AB2350" s="1" t="s">
        <v>2563</v>
      </c>
      <c r="AC2350" s="1">
        <v>5680.0</v>
      </c>
    </row>
    <row r="2351">
      <c r="A2351" s="1" t="str">
        <f>"000811"</f>
        <v>000811</v>
      </c>
      <c r="B2351" s="1" t="s">
        <v>9313</v>
      </c>
      <c r="C2351" s="1" t="s">
        <v>9314</v>
      </c>
      <c r="D2351" s="1" t="str">
        <f>"8029482461"</f>
        <v>8029482461</v>
      </c>
      <c r="E2351" s="1">
        <v>3485.0</v>
      </c>
      <c r="F2351" s="1" t="s">
        <v>44</v>
      </c>
      <c r="G2351" s="1" t="s">
        <v>9315</v>
      </c>
      <c r="H2351" s="1">
        <v>10.0</v>
      </c>
      <c r="I2351" s="1"/>
      <c r="J2351" s="1"/>
      <c r="K2351" s="1"/>
      <c r="L2351" s="1"/>
      <c r="M2351" s="1" t="s">
        <v>33</v>
      </c>
      <c r="N2351" s="1" t="s">
        <v>161</v>
      </c>
      <c r="O2351" s="1" t="s">
        <v>531</v>
      </c>
      <c r="P2351" s="1" t="s">
        <v>36</v>
      </c>
      <c r="Q2351" s="3">
        <v>37622.0</v>
      </c>
      <c r="R2351" s="1"/>
      <c r="S2351" s="1"/>
      <c r="T2351" s="1" t="s">
        <v>37</v>
      </c>
      <c r="U2351" s="1"/>
      <c r="V2351" s="1" t="s">
        <v>38</v>
      </c>
      <c r="W2351" s="1"/>
      <c r="X2351" s="1"/>
      <c r="Y2351" s="1" t="s">
        <v>9316</v>
      </c>
      <c r="Z2351" s="1"/>
      <c r="AA2351" s="1" t="s">
        <v>40</v>
      </c>
      <c r="AB2351" s="1" t="s">
        <v>532</v>
      </c>
      <c r="AC2351" s="1">
        <v>5760.0</v>
      </c>
    </row>
    <row r="2352">
      <c r="A2352" s="1" t="str">
        <f>"000826"</f>
        <v>000826</v>
      </c>
      <c r="B2352" s="1" t="s">
        <v>9317</v>
      </c>
      <c r="C2352" s="1" t="s">
        <v>9318</v>
      </c>
      <c r="D2352" s="1" t="str">
        <f>"8026445897"</f>
        <v>8026445897</v>
      </c>
      <c r="E2352" s="1">
        <v>1540.0</v>
      </c>
      <c r="F2352" s="1" t="s">
        <v>44</v>
      </c>
      <c r="G2352" s="1" t="s">
        <v>9319</v>
      </c>
      <c r="H2352" s="1">
        <v>4.0</v>
      </c>
      <c r="I2352" s="1"/>
      <c r="J2352" s="1"/>
      <c r="K2352" s="1"/>
      <c r="L2352" s="1"/>
      <c r="M2352" s="1" t="s">
        <v>33</v>
      </c>
      <c r="N2352" s="1" t="s">
        <v>213</v>
      </c>
      <c r="O2352" s="1" t="s">
        <v>620</v>
      </c>
      <c r="P2352" s="1" t="s">
        <v>36</v>
      </c>
      <c r="Q2352" s="3">
        <v>36892.0</v>
      </c>
      <c r="R2352" s="1"/>
      <c r="S2352" s="3">
        <v>38861.0</v>
      </c>
      <c r="T2352" s="1" t="s">
        <v>37</v>
      </c>
      <c r="U2352" s="1"/>
      <c r="V2352" s="1" t="s">
        <v>38</v>
      </c>
      <c r="W2352" s="1">
        <v>44.7013589</v>
      </c>
      <c r="X2352" s="1">
        <v>-72.857162</v>
      </c>
      <c r="Y2352" s="1" t="s">
        <v>9320</v>
      </c>
      <c r="Z2352" s="1"/>
      <c r="AA2352" s="1" t="s">
        <v>40</v>
      </c>
      <c r="AB2352" s="1" t="s">
        <v>8822</v>
      </c>
      <c r="AC2352" s="1">
        <v>5464.0</v>
      </c>
    </row>
    <row r="2353">
      <c r="A2353" s="1" t="str">
        <f>"00094X"</f>
        <v>00094X</v>
      </c>
      <c r="B2353" s="1" t="s">
        <v>8605</v>
      </c>
      <c r="C2353" s="1" t="s">
        <v>8606</v>
      </c>
      <c r="D2353" s="1" t="str">
        <f>"8024767951"</f>
        <v>8024767951</v>
      </c>
      <c r="E2353" s="1">
        <v>3890.0</v>
      </c>
      <c r="F2353" s="1" t="s">
        <v>31</v>
      </c>
      <c r="G2353" s="1" t="s">
        <v>9321</v>
      </c>
      <c r="H2353" s="1">
        <v>3.0</v>
      </c>
      <c r="I2353" s="1"/>
      <c r="J2353" s="1"/>
      <c r="K2353" s="1"/>
      <c r="L2353" s="1"/>
      <c r="M2353" s="1" t="s">
        <v>33</v>
      </c>
      <c r="N2353" s="1" t="s">
        <v>142</v>
      </c>
      <c r="O2353" s="1" t="s">
        <v>2376</v>
      </c>
      <c r="P2353" s="1" t="s">
        <v>36</v>
      </c>
      <c r="Q2353" s="3">
        <v>36892.0</v>
      </c>
      <c r="R2353" s="1"/>
      <c r="S2353" s="1"/>
      <c r="T2353" s="1" t="s">
        <v>37</v>
      </c>
      <c r="U2353" s="1"/>
      <c r="V2353" s="1" t="s">
        <v>38</v>
      </c>
      <c r="W2353" s="1">
        <v>44.135508</v>
      </c>
      <c r="X2353" s="1">
        <v>-72.3431777</v>
      </c>
      <c r="Y2353" s="1" t="s">
        <v>9322</v>
      </c>
      <c r="Z2353" s="1"/>
      <c r="AA2353" s="1" t="s">
        <v>40</v>
      </c>
      <c r="AB2353" s="1" t="s">
        <v>142</v>
      </c>
      <c r="AC2353" s="1">
        <v>5086.0</v>
      </c>
    </row>
    <row r="2354">
      <c r="A2354" s="1" t="str">
        <f>"000952"</f>
        <v>000952</v>
      </c>
      <c r="B2354" s="1" t="s">
        <v>9323</v>
      </c>
      <c r="C2354" s="1" t="s">
        <v>9324</v>
      </c>
      <c r="D2354" s="1" t="str">
        <f>"8026493708"</f>
        <v>8026493708</v>
      </c>
      <c r="E2354" s="1">
        <v>3895.0</v>
      </c>
      <c r="F2354" s="1" t="s">
        <v>117</v>
      </c>
      <c r="G2354" s="1" t="s">
        <v>9325</v>
      </c>
      <c r="H2354" s="1">
        <v>2.0</v>
      </c>
      <c r="I2354" s="2" t="s">
        <v>119</v>
      </c>
      <c r="J2354" s="2">
        <v>1.0</v>
      </c>
      <c r="K2354" s="2" t="s">
        <v>119</v>
      </c>
      <c r="L2354" s="1"/>
      <c r="M2354" s="1" t="s">
        <v>9326</v>
      </c>
      <c r="N2354" s="1" t="s">
        <v>34</v>
      </c>
      <c r="O2354" s="1" t="s">
        <v>463</v>
      </c>
      <c r="P2354" s="1" t="s">
        <v>9327</v>
      </c>
      <c r="Q2354" s="3">
        <v>36892.0</v>
      </c>
      <c r="R2354" s="1"/>
      <c r="S2354" s="3">
        <v>42894.0</v>
      </c>
      <c r="T2354" s="1" t="s">
        <v>37</v>
      </c>
      <c r="U2354" s="1"/>
      <c r="V2354" s="1" t="s">
        <v>38</v>
      </c>
      <c r="W2354" s="1">
        <v>43.722141</v>
      </c>
      <c r="X2354" s="1">
        <v>-72.298092</v>
      </c>
      <c r="Y2354" s="1" t="s">
        <v>9328</v>
      </c>
      <c r="Z2354" s="1"/>
      <c r="AA2354" s="1" t="s">
        <v>40</v>
      </c>
      <c r="AB2354" s="1" t="s">
        <v>466</v>
      </c>
      <c r="AC2354" s="1">
        <v>5055.0</v>
      </c>
    </row>
    <row r="2355">
      <c r="A2355" s="1" t="str">
        <f>"00099W"</f>
        <v>00099W</v>
      </c>
      <c r="B2355" s="1" t="s">
        <v>9329</v>
      </c>
      <c r="C2355" s="1" t="s">
        <v>9330</v>
      </c>
      <c r="D2355" s="1" t="str">
        <f>"8022231487"</f>
        <v>8022231487</v>
      </c>
      <c r="E2355" s="1">
        <v>4112.0</v>
      </c>
      <c r="F2355" s="1" t="s">
        <v>44</v>
      </c>
      <c r="G2355" s="1" t="s">
        <v>9331</v>
      </c>
      <c r="H2355" s="1">
        <v>2.0</v>
      </c>
      <c r="I2355" s="2" t="s">
        <v>119</v>
      </c>
      <c r="J2355" s="2" t="s">
        <v>119</v>
      </c>
      <c r="K2355" s="2" t="s">
        <v>119</v>
      </c>
      <c r="L2355" s="1"/>
      <c r="M2355" s="1" t="s">
        <v>33</v>
      </c>
      <c r="N2355" s="1" t="s">
        <v>135</v>
      </c>
      <c r="O2355" s="1" t="s">
        <v>2713</v>
      </c>
      <c r="P2355" s="1" t="s">
        <v>36</v>
      </c>
      <c r="Q2355" s="3">
        <v>36892.0</v>
      </c>
      <c r="R2355" s="1"/>
      <c r="S2355" s="1"/>
      <c r="T2355" s="1" t="s">
        <v>37</v>
      </c>
      <c r="U2355" s="1"/>
      <c r="V2355" s="1" t="s">
        <v>38</v>
      </c>
      <c r="W2355" s="1">
        <v>44.363445</v>
      </c>
      <c r="X2355" s="1">
        <v>-72.604424</v>
      </c>
      <c r="Y2355" s="1" t="s">
        <v>9332</v>
      </c>
      <c r="Z2355" s="1"/>
      <c r="AA2355" s="1" t="s">
        <v>40</v>
      </c>
      <c r="AB2355" s="1" t="s">
        <v>9333</v>
      </c>
      <c r="AC2355" s="1">
        <v>5682.0</v>
      </c>
    </row>
    <row r="2356">
      <c r="A2356" s="1" t="str">
        <f>"0009A1"</f>
        <v>0009A1</v>
      </c>
      <c r="B2356" s="1" t="s">
        <v>9334</v>
      </c>
      <c r="C2356" s="1" t="s">
        <v>9335</v>
      </c>
      <c r="D2356" s="1" t="str">
        <f>"8026744111"</f>
        <v>8026744111</v>
      </c>
      <c r="E2356" s="1">
        <v>4117.0</v>
      </c>
      <c r="F2356" s="1" t="s">
        <v>44</v>
      </c>
      <c r="G2356" s="1" t="s">
        <v>9336</v>
      </c>
      <c r="H2356" s="1">
        <v>2.0</v>
      </c>
      <c r="I2356" s="1"/>
      <c r="J2356" s="1"/>
      <c r="K2356" s="1"/>
      <c r="L2356" s="1"/>
      <c r="M2356" s="1" t="s">
        <v>72</v>
      </c>
      <c r="N2356" s="1" t="s">
        <v>34</v>
      </c>
      <c r="O2356" s="1" t="s">
        <v>295</v>
      </c>
      <c r="P2356" s="1" t="s">
        <v>36</v>
      </c>
      <c r="Q2356" s="3">
        <v>36892.0</v>
      </c>
      <c r="R2356" s="1"/>
      <c r="S2356" s="1"/>
      <c r="T2356" s="1" t="s">
        <v>37</v>
      </c>
      <c r="U2356" s="1"/>
      <c r="V2356" s="1" t="s">
        <v>38</v>
      </c>
      <c r="W2356" s="1">
        <v>43.5043845999999</v>
      </c>
      <c r="X2356" s="1">
        <v>-72.4494848</v>
      </c>
      <c r="Y2356" s="1" t="s">
        <v>9337</v>
      </c>
      <c r="Z2356" s="1"/>
      <c r="AA2356" s="1" t="s">
        <v>40</v>
      </c>
      <c r="AB2356" s="1" t="s">
        <v>34</v>
      </c>
      <c r="AC2356" s="1">
        <v>5089.0</v>
      </c>
    </row>
    <row r="2357">
      <c r="A2357" s="1" t="str">
        <f>"000ADB"</f>
        <v>000ADB</v>
      </c>
      <c r="B2357" s="1" t="s">
        <v>9338</v>
      </c>
      <c r="C2357" s="1" t="s">
        <v>9339</v>
      </c>
      <c r="D2357" s="1" t="str">
        <f>"8027473670"</f>
        <v>8027473670</v>
      </c>
      <c r="E2357" s="1">
        <v>4132.0</v>
      </c>
      <c r="F2357" s="1" t="s">
        <v>44</v>
      </c>
      <c r="G2357" s="1" t="s">
        <v>9340</v>
      </c>
      <c r="H2357" s="1">
        <v>1.0</v>
      </c>
      <c r="I2357" s="1"/>
      <c r="J2357" s="1"/>
      <c r="K2357" s="1"/>
      <c r="L2357" s="1"/>
      <c r="M2357" s="1" t="s">
        <v>33</v>
      </c>
      <c r="N2357" s="1" t="s">
        <v>78</v>
      </c>
      <c r="O2357" s="1" t="s">
        <v>2493</v>
      </c>
      <c r="P2357" s="1"/>
      <c r="Q2357" s="3">
        <v>40317.0</v>
      </c>
      <c r="R2357" s="1"/>
      <c r="S2357" s="1"/>
      <c r="T2357" s="1" t="s">
        <v>37</v>
      </c>
      <c r="U2357" s="1"/>
      <c r="V2357" s="1" t="s">
        <v>38</v>
      </c>
      <c r="W2357" s="1"/>
      <c r="X2357" s="1"/>
      <c r="Y2357" s="1" t="s">
        <v>9341</v>
      </c>
      <c r="Z2357" s="1"/>
      <c r="AA2357" s="1" t="s">
        <v>40</v>
      </c>
      <c r="AB2357" s="1" t="s">
        <v>2494</v>
      </c>
      <c r="AC2357" s="1">
        <v>5701.0</v>
      </c>
    </row>
    <row r="2358">
      <c r="A2358" s="1" t="str">
        <f>"000ADC"</f>
        <v>000ADC</v>
      </c>
      <c r="B2358" s="1" t="s">
        <v>9342</v>
      </c>
      <c r="C2358" s="1" t="s">
        <v>9343</v>
      </c>
      <c r="D2358" s="1" t="str">
        <f>"8022794742"</f>
        <v>8022794742</v>
      </c>
      <c r="E2358" s="1">
        <v>4133.0</v>
      </c>
      <c r="F2358" s="1" t="s">
        <v>44</v>
      </c>
      <c r="G2358" s="1" t="s">
        <v>9344</v>
      </c>
      <c r="H2358" s="1">
        <v>1.0</v>
      </c>
      <c r="I2358" s="1"/>
      <c r="J2358" s="1"/>
      <c r="K2358" s="1"/>
      <c r="L2358" s="1"/>
      <c r="M2358" s="1" t="s">
        <v>33</v>
      </c>
      <c r="N2358" s="1" t="s">
        <v>142</v>
      </c>
      <c r="O2358" s="1" t="s">
        <v>2253</v>
      </c>
      <c r="P2358" s="1"/>
      <c r="Q2358" s="3">
        <v>40282.0</v>
      </c>
      <c r="R2358" s="1"/>
      <c r="S2358" s="3">
        <v>40282.0</v>
      </c>
      <c r="T2358" s="1" t="s">
        <v>37</v>
      </c>
      <c r="U2358" s="1"/>
      <c r="V2358" s="1" t="s">
        <v>38</v>
      </c>
      <c r="W2358" s="1">
        <v>44.155685</v>
      </c>
      <c r="X2358" s="1">
        <v>-72.55497</v>
      </c>
      <c r="Y2358" s="1" t="s">
        <v>9345</v>
      </c>
      <c r="Z2358" s="1"/>
      <c r="AA2358" s="1" t="s">
        <v>40</v>
      </c>
      <c r="AB2358" s="1" t="s">
        <v>2254</v>
      </c>
      <c r="AC2358" s="1">
        <v>5679.0</v>
      </c>
    </row>
    <row r="2359">
      <c r="A2359" s="1" t="str">
        <f>"000ADD"</f>
        <v>000ADD</v>
      </c>
      <c r="B2359" s="1" t="s">
        <v>9346</v>
      </c>
      <c r="C2359" s="1" t="s">
        <v>9347</v>
      </c>
      <c r="D2359" s="1" t="str">
        <f>"8028752235"</f>
        <v>8028752235</v>
      </c>
      <c r="E2359" s="1">
        <v>4134.0</v>
      </c>
      <c r="F2359" s="1" t="s">
        <v>44</v>
      </c>
      <c r="G2359" s="1" t="s">
        <v>9348</v>
      </c>
      <c r="H2359" s="1">
        <v>2.0</v>
      </c>
      <c r="I2359" s="1"/>
      <c r="J2359" s="1"/>
      <c r="K2359" s="1"/>
      <c r="L2359" s="1"/>
      <c r="M2359" s="1" t="s">
        <v>33</v>
      </c>
      <c r="N2359" s="1" t="s">
        <v>66</v>
      </c>
      <c r="O2359" s="1" t="s">
        <v>1199</v>
      </c>
      <c r="P2359" s="1"/>
      <c r="Q2359" s="3">
        <v>40269.0</v>
      </c>
      <c r="R2359" s="1"/>
      <c r="S2359" s="1"/>
      <c r="T2359" s="1" t="s">
        <v>37</v>
      </c>
      <c r="U2359" s="1"/>
      <c r="V2359" s="1" t="s">
        <v>38</v>
      </c>
      <c r="W2359" s="1"/>
      <c r="X2359" s="1"/>
      <c r="Y2359" s="1" t="s">
        <v>9349</v>
      </c>
      <c r="Z2359" s="1"/>
      <c r="AA2359" s="1" t="s">
        <v>40</v>
      </c>
      <c r="AB2359" s="1" t="s">
        <v>566</v>
      </c>
      <c r="AC2359" s="1">
        <v>5143.0</v>
      </c>
    </row>
    <row r="2360">
      <c r="A2360" s="1" t="str">
        <f>"000ADF"</f>
        <v>000ADF</v>
      </c>
      <c r="B2360" s="1" t="s">
        <v>9350</v>
      </c>
      <c r="C2360" s="1" t="s">
        <v>9351</v>
      </c>
      <c r="D2360" s="1" t="str">
        <f>"8023881107"</f>
        <v>8023881107</v>
      </c>
      <c r="E2360" s="1">
        <v>4135.0</v>
      </c>
      <c r="F2360" s="1" t="s">
        <v>44</v>
      </c>
      <c r="G2360" s="1" t="s">
        <v>9352</v>
      </c>
      <c r="H2360" s="1">
        <v>2.0</v>
      </c>
      <c r="I2360" s="1"/>
      <c r="J2360" s="1"/>
      <c r="K2360" s="1"/>
      <c r="L2360" s="1"/>
      <c r="M2360" s="1" t="s">
        <v>33</v>
      </c>
      <c r="N2360" s="1" t="s">
        <v>161</v>
      </c>
      <c r="O2360" s="1" t="s">
        <v>943</v>
      </c>
      <c r="P2360" s="1"/>
      <c r="Q2360" s="3">
        <v>40317.0</v>
      </c>
      <c r="R2360" s="1"/>
      <c r="S2360" s="1"/>
      <c r="T2360" s="1" t="s">
        <v>37</v>
      </c>
      <c r="U2360" s="1"/>
      <c r="V2360" s="1" t="s">
        <v>38</v>
      </c>
      <c r="W2360" s="1"/>
      <c r="X2360" s="1"/>
      <c r="Y2360" s="1" t="s">
        <v>9353</v>
      </c>
      <c r="Z2360" s="1"/>
      <c r="AA2360" s="1" t="s">
        <v>40</v>
      </c>
      <c r="AB2360" s="1" t="s">
        <v>945</v>
      </c>
      <c r="AC2360" s="1">
        <v>5753.0</v>
      </c>
    </row>
    <row r="2361">
      <c r="A2361" s="1" t="str">
        <f>"000ADG"</f>
        <v>000ADG</v>
      </c>
      <c r="B2361" s="1" t="s">
        <v>9354</v>
      </c>
      <c r="C2361" s="1" t="s">
        <v>9355</v>
      </c>
      <c r="D2361" s="1" t="str">
        <f>"8024573347"</f>
        <v>8024573347</v>
      </c>
      <c r="E2361" s="1">
        <v>4136.0</v>
      </c>
      <c r="F2361" s="1" t="s">
        <v>117</v>
      </c>
      <c r="G2361" s="1" t="s">
        <v>9356</v>
      </c>
      <c r="H2361" s="1">
        <v>2.0</v>
      </c>
      <c r="I2361" s="2">
        <v>2.0</v>
      </c>
      <c r="J2361" s="2">
        <v>1.0</v>
      </c>
      <c r="K2361" s="2" t="s">
        <v>119</v>
      </c>
      <c r="L2361" s="1"/>
      <c r="M2361" s="1" t="s">
        <v>799</v>
      </c>
      <c r="N2361" s="1" t="s">
        <v>34</v>
      </c>
      <c r="O2361" s="1" t="s">
        <v>324</v>
      </c>
      <c r="P2361" s="1" t="s">
        <v>9357</v>
      </c>
      <c r="Q2361" s="3">
        <v>40287.0</v>
      </c>
      <c r="R2361" s="1"/>
      <c r="S2361" s="3">
        <v>42909.0</v>
      </c>
      <c r="T2361" s="1" t="s">
        <v>37</v>
      </c>
      <c r="U2361" s="1"/>
      <c r="V2361" s="1" t="s">
        <v>38</v>
      </c>
      <c r="W2361" s="1">
        <v>43.652266</v>
      </c>
      <c r="X2361" s="1">
        <v>-72.5454809</v>
      </c>
      <c r="Y2361" s="1" t="s">
        <v>9358</v>
      </c>
      <c r="Z2361" s="1"/>
      <c r="AA2361" s="1" t="s">
        <v>40</v>
      </c>
      <c r="AB2361" s="1" t="s">
        <v>326</v>
      </c>
      <c r="AC2361" s="1">
        <v>5091.0</v>
      </c>
    </row>
    <row r="2362">
      <c r="A2362" s="1" t="str">
        <f>"000ADN"</f>
        <v>000ADN</v>
      </c>
      <c r="B2362" s="1" t="s">
        <v>9359</v>
      </c>
      <c r="C2362" s="1" t="s">
        <v>9360</v>
      </c>
      <c r="D2362" s="1" t="str">
        <f>"8029852379"</f>
        <v>8029852379</v>
      </c>
      <c r="E2362" s="1">
        <v>4138.0</v>
      </c>
      <c r="F2362" s="1" t="s">
        <v>117</v>
      </c>
      <c r="G2362" s="1" t="s">
        <v>9361</v>
      </c>
      <c r="H2362" s="1">
        <v>4.0</v>
      </c>
      <c r="I2362" s="2" t="s">
        <v>119</v>
      </c>
      <c r="J2362" s="2">
        <v>2.0</v>
      </c>
      <c r="K2362" s="2" t="s">
        <v>829</v>
      </c>
      <c r="L2362" s="1"/>
      <c r="M2362" s="1" t="s">
        <v>9362</v>
      </c>
      <c r="N2362" s="1" t="s">
        <v>57</v>
      </c>
      <c r="O2362" s="1" t="s">
        <v>238</v>
      </c>
      <c r="P2362" s="1" t="s">
        <v>9363</v>
      </c>
      <c r="Q2362" s="3">
        <v>40317.0</v>
      </c>
      <c r="R2362" s="1"/>
      <c r="S2362" s="1"/>
      <c r="T2362" s="1" t="s">
        <v>37</v>
      </c>
      <c r="U2362" s="1"/>
      <c r="V2362" s="1" t="s">
        <v>38</v>
      </c>
      <c r="W2362" s="1">
        <v>44.411983</v>
      </c>
      <c r="X2362" s="1">
        <v>-73.208214</v>
      </c>
      <c r="Y2362" s="1" t="s">
        <v>9364</v>
      </c>
      <c r="Z2362" s="1"/>
      <c r="AA2362" s="1" t="s">
        <v>40</v>
      </c>
      <c r="AB2362" s="1" t="s">
        <v>239</v>
      </c>
      <c r="AC2362" s="1">
        <v>5482.0</v>
      </c>
    </row>
    <row r="2363">
      <c r="A2363" s="1" t="str">
        <f>"000ADQ"</f>
        <v>000ADQ</v>
      </c>
      <c r="B2363" s="1" t="s">
        <v>9365</v>
      </c>
      <c r="C2363" s="1" t="s">
        <v>9366</v>
      </c>
      <c r="D2363" s="1" t="str">
        <f>"8602873804"</f>
        <v>8602873804</v>
      </c>
      <c r="E2363" s="1">
        <v>4140.0</v>
      </c>
      <c r="F2363" s="1" t="s">
        <v>117</v>
      </c>
      <c r="G2363" s="1" t="s">
        <v>9367</v>
      </c>
      <c r="H2363" s="1">
        <v>13.0</v>
      </c>
      <c r="I2363" s="2">
        <v>3.0</v>
      </c>
      <c r="J2363" s="2">
        <v>3.0</v>
      </c>
      <c r="K2363" s="2" t="s">
        <v>119</v>
      </c>
      <c r="L2363" s="1"/>
      <c r="M2363" s="1" t="s">
        <v>8071</v>
      </c>
      <c r="N2363" s="1" t="s">
        <v>57</v>
      </c>
      <c r="O2363" s="1" t="s">
        <v>1633</v>
      </c>
      <c r="P2363" s="1" t="s">
        <v>9368</v>
      </c>
      <c r="Q2363" s="3">
        <v>40317.0</v>
      </c>
      <c r="R2363" s="1"/>
      <c r="S2363" s="3">
        <v>42626.0</v>
      </c>
      <c r="T2363" s="1" t="s">
        <v>37</v>
      </c>
      <c r="U2363" s="1"/>
      <c r="V2363" s="1" t="s">
        <v>38</v>
      </c>
      <c r="W2363" s="1">
        <v>44.299683</v>
      </c>
      <c r="X2363" s="1">
        <v>-73.2897869999999</v>
      </c>
      <c r="Y2363" s="1" t="s">
        <v>9369</v>
      </c>
      <c r="Z2363" s="1"/>
      <c r="AA2363" s="1" t="s">
        <v>40</v>
      </c>
      <c r="AB2363" s="1" t="s">
        <v>1634</v>
      </c>
      <c r="AC2363" s="1">
        <v>5445.0</v>
      </c>
    </row>
    <row r="2364">
      <c r="A2364" s="1" t="str">
        <f>"000ADX"</f>
        <v>000ADX</v>
      </c>
      <c r="B2364" s="1" t="s">
        <v>9370</v>
      </c>
      <c r="C2364" s="1" t="s">
        <v>9371</v>
      </c>
      <c r="D2364" s="1" t="str">
        <f>"8023524282"</f>
        <v>8023524282</v>
      </c>
      <c r="E2364" s="1">
        <v>4143.0</v>
      </c>
      <c r="F2364" s="1" t="s">
        <v>44</v>
      </c>
      <c r="G2364" s="1" t="s">
        <v>9372</v>
      </c>
      <c r="H2364" s="1">
        <v>0.0</v>
      </c>
      <c r="I2364" s="1"/>
      <c r="J2364" s="1"/>
      <c r="K2364" s="1"/>
      <c r="L2364" s="1"/>
      <c r="M2364" s="1" t="s">
        <v>33</v>
      </c>
      <c r="N2364" s="1" t="s">
        <v>161</v>
      </c>
      <c r="O2364" s="1" t="s">
        <v>3313</v>
      </c>
      <c r="P2364" s="1" t="s">
        <v>5310</v>
      </c>
      <c r="Q2364" s="3">
        <v>40254.0</v>
      </c>
      <c r="R2364" s="1"/>
      <c r="S2364" s="3">
        <v>40256.0</v>
      </c>
      <c r="T2364" s="1" t="s">
        <v>37</v>
      </c>
      <c r="U2364" s="1"/>
      <c r="V2364" s="1" t="s">
        <v>38</v>
      </c>
      <c r="W2364" s="1"/>
      <c r="X2364" s="1"/>
      <c r="Y2364" s="1" t="s">
        <v>9373</v>
      </c>
      <c r="Z2364" s="1"/>
      <c r="AA2364" s="1" t="s">
        <v>40</v>
      </c>
      <c r="AB2364" s="1" t="s">
        <v>3314</v>
      </c>
      <c r="AC2364" s="1">
        <v>5769.0</v>
      </c>
    </row>
    <row r="2365">
      <c r="A2365" s="1" t="str">
        <f>"000AF2"</f>
        <v>000AF2</v>
      </c>
      <c r="B2365" s="1" t="s">
        <v>9374</v>
      </c>
      <c r="C2365" s="1" t="s">
        <v>9375</v>
      </c>
      <c r="D2365" s="1" t="str">
        <f>"6073161716"</f>
        <v>6073161716</v>
      </c>
      <c r="E2365" s="1">
        <v>4144.0</v>
      </c>
      <c r="F2365" s="1" t="s">
        <v>44</v>
      </c>
      <c r="G2365" s="1" t="s">
        <v>9376</v>
      </c>
      <c r="H2365" s="1">
        <v>2.0</v>
      </c>
      <c r="I2365" s="1"/>
      <c r="J2365" s="1"/>
      <c r="K2365" s="1"/>
      <c r="L2365" s="1"/>
      <c r="M2365" s="1" t="s">
        <v>33</v>
      </c>
      <c r="N2365" s="1" t="s">
        <v>142</v>
      </c>
      <c r="O2365" s="1" t="s">
        <v>474</v>
      </c>
      <c r="P2365" s="1" t="s">
        <v>5310</v>
      </c>
      <c r="Q2365" s="3">
        <v>40317.0</v>
      </c>
      <c r="R2365" s="1"/>
      <c r="S2365" s="1"/>
      <c r="T2365" s="1" t="s">
        <v>37</v>
      </c>
      <c r="U2365" s="1"/>
      <c r="V2365" s="1" t="s">
        <v>38</v>
      </c>
      <c r="W2365" s="1"/>
      <c r="X2365" s="1"/>
      <c r="Y2365" s="1" t="s">
        <v>9377</v>
      </c>
      <c r="Z2365" s="1"/>
      <c r="AA2365" s="1" t="s">
        <v>40</v>
      </c>
      <c r="AB2365" s="1" t="s">
        <v>736</v>
      </c>
      <c r="AC2365" s="1">
        <v>5061.0</v>
      </c>
    </row>
    <row r="2366">
      <c r="A2366" s="1" t="str">
        <f>"000AF4"</f>
        <v>000AF4</v>
      </c>
      <c r="B2366" s="1" t="s">
        <v>9378</v>
      </c>
      <c r="C2366" s="1" t="s">
        <v>9379</v>
      </c>
      <c r="D2366" s="1" t="str">
        <f>"8025355732"</f>
        <v>8025355732</v>
      </c>
      <c r="E2366" s="1">
        <v>4145.0</v>
      </c>
      <c r="F2366" s="1" t="s">
        <v>44</v>
      </c>
      <c r="G2366" s="1" t="s">
        <v>9380</v>
      </c>
      <c r="H2366" s="1">
        <v>2.0</v>
      </c>
      <c r="I2366" s="1"/>
      <c r="J2366" s="1"/>
      <c r="K2366" s="1"/>
      <c r="L2366" s="1"/>
      <c r="M2366" s="1" t="s">
        <v>33</v>
      </c>
      <c r="N2366" s="1" t="s">
        <v>128</v>
      </c>
      <c r="O2366" s="1" t="s">
        <v>337</v>
      </c>
      <c r="P2366" s="1" t="s">
        <v>5310</v>
      </c>
      <c r="Q2366" s="3">
        <v>40317.0</v>
      </c>
      <c r="R2366" s="1"/>
      <c r="S2366" s="1"/>
      <c r="T2366" s="1" t="s">
        <v>37</v>
      </c>
      <c r="U2366" s="1"/>
      <c r="V2366" s="1" t="s">
        <v>38</v>
      </c>
      <c r="W2366" s="1"/>
      <c r="X2366" s="1"/>
      <c r="Y2366" s="1" t="s">
        <v>9381</v>
      </c>
      <c r="Z2366" s="1"/>
      <c r="AA2366" s="1" t="s">
        <v>40</v>
      </c>
      <c r="AB2366" s="1" t="s">
        <v>8332</v>
      </c>
      <c r="AC2366" s="1">
        <v>5851.0</v>
      </c>
    </row>
    <row r="2367">
      <c r="A2367" s="1" t="str">
        <f>"000AF5"</f>
        <v>000AF5</v>
      </c>
      <c r="B2367" s="1" t="s">
        <v>9382</v>
      </c>
      <c r="C2367" s="1" t="s">
        <v>9383</v>
      </c>
      <c r="D2367" s="1" t="str">
        <f>"8022230577"</f>
        <v>8022230577</v>
      </c>
      <c r="E2367" s="1">
        <v>4146.0</v>
      </c>
      <c r="F2367" s="1" t="s">
        <v>31</v>
      </c>
      <c r="G2367" s="1" t="s">
        <v>9384</v>
      </c>
      <c r="H2367" s="1">
        <v>2.0</v>
      </c>
      <c r="I2367" s="1"/>
      <c r="J2367" s="1"/>
      <c r="K2367" s="1"/>
      <c r="L2367" s="1"/>
      <c r="M2367" s="1" t="s">
        <v>33</v>
      </c>
      <c r="N2367" s="1" t="s">
        <v>135</v>
      </c>
      <c r="O2367" s="1" t="s">
        <v>1142</v>
      </c>
      <c r="P2367" s="1" t="s">
        <v>9385</v>
      </c>
      <c r="Q2367" s="3">
        <v>40317.0</v>
      </c>
      <c r="R2367" s="1"/>
      <c r="S2367" s="1"/>
      <c r="T2367" s="1" t="s">
        <v>37</v>
      </c>
      <c r="U2367" s="1"/>
      <c r="V2367" s="1" t="s">
        <v>38</v>
      </c>
      <c r="W2367" s="1"/>
      <c r="X2367" s="1"/>
      <c r="Y2367" s="1" t="s">
        <v>9386</v>
      </c>
      <c r="Z2367" s="1"/>
      <c r="AA2367" s="1" t="s">
        <v>40</v>
      </c>
      <c r="AB2367" s="1" t="s">
        <v>1145</v>
      </c>
      <c r="AC2367" s="1">
        <v>5602.0</v>
      </c>
    </row>
    <row r="2368">
      <c r="A2368" s="1" t="str">
        <f>"000AGP"</f>
        <v>000AGP</v>
      </c>
      <c r="B2368" s="1" t="s">
        <v>9387</v>
      </c>
      <c r="C2368" s="1" t="s">
        <v>9388</v>
      </c>
      <c r="D2368" s="1" t="str">
        <f>"8022879103"</f>
        <v>8022879103</v>
      </c>
      <c r="E2368" s="1">
        <v>4147.0</v>
      </c>
      <c r="F2368" s="1" t="s">
        <v>117</v>
      </c>
      <c r="G2368" s="1" t="s">
        <v>9389</v>
      </c>
      <c r="H2368" s="1">
        <v>2.0</v>
      </c>
      <c r="I2368" s="2">
        <v>1.0</v>
      </c>
      <c r="J2368" s="2">
        <v>1.0</v>
      </c>
      <c r="K2368" s="2" t="s">
        <v>119</v>
      </c>
      <c r="L2368" s="1"/>
      <c r="M2368" s="1" t="s">
        <v>9390</v>
      </c>
      <c r="N2368" s="1" t="s">
        <v>78</v>
      </c>
      <c r="O2368" s="1" t="s">
        <v>615</v>
      </c>
      <c r="P2368" s="1" t="s">
        <v>9391</v>
      </c>
      <c r="Q2368" s="3">
        <v>40330.0</v>
      </c>
      <c r="R2368" s="1"/>
      <c r="S2368" s="1"/>
      <c r="T2368" s="1" t="s">
        <v>37</v>
      </c>
      <c r="U2368" s="1"/>
      <c r="V2368" s="1" t="s">
        <v>38</v>
      </c>
      <c r="W2368" s="1">
        <v>43.5927921</v>
      </c>
      <c r="X2368" s="1">
        <v>-73.2320106999999</v>
      </c>
      <c r="Y2368" s="1" t="s">
        <v>9392</v>
      </c>
      <c r="Z2368" s="1"/>
      <c r="AA2368" s="1" t="s">
        <v>40</v>
      </c>
      <c r="AB2368" s="1" t="s">
        <v>616</v>
      </c>
      <c r="AC2368" s="1">
        <v>5764.0</v>
      </c>
    </row>
    <row r="2369">
      <c r="A2369" s="1" t="str">
        <f>"000AGX"</f>
        <v>000AGX</v>
      </c>
      <c r="B2369" s="1" t="s">
        <v>9393</v>
      </c>
      <c r="C2369" s="1" t="s">
        <v>9394</v>
      </c>
      <c r="D2369" s="1" t="str">
        <f>"8028751206"</f>
        <v>8028751206</v>
      </c>
      <c r="E2369" s="1">
        <v>4149.0</v>
      </c>
      <c r="F2369" s="1" t="s">
        <v>44</v>
      </c>
      <c r="G2369" s="1" t="s">
        <v>9395</v>
      </c>
      <c r="H2369" s="1">
        <v>12.0</v>
      </c>
      <c r="I2369" s="1"/>
      <c r="J2369" s="1"/>
      <c r="K2369" s="1"/>
      <c r="L2369" s="1"/>
      <c r="M2369" s="1" t="s">
        <v>33</v>
      </c>
      <c r="N2369" s="1" t="s">
        <v>66</v>
      </c>
      <c r="O2369" s="1" t="s">
        <v>1199</v>
      </c>
      <c r="P2369" s="1" t="s">
        <v>5310</v>
      </c>
      <c r="Q2369" s="3">
        <v>40273.0</v>
      </c>
      <c r="R2369" s="1"/>
      <c r="S2369" s="1"/>
      <c r="T2369" s="1" t="s">
        <v>37</v>
      </c>
      <c r="U2369" s="1"/>
      <c r="V2369" s="1" t="s">
        <v>38</v>
      </c>
      <c r="W2369" s="1"/>
      <c r="X2369" s="1"/>
      <c r="Y2369" s="1" t="s">
        <v>9396</v>
      </c>
      <c r="Z2369" s="1"/>
      <c r="AA2369" s="1" t="s">
        <v>40</v>
      </c>
      <c r="AB2369" s="1" t="s">
        <v>566</v>
      </c>
      <c r="AC2369" s="1">
        <v>5143.0</v>
      </c>
    </row>
    <row r="2370">
      <c r="A2370" s="1" t="str">
        <f>"000AGZ"</f>
        <v>000AGZ</v>
      </c>
      <c r="B2370" s="1" t="s">
        <v>9397</v>
      </c>
      <c r="C2370" s="1" t="s">
        <v>9398</v>
      </c>
      <c r="D2370" s="1" t="str">
        <f>"8028975346"</f>
        <v>8028975346</v>
      </c>
      <c r="E2370" s="1">
        <v>4150.0</v>
      </c>
      <c r="F2370" s="1" t="s">
        <v>117</v>
      </c>
      <c r="G2370" s="1" t="s">
        <v>9399</v>
      </c>
      <c r="H2370" s="1">
        <v>2.0</v>
      </c>
      <c r="I2370" s="2">
        <v>0.0</v>
      </c>
      <c r="J2370" s="2">
        <v>0.0</v>
      </c>
      <c r="K2370" s="2" t="s">
        <v>119</v>
      </c>
      <c r="L2370" s="1"/>
      <c r="M2370" s="1" t="s">
        <v>9400</v>
      </c>
      <c r="N2370" s="1" t="s">
        <v>161</v>
      </c>
      <c r="O2370" s="1" t="s">
        <v>1053</v>
      </c>
      <c r="P2370" s="1" t="s">
        <v>9401</v>
      </c>
      <c r="Q2370" s="3">
        <v>40272.0</v>
      </c>
      <c r="R2370" s="1"/>
      <c r="S2370" s="1"/>
      <c r="T2370" s="1" t="s">
        <v>37</v>
      </c>
      <c r="U2370" s="1"/>
      <c r="V2370" s="1" t="s">
        <v>38</v>
      </c>
      <c r="W2370" s="1">
        <v>43.8848712</v>
      </c>
      <c r="X2370" s="1">
        <v>-73.2489676999999</v>
      </c>
      <c r="Y2370" s="1" t="s">
        <v>9402</v>
      </c>
      <c r="Z2370" s="1"/>
      <c r="AA2370" s="1" t="s">
        <v>40</v>
      </c>
      <c r="AB2370" s="1" t="s">
        <v>3544</v>
      </c>
      <c r="AC2370" s="1" t="s">
        <v>9403</v>
      </c>
    </row>
    <row r="2371">
      <c r="A2371" s="1" t="str">
        <f>"000AH4"</f>
        <v>000AH4</v>
      </c>
      <c r="B2371" s="1" t="s">
        <v>9404</v>
      </c>
      <c r="C2371" s="1" t="s">
        <v>9405</v>
      </c>
      <c r="D2371" s="1" t="str">
        <f>"8028858787"</f>
        <v>8028858787</v>
      </c>
      <c r="E2371" s="1">
        <v>4151.0</v>
      </c>
      <c r="F2371" s="1" t="s">
        <v>117</v>
      </c>
      <c r="G2371" s="1" t="s">
        <v>9406</v>
      </c>
      <c r="H2371" s="1">
        <v>5.0</v>
      </c>
      <c r="I2371" s="2" t="s">
        <v>119</v>
      </c>
      <c r="J2371" s="2" t="s">
        <v>119</v>
      </c>
      <c r="K2371" s="2" t="s">
        <v>119</v>
      </c>
      <c r="L2371" s="1"/>
      <c r="M2371" s="1" t="s">
        <v>9407</v>
      </c>
      <c r="N2371" s="1" t="s">
        <v>34</v>
      </c>
      <c r="O2371" s="1" t="s">
        <v>642</v>
      </c>
      <c r="P2371" s="1" t="s">
        <v>9408</v>
      </c>
      <c r="Q2371" s="3">
        <v>39904.0</v>
      </c>
      <c r="R2371" s="1"/>
      <c r="S2371" s="3">
        <v>42235.0</v>
      </c>
      <c r="T2371" s="1" t="s">
        <v>37</v>
      </c>
      <c r="U2371" s="1"/>
      <c r="V2371" s="1" t="s">
        <v>38</v>
      </c>
      <c r="W2371" s="1">
        <v>43.2926771067409</v>
      </c>
      <c r="X2371" s="1">
        <v>-72.4068439006805</v>
      </c>
      <c r="Y2371" s="1" t="s">
        <v>9409</v>
      </c>
      <c r="Z2371" s="1"/>
      <c r="AA2371" s="1" t="s">
        <v>40</v>
      </c>
      <c r="AB2371" s="1" t="s">
        <v>643</v>
      </c>
      <c r="AC2371" s="1">
        <v>5156.0</v>
      </c>
    </row>
    <row r="2372">
      <c r="A2372" s="1" t="str">
        <f>"000AHC"</f>
        <v>000AHC</v>
      </c>
      <c r="B2372" s="1" t="s">
        <v>9410</v>
      </c>
      <c r="C2372" s="1" t="s">
        <v>9411</v>
      </c>
      <c r="D2372" s="1" t="str">
        <f>"8023872474"</f>
        <v>8023872474</v>
      </c>
      <c r="E2372" s="1">
        <v>4153.0</v>
      </c>
      <c r="F2372" s="1" t="s">
        <v>44</v>
      </c>
      <c r="G2372" s="1" t="s">
        <v>9412</v>
      </c>
      <c r="H2372" s="1">
        <v>1.0</v>
      </c>
      <c r="I2372" s="1"/>
      <c r="J2372" s="1"/>
      <c r="K2372" s="1"/>
      <c r="L2372" s="1"/>
      <c r="M2372" s="1" t="s">
        <v>33</v>
      </c>
      <c r="N2372" s="1" t="s">
        <v>66</v>
      </c>
      <c r="O2372" s="1" t="s">
        <v>593</v>
      </c>
      <c r="P2372" s="1" t="s">
        <v>9413</v>
      </c>
      <c r="Q2372" s="3">
        <v>40303.0</v>
      </c>
      <c r="R2372" s="1"/>
      <c r="S2372" s="1"/>
      <c r="T2372" s="1" t="s">
        <v>37</v>
      </c>
      <c r="U2372" s="1"/>
      <c r="V2372" s="1" t="s">
        <v>38</v>
      </c>
      <c r="W2372" s="1"/>
      <c r="X2372" s="1"/>
      <c r="Y2372" s="1" t="s">
        <v>9414</v>
      </c>
      <c r="Z2372" s="1"/>
      <c r="AA2372" s="1" t="s">
        <v>40</v>
      </c>
      <c r="AB2372" s="1" t="s">
        <v>594</v>
      </c>
      <c r="AC2372" s="1" t="s">
        <v>9415</v>
      </c>
    </row>
    <row r="2373">
      <c r="A2373" s="1" t="str">
        <f>"000AHD"</f>
        <v>000AHD</v>
      </c>
      <c r="B2373" s="1" t="s">
        <v>9416</v>
      </c>
      <c r="C2373" s="1" t="s">
        <v>9417</v>
      </c>
      <c r="D2373" s="1" t="str">
        <f>"8023680086"</f>
        <v>8023680086</v>
      </c>
      <c r="E2373" s="1">
        <v>4154.0</v>
      </c>
      <c r="F2373" s="1" t="s">
        <v>117</v>
      </c>
      <c r="G2373" s="1" t="s">
        <v>9418</v>
      </c>
      <c r="H2373" s="1">
        <v>2.0</v>
      </c>
      <c r="I2373" s="2" t="s">
        <v>119</v>
      </c>
      <c r="J2373" s="2">
        <v>2.0</v>
      </c>
      <c r="K2373" s="2" t="s">
        <v>119</v>
      </c>
      <c r="L2373" s="1"/>
      <c r="M2373" s="1" t="s">
        <v>9419</v>
      </c>
      <c r="N2373" s="1" t="s">
        <v>66</v>
      </c>
      <c r="O2373" s="1" t="s">
        <v>5679</v>
      </c>
      <c r="P2373" s="1" t="s">
        <v>9420</v>
      </c>
      <c r="Q2373" s="3">
        <v>40330.0</v>
      </c>
      <c r="R2373" s="1"/>
      <c r="S2373" s="1"/>
      <c r="T2373" s="1" t="s">
        <v>37</v>
      </c>
      <c r="U2373" s="1"/>
      <c r="V2373" s="1" t="s">
        <v>38</v>
      </c>
      <c r="W2373" s="1">
        <v>42.7796986241171</v>
      </c>
      <c r="X2373" s="1">
        <v>-72.7564269304275</v>
      </c>
      <c r="Y2373" s="1" t="s">
        <v>9421</v>
      </c>
      <c r="Z2373" s="1"/>
      <c r="AA2373" s="1" t="s">
        <v>40</v>
      </c>
      <c r="AB2373" s="1" t="s">
        <v>5680</v>
      </c>
      <c r="AC2373" s="1" t="s">
        <v>9422</v>
      </c>
    </row>
    <row r="2374">
      <c r="A2374" s="1" t="str">
        <f>"000AHG"</f>
        <v>000AHG</v>
      </c>
      <c r="B2374" s="1" t="s">
        <v>9423</v>
      </c>
      <c r="C2374" s="1" t="s">
        <v>9424</v>
      </c>
      <c r="D2374" s="1" t="str">
        <f>"8026843610"</f>
        <v>8026843610</v>
      </c>
      <c r="E2374" s="1">
        <v>4156.0</v>
      </c>
      <c r="F2374" s="1" t="s">
        <v>44</v>
      </c>
      <c r="G2374" s="1" t="s">
        <v>9425</v>
      </c>
      <c r="H2374" s="1">
        <v>1.0</v>
      </c>
      <c r="I2374" s="1"/>
      <c r="J2374" s="1"/>
      <c r="K2374" s="1"/>
      <c r="L2374" s="1"/>
      <c r="M2374" s="1" t="s">
        <v>33</v>
      </c>
      <c r="N2374" s="1" t="s">
        <v>128</v>
      </c>
      <c r="O2374" s="1" t="s">
        <v>129</v>
      </c>
      <c r="P2374" s="1" t="s">
        <v>36</v>
      </c>
      <c r="Q2374" s="3">
        <v>40330.0</v>
      </c>
      <c r="R2374" s="1"/>
      <c r="S2374" s="1"/>
      <c r="T2374" s="1" t="s">
        <v>37</v>
      </c>
      <c r="U2374" s="1"/>
      <c r="V2374" s="1" t="s">
        <v>38</v>
      </c>
      <c r="W2374" s="1">
        <v>44.3758063999999</v>
      </c>
      <c r="X2374" s="1">
        <v>-72.1470542</v>
      </c>
      <c r="Y2374" s="1" t="s">
        <v>9426</v>
      </c>
      <c r="Z2374" s="1"/>
      <c r="AA2374" s="1" t="s">
        <v>40</v>
      </c>
      <c r="AB2374" s="1" t="s">
        <v>130</v>
      </c>
      <c r="AC2374" s="1">
        <v>5828.0</v>
      </c>
    </row>
    <row r="2375">
      <c r="A2375" s="1" t="str">
        <f>"000AHW"</f>
        <v>000AHW</v>
      </c>
      <c r="B2375" s="1" t="s">
        <v>9427</v>
      </c>
      <c r="C2375" s="1" t="s">
        <v>9428</v>
      </c>
      <c r="D2375" s="1" t="str">
        <f>"8024854433"</f>
        <v>8024854433</v>
      </c>
      <c r="E2375" s="1">
        <v>4157.0</v>
      </c>
      <c r="F2375" s="1" t="s">
        <v>44</v>
      </c>
      <c r="G2375" s="1" t="s">
        <v>9429</v>
      </c>
      <c r="H2375" s="1">
        <v>0.0</v>
      </c>
      <c r="I2375" s="1"/>
      <c r="J2375" s="1"/>
      <c r="K2375" s="1"/>
      <c r="L2375" s="1"/>
      <c r="M2375" s="1" t="s">
        <v>33</v>
      </c>
      <c r="N2375" s="1" t="s">
        <v>135</v>
      </c>
      <c r="O2375" s="1" t="s">
        <v>136</v>
      </c>
      <c r="P2375" s="1" t="s">
        <v>36</v>
      </c>
      <c r="Q2375" s="3">
        <v>40333.0</v>
      </c>
      <c r="R2375" s="1"/>
      <c r="S2375" s="3">
        <v>40245.0</v>
      </c>
      <c r="T2375" s="1" t="s">
        <v>37</v>
      </c>
      <c r="U2375" s="1"/>
      <c r="V2375" s="1" t="s">
        <v>38</v>
      </c>
      <c r="W2375" s="1"/>
      <c r="X2375" s="1"/>
      <c r="Y2375" s="1" t="s">
        <v>9430</v>
      </c>
      <c r="Z2375" s="1"/>
      <c r="AA2375" s="1" t="s">
        <v>40</v>
      </c>
      <c r="AB2375" s="1" t="s">
        <v>137</v>
      </c>
      <c r="AC2375" s="1">
        <v>5663.0</v>
      </c>
    </row>
    <row r="2376">
      <c r="A2376" s="1" t="str">
        <f>"000AHX"</f>
        <v>000AHX</v>
      </c>
      <c r="B2376" s="1" t="s">
        <v>9431</v>
      </c>
      <c r="C2376" s="1" t="s">
        <v>9432</v>
      </c>
      <c r="D2376" s="1" t="str">
        <f>"8027780308"</f>
        <v>8027780308</v>
      </c>
      <c r="E2376" s="1">
        <v>4158.0</v>
      </c>
      <c r="F2376" s="1" t="s">
        <v>117</v>
      </c>
      <c r="G2376" s="1" t="s">
        <v>9433</v>
      </c>
      <c r="H2376" s="1">
        <v>2.0</v>
      </c>
      <c r="I2376" s="2">
        <v>2.0</v>
      </c>
      <c r="J2376" s="2">
        <v>2.0</v>
      </c>
      <c r="K2376" s="2" t="s">
        <v>119</v>
      </c>
      <c r="L2376" s="1"/>
      <c r="M2376" s="1" t="s">
        <v>9434</v>
      </c>
      <c r="N2376" s="1" t="s">
        <v>135</v>
      </c>
      <c r="O2376" s="1" t="s">
        <v>136</v>
      </c>
      <c r="P2376" s="1" t="s">
        <v>9435</v>
      </c>
      <c r="Q2376" s="3">
        <v>40333.0</v>
      </c>
      <c r="R2376" s="1"/>
      <c r="S2376" s="1"/>
      <c r="T2376" s="1" t="s">
        <v>37</v>
      </c>
      <c r="U2376" s="1"/>
      <c r="V2376" s="1" t="s">
        <v>38</v>
      </c>
      <c r="W2376" s="1">
        <v>44.170666</v>
      </c>
      <c r="X2376" s="1">
        <v>-72.6490709999999</v>
      </c>
      <c r="Y2376" s="1" t="s">
        <v>9436</v>
      </c>
      <c r="Z2376" s="1"/>
      <c r="AA2376" s="1" t="s">
        <v>40</v>
      </c>
      <c r="AB2376" s="1" t="s">
        <v>2197</v>
      </c>
      <c r="AC2376" s="1">
        <v>5664.0</v>
      </c>
    </row>
    <row r="2377">
      <c r="A2377" s="1" t="str">
        <f>"000AJ0"</f>
        <v>000AJ0</v>
      </c>
      <c r="B2377" s="1" t="s">
        <v>9437</v>
      </c>
      <c r="C2377" s="1" t="s">
        <v>9438</v>
      </c>
      <c r="D2377" s="1" t="str">
        <f>"8024362784"</f>
        <v>8024362784</v>
      </c>
      <c r="E2377" s="1">
        <v>4159.0</v>
      </c>
      <c r="F2377" s="1" t="s">
        <v>117</v>
      </c>
      <c r="G2377" s="1" t="s">
        <v>9439</v>
      </c>
      <c r="H2377" s="1">
        <v>2.0</v>
      </c>
      <c r="I2377" s="2">
        <v>1.0</v>
      </c>
      <c r="J2377" s="2">
        <v>0.0</v>
      </c>
      <c r="K2377" s="2" t="s">
        <v>119</v>
      </c>
      <c r="L2377" s="1"/>
      <c r="M2377" s="1" t="s">
        <v>9440</v>
      </c>
      <c r="N2377" s="1" t="s">
        <v>34</v>
      </c>
      <c r="O2377" s="1" t="s">
        <v>85</v>
      </c>
      <c r="P2377" s="1" t="s">
        <v>9441</v>
      </c>
      <c r="Q2377" s="3">
        <v>40320.0</v>
      </c>
      <c r="R2377" s="1"/>
      <c r="S2377" s="3">
        <v>42951.0</v>
      </c>
      <c r="T2377" s="1" t="s">
        <v>37</v>
      </c>
      <c r="U2377" s="1"/>
      <c r="V2377" s="1" t="s">
        <v>38</v>
      </c>
      <c r="W2377" s="1">
        <v>43.56723</v>
      </c>
      <c r="X2377" s="1">
        <v>-72.4460829999999</v>
      </c>
      <c r="Y2377" s="1" t="s">
        <v>9442</v>
      </c>
      <c r="Z2377" s="1"/>
      <c r="AA2377" s="1" t="s">
        <v>40</v>
      </c>
      <c r="AB2377" s="1" t="s">
        <v>86</v>
      </c>
      <c r="AC2377" s="1">
        <v>5048.0</v>
      </c>
    </row>
    <row r="2378">
      <c r="A2378" s="1" t="str">
        <f>"000AJ1"</f>
        <v>000AJ1</v>
      </c>
      <c r="B2378" s="1" t="s">
        <v>9443</v>
      </c>
      <c r="C2378" s="1" t="s">
        <v>9444</v>
      </c>
      <c r="D2378" s="1" t="str">
        <f>"8026442850"</f>
        <v>8026442850</v>
      </c>
      <c r="E2378" s="1">
        <v>4160.0</v>
      </c>
      <c r="F2378" s="1" t="s">
        <v>44</v>
      </c>
      <c r="G2378" s="1" t="s">
        <v>9445</v>
      </c>
      <c r="H2378" s="1">
        <v>1.0</v>
      </c>
      <c r="I2378" s="1"/>
      <c r="J2378" s="1"/>
      <c r="K2378" s="1"/>
      <c r="L2378" s="1"/>
      <c r="M2378" s="1" t="s">
        <v>33</v>
      </c>
      <c r="N2378" s="1" t="s">
        <v>213</v>
      </c>
      <c r="O2378" s="1" t="s">
        <v>5011</v>
      </c>
      <c r="P2378" s="1" t="s">
        <v>36</v>
      </c>
      <c r="Q2378" s="3">
        <v>40337.0</v>
      </c>
      <c r="R2378" s="1"/>
      <c r="S2378" s="1"/>
      <c r="T2378" s="1" t="s">
        <v>37</v>
      </c>
      <c r="U2378" s="1"/>
      <c r="V2378" s="1" t="s">
        <v>38</v>
      </c>
      <c r="W2378" s="1"/>
      <c r="X2378" s="1"/>
      <c r="Y2378" s="1" t="s">
        <v>9446</v>
      </c>
      <c r="Z2378" s="1"/>
      <c r="AA2378" s="1" t="s">
        <v>40</v>
      </c>
      <c r="AB2378" s="1" t="s">
        <v>2180</v>
      </c>
      <c r="AC2378" s="1">
        <v>5442.0</v>
      </c>
    </row>
    <row r="2379">
      <c r="A2379" s="1" t="str">
        <f>"000AJ2"</f>
        <v>000AJ2</v>
      </c>
      <c r="B2379" s="1" t="s">
        <v>9447</v>
      </c>
      <c r="C2379" s="1" t="s">
        <v>9448</v>
      </c>
      <c r="D2379" s="1" t="str">
        <f>"8022763712"</f>
        <v>8022763712</v>
      </c>
      <c r="E2379" s="1">
        <v>4161.0</v>
      </c>
      <c r="F2379" s="1" t="s">
        <v>117</v>
      </c>
      <c r="G2379" s="1" t="s">
        <v>9449</v>
      </c>
      <c r="H2379" s="1">
        <v>3.0</v>
      </c>
      <c r="I2379" s="2">
        <v>3.0</v>
      </c>
      <c r="J2379" s="2">
        <v>3.0</v>
      </c>
      <c r="K2379" s="2" t="s">
        <v>829</v>
      </c>
      <c r="L2379" s="1"/>
      <c r="M2379" s="1" t="s">
        <v>9450</v>
      </c>
      <c r="N2379" s="1" t="s">
        <v>142</v>
      </c>
      <c r="O2379" s="1" t="s">
        <v>353</v>
      </c>
      <c r="P2379" s="1" t="s">
        <v>9451</v>
      </c>
      <c r="Q2379" s="3">
        <v>40337.0</v>
      </c>
      <c r="R2379" s="1"/>
      <c r="S2379" s="3">
        <v>42208.0</v>
      </c>
      <c r="T2379" s="1" t="s">
        <v>37</v>
      </c>
      <c r="U2379" s="1"/>
      <c r="V2379" s="1" t="s">
        <v>38</v>
      </c>
      <c r="W2379" s="1">
        <v>44.0757685</v>
      </c>
      <c r="X2379" s="1">
        <v>-72.6185658</v>
      </c>
      <c r="Y2379" s="1" t="s">
        <v>9452</v>
      </c>
      <c r="Z2379" s="1"/>
      <c r="AA2379" s="1" t="s">
        <v>40</v>
      </c>
      <c r="AB2379" s="1" t="s">
        <v>355</v>
      </c>
      <c r="AC2379" s="1">
        <v>5036.0</v>
      </c>
    </row>
    <row r="2380">
      <c r="A2380" s="1" t="str">
        <f>"000AJ3"</f>
        <v>000AJ3</v>
      </c>
      <c r="B2380" s="1" t="s">
        <v>9453</v>
      </c>
      <c r="C2380" s="1" t="s">
        <v>9454</v>
      </c>
      <c r="D2380" s="1" t="str">
        <f>"8028751717"</f>
        <v>8028751717</v>
      </c>
      <c r="E2380" s="1">
        <v>4162.0</v>
      </c>
      <c r="F2380" s="1" t="s">
        <v>117</v>
      </c>
      <c r="G2380" s="1" t="s">
        <v>9455</v>
      </c>
      <c r="H2380" s="1">
        <v>2.0</v>
      </c>
      <c r="I2380" s="2">
        <v>1.0</v>
      </c>
      <c r="J2380" s="2" t="s">
        <v>119</v>
      </c>
      <c r="K2380" s="2" t="s">
        <v>119</v>
      </c>
      <c r="L2380" s="1"/>
      <c r="M2380" s="1" t="s">
        <v>9456</v>
      </c>
      <c r="N2380" s="1" t="s">
        <v>34</v>
      </c>
      <c r="O2380" s="1" t="s">
        <v>565</v>
      </c>
      <c r="P2380" s="1" t="s">
        <v>9457</v>
      </c>
      <c r="Q2380" s="3">
        <v>40323.0</v>
      </c>
      <c r="R2380" s="1"/>
      <c r="S2380" s="3">
        <v>42944.0</v>
      </c>
      <c r="T2380" s="1" t="s">
        <v>37</v>
      </c>
      <c r="U2380" s="1"/>
      <c r="V2380" s="1" t="s">
        <v>38</v>
      </c>
      <c r="W2380" s="1">
        <v>43.2617999201487</v>
      </c>
      <c r="X2380" s="1">
        <v>-72.6559782028198</v>
      </c>
      <c r="Y2380" s="1" t="s">
        <v>9458</v>
      </c>
      <c r="Z2380" s="1"/>
      <c r="AA2380" s="1" t="s">
        <v>40</v>
      </c>
      <c r="AB2380" s="1" t="s">
        <v>566</v>
      </c>
      <c r="AC2380" s="1">
        <v>5143.0</v>
      </c>
    </row>
    <row r="2381">
      <c r="A2381" s="1" t="str">
        <f>"000AJ4"</f>
        <v>000AJ4</v>
      </c>
      <c r="B2381" s="1" t="s">
        <v>9459</v>
      </c>
      <c r="C2381" s="1" t="s">
        <v>9460</v>
      </c>
      <c r="D2381" s="1" t="str">
        <f>"8024463980"</f>
        <v>8024463980</v>
      </c>
      <c r="E2381" s="1">
        <v>4163.0</v>
      </c>
      <c r="F2381" s="1" t="s">
        <v>44</v>
      </c>
      <c r="G2381" s="1" t="s">
        <v>9461</v>
      </c>
      <c r="H2381" s="1">
        <v>2.0</v>
      </c>
      <c r="I2381" s="1"/>
      <c r="J2381" s="1"/>
      <c r="K2381" s="1"/>
      <c r="L2381" s="1"/>
      <c r="M2381" s="1" t="s">
        <v>33</v>
      </c>
      <c r="N2381" s="1" t="s">
        <v>78</v>
      </c>
      <c r="O2381" s="1" t="s">
        <v>1124</v>
      </c>
      <c r="P2381" s="1" t="s">
        <v>9462</v>
      </c>
      <c r="Q2381" s="3">
        <v>40320.0</v>
      </c>
      <c r="R2381" s="1"/>
      <c r="S2381" s="1"/>
      <c r="T2381" s="1" t="s">
        <v>37</v>
      </c>
      <c r="U2381" s="1"/>
      <c r="V2381" s="1" t="s">
        <v>38</v>
      </c>
      <c r="W2381" s="1"/>
      <c r="X2381" s="1"/>
      <c r="Y2381" s="1" t="s">
        <v>9463</v>
      </c>
      <c r="Z2381" s="1"/>
      <c r="AA2381" s="1" t="s">
        <v>40</v>
      </c>
      <c r="AB2381" s="1" t="s">
        <v>1127</v>
      </c>
      <c r="AC2381" s="1">
        <v>5773.0</v>
      </c>
    </row>
    <row r="2382">
      <c r="A2382" s="1" t="str">
        <f>"000AJJ"</f>
        <v>000AJJ</v>
      </c>
      <c r="B2382" s="1" t="s">
        <v>9464</v>
      </c>
      <c r="C2382" s="1" t="s">
        <v>9465</v>
      </c>
      <c r="D2382" s="1" t="str">
        <f>"8027668162"</f>
        <v>8027668162</v>
      </c>
      <c r="E2382" s="1">
        <v>4164.0</v>
      </c>
      <c r="F2382" s="1" t="s">
        <v>117</v>
      </c>
      <c r="G2382" s="1" t="s">
        <v>9466</v>
      </c>
      <c r="H2382" s="1">
        <v>2.0</v>
      </c>
      <c r="I2382" s="2" t="s">
        <v>119</v>
      </c>
      <c r="J2382" s="2">
        <v>2.0</v>
      </c>
      <c r="K2382" s="2" t="s">
        <v>119</v>
      </c>
      <c r="L2382" s="2" t="s">
        <v>1261</v>
      </c>
      <c r="M2382" s="1" t="s">
        <v>9467</v>
      </c>
      <c r="N2382" s="1" t="s">
        <v>94</v>
      </c>
      <c r="O2382" s="1" t="s">
        <v>1019</v>
      </c>
      <c r="P2382" s="1" t="s">
        <v>9468</v>
      </c>
      <c r="Q2382" s="3">
        <v>40337.0</v>
      </c>
      <c r="R2382" s="1"/>
      <c r="S2382" s="1"/>
      <c r="T2382" s="1" t="s">
        <v>37</v>
      </c>
      <c r="U2382" s="1"/>
      <c r="V2382" s="1" t="s">
        <v>38</v>
      </c>
      <c r="W2382" s="1">
        <v>44.926336</v>
      </c>
      <c r="X2382" s="1">
        <v>-72.149925</v>
      </c>
      <c r="Y2382" s="1" t="s">
        <v>9469</v>
      </c>
      <c r="Z2382" s="1"/>
      <c r="AA2382" s="1" t="s">
        <v>40</v>
      </c>
      <c r="AB2382" s="1" t="s">
        <v>1022</v>
      </c>
      <c r="AC2382" s="1">
        <v>5855.0</v>
      </c>
    </row>
    <row r="2383">
      <c r="A2383" s="1" t="str">
        <f>"000AJM"</f>
        <v>000AJM</v>
      </c>
      <c r="B2383" s="1" t="s">
        <v>9470</v>
      </c>
      <c r="C2383" s="1" t="s">
        <v>9471</v>
      </c>
      <c r="D2383" s="1" t="str">
        <f>"8026448818"</f>
        <v>8026448818</v>
      </c>
      <c r="E2383" s="1">
        <v>4165.0</v>
      </c>
      <c r="F2383" s="1" t="s">
        <v>117</v>
      </c>
      <c r="G2383" s="1" t="s">
        <v>9472</v>
      </c>
      <c r="H2383" s="1">
        <v>1.0</v>
      </c>
      <c r="I2383" s="2" t="s">
        <v>119</v>
      </c>
      <c r="J2383" s="2">
        <v>1.0</v>
      </c>
      <c r="K2383" s="2" t="s">
        <v>119</v>
      </c>
      <c r="L2383" s="1"/>
      <c r="M2383" s="1" t="s">
        <v>9473</v>
      </c>
      <c r="N2383" s="1" t="s">
        <v>213</v>
      </c>
      <c r="O2383" s="1" t="s">
        <v>620</v>
      </c>
      <c r="P2383" s="1" t="s">
        <v>9474</v>
      </c>
      <c r="Q2383" s="3">
        <v>40298.0</v>
      </c>
      <c r="R2383" s="1"/>
      <c r="S2383" s="1"/>
      <c r="T2383" s="1" t="s">
        <v>37</v>
      </c>
      <c r="U2383" s="1"/>
      <c r="V2383" s="1" t="s">
        <v>38</v>
      </c>
      <c r="W2383" s="1">
        <v>44.692131</v>
      </c>
      <c r="X2383" s="1">
        <v>-72.827393</v>
      </c>
      <c r="Y2383" s="1" t="s">
        <v>9475</v>
      </c>
      <c r="Z2383" s="1"/>
      <c r="AA2383" s="1" t="s">
        <v>40</v>
      </c>
      <c r="AB2383" s="1" t="s">
        <v>8822</v>
      </c>
      <c r="AC2383" s="1">
        <v>5464.0</v>
      </c>
    </row>
    <row r="2384">
      <c r="A2384" s="1" t="str">
        <f>"000AJQ"</f>
        <v>000AJQ</v>
      </c>
      <c r="B2384" s="1" t="s">
        <v>9476</v>
      </c>
      <c r="C2384" s="1" t="s">
        <v>9477</v>
      </c>
      <c r="D2384" s="1" t="str">
        <f>"8024471028"</f>
        <v>8024471028</v>
      </c>
      <c r="E2384" s="1">
        <v>4167.0</v>
      </c>
      <c r="F2384" s="1" t="s">
        <v>44</v>
      </c>
      <c r="G2384" s="1" t="s">
        <v>9478</v>
      </c>
      <c r="H2384" s="1">
        <v>1.0</v>
      </c>
      <c r="I2384" s="1"/>
      <c r="J2384" s="1"/>
      <c r="K2384" s="1"/>
      <c r="L2384" s="1"/>
      <c r="M2384" s="1" t="s">
        <v>33</v>
      </c>
      <c r="N2384" s="1" t="s">
        <v>414</v>
      </c>
      <c r="O2384" s="1" t="s">
        <v>720</v>
      </c>
      <c r="P2384" s="1" t="s">
        <v>36</v>
      </c>
      <c r="Q2384" s="3">
        <v>40337.0</v>
      </c>
      <c r="R2384" s="1"/>
      <c r="S2384" s="1"/>
      <c r="T2384" s="1" t="s">
        <v>37</v>
      </c>
      <c r="U2384" s="1"/>
      <c r="V2384" s="1" t="s">
        <v>38</v>
      </c>
      <c r="W2384" s="1"/>
      <c r="X2384" s="1"/>
      <c r="Y2384" s="1" t="s">
        <v>9479</v>
      </c>
      <c r="Z2384" s="1"/>
      <c r="AA2384" s="1" t="s">
        <v>40</v>
      </c>
      <c r="AB2384" s="1" t="s">
        <v>414</v>
      </c>
      <c r="AC2384" s="1">
        <v>5201.0</v>
      </c>
    </row>
    <row r="2385">
      <c r="A2385" s="1" t="str">
        <f>"000AK2"</f>
        <v>000AK2</v>
      </c>
      <c r="B2385" s="1" t="s">
        <v>9480</v>
      </c>
      <c r="C2385" s="1" t="s">
        <v>9481</v>
      </c>
      <c r="D2385" s="1" t="str">
        <f>"8006483591"</f>
        <v>8006483591</v>
      </c>
      <c r="E2385" s="1">
        <v>4168.0</v>
      </c>
      <c r="F2385" s="1" t="s">
        <v>117</v>
      </c>
      <c r="G2385" s="1" t="s">
        <v>9482</v>
      </c>
      <c r="H2385" s="1">
        <v>4.0</v>
      </c>
      <c r="I2385" s="1"/>
      <c r="J2385" s="1"/>
      <c r="K2385" s="1"/>
      <c r="L2385" s="1"/>
      <c r="M2385" s="1" t="s">
        <v>9480</v>
      </c>
      <c r="N2385" s="1" t="s">
        <v>94</v>
      </c>
      <c r="O2385" s="1" t="s">
        <v>1688</v>
      </c>
      <c r="P2385" s="1" t="s">
        <v>9480</v>
      </c>
      <c r="Q2385" s="3">
        <v>40297.0</v>
      </c>
      <c r="R2385" s="1"/>
      <c r="S2385" s="1"/>
      <c r="T2385" s="1" t="s">
        <v>37</v>
      </c>
      <c r="U2385" s="1"/>
      <c r="V2385" s="1" t="s">
        <v>38</v>
      </c>
      <c r="W2385" s="1"/>
      <c r="X2385" s="1"/>
      <c r="Y2385" s="1" t="s">
        <v>9483</v>
      </c>
      <c r="Z2385" s="1"/>
      <c r="AA2385" s="1" t="s">
        <v>40</v>
      </c>
      <c r="AB2385" s="1" t="s">
        <v>234</v>
      </c>
      <c r="AC2385" s="1">
        <v>5827.0</v>
      </c>
    </row>
    <row r="2386">
      <c r="A2386" s="1" t="str">
        <f>"000AK3"</f>
        <v>000AK3</v>
      </c>
      <c r="B2386" s="1" t="s">
        <v>9484</v>
      </c>
      <c r="C2386" s="1" t="s">
        <v>9485</v>
      </c>
      <c r="D2386" s="1" t="str">
        <f>"8024768025"</f>
        <v>8024768025</v>
      </c>
      <c r="E2386" s="1">
        <v>4169.0</v>
      </c>
      <c r="F2386" s="1" t="s">
        <v>117</v>
      </c>
      <c r="G2386" s="1" t="s">
        <v>9486</v>
      </c>
      <c r="H2386" s="1">
        <v>6.0</v>
      </c>
      <c r="I2386" s="2">
        <v>2.0</v>
      </c>
      <c r="J2386" s="2">
        <v>2.0</v>
      </c>
      <c r="K2386" s="2" t="s">
        <v>119</v>
      </c>
      <c r="L2386" s="1"/>
      <c r="M2386" s="1" t="s">
        <v>9487</v>
      </c>
      <c r="N2386" s="1" t="s">
        <v>135</v>
      </c>
      <c r="O2386" s="1" t="s">
        <v>343</v>
      </c>
      <c r="P2386" s="1" t="s">
        <v>9488</v>
      </c>
      <c r="Q2386" s="3">
        <v>40337.0</v>
      </c>
      <c r="R2386" s="1"/>
      <c r="S2386" s="3">
        <v>42515.0</v>
      </c>
      <c r="T2386" s="1" t="s">
        <v>37</v>
      </c>
      <c r="U2386" s="1"/>
      <c r="V2386" s="1" t="s">
        <v>38</v>
      </c>
      <c r="W2386" s="1">
        <v>44.2019189</v>
      </c>
      <c r="X2386" s="1">
        <v>-72.4349429999999</v>
      </c>
      <c r="Y2386" s="1" t="s">
        <v>9489</v>
      </c>
      <c r="Z2386" s="1"/>
      <c r="AA2386" s="1" t="s">
        <v>40</v>
      </c>
      <c r="AB2386" s="1" t="s">
        <v>4019</v>
      </c>
      <c r="AC2386" s="1">
        <v>5641.0</v>
      </c>
    </row>
    <row r="2387">
      <c r="A2387" s="1" t="str">
        <f>"000APA"</f>
        <v>000APA</v>
      </c>
      <c r="B2387" s="1" t="s">
        <v>9490</v>
      </c>
      <c r="C2387" s="1" t="s">
        <v>9491</v>
      </c>
      <c r="D2387" s="1" t="str">
        <f>"8022362322"</f>
        <v>8022362322</v>
      </c>
      <c r="E2387" s="1">
        <v>4170.0</v>
      </c>
      <c r="F2387" s="1" t="s">
        <v>31</v>
      </c>
      <c r="G2387" s="1" t="s">
        <v>9492</v>
      </c>
      <c r="H2387" s="1">
        <v>4.0</v>
      </c>
      <c r="I2387" s="2" t="s">
        <v>119</v>
      </c>
      <c r="J2387" s="2" t="s">
        <v>119</v>
      </c>
      <c r="K2387" s="2" t="s">
        <v>119</v>
      </c>
      <c r="L2387" s="1"/>
      <c r="M2387" s="1" t="s">
        <v>33</v>
      </c>
      <c r="N2387" s="1" t="s">
        <v>161</v>
      </c>
      <c r="O2387" s="1" t="s">
        <v>3541</v>
      </c>
      <c r="P2387" s="1" t="s">
        <v>36</v>
      </c>
      <c r="Q2387" s="3">
        <v>40346.0</v>
      </c>
      <c r="R2387" s="1"/>
      <c r="S2387" s="1"/>
      <c r="T2387" s="1" t="s">
        <v>37</v>
      </c>
      <c r="U2387" s="1"/>
      <c r="V2387" s="1" t="s">
        <v>38</v>
      </c>
      <c r="W2387" s="1">
        <v>43.888126</v>
      </c>
      <c r="X2387" s="1">
        <v>-73.2184909999999</v>
      </c>
      <c r="Y2387" s="1" t="s">
        <v>9493</v>
      </c>
      <c r="Z2387" s="1"/>
      <c r="AA2387" s="1" t="s">
        <v>40</v>
      </c>
      <c r="AB2387" s="1" t="s">
        <v>3544</v>
      </c>
      <c r="AC2387" s="1">
        <v>5778.0</v>
      </c>
    </row>
    <row r="2388">
      <c r="A2388" s="1" t="str">
        <f>"000APB"</f>
        <v>000APB</v>
      </c>
      <c r="B2388" s="1" t="s">
        <v>9494</v>
      </c>
      <c r="C2388" s="1" t="s">
        <v>9495</v>
      </c>
      <c r="D2388" s="1" t="str">
        <f>"8028994963"</f>
        <v>8028994963</v>
      </c>
      <c r="E2388" s="1">
        <v>4171.0</v>
      </c>
      <c r="F2388" s="1" t="s">
        <v>44</v>
      </c>
      <c r="G2388" s="1" t="s">
        <v>9496</v>
      </c>
      <c r="H2388" s="1">
        <v>2.0</v>
      </c>
      <c r="I2388" s="1"/>
      <c r="J2388" s="1"/>
      <c r="K2388" s="1"/>
      <c r="L2388" s="1"/>
      <c r="M2388" s="1" t="s">
        <v>33</v>
      </c>
      <c r="N2388" s="1" t="s">
        <v>57</v>
      </c>
      <c r="O2388" s="1" t="s">
        <v>58</v>
      </c>
      <c r="P2388" s="1" t="s">
        <v>36</v>
      </c>
      <c r="Q2388" s="3">
        <v>40318.0</v>
      </c>
      <c r="R2388" s="1"/>
      <c r="S2388" s="1"/>
      <c r="T2388" s="1" t="s">
        <v>37</v>
      </c>
      <c r="U2388" s="1"/>
      <c r="V2388" s="1" t="s">
        <v>38</v>
      </c>
      <c r="W2388" s="1"/>
      <c r="X2388" s="1"/>
      <c r="Y2388" s="1" t="s">
        <v>9497</v>
      </c>
      <c r="Z2388" s="1"/>
      <c r="AA2388" s="1" t="s">
        <v>40</v>
      </c>
      <c r="AB2388" s="1" t="s">
        <v>61</v>
      </c>
      <c r="AC2388" s="1">
        <v>5489.0</v>
      </c>
    </row>
    <row r="2389">
      <c r="A2389" s="1" t="str">
        <f>"000APC"</f>
        <v>000APC</v>
      </c>
      <c r="B2389" s="1" t="s">
        <v>9498</v>
      </c>
      <c r="C2389" s="1" t="s">
        <v>9499</v>
      </c>
      <c r="D2389" s="1" t="str">
        <f>"8024263213"</f>
        <v>8024263213</v>
      </c>
      <c r="E2389" s="1">
        <v>4172.0</v>
      </c>
      <c r="F2389" s="1" t="s">
        <v>44</v>
      </c>
      <c r="G2389" s="1" t="s">
        <v>9500</v>
      </c>
      <c r="H2389" s="1">
        <v>1.0</v>
      </c>
      <c r="I2389" s="1"/>
      <c r="J2389" s="1"/>
      <c r="K2389" s="1"/>
      <c r="L2389" s="1"/>
      <c r="M2389" s="1"/>
      <c r="N2389" s="1" t="s">
        <v>135</v>
      </c>
      <c r="O2389" s="1" t="s">
        <v>1073</v>
      </c>
      <c r="P2389" s="1" t="s">
        <v>9501</v>
      </c>
      <c r="Q2389" s="3">
        <v>40346.0</v>
      </c>
      <c r="R2389" s="1"/>
      <c r="S2389" s="1"/>
      <c r="T2389" s="1" t="s">
        <v>37</v>
      </c>
      <c r="U2389" s="1"/>
      <c r="V2389" s="1" t="s">
        <v>38</v>
      </c>
      <c r="W2389" s="1"/>
      <c r="X2389" s="1"/>
      <c r="Y2389" s="1" t="s">
        <v>9502</v>
      </c>
      <c r="Z2389" s="1"/>
      <c r="AA2389" s="1" t="s">
        <v>40</v>
      </c>
      <c r="AB2389" s="1" t="s">
        <v>759</v>
      </c>
      <c r="AC2389" s="1">
        <v>5667.0</v>
      </c>
    </row>
    <row r="2390">
      <c r="A2390" s="1" t="str">
        <f>"000APD"</f>
        <v>000APD</v>
      </c>
      <c r="B2390" s="1" t="s">
        <v>9503</v>
      </c>
      <c r="C2390" s="1" t="s">
        <v>9504</v>
      </c>
      <c r="D2390" s="1" t="str">
        <f>"8022571854"</f>
        <v>8022571854</v>
      </c>
      <c r="E2390" s="1">
        <v>4173.0</v>
      </c>
      <c r="F2390" s="1" t="s">
        <v>44</v>
      </c>
      <c r="G2390" s="1" t="s">
        <v>9505</v>
      </c>
      <c r="H2390" s="1">
        <v>2.0</v>
      </c>
      <c r="I2390" s="1"/>
      <c r="J2390" s="1"/>
      <c r="K2390" s="1"/>
      <c r="L2390" s="1"/>
      <c r="M2390" s="1" t="s">
        <v>9506</v>
      </c>
      <c r="N2390" s="1" t="s">
        <v>66</v>
      </c>
      <c r="O2390" s="1" t="s">
        <v>2346</v>
      </c>
      <c r="P2390" s="1" t="s">
        <v>36</v>
      </c>
      <c r="Q2390" s="3">
        <v>40346.0</v>
      </c>
      <c r="R2390" s="1"/>
      <c r="S2390" s="1"/>
      <c r="T2390" s="1" t="s">
        <v>37</v>
      </c>
      <c r="U2390" s="1"/>
      <c r="V2390" s="1" t="s">
        <v>38</v>
      </c>
      <c r="W2390" s="1"/>
      <c r="X2390" s="1"/>
      <c r="Y2390" s="1" t="s">
        <v>9507</v>
      </c>
      <c r="Z2390" s="1"/>
      <c r="AA2390" s="1" t="s">
        <v>40</v>
      </c>
      <c r="AB2390" s="1" t="s">
        <v>2349</v>
      </c>
      <c r="AC2390" s="1">
        <v>5301.0</v>
      </c>
    </row>
    <row r="2391">
      <c r="A2391" s="1" t="str">
        <f>"000APF"</f>
        <v>000APF</v>
      </c>
      <c r="B2391" s="1" t="s">
        <v>9508</v>
      </c>
      <c r="C2391" s="1" t="s">
        <v>9509</v>
      </c>
      <c r="D2391" s="1" t="str">
        <f>"8028624885"</f>
        <v>8028624885</v>
      </c>
      <c r="E2391" s="1">
        <v>4174.0</v>
      </c>
      <c r="F2391" s="1" t="s">
        <v>44</v>
      </c>
      <c r="G2391" s="1" t="s">
        <v>9510</v>
      </c>
      <c r="H2391" s="1">
        <v>1.0</v>
      </c>
      <c r="I2391" s="1"/>
      <c r="J2391" s="1"/>
      <c r="K2391" s="1"/>
      <c r="L2391" s="1"/>
      <c r="M2391" s="1" t="s">
        <v>33</v>
      </c>
      <c r="N2391" s="1" t="s">
        <v>57</v>
      </c>
      <c r="O2391" s="1" t="s">
        <v>503</v>
      </c>
      <c r="P2391" s="1" t="s">
        <v>36</v>
      </c>
      <c r="Q2391" s="3">
        <v>40346.0</v>
      </c>
      <c r="R2391" s="1"/>
      <c r="S2391" s="1"/>
      <c r="T2391" s="1" t="s">
        <v>37</v>
      </c>
      <c r="U2391" s="1"/>
      <c r="V2391" s="1" t="s">
        <v>38</v>
      </c>
      <c r="W2391" s="1"/>
      <c r="X2391" s="1"/>
      <c r="Y2391" s="1" t="s">
        <v>9511</v>
      </c>
      <c r="Z2391" s="1"/>
      <c r="AA2391" s="1" t="s">
        <v>40</v>
      </c>
      <c r="AB2391" s="1" t="s">
        <v>5195</v>
      </c>
      <c r="AC2391" s="1">
        <v>5403.0</v>
      </c>
    </row>
    <row r="2392">
      <c r="A2392" s="1" t="str">
        <f>"000APG"</f>
        <v>000APG</v>
      </c>
      <c r="B2392" s="1" t="s">
        <v>9512</v>
      </c>
      <c r="C2392" s="1" t="s">
        <v>9513</v>
      </c>
      <c r="D2392" s="1" t="str">
        <f>"8023621422"</f>
        <v>8023621422</v>
      </c>
      <c r="E2392" s="1">
        <v>4175.0</v>
      </c>
      <c r="F2392" s="1" t="s">
        <v>44</v>
      </c>
      <c r="G2392" s="1" t="s">
        <v>9514</v>
      </c>
      <c r="H2392" s="1">
        <v>2.0</v>
      </c>
      <c r="I2392" s="1"/>
      <c r="J2392" s="1"/>
      <c r="K2392" s="1"/>
      <c r="L2392" s="1"/>
      <c r="M2392" s="1" t="s">
        <v>33</v>
      </c>
      <c r="N2392" s="1" t="s">
        <v>414</v>
      </c>
      <c r="O2392" s="1" t="s">
        <v>2880</v>
      </c>
      <c r="P2392" s="1" t="s">
        <v>9515</v>
      </c>
      <c r="Q2392" s="3">
        <v>40346.0</v>
      </c>
      <c r="R2392" s="1"/>
      <c r="S2392" s="1"/>
      <c r="T2392" s="1" t="s">
        <v>37</v>
      </c>
      <c r="U2392" s="1"/>
      <c r="V2392" s="1" t="s">
        <v>38</v>
      </c>
      <c r="W2392" s="1"/>
      <c r="X2392" s="1"/>
      <c r="Y2392" s="1" t="s">
        <v>9516</v>
      </c>
      <c r="Z2392" s="1"/>
      <c r="AA2392" s="1" t="s">
        <v>40</v>
      </c>
      <c r="AB2392" s="1" t="s">
        <v>2881</v>
      </c>
      <c r="AC2392" s="1">
        <v>5255.0</v>
      </c>
    </row>
    <row r="2393">
      <c r="A2393" s="1" t="str">
        <f>"000APH"</f>
        <v>000APH</v>
      </c>
      <c r="B2393" s="1" t="s">
        <v>9517</v>
      </c>
      <c r="C2393" s="1" t="s">
        <v>9518</v>
      </c>
      <c r="D2393" s="1" t="str">
        <f>"8026446676"</f>
        <v>8026446676</v>
      </c>
      <c r="E2393" s="1">
        <v>4176.0</v>
      </c>
      <c r="F2393" s="1" t="s">
        <v>44</v>
      </c>
      <c r="G2393" s="1" t="s">
        <v>9519</v>
      </c>
      <c r="H2393" s="1">
        <v>13.0</v>
      </c>
      <c r="I2393" s="1"/>
      <c r="J2393" s="1"/>
      <c r="K2393" s="1"/>
      <c r="L2393" s="1"/>
      <c r="M2393" s="1" t="s">
        <v>33</v>
      </c>
      <c r="N2393" s="1" t="s">
        <v>213</v>
      </c>
      <c r="O2393" s="1" t="s">
        <v>2171</v>
      </c>
      <c r="P2393" s="1" t="s">
        <v>9520</v>
      </c>
      <c r="Q2393" s="3">
        <v>40346.0</v>
      </c>
      <c r="R2393" s="1"/>
      <c r="S2393" s="1"/>
      <c r="T2393" s="1" t="s">
        <v>37</v>
      </c>
      <c r="U2393" s="1"/>
      <c r="V2393" s="1" t="s">
        <v>38</v>
      </c>
      <c r="W2393" s="1"/>
      <c r="X2393" s="1"/>
      <c r="Y2393" s="1" t="s">
        <v>9521</v>
      </c>
      <c r="Z2393" s="1"/>
      <c r="AA2393" s="1" t="s">
        <v>40</v>
      </c>
      <c r="AB2393" s="1" t="s">
        <v>2173</v>
      </c>
      <c r="AC2393" s="1">
        <v>5492.0</v>
      </c>
    </row>
    <row r="2394">
      <c r="A2394" s="1" t="str">
        <f>"000APK"</f>
        <v>000APK</v>
      </c>
      <c r="B2394" s="1" t="s">
        <v>9522</v>
      </c>
      <c r="C2394" s="1" t="s">
        <v>7859</v>
      </c>
      <c r="D2394" s="1" t="str">
        <f>"8027283821"</f>
        <v>8027283821</v>
      </c>
      <c r="E2394" s="1">
        <v>4178.0</v>
      </c>
      <c r="F2394" s="1" t="s">
        <v>44</v>
      </c>
      <c r="G2394" s="1" t="s">
        <v>9523</v>
      </c>
      <c r="H2394" s="1">
        <v>5.0</v>
      </c>
      <c r="I2394" s="1"/>
      <c r="J2394" s="1"/>
      <c r="K2394" s="1"/>
      <c r="L2394" s="1"/>
      <c r="M2394" s="1" t="s">
        <v>33</v>
      </c>
      <c r="N2394" s="1" t="s">
        <v>142</v>
      </c>
      <c r="O2394" s="1" t="s">
        <v>474</v>
      </c>
      <c r="P2394" s="1" t="s">
        <v>36</v>
      </c>
      <c r="Q2394" s="3">
        <v>40321.0</v>
      </c>
      <c r="R2394" s="1"/>
      <c r="S2394" s="1"/>
      <c r="T2394" s="1" t="s">
        <v>37</v>
      </c>
      <c r="U2394" s="1"/>
      <c r="V2394" s="1" t="s">
        <v>38</v>
      </c>
      <c r="W2394" s="1"/>
      <c r="X2394" s="1"/>
      <c r="Y2394" s="1" t="s">
        <v>9524</v>
      </c>
      <c r="Z2394" s="1"/>
      <c r="AA2394" s="1" t="s">
        <v>40</v>
      </c>
      <c r="AB2394" s="1" t="s">
        <v>475</v>
      </c>
      <c r="AC2394" s="1">
        <v>5060.0</v>
      </c>
    </row>
    <row r="2395">
      <c r="A2395" s="1" t="str">
        <f>"000APM"</f>
        <v>000APM</v>
      </c>
      <c r="B2395" s="1" t="s">
        <v>9525</v>
      </c>
      <c r="C2395" s="1" t="s">
        <v>9526</v>
      </c>
      <c r="D2395" s="1" t="str">
        <f>"8022385681"</f>
        <v>8022385681</v>
      </c>
      <c r="E2395" s="1">
        <v>4179.0</v>
      </c>
      <c r="F2395" s="1" t="s">
        <v>44</v>
      </c>
      <c r="G2395" s="1" t="s">
        <v>9527</v>
      </c>
      <c r="H2395" s="1">
        <v>2.0</v>
      </c>
      <c r="I2395" s="1"/>
      <c r="J2395" s="1"/>
      <c r="K2395" s="1"/>
      <c r="L2395" s="1"/>
      <c r="M2395" s="1" t="s">
        <v>33</v>
      </c>
      <c r="N2395" s="1" t="s">
        <v>57</v>
      </c>
      <c r="O2395" s="1" t="s">
        <v>503</v>
      </c>
      <c r="P2395" s="1" t="s">
        <v>9528</v>
      </c>
      <c r="Q2395" s="3">
        <v>40322.0</v>
      </c>
      <c r="R2395" s="1"/>
      <c r="S2395" s="1"/>
      <c r="T2395" s="1" t="s">
        <v>37</v>
      </c>
      <c r="U2395" s="1"/>
      <c r="V2395" s="1" t="s">
        <v>38</v>
      </c>
      <c r="W2395" s="1"/>
      <c r="X2395" s="1"/>
      <c r="Y2395" s="1" t="s">
        <v>9529</v>
      </c>
      <c r="Z2395" s="1"/>
      <c r="AA2395" s="1" t="s">
        <v>40</v>
      </c>
      <c r="AB2395" s="1" t="s">
        <v>5195</v>
      </c>
      <c r="AC2395" s="1">
        <v>5403.0</v>
      </c>
    </row>
    <row r="2396">
      <c r="A2396" s="1" t="str">
        <f>"000APN"</f>
        <v>000APN</v>
      </c>
      <c r="B2396" s="1" t="s">
        <v>9530</v>
      </c>
      <c r="C2396" s="1" t="s">
        <v>9531</v>
      </c>
      <c r="D2396" s="1" t="str">
        <f>"5082083473"</f>
        <v>5082083473</v>
      </c>
      <c r="E2396" s="1">
        <v>4180.0</v>
      </c>
      <c r="F2396" s="1" t="s">
        <v>44</v>
      </c>
      <c r="G2396" s="1" t="s">
        <v>9532</v>
      </c>
      <c r="H2396" s="1">
        <v>1.0</v>
      </c>
      <c r="I2396" s="1"/>
      <c r="J2396" s="1"/>
      <c r="K2396" s="1"/>
      <c r="L2396" s="1"/>
      <c r="M2396" s="1" t="s">
        <v>33</v>
      </c>
      <c r="N2396" s="1" t="s">
        <v>107</v>
      </c>
      <c r="O2396" s="1" t="s">
        <v>821</v>
      </c>
      <c r="P2396" s="1" t="s">
        <v>36</v>
      </c>
      <c r="Q2396" s="3">
        <v>40342.0</v>
      </c>
      <c r="R2396" s="1"/>
      <c r="S2396" s="1"/>
      <c r="T2396" s="1" t="s">
        <v>37</v>
      </c>
      <c r="U2396" s="1"/>
      <c r="V2396" s="1" t="s">
        <v>38</v>
      </c>
      <c r="W2396" s="1">
        <v>44.622131</v>
      </c>
      <c r="X2396" s="1">
        <v>-73.2774959999999</v>
      </c>
      <c r="Y2396" s="1" t="s">
        <v>9533</v>
      </c>
      <c r="Z2396" s="1"/>
      <c r="AA2396" s="1" t="s">
        <v>40</v>
      </c>
      <c r="AB2396" s="1" t="s">
        <v>822</v>
      </c>
      <c r="AC2396" s="1">
        <v>5486.0</v>
      </c>
    </row>
    <row r="2397">
      <c r="A2397" s="1" t="str">
        <f>"000APQ"</f>
        <v>000APQ</v>
      </c>
      <c r="B2397" s="1" t="s">
        <v>9534</v>
      </c>
      <c r="C2397" s="1" t="s">
        <v>9535</v>
      </c>
      <c r="D2397" s="1" t="str">
        <f>"8025358950"</f>
        <v>8025358950</v>
      </c>
      <c r="E2397" s="1">
        <v>4182.0</v>
      </c>
      <c r="F2397" s="1" t="s">
        <v>31</v>
      </c>
      <c r="G2397" s="1" t="s">
        <v>9536</v>
      </c>
      <c r="H2397" s="1">
        <v>1.0</v>
      </c>
      <c r="I2397" s="1"/>
      <c r="J2397" s="1"/>
      <c r="K2397" s="1"/>
      <c r="L2397" s="1"/>
      <c r="M2397" s="1" t="s">
        <v>33</v>
      </c>
      <c r="N2397" s="1" t="s">
        <v>128</v>
      </c>
      <c r="O2397" s="1" t="s">
        <v>337</v>
      </c>
      <c r="P2397" s="1" t="s">
        <v>36</v>
      </c>
      <c r="Q2397" s="3">
        <v>40346.0</v>
      </c>
      <c r="R2397" s="1"/>
      <c r="S2397" s="1"/>
      <c r="T2397" s="1" t="s">
        <v>37</v>
      </c>
      <c r="U2397" s="1"/>
      <c r="V2397" s="1" t="s">
        <v>38</v>
      </c>
      <c r="W2397" s="1">
        <v>44.516228</v>
      </c>
      <c r="X2397" s="1">
        <v>-71.9763639999999</v>
      </c>
      <c r="Y2397" s="1" t="s">
        <v>9537</v>
      </c>
      <c r="Z2397" s="1"/>
      <c r="AA2397" s="1" t="s">
        <v>40</v>
      </c>
      <c r="AB2397" s="1" t="s">
        <v>8332</v>
      </c>
      <c r="AC2397" s="1">
        <v>5851.0</v>
      </c>
    </row>
    <row r="2398">
      <c r="A2398" s="1" t="str">
        <f>"000APY"</f>
        <v>000APY</v>
      </c>
      <c r="B2398" s="1" t="s">
        <v>9538</v>
      </c>
      <c r="C2398" s="1" t="s">
        <v>9539</v>
      </c>
      <c r="D2398" s="1" t="str">
        <f>"8022232204"</f>
        <v>8022232204</v>
      </c>
      <c r="E2398" s="1">
        <v>4186.0</v>
      </c>
      <c r="F2398" s="1" t="s">
        <v>44</v>
      </c>
      <c r="G2398" s="1" t="s">
        <v>9540</v>
      </c>
      <c r="H2398" s="1">
        <v>1.0</v>
      </c>
      <c r="I2398" s="2">
        <v>1.0</v>
      </c>
      <c r="J2398" s="2">
        <v>1.0</v>
      </c>
      <c r="K2398" s="2" t="s">
        <v>829</v>
      </c>
      <c r="L2398" s="1"/>
      <c r="M2398" s="1" t="s">
        <v>33</v>
      </c>
      <c r="N2398" s="1" t="s">
        <v>135</v>
      </c>
      <c r="O2398" s="1" t="s">
        <v>1142</v>
      </c>
      <c r="P2398" s="1" t="s">
        <v>36</v>
      </c>
      <c r="Q2398" s="3">
        <v>40307.0</v>
      </c>
      <c r="R2398" s="1"/>
      <c r="S2398" s="3">
        <v>41387.0</v>
      </c>
      <c r="T2398" s="1" t="s">
        <v>37</v>
      </c>
      <c r="U2398" s="1"/>
      <c r="V2398" s="1" t="s">
        <v>38</v>
      </c>
      <c r="W2398" s="1">
        <v>44.27594</v>
      </c>
      <c r="X2398" s="1">
        <v>-72.591523</v>
      </c>
      <c r="Y2398" s="1" t="s">
        <v>9541</v>
      </c>
      <c r="Z2398" s="1"/>
      <c r="AA2398" s="1" t="s">
        <v>40</v>
      </c>
      <c r="AB2398" s="1" t="s">
        <v>1145</v>
      </c>
      <c r="AC2398" s="1">
        <v>5602.0</v>
      </c>
    </row>
    <row r="2399">
      <c r="A2399" s="1" t="str">
        <f>"000AQM"</f>
        <v>000AQM</v>
      </c>
      <c r="B2399" s="1" t="s">
        <v>9542</v>
      </c>
      <c r="C2399" s="1" t="s">
        <v>9543</v>
      </c>
      <c r="D2399" s="1" t="str">
        <f>"8022962282"</f>
        <v>8022962282</v>
      </c>
      <c r="E2399" s="1">
        <v>4190.0</v>
      </c>
      <c r="F2399" s="1" t="s">
        <v>44</v>
      </c>
      <c r="G2399" s="1" t="s">
        <v>9544</v>
      </c>
      <c r="H2399" s="1">
        <v>2.0</v>
      </c>
      <c r="I2399" s="1"/>
      <c r="J2399" s="1"/>
      <c r="K2399" s="1"/>
      <c r="L2399" s="1"/>
      <c r="M2399" s="1" t="s">
        <v>33</v>
      </c>
      <c r="N2399" s="1" t="s">
        <v>34</v>
      </c>
      <c r="O2399" s="1" t="s">
        <v>463</v>
      </c>
      <c r="P2399" s="1" t="s">
        <v>36</v>
      </c>
      <c r="Q2399" s="3">
        <v>40326.0</v>
      </c>
      <c r="R2399" s="1"/>
      <c r="S2399" s="1"/>
      <c r="T2399" s="1" t="s">
        <v>37</v>
      </c>
      <c r="U2399" s="1"/>
      <c r="V2399" s="1" t="s">
        <v>38</v>
      </c>
      <c r="W2399" s="1">
        <v>43.7170801</v>
      </c>
      <c r="X2399" s="1">
        <v>-72.4017059</v>
      </c>
      <c r="Y2399" s="1" t="s">
        <v>9545</v>
      </c>
      <c r="Z2399" s="1"/>
      <c r="AA2399" s="1" t="s">
        <v>40</v>
      </c>
      <c r="AB2399" s="1" t="s">
        <v>8959</v>
      </c>
      <c r="AC2399" s="1">
        <v>5001.0</v>
      </c>
    </row>
    <row r="2400">
      <c r="A2400" s="1" t="str">
        <f>"000AQN"</f>
        <v>000AQN</v>
      </c>
      <c r="B2400" s="1" t="s">
        <v>9546</v>
      </c>
      <c r="C2400" s="1" t="s">
        <v>9547</v>
      </c>
      <c r="D2400" s="1" t="str">
        <f>"8027518662"</f>
        <v>8027518662</v>
      </c>
      <c r="E2400" s="1">
        <v>4191.0</v>
      </c>
      <c r="F2400" s="1" t="s">
        <v>44</v>
      </c>
      <c r="G2400" s="1" t="s">
        <v>9548</v>
      </c>
      <c r="H2400" s="1">
        <v>2.0</v>
      </c>
      <c r="I2400" s="1"/>
      <c r="J2400" s="1"/>
      <c r="K2400" s="1"/>
      <c r="L2400" s="1"/>
      <c r="M2400" s="1" t="s">
        <v>33</v>
      </c>
      <c r="N2400" s="1" t="s">
        <v>128</v>
      </c>
      <c r="O2400" s="1" t="s">
        <v>1707</v>
      </c>
      <c r="P2400" s="1" t="s">
        <v>36</v>
      </c>
      <c r="Q2400" s="3">
        <v>40326.0</v>
      </c>
      <c r="R2400" s="1"/>
      <c r="S2400" s="1"/>
      <c r="T2400" s="1" t="s">
        <v>37</v>
      </c>
      <c r="U2400" s="1"/>
      <c r="V2400" s="1" t="s">
        <v>38</v>
      </c>
      <c r="W2400" s="1"/>
      <c r="X2400" s="1"/>
      <c r="Y2400" s="1" t="s">
        <v>9549</v>
      </c>
      <c r="Z2400" s="1"/>
      <c r="AA2400" s="1" t="s">
        <v>40</v>
      </c>
      <c r="AB2400" s="1" t="s">
        <v>196</v>
      </c>
      <c r="AC2400" s="1">
        <v>5819.0</v>
      </c>
    </row>
    <row r="2401">
      <c r="A2401" s="1" t="str">
        <f>"000AQX"</f>
        <v>000AQX</v>
      </c>
      <c r="B2401" s="1" t="s">
        <v>9550</v>
      </c>
      <c r="C2401" s="1" t="s">
        <v>9551</v>
      </c>
      <c r="D2401" s="1" t="str">
        <f>"8029224055"</f>
        <v>8029224055</v>
      </c>
      <c r="E2401" s="1">
        <v>4195.0</v>
      </c>
      <c r="F2401" s="1" t="s">
        <v>44</v>
      </c>
      <c r="G2401" s="1" t="s">
        <v>9552</v>
      </c>
      <c r="H2401" s="1">
        <v>1.0</v>
      </c>
      <c r="I2401" s="1"/>
      <c r="J2401" s="1"/>
      <c r="K2401" s="1"/>
      <c r="L2401" s="1"/>
      <c r="M2401" s="1" t="s">
        <v>33</v>
      </c>
      <c r="N2401" s="1" t="s">
        <v>47</v>
      </c>
      <c r="O2401" s="1" t="s">
        <v>2837</v>
      </c>
      <c r="P2401" s="1" t="s">
        <v>36</v>
      </c>
      <c r="Q2401" s="3">
        <v>40354.0</v>
      </c>
      <c r="R2401" s="1"/>
      <c r="S2401" s="1"/>
      <c r="T2401" s="1" t="s">
        <v>37</v>
      </c>
      <c r="U2401" s="1"/>
      <c r="V2401" s="1" t="s">
        <v>38</v>
      </c>
      <c r="W2401" s="1"/>
      <c r="X2401" s="1"/>
      <c r="Y2401" s="1" t="s">
        <v>9553</v>
      </c>
      <c r="Z2401" s="1"/>
      <c r="AA2401" s="1" t="s">
        <v>40</v>
      </c>
      <c r="AB2401" s="1" t="s">
        <v>5776</v>
      </c>
      <c r="AC2401" s="1">
        <v>5478.0</v>
      </c>
    </row>
    <row r="2402">
      <c r="A2402" s="1" t="str">
        <f>"000AQY"</f>
        <v>000AQY</v>
      </c>
      <c r="B2402" s="1" t="s">
        <v>9554</v>
      </c>
      <c r="C2402" s="1" t="s">
        <v>9555</v>
      </c>
      <c r="D2402" s="1" t="str">
        <f>"8025373541"</f>
        <v>8025373541</v>
      </c>
      <c r="E2402" s="1">
        <v>4196.0</v>
      </c>
      <c r="F2402" s="1" t="s">
        <v>31</v>
      </c>
      <c r="G2402" s="1" t="s">
        <v>9556</v>
      </c>
      <c r="H2402" s="1">
        <v>2.0</v>
      </c>
      <c r="I2402" s="1"/>
      <c r="J2402" s="1"/>
      <c r="K2402" s="1"/>
      <c r="L2402" s="1"/>
      <c r="M2402" s="1" t="s">
        <v>33</v>
      </c>
      <c r="N2402" s="1" t="s">
        <v>78</v>
      </c>
      <c r="O2402" s="1" t="s">
        <v>426</v>
      </c>
      <c r="P2402" s="1" t="s">
        <v>36</v>
      </c>
      <c r="Q2402" s="3">
        <v>40323.0</v>
      </c>
      <c r="R2402" s="1"/>
      <c r="S2402" s="3">
        <v>40738.0</v>
      </c>
      <c r="T2402" s="1" t="s">
        <v>37</v>
      </c>
      <c r="U2402" s="1"/>
      <c r="V2402" s="1" t="s">
        <v>38</v>
      </c>
      <c r="W2402" s="1"/>
      <c r="X2402" s="1"/>
      <c r="Y2402" s="1" t="s">
        <v>9557</v>
      </c>
      <c r="Z2402" s="1"/>
      <c r="AA2402" s="1" t="s">
        <v>40</v>
      </c>
      <c r="AB2402" s="1" t="s">
        <v>427</v>
      </c>
      <c r="AC2402" s="1">
        <v>5743.0</v>
      </c>
    </row>
    <row r="2403">
      <c r="A2403" s="1" t="str">
        <f>"000AQZ"</f>
        <v>000AQZ</v>
      </c>
      <c r="B2403" s="1" t="s">
        <v>9558</v>
      </c>
      <c r="C2403" s="1" t="s">
        <v>9559</v>
      </c>
      <c r="D2403" s="1" t="str">
        <f>"8028599615"</f>
        <v>8028599615</v>
      </c>
      <c r="E2403" s="1">
        <v>4197.0</v>
      </c>
      <c r="F2403" s="1" t="s">
        <v>117</v>
      </c>
      <c r="G2403" s="1" t="s">
        <v>9560</v>
      </c>
      <c r="H2403" s="1">
        <v>2.0</v>
      </c>
      <c r="I2403" s="2">
        <v>3.0</v>
      </c>
      <c r="J2403" s="2">
        <v>3.0</v>
      </c>
      <c r="K2403" s="2" t="s">
        <v>119</v>
      </c>
      <c r="L2403" s="1"/>
      <c r="M2403" s="1" t="s">
        <v>9326</v>
      </c>
      <c r="N2403" s="1" t="s">
        <v>57</v>
      </c>
      <c r="O2403" s="1" t="s">
        <v>238</v>
      </c>
      <c r="P2403" s="1" t="s">
        <v>9561</v>
      </c>
      <c r="Q2403" s="3">
        <v>40330.0</v>
      </c>
      <c r="R2403" s="1"/>
      <c r="S2403" s="3">
        <v>42626.0</v>
      </c>
      <c r="T2403" s="1" t="s">
        <v>37</v>
      </c>
      <c r="U2403" s="1"/>
      <c r="V2403" s="1" t="s">
        <v>38</v>
      </c>
      <c r="W2403" s="1">
        <v>44.408211</v>
      </c>
      <c r="X2403" s="1">
        <v>-73.191948</v>
      </c>
      <c r="Y2403" s="1" t="s">
        <v>9562</v>
      </c>
      <c r="Z2403" s="1"/>
      <c r="AA2403" s="1" t="s">
        <v>40</v>
      </c>
      <c r="AB2403" s="1" t="s">
        <v>239</v>
      </c>
      <c r="AC2403" s="1">
        <v>5482.0</v>
      </c>
    </row>
    <row r="2404">
      <c r="A2404" s="1" t="str">
        <f>"000AW2"</f>
        <v>000AW2</v>
      </c>
      <c r="B2404" s="1" t="s">
        <v>9563</v>
      </c>
      <c r="C2404" s="1" t="s">
        <v>9564</v>
      </c>
      <c r="D2404" s="1" t="str">
        <f>"8026853029"</f>
        <v>8026853029</v>
      </c>
      <c r="E2404" s="1">
        <v>4204.0</v>
      </c>
      <c r="F2404" s="1" t="s">
        <v>44</v>
      </c>
      <c r="G2404" s="1" t="s">
        <v>9565</v>
      </c>
      <c r="H2404" s="1">
        <v>3.0</v>
      </c>
      <c r="I2404" s="1"/>
      <c r="J2404" s="1"/>
      <c r="K2404" s="1"/>
      <c r="L2404" s="1"/>
      <c r="M2404" s="1" t="s">
        <v>33</v>
      </c>
      <c r="N2404" s="1" t="s">
        <v>142</v>
      </c>
      <c r="O2404" s="1" t="s">
        <v>648</v>
      </c>
      <c r="P2404" s="1" t="s">
        <v>36</v>
      </c>
      <c r="Q2404" s="3">
        <v>40339.0</v>
      </c>
      <c r="R2404" s="1"/>
      <c r="S2404" s="1"/>
      <c r="T2404" s="1" t="s">
        <v>37</v>
      </c>
      <c r="U2404" s="1"/>
      <c r="V2404" s="1" t="s">
        <v>38</v>
      </c>
      <c r="W2404" s="1">
        <v>43.9643383</v>
      </c>
      <c r="X2404" s="1">
        <v>-72.5043623999999</v>
      </c>
      <c r="Y2404" s="1" t="s">
        <v>9566</v>
      </c>
      <c r="Z2404" s="1"/>
      <c r="AA2404" s="1" t="s">
        <v>40</v>
      </c>
      <c r="AB2404" s="1" t="s">
        <v>847</v>
      </c>
      <c r="AC2404" s="1">
        <v>5038.0</v>
      </c>
    </row>
    <row r="2405">
      <c r="A2405" s="1" t="str">
        <f>"000AW6"</f>
        <v>000AW6</v>
      </c>
      <c r="B2405" s="1" t="s">
        <v>9567</v>
      </c>
      <c r="C2405" s="1" t="s">
        <v>9568</v>
      </c>
      <c r="D2405" s="1" t="str">
        <f>"8028994206"</f>
        <v>8028994206</v>
      </c>
      <c r="E2405" s="1">
        <v>4207.0</v>
      </c>
      <c r="F2405" s="1" t="s">
        <v>44</v>
      </c>
      <c r="G2405" s="1" t="s">
        <v>9569</v>
      </c>
      <c r="H2405" s="1">
        <v>1.0</v>
      </c>
      <c r="I2405" s="1"/>
      <c r="J2405" s="1"/>
      <c r="K2405" s="1"/>
      <c r="L2405" s="1"/>
      <c r="M2405" s="1" t="s">
        <v>33</v>
      </c>
      <c r="N2405" s="1" t="s">
        <v>57</v>
      </c>
      <c r="O2405" s="1" t="s">
        <v>745</v>
      </c>
      <c r="P2405" s="1" t="s">
        <v>36</v>
      </c>
      <c r="Q2405" s="3">
        <v>40335.0</v>
      </c>
      <c r="R2405" s="1"/>
      <c r="S2405" s="1"/>
      <c r="T2405" s="1" t="s">
        <v>37</v>
      </c>
      <c r="U2405" s="1"/>
      <c r="V2405" s="1" t="s">
        <v>38</v>
      </c>
      <c r="W2405" s="1">
        <v>44.453925</v>
      </c>
      <c r="X2405" s="1">
        <v>-72.960781</v>
      </c>
      <c r="Y2405" s="1" t="s">
        <v>9570</v>
      </c>
      <c r="Z2405" s="1"/>
      <c r="AA2405" s="1" t="s">
        <v>40</v>
      </c>
      <c r="AB2405" s="1" t="s">
        <v>746</v>
      </c>
      <c r="AC2405" s="1">
        <v>5465.0</v>
      </c>
    </row>
    <row r="2406">
      <c r="A2406" s="1" t="str">
        <f>"000AW7"</f>
        <v>000AW7</v>
      </c>
      <c r="B2406" s="1" t="s">
        <v>9571</v>
      </c>
      <c r="C2406" s="1" t="s">
        <v>9572</v>
      </c>
      <c r="D2406" s="1" t="str">
        <f>"8024766469"</f>
        <v>8024766469</v>
      </c>
      <c r="E2406" s="1">
        <v>4208.0</v>
      </c>
      <c r="F2406" s="1" t="s">
        <v>44</v>
      </c>
      <c r="G2406" s="1" t="s">
        <v>9573</v>
      </c>
      <c r="H2406" s="1">
        <v>2.0</v>
      </c>
      <c r="I2406" s="1"/>
      <c r="J2406" s="1"/>
      <c r="K2406" s="1"/>
      <c r="L2406" s="1"/>
      <c r="M2406" s="1" t="s">
        <v>33</v>
      </c>
      <c r="N2406" s="1" t="s">
        <v>135</v>
      </c>
      <c r="O2406" s="1" t="s">
        <v>9574</v>
      </c>
      <c r="P2406" s="1" t="s">
        <v>36</v>
      </c>
      <c r="Q2406" s="3">
        <v>40353.0</v>
      </c>
      <c r="R2406" s="1"/>
      <c r="S2406" s="3">
        <v>40387.0</v>
      </c>
      <c r="T2406" s="1" t="s">
        <v>37</v>
      </c>
      <c r="U2406" s="1"/>
      <c r="V2406" s="1" t="s">
        <v>38</v>
      </c>
      <c r="W2406" s="1"/>
      <c r="X2406" s="1"/>
      <c r="Y2406" s="1" t="s">
        <v>9575</v>
      </c>
      <c r="Z2406" s="1"/>
      <c r="AA2406" s="1" t="s">
        <v>40</v>
      </c>
      <c r="AB2406" s="1" t="s">
        <v>4019</v>
      </c>
      <c r="AC2406" s="1">
        <v>5641.0</v>
      </c>
    </row>
    <row r="2407">
      <c r="A2407" s="1" t="str">
        <f>"000AW9"</f>
        <v>000AW9</v>
      </c>
      <c r="B2407" s="1" t="s">
        <v>9576</v>
      </c>
      <c r="C2407" s="1" t="s">
        <v>9577</v>
      </c>
      <c r="D2407" s="1" t="str">
        <f>"8024824279"</f>
        <v>8024824279</v>
      </c>
      <c r="E2407" s="1">
        <v>4210.0</v>
      </c>
      <c r="F2407" s="1" t="s">
        <v>117</v>
      </c>
      <c r="G2407" s="1" t="s">
        <v>9578</v>
      </c>
      <c r="H2407" s="1">
        <v>5.0</v>
      </c>
      <c r="I2407" s="2">
        <v>3.0</v>
      </c>
      <c r="J2407" s="2">
        <v>1.0</v>
      </c>
      <c r="K2407" s="2" t="s">
        <v>119</v>
      </c>
      <c r="L2407" s="1"/>
      <c r="M2407" s="1" t="s">
        <v>9579</v>
      </c>
      <c r="N2407" s="1" t="s">
        <v>57</v>
      </c>
      <c r="O2407" s="1" t="s">
        <v>204</v>
      </c>
      <c r="P2407" s="1" t="s">
        <v>9580</v>
      </c>
      <c r="Q2407" s="3">
        <v>40347.0</v>
      </c>
      <c r="R2407" s="1"/>
      <c r="S2407" s="3">
        <v>41466.0</v>
      </c>
      <c r="T2407" s="1" t="s">
        <v>37</v>
      </c>
      <c r="U2407" s="1"/>
      <c r="V2407" s="1" t="s">
        <v>38</v>
      </c>
      <c r="W2407" s="1">
        <v>44.287937</v>
      </c>
      <c r="X2407" s="1">
        <v>-73.1276169999999</v>
      </c>
      <c r="Y2407" s="1" t="s">
        <v>8098</v>
      </c>
      <c r="Z2407" s="1"/>
      <c r="AA2407" s="1" t="s">
        <v>40</v>
      </c>
      <c r="AB2407" s="1" t="s">
        <v>205</v>
      </c>
      <c r="AC2407" s="1">
        <v>5461.0</v>
      </c>
    </row>
    <row r="2408">
      <c r="A2408" s="1" t="str">
        <f>"000AWA"</f>
        <v>000AWA</v>
      </c>
      <c r="B2408" s="1" t="s">
        <v>9581</v>
      </c>
      <c r="C2408" s="1" t="s">
        <v>9582</v>
      </c>
      <c r="D2408" s="1" t="str">
        <f>"8024857270"</f>
        <v>8024857270</v>
      </c>
      <c r="E2408" s="1">
        <v>4211.0</v>
      </c>
      <c r="F2408" s="1" t="s">
        <v>44</v>
      </c>
      <c r="G2408" s="1" t="s">
        <v>9583</v>
      </c>
      <c r="H2408" s="1">
        <v>1.0</v>
      </c>
      <c r="I2408" s="1"/>
      <c r="J2408" s="1"/>
      <c r="K2408" s="1"/>
      <c r="L2408" s="1"/>
      <c r="M2408" s="1" t="s">
        <v>33</v>
      </c>
      <c r="N2408" s="1" t="s">
        <v>135</v>
      </c>
      <c r="O2408" s="1" t="s">
        <v>136</v>
      </c>
      <c r="P2408" s="1" t="s">
        <v>36</v>
      </c>
      <c r="Q2408" s="3">
        <v>40336.0</v>
      </c>
      <c r="R2408" s="1"/>
      <c r="S2408" s="3">
        <v>41857.0</v>
      </c>
      <c r="T2408" s="1" t="s">
        <v>37</v>
      </c>
      <c r="U2408" s="1"/>
      <c r="V2408" s="1" t="s">
        <v>38</v>
      </c>
      <c r="W2408" s="1">
        <v>44.10655</v>
      </c>
      <c r="X2408" s="1">
        <v>-72.6830899999999</v>
      </c>
      <c r="Y2408" s="1" t="s">
        <v>9584</v>
      </c>
      <c r="Z2408" s="1"/>
      <c r="AA2408" s="1" t="s">
        <v>40</v>
      </c>
      <c r="AB2408" s="1" t="s">
        <v>137</v>
      </c>
      <c r="AC2408" s="1">
        <v>5663.0</v>
      </c>
    </row>
    <row r="2409">
      <c r="A2409" s="1" t="str">
        <f>"000AWF"</f>
        <v>000AWF</v>
      </c>
      <c r="B2409" s="1" t="s">
        <v>9585</v>
      </c>
      <c r="C2409" s="1" t="s">
        <v>9586</v>
      </c>
      <c r="D2409" s="1" t="str">
        <f>"8022763575"</f>
        <v>8022763575</v>
      </c>
      <c r="E2409" s="1">
        <v>4215.0</v>
      </c>
      <c r="F2409" s="1" t="s">
        <v>44</v>
      </c>
      <c r="G2409" s="1" t="s">
        <v>9587</v>
      </c>
      <c r="H2409" s="1">
        <v>2.0</v>
      </c>
      <c r="I2409" s="1"/>
      <c r="J2409" s="1"/>
      <c r="K2409" s="1"/>
      <c r="L2409" s="1"/>
      <c r="M2409" s="1" t="s">
        <v>33</v>
      </c>
      <c r="N2409" s="1" t="s">
        <v>142</v>
      </c>
      <c r="O2409" s="1" t="s">
        <v>353</v>
      </c>
      <c r="P2409" s="1" t="s">
        <v>36</v>
      </c>
      <c r="Q2409" s="3">
        <v>40360.0</v>
      </c>
      <c r="R2409" s="1"/>
      <c r="S2409" s="1"/>
      <c r="T2409" s="1" t="s">
        <v>37</v>
      </c>
      <c r="U2409" s="1"/>
      <c r="V2409" s="1" t="s">
        <v>38</v>
      </c>
      <c r="W2409" s="1">
        <v>44.040798</v>
      </c>
      <c r="X2409" s="1">
        <v>-72.6154859999999</v>
      </c>
      <c r="Y2409" s="1" t="s">
        <v>9588</v>
      </c>
      <c r="Z2409" s="1"/>
      <c r="AA2409" s="1" t="s">
        <v>40</v>
      </c>
      <c r="AB2409" s="1" t="s">
        <v>355</v>
      </c>
      <c r="AC2409" s="1">
        <v>5036.0</v>
      </c>
    </row>
    <row r="2410">
      <c r="A2410" s="1" t="str">
        <f>"000AWG"</f>
        <v>000AWG</v>
      </c>
      <c r="B2410" s="1" t="s">
        <v>9589</v>
      </c>
      <c r="C2410" s="1" t="s">
        <v>9590</v>
      </c>
      <c r="D2410" s="1" t="str">
        <f>"8027688083"</f>
        <v>8027688083</v>
      </c>
      <c r="E2410" s="1">
        <v>4216.0</v>
      </c>
      <c r="F2410" s="1" t="s">
        <v>44</v>
      </c>
      <c r="G2410" s="1" t="s">
        <v>9591</v>
      </c>
      <c r="H2410" s="1">
        <v>2.0</v>
      </c>
      <c r="I2410" s="1"/>
      <c r="J2410" s="1"/>
      <c r="K2410" s="1"/>
      <c r="L2410" s="1"/>
      <c r="M2410" s="1" t="s">
        <v>33</v>
      </c>
      <c r="N2410" s="1" t="s">
        <v>414</v>
      </c>
      <c r="O2410" s="1" t="s">
        <v>2880</v>
      </c>
      <c r="P2410" s="1" t="s">
        <v>36</v>
      </c>
      <c r="Q2410" s="3">
        <v>40344.0</v>
      </c>
      <c r="R2410" s="1"/>
      <c r="S2410" s="1"/>
      <c r="T2410" s="1" t="s">
        <v>37</v>
      </c>
      <c r="U2410" s="1"/>
      <c r="V2410" s="1" t="s">
        <v>38</v>
      </c>
      <c r="W2410" s="1"/>
      <c r="X2410" s="1"/>
      <c r="Y2410" s="1" t="s">
        <v>9592</v>
      </c>
      <c r="Z2410" s="1"/>
      <c r="AA2410" s="1" t="s">
        <v>40</v>
      </c>
      <c r="AB2410" s="1" t="s">
        <v>9593</v>
      </c>
      <c r="AC2410" s="1">
        <v>5255.0</v>
      </c>
    </row>
    <row r="2411">
      <c r="A2411" s="1" t="str">
        <f>"000AWX"</f>
        <v>000AWX</v>
      </c>
      <c r="B2411" s="1" t="s">
        <v>9594</v>
      </c>
      <c r="C2411" s="1" t="s">
        <v>9595</v>
      </c>
      <c r="D2411" s="1" t="str">
        <f>"8028589933"</f>
        <v>8028589933</v>
      </c>
      <c r="E2411" s="1">
        <v>4217.0</v>
      </c>
      <c r="F2411" s="1" t="s">
        <v>31</v>
      </c>
      <c r="G2411" s="1" t="s">
        <v>9596</v>
      </c>
      <c r="H2411" s="1">
        <v>6.0</v>
      </c>
      <c r="I2411" s="1"/>
      <c r="J2411" s="1"/>
      <c r="K2411" s="1"/>
      <c r="L2411" s="1"/>
      <c r="M2411" s="1" t="s">
        <v>33</v>
      </c>
      <c r="N2411" s="1" t="s">
        <v>57</v>
      </c>
      <c r="O2411" s="1" t="s">
        <v>58</v>
      </c>
      <c r="P2411" s="1" t="s">
        <v>36</v>
      </c>
      <c r="Q2411" s="3">
        <v>40323.0</v>
      </c>
      <c r="R2411" s="1"/>
      <c r="S2411" s="3">
        <v>42612.0</v>
      </c>
      <c r="T2411" s="1" t="s">
        <v>37</v>
      </c>
      <c r="U2411" s="1"/>
      <c r="V2411" s="1" t="s">
        <v>38</v>
      </c>
      <c r="W2411" s="1">
        <v>44.600824</v>
      </c>
      <c r="X2411" s="1">
        <v>-72.9220579999999</v>
      </c>
      <c r="Y2411" s="1" t="s">
        <v>9597</v>
      </c>
      <c r="Z2411" s="1"/>
      <c r="AA2411" s="1" t="s">
        <v>40</v>
      </c>
      <c r="AB2411" s="1" t="s">
        <v>61</v>
      </c>
      <c r="AC2411" s="1">
        <v>5489.0</v>
      </c>
    </row>
    <row r="2412">
      <c r="A2412" s="1" t="str">
        <f>"000AWY"</f>
        <v>000AWY</v>
      </c>
      <c r="B2412" s="1" t="s">
        <v>9598</v>
      </c>
      <c r="C2412" s="1" t="s">
        <v>9599</v>
      </c>
      <c r="D2412" s="1" t="str">
        <f>"8024988786"</f>
        <v>8024988786</v>
      </c>
      <c r="E2412" s="1">
        <v>4218.0</v>
      </c>
      <c r="F2412" s="1" t="s">
        <v>44</v>
      </c>
      <c r="G2412" s="1" t="s">
        <v>9600</v>
      </c>
      <c r="H2412" s="1">
        <v>1.0</v>
      </c>
      <c r="I2412" s="1"/>
      <c r="J2412" s="1"/>
      <c r="K2412" s="1"/>
      <c r="L2412" s="1"/>
      <c r="M2412" s="1" t="s">
        <v>33</v>
      </c>
      <c r="N2412" s="1" t="s">
        <v>135</v>
      </c>
      <c r="O2412" s="1" t="s">
        <v>2331</v>
      </c>
      <c r="P2412" s="1" t="s">
        <v>9601</v>
      </c>
      <c r="Q2412" s="3">
        <v>40358.0</v>
      </c>
      <c r="R2412" s="1"/>
      <c r="S2412" s="1"/>
      <c r="T2412" s="1" t="s">
        <v>37</v>
      </c>
      <c r="U2412" s="1"/>
      <c r="V2412" s="1" t="s">
        <v>38</v>
      </c>
      <c r="W2412" s="1">
        <v>44.2504717</v>
      </c>
      <c r="X2412" s="1">
        <v>-72.7510446</v>
      </c>
      <c r="Y2412" s="1" t="s">
        <v>9602</v>
      </c>
      <c r="Z2412" s="1"/>
      <c r="AA2412" s="1" t="s">
        <v>40</v>
      </c>
      <c r="AB2412" s="1" t="s">
        <v>2332</v>
      </c>
      <c r="AC2412" s="1">
        <v>5660.0</v>
      </c>
    </row>
    <row r="2413">
      <c r="A2413" s="1" t="str">
        <f>"000AX0"</f>
        <v>000AX0</v>
      </c>
      <c r="B2413" s="1" t="s">
        <v>9603</v>
      </c>
      <c r="C2413" s="1" t="s">
        <v>9604</v>
      </c>
      <c r="D2413" s="1" t="str">
        <f>"8608846791"</f>
        <v>8608846791</v>
      </c>
      <c r="E2413" s="1">
        <v>4219.0</v>
      </c>
      <c r="F2413" s="1" t="s">
        <v>117</v>
      </c>
      <c r="G2413" s="1" t="s">
        <v>9605</v>
      </c>
      <c r="H2413" s="1">
        <v>3.0</v>
      </c>
      <c r="I2413" s="2">
        <v>4.0</v>
      </c>
      <c r="J2413" s="2">
        <v>3.0</v>
      </c>
      <c r="K2413" s="2" t="s">
        <v>119</v>
      </c>
      <c r="L2413" s="2" t="s">
        <v>2117</v>
      </c>
      <c r="M2413" s="1" t="s">
        <v>9606</v>
      </c>
      <c r="N2413" s="1" t="s">
        <v>78</v>
      </c>
      <c r="O2413" s="1" t="s">
        <v>2708</v>
      </c>
      <c r="P2413" s="1" t="s">
        <v>9607</v>
      </c>
      <c r="Q2413" s="3">
        <v>40355.0</v>
      </c>
      <c r="R2413" s="1"/>
      <c r="S2413" s="1"/>
      <c r="T2413" s="1" t="s">
        <v>37</v>
      </c>
      <c r="U2413" s="1"/>
      <c r="V2413" s="1" t="s">
        <v>38</v>
      </c>
      <c r="W2413" s="1">
        <v>43.757751</v>
      </c>
      <c r="X2413" s="1">
        <v>-72.997559</v>
      </c>
      <c r="Y2413" s="1" t="s">
        <v>9608</v>
      </c>
      <c r="Z2413" s="1"/>
      <c r="AA2413" s="1" t="s">
        <v>40</v>
      </c>
      <c r="AB2413" s="1" t="s">
        <v>9609</v>
      </c>
      <c r="AC2413" s="1">
        <v>5763.0</v>
      </c>
    </row>
    <row r="2414">
      <c r="A2414" s="1" t="str">
        <f>"000AXP"</f>
        <v>000AXP</v>
      </c>
      <c r="B2414" s="1" t="s">
        <v>9610</v>
      </c>
      <c r="C2414" s="1" t="s">
        <v>9611</v>
      </c>
      <c r="D2414" s="1" t="str">
        <f>"8028893479"</f>
        <v>8028893479</v>
      </c>
      <c r="E2414" s="1">
        <v>4223.0</v>
      </c>
      <c r="F2414" s="1" t="s">
        <v>44</v>
      </c>
      <c r="G2414" s="1" t="s">
        <v>9612</v>
      </c>
      <c r="H2414" s="1">
        <v>2.0</v>
      </c>
      <c r="I2414" s="1"/>
      <c r="J2414" s="1"/>
      <c r="K2414" s="1"/>
      <c r="L2414" s="1"/>
      <c r="M2414" s="1" t="s">
        <v>9613</v>
      </c>
      <c r="N2414" s="1" t="s">
        <v>142</v>
      </c>
      <c r="O2414" s="1" t="s">
        <v>648</v>
      </c>
      <c r="P2414" s="1" t="s">
        <v>36</v>
      </c>
      <c r="Q2414" s="3">
        <v>40354.0</v>
      </c>
      <c r="R2414" s="1"/>
      <c r="S2414" s="1"/>
      <c r="T2414" s="1" t="s">
        <v>37</v>
      </c>
      <c r="U2414" s="1"/>
      <c r="V2414" s="1" t="s">
        <v>38</v>
      </c>
      <c r="W2414" s="1">
        <v>43.894413</v>
      </c>
      <c r="X2414" s="1">
        <v>-72.4561079999999</v>
      </c>
      <c r="Y2414" s="1" t="s">
        <v>9614</v>
      </c>
      <c r="Z2414" s="1"/>
      <c r="AA2414" s="1" t="s">
        <v>40</v>
      </c>
      <c r="AB2414" s="1" t="s">
        <v>650</v>
      </c>
      <c r="AC2414" s="1">
        <v>5077.0</v>
      </c>
    </row>
    <row r="2415">
      <c r="A2415" s="1" t="str">
        <f>"000AXV"</f>
        <v>000AXV</v>
      </c>
      <c r="B2415" s="1" t="s">
        <v>9615</v>
      </c>
      <c r="C2415" s="1" t="s">
        <v>9616</v>
      </c>
      <c r="D2415" s="1" t="str">
        <f>"8024535697"</f>
        <v>8024535697</v>
      </c>
      <c r="E2415" s="1">
        <v>4225.0</v>
      </c>
      <c r="F2415" s="1" t="s">
        <v>44</v>
      </c>
      <c r="G2415" s="1" t="s">
        <v>9617</v>
      </c>
      <c r="H2415" s="1">
        <v>2.0</v>
      </c>
      <c r="I2415" s="1"/>
      <c r="J2415" s="1"/>
      <c r="K2415" s="1"/>
      <c r="L2415" s="1"/>
      <c r="M2415" s="1" t="s">
        <v>33</v>
      </c>
      <c r="N2415" s="1" t="s">
        <v>161</v>
      </c>
      <c r="O2415" s="1" t="s">
        <v>180</v>
      </c>
      <c r="P2415" s="1" t="s">
        <v>9618</v>
      </c>
      <c r="Q2415" s="3">
        <v>40366.0</v>
      </c>
      <c r="R2415" s="1"/>
      <c r="S2415" s="1"/>
      <c r="T2415" s="1" t="s">
        <v>37</v>
      </c>
      <c r="U2415" s="1"/>
      <c r="V2415" s="1" t="s">
        <v>38</v>
      </c>
      <c r="W2415" s="1"/>
      <c r="X2415" s="1"/>
      <c r="Y2415" s="1" t="s">
        <v>9619</v>
      </c>
      <c r="Z2415" s="1"/>
      <c r="AA2415" s="1" t="s">
        <v>40</v>
      </c>
      <c r="AB2415" s="1" t="s">
        <v>181</v>
      </c>
      <c r="AC2415" s="1">
        <v>5487.0</v>
      </c>
    </row>
    <row r="2416">
      <c r="A2416" s="1" t="str">
        <f>"000AXW"</f>
        <v>000AXW</v>
      </c>
      <c r="B2416" s="1" t="s">
        <v>9620</v>
      </c>
      <c r="C2416" s="1" t="s">
        <v>9621</v>
      </c>
      <c r="D2416" s="1" t="str">
        <f>"8025495019"</f>
        <v>8025495019</v>
      </c>
      <c r="E2416" s="1">
        <v>4226.0</v>
      </c>
      <c r="F2416" s="1" t="s">
        <v>44</v>
      </c>
      <c r="G2416" s="1" t="s">
        <v>9622</v>
      </c>
      <c r="H2416" s="1">
        <v>1.0</v>
      </c>
      <c r="I2416" s="1"/>
      <c r="J2416" s="1"/>
      <c r="K2416" s="1"/>
      <c r="L2416" s="1"/>
      <c r="M2416" s="1" t="s">
        <v>33</v>
      </c>
      <c r="N2416" s="1" t="s">
        <v>414</v>
      </c>
      <c r="O2416" s="1" t="s">
        <v>2880</v>
      </c>
      <c r="P2416" s="1" t="s">
        <v>36</v>
      </c>
      <c r="Q2416" s="3">
        <v>40364.0</v>
      </c>
      <c r="R2416" s="1"/>
      <c r="S2416" s="1"/>
      <c r="T2416" s="1" t="s">
        <v>37</v>
      </c>
      <c r="U2416" s="1"/>
      <c r="V2416" s="1" t="s">
        <v>38</v>
      </c>
      <c r="W2416" s="1"/>
      <c r="X2416" s="1"/>
      <c r="Y2416" s="1" t="s">
        <v>9623</v>
      </c>
      <c r="Z2416" s="1"/>
      <c r="AA2416" s="1" t="s">
        <v>40</v>
      </c>
      <c r="AB2416" s="1" t="s">
        <v>9593</v>
      </c>
      <c r="AC2416" s="1">
        <v>5255.0</v>
      </c>
    </row>
    <row r="2417">
      <c r="A2417" s="1" t="str">
        <f>"000AXX"</f>
        <v>000AXX</v>
      </c>
      <c r="B2417" s="1" t="s">
        <v>9624</v>
      </c>
      <c r="C2417" s="1" t="s">
        <v>9625</v>
      </c>
      <c r="D2417" s="1" t="str">
        <f>"8028483771"</f>
        <v>8028483771</v>
      </c>
      <c r="E2417" s="1">
        <v>4227.0</v>
      </c>
      <c r="F2417" s="1" t="s">
        <v>44</v>
      </c>
      <c r="G2417" s="1" t="s">
        <v>9626</v>
      </c>
      <c r="H2417" s="1">
        <v>1.0</v>
      </c>
      <c r="I2417" s="1"/>
      <c r="J2417" s="1"/>
      <c r="K2417" s="1"/>
      <c r="L2417" s="1"/>
      <c r="M2417" s="1" t="s">
        <v>33</v>
      </c>
      <c r="N2417" s="1" t="s">
        <v>47</v>
      </c>
      <c r="O2417" s="1" t="s">
        <v>980</v>
      </c>
      <c r="P2417" s="1" t="s">
        <v>36</v>
      </c>
      <c r="Q2417" s="3">
        <v>40361.0</v>
      </c>
      <c r="R2417" s="1"/>
      <c r="S2417" s="1"/>
      <c r="T2417" s="1" t="s">
        <v>37</v>
      </c>
      <c r="U2417" s="1"/>
      <c r="V2417" s="1" t="s">
        <v>38</v>
      </c>
      <c r="W2417" s="1">
        <v>44.9839258</v>
      </c>
      <c r="X2417" s="1">
        <v>-72.6743994999999</v>
      </c>
      <c r="Y2417" s="1" t="s">
        <v>9627</v>
      </c>
      <c r="Z2417" s="1"/>
      <c r="AA2417" s="1" t="s">
        <v>40</v>
      </c>
      <c r="AB2417" s="1" t="s">
        <v>981</v>
      </c>
      <c r="AC2417" s="1">
        <v>5476.0</v>
      </c>
    </row>
    <row r="2418">
      <c r="A2418" s="1" t="str">
        <f>"000AXY"</f>
        <v>000AXY</v>
      </c>
      <c r="B2418" s="1" t="s">
        <v>9628</v>
      </c>
      <c r="C2418" s="1" t="s">
        <v>9629</v>
      </c>
      <c r="D2418" s="1" t="str">
        <f>"8023529046"</f>
        <v>8023529046</v>
      </c>
      <c r="E2418" s="1">
        <v>4228.0</v>
      </c>
      <c r="F2418" s="1" t="s">
        <v>44</v>
      </c>
      <c r="G2418" s="1" t="s">
        <v>9630</v>
      </c>
      <c r="H2418" s="1">
        <v>2.0</v>
      </c>
      <c r="I2418" s="1"/>
      <c r="J2418" s="1"/>
      <c r="K2418" s="1"/>
      <c r="L2418" s="1"/>
      <c r="M2418" s="1" t="s">
        <v>33</v>
      </c>
      <c r="N2418" s="1" t="s">
        <v>161</v>
      </c>
      <c r="O2418" s="1" t="s">
        <v>3313</v>
      </c>
      <c r="P2418" s="1" t="s">
        <v>36</v>
      </c>
      <c r="Q2418" s="3">
        <v>40347.0</v>
      </c>
      <c r="R2418" s="1"/>
      <c r="S2418" s="1"/>
      <c r="T2418" s="1" t="s">
        <v>37</v>
      </c>
      <c r="U2418" s="1"/>
      <c r="V2418" s="1" t="s">
        <v>38</v>
      </c>
      <c r="W2418" s="1"/>
      <c r="X2418" s="1"/>
      <c r="Y2418" s="1" t="s">
        <v>9631</v>
      </c>
      <c r="Z2418" s="1"/>
      <c r="AA2418" s="1" t="s">
        <v>40</v>
      </c>
      <c r="AB2418" s="1" t="s">
        <v>3314</v>
      </c>
      <c r="AC2418" s="1">
        <v>5769.0</v>
      </c>
    </row>
    <row r="2419">
      <c r="A2419" s="1" t="str">
        <f>"000AXZ"</f>
        <v>000AXZ</v>
      </c>
      <c r="B2419" s="1" t="s">
        <v>9632</v>
      </c>
      <c r="C2419" s="1" t="s">
        <v>9633</v>
      </c>
      <c r="D2419" s="1" t="str">
        <f>"8022748041"</f>
        <v>8022748041</v>
      </c>
      <c r="E2419" s="1">
        <v>4229.0</v>
      </c>
      <c r="F2419" s="1" t="s">
        <v>44</v>
      </c>
      <c r="G2419" s="1" t="s">
        <v>9634</v>
      </c>
      <c r="H2419" s="1">
        <v>4.0</v>
      </c>
      <c r="I2419" s="1"/>
      <c r="J2419" s="1"/>
      <c r="K2419" s="1"/>
      <c r="L2419" s="1"/>
      <c r="M2419" s="1" t="s">
        <v>33</v>
      </c>
      <c r="N2419" s="1" t="s">
        <v>128</v>
      </c>
      <c r="O2419" s="1" t="s">
        <v>1048</v>
      </c>
      <c r="P2419" s="1" t="s">
        <v>36</v>
      </c>
      <c r="Q2419" s="3">
        <v>40318.0</v>
      </c>
      <c r="R2419" s="1"/>
      <c r="S2419" s="1"/>
      <c r="T2419" s="1" t="s">
        <v>37</v>
      </c>
      <c r="U2419" s="1"/>
      <c r="V2419" s="1" t="s">
        <v>38</v>
      </c>
      <c r="W2419" s="1">
        <v>44.260925</v>
      </c>
      <c r="X2419" s="1">
        <v>-72.095688</v>
      </c>
      <c r="Y2419" s="1" t="s">
        <v>9635</v>
      </c>
      <c r="Z2419" s="1"/>
      <c r="AA2419" s="1" t="s">
        <v>40</v>
      </c>
      <c r="AB2419" s="1" t="s">
        <v>9636</v>
      </c>
      <c r="AC2419" s="1">
        <v>5042.0</v>
      </c>
    </row>
    <row r="2420">
      <c r="A2420" s="1" t="str">
        <f>"000AY0"</f>
        <v>000AY0</v>
      </c>
      <c r="B2420" s="1" t="s">
        <v>9637</v>
      </c>
      <c r="C2420" s="1" t="s">
        <v>9638</v>
      </c>
      <c r="D2420" s="1" t="str">
        <f>"8026583322"</f>
        <v>8026583322</v>
      </c>
      <c r="E2420" s="1">
        <v>4230.0</v>
      </c>
      <c r="F2420" s="1" t="s">
        <v>117</v>
      </c>
      <c r="G2420" s="1" t="s">
        <v>9639</v>
      </c>
      <c r="H2420" s="1">
        <v>5.0</v>
      </c>
      <c r="I2420" s="2" t="s">
        <v>119</v>
      </c>
      <c r="J2420" s="2" t="s">
        <v>119</v>
      </c>
      <c r="K2420" s="2" t="s">
        <v>119</v>
      </c>
      <c r="L2420" s="1"/>
      <c r="M2420" s="1" t="s">
        <v>9640</v>
      </c>
      <c r="N2420" s="1" t="s">
        <v>57</v>
      </c>
      <c r="O2420" s="1" t="s">
        <v>175</v>
      </c>
      <c r="P2420" s="1" t="s">
        <v>9641</v>
      </c>
      <c r="Q2420" s="3">
        <v>40330.0</v>
      </c>
      <c r="R2420" s="1"/>
      <c r="S2420" s="3">
        <v>42640.0</v>
      </c>
      <c r="T2420" s="1" t="s">
        <v>37</v>
      </c>
      <c r="U2420" s="1"/>
      <c r="V2420" s="1" t="s">
        <v>38</v>
      </c>
      <c r="W2420" s="1">
        <v>44.4841089</v>
      </c>
      <c r="X2420" s="1">
        <v>-73.2116419999999</v>
      </c>
      <c r="Y2420" s="1" t="s">
        <v>9642</v>
      </c>
      <c r="Z2420" s="1"/>
      <c r="AA2420" s="1" t="s">
        <v>40</v>
      </c>
      <c r="AB2420" s="1" t="s">
        <v>176</v>
      </c>
      <c r="AC2420" s="1">
        <v>5401.0</v>
      </c>
    </row>
    <row r="2421">
      <c r="A2421" s="1" t="str">
        <f>"000AZ4"</f>
        <v>000AZ4</v>
      </c>
      <c r="B2421" s="1" t="s">
        <v>9643</v>
      </c>
      <c r="C2421" s="1" t="s">
        <v>9644</v>
      </c>
      <c r="D2421" s="1" t="str">
        <f>"8023386450"</f>
        <v>8023386450</v>
      </c>
      <c r="E2421" s="1">
        <v>4231.0</v>
      </c>
      <c r="F2421" s="1" t="s">
        <v>44</v>
      </c>
      <c r="G2421" s="1" t="s">
        <v>9645</v>
      </c>
      <c r="H2421" s="1">
        <v>4.0</v>
      </c>
      <c r="I2421" s="1"/>
      <c r="J2421" s="1"/>
      <c r="K2421" s="1"/>
      <c r="L2421" s="1"/>
      <c r="M2421" s="1" t="s">
        <v>33</v>
      </c>
      <c r="N2421" s="1" t="s">
        <v>57</v>
      </c>
      <c r="O2421" s="1" t="s">
        <v>201</v>
      </c>
      <c r="P2421" s="1" t="s">
        <v>36</v>
      </c>
      <c r="Q2421" s="3">
        <v>40385.0</v>
      </c>
      <c r="R2421" s="1"/>
      <c r="S2421" s="1"/>
      <c r="T2421" s="1" t="s">
        <v>37</v>
      </c>
      <c r="U2421" s="1"/>
      <c r="V2421" s="1" t="s">
        <v>38</v>
      </c>
      <c r="W2421" s="1"/>
      <c r="X2421" s="1"/>
      <c r="Y2421" s="1" t="s">
        <v>9646</v>
      </c>
      <c r="Z2421" s="1"/>
      <c r="AA2421" s="1" t="s">
        <v>40</v>
      </c>
      <c r="AB2421" s="1" t="s">
        <v>202</v>
      </c>
      <c r="AC2421" s="1">
        <v>5477.0</v>
      </c>
    </row>
    <row r="2422">
      <c r="A2422" s="1" t="str">
        <f>"000AZ6"</f>
        <v>000AZ6</v>
      </c>
      <c r="B2422" s="1" t="s">
        <v>9647</v>
      </c>
      <c r="C2422" s="1" t="s">
        <v>9648</v>
      </c>
      <c r="D2422" s="1" t="str">
        <f>"8024967750"</f>
        <v>8024967750</v>
      </c>
      <c r="E2422" s="1">
        <v>4232.0</v>
      </c>
      <c r="F2422" s="1" t="s">
        <v>44</v>
      </c>
      <c r="G2422" s="1" t="s">
        <v>9649</v>
      </c>
      <c r="H2422" s="1">
        <v>1.0</v>
      </c>
      <c r="I2422" s="1"/>
      <c r="J2422" s="1"/>
      <c r="K2422" s="1"/>
      <c r="L2422" s="1"/>
      <c r="M2422" s="1" t="s">
        <v>9650</v>
      </c>
      <c r="N2422" s="1" t="s">
        <v>135</v>
      </c>
      <c r="O2422" s="1" t="s">
        <v>1798</v>
      </c>
      <c r="P2422" s="1" t="s">
        <v>36</v>
      </c>
      <c r="Q2422" s="3">
        <v>40321.0</v>
      </c>
      <c r="R2422" s="1"/>
      <c r="S2422" s="1"/>
      <c r="T2422" s="1" t="s">
        <v>37</v>
      </c>
      <c r="U2422" s="1"/>
      <c r="V2422" s="1" t="s">
        <v>38</v>
      </c>
      <c r="W2422" s="1">
        <v>44.0938299</v>
      </c>
      <c r="X2422" s="1">
        <v>-72.833661</v>
      </c>
      <c r="Y2422" s="1" t="s">
        <v>9651</v>
      </c>
      <c r="Z2422" s="1"/>
      <c r="AA2422" s="1" t="s">
        <v>40</v>
      </c>
      <c r="AB2422" s="1" t="s">
        <v>1799</v>
      </c>
      <c r="AC2422" s="1">
        <v>5674.0</v>
      </c>
    </row>
    <row r="2423">
      <c r="A2423" s="1" t="str">
        <f>"000AZ7"</f>
        <v>000AZ7</v>
      </c>
      <c r="B2423" s="1" t="s">
        <v>8294</v>
      </c>
      <c r="C2423" s="1" t="s">
        <v>8295</v>
      </c>
      <c r="D2423" s="1" t="str">
        <f>"8023624948"</f>
        <v>8023624948</v>
      </c>
      <c r="E2423" s="1">
        <v>4233.0</v>
      </c>
      <c r="F2423" s="1" t="s">
        <v>31</v>
      </c>
      <c r="G2423" s="1" t="s">
        <v>9652</v>
      </c>
      <c r="H2423" s="1">
        <v>2.0</v>
      </c>
      <c r="I2423" s="1"/>
      <c r="J2423" s="1"/>
      <c r="K2423" s="1"/>
      <c r="L2423" s="1"/>
      <c r="M2423" s="1" t="s">
        <v>8896</v>
      </c>
      <c r="N2423" s="1" t="s">
        <v>414</v>
      </c>
      <c r="O2423" s="1" t="s">
        <v>415</v>
      </c>
      <c r="P2423" s="1" t="s">
        <v>9653</v>
      </c>
      <c r="Q2423" s="3">
        <v>40392.0</v>
      </c>
      <c r="R2423" s="1"/>
      <c r="S2423" s="3">
        <v>42646.0</v>
      </c>
      <c r="T2423" s="1" t="s">
        <v>37</v>
      </c>
      <c r="U2423" s="1"/>
      <c r="V2423" s="1" t="s">
        <v>38</v>
      </c>
      <c r="W2423" s="1">
        <v>43.226656</v>
      </c>
      <c r="X2423" s="1">
        <v>-73.0138969999999</v>
      </c>
      <c r="Y2423" s="1" t="s">
        <v>9654</v>
      </c>
      <c r="Z2423" s="1"/>
      <c r="AA2423" s="1" t="s">
        <v>40</v>
      </c>
      <c r="AB2423" s="1" t="s">
        <v>6366</v>
      </c>
      <c r="AC2423" s="1">
        <v>5253.0</v>
      </c>
    </row>
    <row r="2424">
      <c r="A2424" s="1" t="str">
        <f>"000AZ9"</f>
        <v>000AZ9</v>
      </c>
      <c r="B2424" s="1" t="s">
        <v>9655</v>
      </c>
      <c r="C2424" s="1" t="s">
        <v>9656</v>
      </c>
      <c r="D2424" s="1" t="str">
        <f>"8807521326"</f>
        <v>8807521326</v>
      </c>
      <c r="E2424" s="1">
        <v>4235.0</v>
      </c>
      <c r="F2424" s="1" t="s">
        <v>44</v>
      </c>
      <c r="G2424" s="1" t="s">
        <v>9657</v>
      </c>
      <c r="H2424" s="1">
        <v>1.0</v>
      </c>
      <c r="I2424" s="1"/>
      <c r="J2424" s="1"/>
      <c r="K2424" s="1"/>
      <c r="L2424" s="1"/>
      <c r="M2424" s="1" t="s">
        <v>33</v>
      </c>
      <c r="N2424" s="1" t="s">
        <v>47</v>
      </c>
      <c r="O2424" s="1" t="s">
        <v>582</v>
      </c>
      <c r="P2424" s="1" t="s">
        <v>36</v>
      </c>
      <c r="Q2424" s="3">
        <v>40382.0</v>
      </c>
      <c r="R2424" s="1"/>
      <c r="S2424" s="1"/>
      <c r="T2424" s="1" t="s">
        <v>37</v>
      </c>
      <c r="U2424" s="1"/>
      <c r="V2424" s="1" t="s">
        <v>38</v>
      </c>
      <c r="W2424" s="1"/>
      <c r="X2424" s="1"/>
      <c r="Y2424" s="1" t="s">
        <v>9658</v>
      </c>
      <c r="Z2424" s="1"/>
      <c r="AA2424" s="1" t="s">
        <v>40</v>
      </c>
      <c r="AB2424" s="1" t="s">
        <v>5776</v>
      </c>
      <c r="AC2424" s="1">
        <v>5478.0</v>
      </c>
    </row>
    <row r="2425">
      <c r="A2425" s="1" t="str">
        <f>"000GA6"</f>
        <v>000GA6</v>
      </c>
      <c r="B2425" s="1" t="s">
        <v>9659</v>
      </c>
      <c r="C2425" s="1" t="s">
        <v>9660</v>
      </c>
      <c r="D2425" s="1" t="str">
        <f>"8024346324"</f>
        <v>8024346324</v>
      </c>
      <c r="E2425" s="1">
        <v>4255.0</v>
      </c>
      <c r="F2425" s="1" t="s">
        <v>44</v>
      </c>
      <c r="G2425" s="1" t="s">
        <v>9661</v>
      </c>
      <c r="H2425" s="1">
        <v>1.0</v>
      </c>
      <c r="I2425" s="1"/>
      <c r="J2425" s="1"/>
      <c r="K2425" s="1"/>
      <c r="L2425" s="1"/>
      <c r="M2425" s="1" t="s">
        <v>33</v>
      </c>
      <c r="N2425" s="1" t="s">
        <v>57</v>
      </c>
      <c r="O2425" s="1" t="s">
        <v>201</v>
      </c>
      <c r="P2425" s="1" t="s">
        <v>36</v>
      </c>
      <c r="Q2425" s="3">
        <v>40557.0</v>
      </c>
      <c r="R2425" s="1"/>
      <c r="S2425" s="1"/>
      <c r="T2425" s="1" t="s">
        <v>37</v>
      </c>
      <c r="U2425" s="1"/>
      <c r="V2425" s="1" t="s">
        <v>38</v>
      </c>
      <c r="W2425" s="1"/>
      <c r="X2425" s="1"/>
      <c r="Y2425" s="1" t="s">
        <v>9662</v>
      </c>
      <c r="Z2425" s="1"/>
      <c r="AA2425" s="1" t="s">
        <v>40</v>
      </c>
      <c r="AB2425" s="1" t="s">
        <v>202</v>
      </c>
      <c r="AC2425" s="1">
        <v>5477.0</v>
      </c>
    </row>
    <row r="2426">
      <c r="A2426" s="1" t="str">
        <f>"000GA7"</f>
        <v>000GA7</v>
      </c>
      <c r="B2426" s="1" t="s">
        <v>9663</v>
      </c>
      <c r="C2426" s="1" t="s">
        <v>9664</v>
      </c>
      <c r="D2426" s="1" t="str">
        <f>"8024342666"</f>
        <v>8024342666</v>
      </c>
      <c r="E2426" s="1">
        <v>4256.0</v>
      </c>
      <c r="F2426" s="1" t="s">
        <v>44</v>
      </c>
      <c r="G2426" s="1" t="s">
        <v>9665</v>
      </c>
      <c r="H2426" s="1">
        <v>2.0</v>
      </c>
      <c r="I2426" s="1"/>
      <c r="J2426" s="1"/>
      <c r="K2426" s="1"/>
      <c r="L2426" s="1"/>
      <c r="M2426" s="1" t="s">
        <v>33</v>
      </c>
      <c r="N2426" s="1" t="s">
        <v>57</v>
      </c>
      <c r="O2426" s="1" t="s">
        <v>201</v>
      </c>
      <c r="P2426" s="1" t="s">
        <v>5310</v>
      </c>
      <c r="Q2426" s="3">
        <v>40557.0</v>
      </c>
      <c r="R2426" s="1"/>
      <c r="S2426" s="1"/>
      <c r="T2426" s="1" t="s">
        <v>37</v>
      </c>
      <c r="U2426" s="1"/>
      <c r="V2426" s="1" t="s">
        <v>38</v>
      </c>
      <c r="W2426" s="1"/>
      <c r="X2426" s="1"/>
      <c r="Y2426" s="1" t="s">
        <v>9666</v>
      </c>
      <c r="Z2426" s="1"/>
      <c r="AA2426" s="1" t="s">
        <v>40</v>
      </c>
      <c r="AB2426" s="1" t="s">
        <v>202</v>
      </c>
      <c r="AC2426" s="1">
        <v>5477.0</v>
      </c>
    </row>
    <row r="2427">
      <c r="A2427" s="1" t="str">
        <f>"000GA8"</f>
        <v>000GA8</v>
      </c>
      <c r="B2427" s="1" t="s">
        <v>9667</v>
      </c>
      <c r="C2427" s="1" t="s">
        <v>9668</v>
      </c>
      <c r="D2427" s="1" t="str">
        <f>"6034965780"</f>
        <v>6034965780</v>
      </c>
      <c r="E2427" s="1">
        <v>4257.0</v>
      </c>
      <c r="F2427" s="1" t="s">
        <v>44</v>
      </c>
      <c r="G2427" s="1" t="s">
        <v>9669</v>
      </c>
      <c r="H2427" s="1">
        <v>2.0</v>
      </c>
      <c r="I2427" s="1"/>
      <c r="J2427" s="1"/>
      <c r="K2427" s="1"/>
      <c r="L2427" s="1"/>
      <c r="M2427" s="1" t="s">
        <v>33</v>
      </c>
      <c r="N2427" s="1" t="s">
        <v>78</v>
      </c>
      <c r="O2427" s="1" t="s">
        <v>2872</v>
      </c>
      <c r="P2427" s="1" t="s">
        <v>36</v>
      </c>
      <c r="Q2427" s="3">
        <v>40557.0</v>
      </c>
      <c r="R2427" s="1"/>
      <c r="S2427" s="1"/>
      <c r="T2427" s="1" t="s">
        <v>37</v>
      </c>
      <c r="U2427" s="1"/>
      <c r="V2427" s="1" t="s">
        <v>38</v>
      </c>
      <c r="W2427" s="1"/>
      <c r="X2427" s="1"/>
      <c r="Y2427" s="1" t="s">
        <v>9670</v>
      </c>
      <c r="Z2427" s="1"/>
      <c r="AA2427" s="1" t="s">
        <v>40</v>
      </c>
      <c r="AB2427" s="1" t="s">
        <v>2875</v>
      </c>
      <c r="AC2427" s="1" t="s">
        <v>9671</v>
      </c>
    </row>
    <row r="2428">
      <c r="A2428" s="1" t="str">
        <f>"000GAA"</f>
        <v>000GAA</v>
      </c>
      <c r="B2428" s="1" t="s">
        <v>9672</v>
      </c>
      <c r="C2428" s="1" t="s">
        <v>9673</v>
      </c>
      <c r="D2428" s="1" t="str">
        <f>"8022475413"</f>
        <v>8022475413</v>
      </c>
      <c r="E2428" s="1">
        <v>4259.0</v>
      </c>
      <c r="F2428" s="1" t="s">
        <v>44</v>
      </c>
      <c r="G2428" s="1" t="s">
        <v>9674</v>
      </c>
      <c r="H2428" s="1">
        <v>1.0</v>
      </c>
      <c r="I2428" s="1"/>
      <c r="J2428" s="1"/>
      <c r="K2428" s="1"/>
      <c r="L2428" s="1"/>
      <c r="M2428" s="1" t="s">
        <v>33</v>
      </c>
      <c r="N2428" s="1" t="s">
        <v>161</v>
      </c>
      <c r="O2428" s="1" t="s">
        <v>9675</v>
      </c>
      <c r="P2428" s="1" t="s">
        <v>36</v>
      </c>
      <c r="Q2428" s="3">
        <v>40557.0</v>
      </c>
      <c r="R2428" s="1"/>
      <c r="S2428" s="1"/>
      <c r="T2428" s="1" t="s">
        <v>37</v>
      </c>
      <c r="U2428" s="1"/>
      <c r="V2428" s="1" t="s">
        <v>38</v>
      </c>
      <c r="W2428" s="1"/>
      <c r="X2428" s="1"/>
      <c r="Y2428" s="1" t="s">
        <v>9676</v>
      </c>
      <c r="Z2428" s="1"/>
      <c r="AA2428" s="1" t="s">
        <v>40</v>
      </c>
      <c r="AB2428" s="1" t="s">
        <v>9677</v>
      </c>
      <c r="AC2428" s="1">
        <v>5733.0</v>
      </c>
    </row>
    <row r="2429">
      <c r="A2429" s="1" t="str">
        <f>"000GAB"</f>
        <v>000GAB</v>
      </c>
      <c r="B2429" s="1" t="s">
        <v>9678</v>
      </c>
      <c r="C2429" s="1" t="s">
        <v>2517</v>
      </c>
      <c r="D2429" s="1" t="str">
        <f>"8027283602"</f>
        <v>8027283602</v>
      </c>
      <c r="E2429" s="1">
        <v>4260.0</v>
      </c>
      <c r="F2429" s="1" t="s">
        <v>44</v>
      </c>
      <c r="G2429" s="1" t="s">
        <v>9679</v>
      </c>
      <c r="H2429" s="1">
        <v>1.0</v>
      </c>
      <c r="I2429" s="1"/>
      <c r="J2429" s="1"/>
      <c r="K2429" s="1"/>
      <c r="L2429" s="1"/>
      <c r="M2429" s="1" t="s">
        <v>33</v>
      </c>
      <c r="N2429" s="1" t="s">
        <v>142</v>
      </c>
      <c r="O2429" s="1" t="s">
        <v>359</v>
      </c>
      <c r="P2429" s="1" t="s">
        <v>36</v>
      </c>
      <c r="Q2429" s="3">
        <v>40379.0</v>
      </c>
      <c r="R2429" s="1"/>
      <c r="S2429" s="1"/>
      <c r="T2429" s="1" t="s">
        <v>37</v>
      </c>
      <c r="U2429" s="1"/>
      <c r="V2429" s="1" t="s">
        <v>38</v>
      </c>
      <c r="W2429" s="1"/>
      <c r="X2429" s="1"/>
      <c r="Y2429" s="1" t="s">
        <v>2519</v>
      </c>
      <c r="Z2429" s="1"/>
      <c r="AA2429" s="1" t="s">
        <v>40</v>
      </c>
      <c r="AB2429" s="1" t="s">
        <v>475</v>
      </c>
      <c r="AC2429" s="1">
        <v>5060.0</v>
      </c>
    </row>
    <row r="2430">
      <c r="A2430" s="1" t="str">
        <f>"000GAD"</f>
        <v>000GAD</v>
      </c>
      <c r="B2430" s="1" t="s">
        <v>9680</v>
      </c>
      <c r="C2430" s="1" t="s">
        <v>9681</v>
      </c>
      <c r="D2430" s="1" t="str">
        <f>"8022967458"</f>
        <v>8022967458</v>
      </c>
      <c r="E2430" s="1">
        <v>4262.0</v>
      </c>
      <c r="F2430" s="1" t="s">
        <v>44</v>
      </c>
      <c r="G2430" s="1" t="s">
        <v>9682</v>
      </c>
      <c r="H2430" s="1">
        <v>2.0</v>
      </c>
      <c r="I2430" s="2" t="s">
        <v>119</v>
      </c>
      <c r="J2430" s="2">
        <v>2.0</v>
      </c>
      <c r="K2430" s="2" t="s">
        <v>119</v>
      </c>
      <c r="L2430" s="1"/>
      <c r="M2430" s="1" t="s">
        <v>33</v>
      </c>
      <c r="N2430" s="1" t="s">
        <v>34</v>
      </c>
      <c r="O2430" s="1" t="s">
        <v>85</v>
      </c>
      <c r="P2430" s="1" t="s">
        <v>36</v>
      </c>
      <c r="Q2430" s="3">
        <v>40410.0</v>
      </c>
      <c r="R2430" s="1"/>
      <c r="S2430" s="3">
        <v>40745.0</v>
      </c>
      <c r="T2430" s="1" t="s">
        <v>37</v>
      </c>
      <c r="U2430" s="1"/>
      <c r="V2430" s="1" t="s">
        <v>38</v>
      </c>
      <c r="W2430" s="1"/>
      <c r="X2430" s="1"/>
      <c r="Y2430" s="1" t="s">
        <v>9683</v>
      </c>
      <c r="Z2430" s="1"/>
      <c r="AA2430" s="1" t="s">
        <v>40</v>
      </c>
      <c r="AB2430" s="1" t="s">
        <v>86</v>
      </c>
      <c r="AC2430" s="1">
        <v>5048.0</v>
      </c>
    </row>
    <row r="2431">
      <c r="A2431" s="1" t="str">
        <f>"000GAF"</f>
        <v>000GAF</v>
      </c>
      <c r="B2431" s="1" t="s">
        <v>9684</v>
      </c>
      <c r="C2431" s="1" t="s">
        <v>9685</v>
      </c>
      <c r="D2431" s="1" t="str">
        <f>"8029284663"</f>
        <v>8029284663</v>
      </c>
      <c r="E2431" s="1">
        <v>4263.0</v>
      </c>
      <c r="F2431" s="1" t="s">
        <v>117</v>
      </c>
      <c r="G2431" s="1" t="s">
        <v>9686</v>
      </c>
      <c r="H2431" s="1">
        <v>2.0</v>
      </c>
      <c r="I2431" s="2">
        <v>1.0</v>
      </c>
      <c r="J2431" s="2">
        <v>0.0</v>
      </c>
      <c r="K2431" s="2" t="s">
        <v>829</v>
      </c>
      <c r="L2431" s="1"/>
      <c r="M2431" s="1" t="s">
        <v>9687</v>
      </c>
      <c r="N2431" s="1" t="s">
        <v>107</v>
      </c>
      <c r="O2431" s="1" t="s">
        <v>2665</v>
      </c>
      <c r="P2431" s="1" t="s">
        <v>9688</v>
      </c>
      <c r="Q2431" s="3">
        <v>40557.0</v>
      </c>
      <c r="R2431" s="1"/>
      <c r="S2431" s="1"/>
      <c r="T2431" s="1" t="s">
        <v>37</v>
      </c>
      <c r="U2431" s="1"/>
      <c r="V2431" s="1" t="s">
        <v>38</v>
      </c>
      <c r="W2431" s="1">
        <v>44.8747263</v>
      </c>
      <c r="X2431" s="1">
        <v>-73.3289241</v>
      </c>
      <c r="Y2431" s="1" t="s">
        <v>9689</v>
      </c>
      <c r="Z2431" s="1"/>
      <c r="AA2431" s="1" t="s">
        <v>40</v>
      </c>
      <c r="AB2431" s="1" t="s">
        <v>9690</v>
      </c>
      <c r="AC2431" s="1">
        <v>5463.0</v>
      </c>
    </row>
    <row r="2432">
      <c r="A2432" s="1" t="str">
        <f>"000GAG"</f>
        <v>000GAG</v>
      </c>
      <c r="B2432" s="1" t="s">
        <v>9691</v>
      </c>
      <c r="C2432" s="1" t="s">
        <v>9692</v>
      </c>
      <c r="D2432" s="1" t="str">
        <f>"8022573073"</f>
        <v>8022573073</v>
      </c>
      <c r="E2432" s="1">
        <v>4264.0</v>
      </c>
      <c r="F2432" s="1" t="s">
        <v>44</v>
      </c>
      <c r="G2432" s="1" t="s">
        <v>9693</v>
      </c>
      <c r="H2432" s="1">
        <v>1.0</v>
      </c>
      <c r="I2432" s="1"/>
      <c r="J2432" s="1"/>
      <c r="K2432" s="1"/>
      <c r="L2432" s="1"/>
      <c r="M2432" s="1" t="s">
        <v>33</v>
      </c>
      <c r="N2432" s="1" t="s">
        <v>66</v>
      </c>
      <c r="O2432" s="1" t="s">
        <v>1877</v>
      </c>
      <c r="P2432" s="1" t="s">
        <v>36</v>
      </c>
      <c r="Q2432" s="3">
        <v>40414.0</v>
      </c>
      <c r="R2432" s="1"/>
      <c r="S2432" s="3">
        <v>41468.0</v>
      </c>
      <c r="T2432" s="1" t="s">
        <v>37</v>
      </c>
      <c r="U2432" s="1"/>
      <c r="V2432" s="1" t="s">
        <v>38</v>
      </c>
      <c r="W2432" s="1">
        <v>42.7343649</v>
      </c>
      <c r="X2432" s="1">
        <v>-72.5290019999999</v>
      </c>
      <c r="Y2432" s="1" t="s">
        <v>9694</v>
      </c>
      <c r="Z2432" s="1"/>
      <c r="AA2432" s="1" t="s">
        <v>40</v>
      </c>
      <c r="AB2432" s="1" t="s">
        <v>1878</v>
      </c>
      <c r="AC2432" s="1">
        <v>5354.0</v>
      </c>
    </row>
    <row r="2433">
      <c r="A2433" s="1" t="str">
        <f>"000GBH"</f>
        <v>000GBH</v>
      </c>
      <c r="B2433" s="1" t="s">
        <v>9695</v>
      </c>
      <c r="C2433" s="1" t="s">
        <v>9696</v>
      </c>
      <c r="D2433" s="1" t="str">
        <f>"8022333359"</f>
        <v>8022333359</v>
      </c>
      <c r="E2433" s="1">
        <v>4269.0</v>
      </c>
      <c r="F2433" s="1" t="s">
        <v>44</v>
      </c>
      <c r="G2433" s="1" t="s">
        <v>9697</v>
      </c>
      <c r="H2433" s="1">
        <v>2.0</v>
      </c>
      <c r="I2433" s="1"/>
      <c r="J2433" s="1"/>
      <c r="K2433" s="1"/>
      <c r="L2433" s="1"/>
      <c r="M2433" s="1" t="s">
        <v>33</v>
      </c>
      <c r="N2433" s="1" t="s">
        <v>107</v>
      </c>
      <c r="O2433" s="1" t="s">
        <v>2016</v>
      </c>
      <c r="P2433" s="1" t="s">
        <v>36</v>
      </c>
      <c r="Q2433" s="3">
        <v>40564.0</v>
      </c>
      <c r="R2433" s="1"/>
      <c r="S2433" s="3">
        <v>40359.0</v>
      </c>
      <c r="T2433" s="1" t="s">
        <v>37</v>
      </c>
      <c r="U2433" s="1"/>
      <c r="V2433" s="1" t="s">
        <v>38</v>
      </c>
      <c r="W2433" s="1"/>
      <c r="X2433" s="1"/>
      <c r="Y2433" s="1" t="s">
        <v>9698</v>
      </c>
      <c r="Z2433" s="1"/>
      <c r="AA2433" s="1" t="s">
        <v>40</v>
      </c>
      <c r="AB2433" s="1" t="s">
        <v>8724</v>
      </c>
      <c r="AC2433" s="1">
        <v>5440.0</v>
      </c>
    </row>
    <row r="2434">
      <c r="A2434" s="1" t="str">
        <f>"000GBJ"</f>
        <v>000GBJ</v>
      </c>
      <c r="B2434" s="1" t="s">
        <v>9699</v>
      </c>
      <c r="C2434" s="1" t="s">
        <v>9700</v>
      </c>
      <c r="D2434" s="1" t="str">
        <f>"8022592440"</f>
        <v>8022592440</v>
      </c>
      <c r="E2434" s="1">
        <v>4270.0</v>
      </c>
      <c r="F2434" s="1" t="s">
        <v>44</v>
      </c>
      <c r="G2434" s="1" t="s">
        <v>9701</v>
      </c>
      <c r="H2434" s="1">
        <v>2.0</v>
      </c>
      <c r="I2434" s="1"/>
      <c r="J2434" s="1"/>
      <c r="K2434" s="1"/>
      <c r="L2434" s="1"/>
      <c r="M2434" s="1" t="s">
        <v>33</v>
      </c>
      <c r="N2434" s="1" t="s">
        <v>78</v>
      </c>
      <c r="O2434" s="1" t="s">
        <v>272</v>
      </c>
      <c r="P2434" s="1"/>
      <c r="Q2434" s="3">
        <v>40428.0</v>
      </c>
      <c r="R2434" s="1"/>
      <c r="S2434" s="3">
        <v>40428.0</v>
      </c>
      <c r="T2434" s="1" t="s">
        <v>37</v>
      </c>
      <c r="U2434" s="1"/>
      <c r="V2434" s="1" t="s">
        <v>38</v>
      </c>
      <c r="W2434" s="1"/>
      <c r="X2434" s="1"/>
      <c r="Y2434" s="1" t="s">
        <v>9702</v>
      </c>
      <c r="Z2434" s="1"/>
      <c r="AA2434" s="1" t="s">
        <v>40</v>
      </c>
      <c r="AB2434" s="1" t="s">
        <v>275</v>
      </c>
      <c r="AC2434" s="1">
        <v>5758.0</v>
      </c>
    </row>
    <row r="2435">
      <c r="A2435" s="1" t="str">
        <f>"000GC7"</f>
        <v>000GC7</v>
      </c>
      <c r="B2435" s="1" t="s">
        <v>9703</v>
      </c>
      <c r="C2435" s="1" t="s">
        <v>9704</v>
      </c>
      <c r="D2435" s="1"/>
      <c r="E2435" s="1">
        <v>4274.0</v>
      </c>
      <c r="F2435" s="1" t="s">
        <v>44</v>
      </c>
      <c r="G2435" s="1" t="s">
        <v>9705</v>
      </c>
      <c r="H2435" s="1">
        <v>1.0</v>
      </c>
      <c r="I2435" s="1"/>
      <c r="J2435" s="1"/>
      <c r="K2435" s="1"/>
      <c r="L2435" s="1"/>
      <c r="M2435" s="1" t="s">
        <v>33</v>
      </c>
      <c r="N2435" s="1" t="s">
        <v>78</v>
      </c>
      <c r="O2435" s="1" t="s">
        <v>452</v>
      </c>
      <c r="P2435" s="1"/>
      <c r="Q2435" s="3">
        <v>40316.0</v>
      </c>
      <c r="R2435" s="1"/>
      <c r="S2435" s="1"/>
      <c r="T2435" s="1" t="s">
        <v>37</v>
      </c>
      <c r="U2435" s="1"/>
      <c r="V2435" s="1" t="s">
        <v>38</v>
      </c>
      <c r="W2435" s="1"/>
      <c r="X2435" s="1"/>
      <c r="Y2435" s="1" t="s">
        <v>9706</v>
      </c>
      <c r="Z2435" s="1"/>
      <c r="AA2435" s="1" t="s">
        <v>40</v>
      </c>
      <c r="AB2435" s="1" t="s">
        <v>78</v>
      </c>
      <c r="AC2435" s="1">
        <v>5701.0</v>
      </c>
    </row>
    <row r="2436">
      <c r="A2436" s="1" t="str">
        <f>"000GMV"</f>
        <v>000GMV</v>
      </c>
      <c r="B2436" s="1" t="s">
        <v>9707</v>
      </c>
      <c r="C2436" s="1" t="s">
        <v>9708</v>
      </c>
      <c r="D2436" s="1" t="str">
        <f>"8024832521"</f>
        <v>8024832521</v>
      </c>
      <c r="E2436" s="1">
        <v>4278.0</v>
      </c>
      <c r="F2436" s="1" t="s">
        <v>44</v>
      </c>
      <c r="G2436" s="1" t="s">
        <v>9709</v>
      </c>
      <c r="H2436" s="1">
        <v>1.0</v>
      </c>
      <c r="I2436" s="1"/>
      <c r="J2436" s="1"/>
      <c r="K2436" s="1"/>
      <c r="L2436" s="1"/>
      <c r="M2436" s="1" t="s">
        <v>33</v>
      </c>
      <c r="N2436" s="1" t="s">
        <v>78</v>
      </c>
      <c r="O2436" s="1" t="s">
        <v>2708</v>
      </c>
      <c r="P2436" s="1" t="s">
        <v>9710</v>
      </c>
      <c r="Q2436" s="3">
        <v>40648.0</v>
      </c>
      <c r="R2436" s="1"/>
      <c r="S2436" s="3">
        <v>40759.0</v>
      </c>
      <c r="T2436" s="1" t="s">
        <v>37</v>
      </c>
      <c r="U2436" s="1"/>
      <c r="V2436" s="1" t="s">
        <v>38</v>
      </c>
      <c r="W2436" s="1">
        <v>43.7404431</v>
      </c>
      <c r="X2436" s="1">
        <v>-72.980134</v>
      </c>
      <c r="Y2436" s="1" t="s">
        <v>9711</v>
      </c>
      <c r="Z2436" s="1"/>
      <c r="AA2436" s="1" t="s">
        <v>40</v>
      </c>
      <c r="AB2436" s="1" t="s">
        <v>9609</v>
      </c>
      <c r="AC2436" s="1">
        <v>5763.0</v>
      </c>
    </row>
    <row r="2437">
      <c r="A2437" s="1" t="str">
        <f>"000GMX"</f>
        <v>000GMX</v>
      </c>
      <c r="B2437" s="1" t="s">
        <v>9712</v>
      </c>
      <c r="C2437" s="1" t="s">
        <v>9713</v>
      </c>
      <c r="D2437" s="1" t="str">
        <f>"8028630511"</f>
        <v>8028630511</v>
      </c>
      <c r="E2437" s="1">
        <v>4280.0</v>
      </c>
      <c r="F2437" s="1" t="s">
        <v>44</v>
      </c>
      <c r="G2437" s="1" t="s">
        <v>9714</v>
      </c>
      <c r="H2437" s="1">
        <v>2.0</v>
      </c>
      <c r="I2437" s="1"/>
      <c r="J2437" s="1"/>
      <c r="K2437" s="1"/>
      <c r="L2437" s="1"/>
      <c r="M2437" s="1" t="s">
        <v>33</v>
      </c>
      <c r="N2437" s="1" t="s">
        <v>57</v>
      </c>
      <c r="O2437" s="1" t="s">
        <v>175</v>
      </c>
      <c r="P2437" s="1" t="s">
        <v>36</v>
      </c>
      <c r="Q2437" s="3">
        <v>40648.0</v>
      </c>
      <c r="R2437" s="1"/>
      <c r="S2437" s="1"/>
      <c r="T2437" s="1" t="s">
        <v>37</v>
      </c>
      <c r="U2437" s="1"/>
      <c r="V2437" s="1" t="s">
        <v>38</v>
      </c>
      <c r="W2437" s="1"/>
      <c r="X2437" s="1"/>
      <c r="Y2437" s="1" t="s">
        <v>9715</v>
      </c>
      <c r="Z2437" s="1"/>
      <c r="AA2437" s="1" t="s">
        <v>40</v>
      </c>
      <c r="AB2437" s="1" t="s">
        <v>176</v>
      </c>
      <c r="AC2437" s="1">
        <v>5401.0</v>
      </c>
    </row>
    <row r="2438">
      <c r="A2438" s="1" t="str">
        <f>"000GWZ"</f>
        <v>000GWZ</v>
      </c>
      <c r="B2438" s="1" t="s">
        <v>9716</v>
      </c>
      <c r="C2438" s="1" t="s">
        <v>9717</v>
      </c>
      <c r="D2438" s="1" t="str">
        <f>"8022724191"</f>
        <v>8022724191</v>
      </c>
      <c r="E2438" s="1">
        <v>4281.0</v>
      </c>
      <c r="F2438" s="1" t="s">
        <v>44</v>
      </c>
      <c r="G2438" s="1" t="s">
        <v>9718</v>
      </c>
      <c r="H2438" s="1">
        <v>1.0</v>
      </c>
      <c r="I2438" s="1"/>
      <c r="J2438" s="1"/>
      <c r="K2438" s="1"/>
      <c r="L2438" s="1"/>
      <c r="M2438" s="1" t="s">
        <v>33</v>
      </c>
      <c r="N2438" s="1" t="s">
        <v>135</v>
      </c>
      <c r="O2438" s="1" t="s">
        <v>1142</v>
      </c>
      <c r="P2438" s="1" t="s">
        <v>36</v>
      </c>
      <c r="Q2438" s="3">
        <v>40676.0</v>
      </c>
      <c r="R2438" s="1"/>
      <c r="S2438" s="1"/>
      <c r="T2438" s="1" t="s">
        <v>37</v>
      </c>
      <c r="U2438" s="1"/>
      <c r="V2438" s="1" t="s">
        <v>38</v>
      </c>
      <c r="W2438" s="1"/>
      <c r="X2438" s="1"/>
      <c r="Y2438" s="1" t="s">
        <v>9719</v>
      </c>
      <c r="Z2438" s="1"/>
      <c r="AA2438" s="1" t="s">
        <v>40</v>
      </c>
      <c r="AB2438" s="1" t="s">
        <v>1145</v>
      </c>
      <c r="AC2438" s="1">
        <v>5602.0</v>
      </c>
    </row>
    <row r="2439">
      <c r="A2439" s="1" t="str">
        <f>"000GX0"</f>
        <v>000GX0</v>
      </c>
      <c r="B2439" s="1" t="s">
        <v>9720</v>
      </c>
      <c r="C2439" s="1" t="s">
        <v>9721</v>
      </c>
      <c r="D2439" s="1" t="str">
        <f>"8026352375"</f>
        <v>8026352375</v>
      </c>
      <c r="E2439" s="1">
        <v>4282.0</v>
      </c>
      <c r="F2439" s="1" t="s">
        <v>44</v>
      </c>
      <c r="G2439" s="1" t="s">
        <v>9722</v>
      </c>
      <c r="H2439" s="1">
        <v>1.0</v>
      </c>
      <c r="I2439" s="1"/>
      <c r="J2439" s="1"/>
      <c r="K2439" s="1"/>
      <c r="L2439" s="1"/>
      <c r="M2439" s="1" t="s">
        <v>33</v>
      </c>
      <c r="N2439" s="1" t="s">
        <v>213</v>
      </c>
      <c r="O2439" s="1" t="s">
        <v>1154</v>
      </c>
      <c r="P2439" s="1" t="s">
        <v>36</v>
      </c>
      <c r="Q2439" s="3">
        <v>40663.0</v>
      </c>
      <c r="R2439" s="1"/>
      <c r="S2439" s="1"/>
      <c r="T2439" s="1" t="s">
        <v>37</v>
      </c>
      <c r="U2439" s="1"/>
      <c r="V2439" s="1" t="s">
        <v>38</v>
      </c>
      <c r="W2439" s="1"/>
      <c r="X2439" s="1"/>
      <c r="Y2439" s="1" t="s">
        <v>9723</v>
      </c>
      <c r="Z2439" s="1"/>
      <c r="AA2439" s="1" t="s">
        <v>40</v>
      </c>
      <c r="AB2439" s="1" t="s">
        <v>1155</v>
      </c>
      <c r="AC2439" s="1">
        <v>5656.0</v>
      </c>
    </row>
    <row r="2440">
      <c r="A2440" s="1" t="str">
        <f>"000GX1"</f>
        <v>000GX1</v>
      </c>
      <c r="B2440" s="1" t="s">
        <v>9724</v>
      </c>
      <c r="C2440" s="1" t="s">
        <v>9725</v>
      </c>
      <c r="D2440" s="1" t="str">
        <f>"8024765282"</f>
        <v>8024765282</v>
      </c>
      <c r="E2440" s="1">
        <v>4283.0</v>
      </c>
      <c r="F2440" s="1" t="s">
        <v>44</v>
      </c>
      <c r="G2440" s="1" t="s">
        <v>9726</v>
      </c>
      <c r="H2440" s="1">
        <v>0.0</v>
      </c>
      <c r="I2440" s="1"/>
      <c r="J2440" s="1"/>
      <c r="K2440" s="1"/>
      <c r="L2440" s="1"/>
      <c r="M2440" s="1" t="s">
        <v>33</v>
      </c>
      <c r="N2440" s="1" t="s">
        <v>142</v>
      </c>
      <c r="O2440" s="1" t="s">
        <v>2253</v>
      </c>
      <c r="P2440" s="1" t="s">
        <v>36</v>
      </c>
      <c r="Q2440" s="3">
        <v>40690.0</v>
      </c>
      <c r="R2440" s="1"/>
      <c r="S2440" s="3">
        <v>42151.0</v>
      </c>
      <c r="T2440" s="1" t="s">
        <v>37</v>
      </c>
      <c r="U2440" s="1"/>
      <c r="V2440" s="1" t="s">
        <v>38</v>
      </c>
      <c r="W2440" s="1">
        <v>44.1242458</v>
      </c>
      <c r="X2440" s="1">
        <v>-72.4638332</v>
      </c>
      <c r="Y2440" s="1" t="s">
        <v>9727</v>
      </c>
      <c r="Z2440" s="1"/>
      <c r="AA2440" s="1" t="s">
        <v>40</v>
      </c>
      <c r="AB2440" s="1" t="s">
        <v>2254</v>
      </c>
      <c r="AC2440" s="1">
        <v>5679.0</v>
      </c>
    </row>
    <row r="2441">
      <c r="A2441" s="1" t="str">
        <f>"000GX2"</f>
        <v>000GX2</v>
      </c>
      <c r="B2441" s="1" t="s">
        <v>9728</v>
      </c>
      <c r="C2441" s="1" t="s">
        <v>9729</v>
      </c>
      <c r="D2441" s="1" t="str">
        <f>"8025632441"</f>
        <v>8025632441</v>
      </c>
      <c r="E2441" s="1">
        <v>4284.0</v>
      </c>
      <c r="F2441" s="1" t="s">
        <v>44</v>
      </c>
      <c r="G2441" s="1" t="s">
        <v>9730</v>
      </c>
      <c r="H2441" s="1">
        <v>2.0</v>
      </c>
      <c r="I2441" s="1"/>
      <c r="J2441" s="1"/>
      <c r="K2441" s="1"/>
      <c r="L2441" s="1"/>
      <c r="M2441" s="1" t="s">
        <v>33</v>
      </c>
      <c r="N2441" s="1" t="s">
        <v>128</v>
      </c>
      <c r="O2441" s="1" t="s">
        <v>887</v>
      </c>
      <c r="P2441" s="1" t="s">
        <v>36</v>
      </c>
      <c r="Q2441" s="3">
        <v>40652.0</v>
      </c>
      <c r="R2441" s="1"/>
      <c r="S2441" s="1"/>
      <c r="T2441" s="1" t="s">
        <v>37</v>
      </c>
      <c r="U2441" s="1"/>
      <c r="V2441" s="1" t="s">
        <v>38</v>
      </c>
      <c r="W2441" s="1">
        <v>44.465733</v>
      </c>
      <c r="X2441" s="1">
        <v>-72.204086</v>
      </c>
      <c r="Y2441" s="1" t="s">
        <v>9731</v>
      </c>
      <c r="Z2441" s="1"/>
      <c r="AA2441" s="1" t="s">
        <v>40</v>
      </c>
      <c r="AB2441" s="1" t="s">
        <v>1080</v>
      </c>
      <c r="AC2441" s="1">
        <v>5843.0</v>
      </c>
    </row>
    <row r="2442">
      <c r="A2442" s="1" t="str">
        <f>"000GX3"</f>
        <v>000GX3</v>
      </c>
      <c r="B2442" s="1" t="s">
        <v>9732</v>
      </c>
      <c r="C2442" s="1" t="s">
        <v>9733</v>
      </c>
      <c r="D2442" s="1" t="str">
        <f>"8024262041"</f>
        <v>8024262041</v>
      </c>
      <c r="E2442" s="1">
        <v>4285.0</v>
      </c>
      <c r="F2442" s="1" t="s">
        <v>44</v>
      </c>
      <c r="G2442" s="1" t="s">
        <v>9734</v>
      </c>
      <c r="H2442" s="1">
        <v>0.0</v>
      </c>
      <c r="I2442" s="1"/>
      <c r="J2442" s="1"/>
      <c r="K2442" s="1"/>
      <c r="L2442" s="1"/>
      <c r="M2442" s="1" t="s">
        <v>33</v>
      </c>
      <c r="N2442" s="1" t="s">
        <v>135</v>
      </c>
      <c r="O2442" s="1" t="s">
        <v>1073</v>
      </c>
      <c r="P2442" s="1" t="s">
        <v>36</v>
      </c>
      <c r="Q2442" s="3">
        <v>40665.0</v>
      </c>
      <c r="R2442" s="1"/>
      <c r="S2442" s="3">
        <v>42144.0</v>
      </c>
      <c r="T2442" s="1" t="s">
        <v>37</v>
      </c>
      <c r="U2442" s="1"/>
      <c r="V2442" s="1" t="s">
        <v>38</v>
      </c>
      <c r="W2442" s="1">
        <v>44.3674362</v>
      </c>
      <c r="X2442" s="1">
        <v>-72.3763319999999</v>
      </c>
      <c r="Y2442" s="1" t="s">
        <v>9735</v>
      </c>
      <c r="Z2442" s="1"/>
      <c r="AA2442" s="1" t="s">
        <v>40</v>
      </c>
      <c r="AB2442" s="1" t="s">
        <v>1075</v>
      </c>
      <c r="AC2442" s="1">
        <v>5658.0</v>
      </c>
    </row>
    <row r="2443">
      <c r="A2443" s="1" t="str">
        <f>"000GX6"</f>
        <v>000GX6</v>
      </c>
      <c r="B2443" s="1" t="s">
        <v>9736</v>
      </c>
      <c r="C2443" s="1" t="s">
        <v>9737</v>
      </c>
      <c r="D2443" s="1" t="str">
        <f>"8028796771"</f>
        <v>8028796771</v>
      </c>
      <c r="E2443" s="1">
        <v>4288.0</v>
      </c>
      <c r="F2443" s="1" t="s">
        <v>117</v>
      </c>
      <c r="G2443" s="1" t="s">
        <v>9738</v>
      </c>
      <c r="H2443" s="1">
        <v>4.0</v>
      </c>
      <c r="I2443" s="2">
        <v>0.0</v>
      </c>
      <c r="J2443" s="2">
        <v>0.0</v>
      </c>
      <c r="K2443" s="2" t="s">
        <v>829</v>
      </c>
      <c r="L2443" s="1"/>
      <c r="M2443" s="1" t="s">
        <v>9739</v>
      </c>
      <c r="N2443" s="1" t="s">
        <v>57</v>
      </c>
      <c r="O2443" s="1" t="s">
        <v>509</v>
      </c>
      <c r="P2443" s="1" t="s">
        <v>9740</v>
      </c>
      <c r="Q2443" s="3">
        <v>40660.0</v>
      </c>
      <c r="R2443" s="1"/>
      <c r="S2443" s="1"/>
      <c r="T2443" s="1" t="s">
        <v>37</v>
      </c>
      <c r="U2443" s="1"/>
      <c r="V2443" s="1" t="s">
        <v>38</v>
      </c>
      <c r="W2443" s="1">
        <v>44.514289</v>
      </c>
      <c r="X2443" s="1">
        <v>-73.080941</v>
      </c>
      <c r="Y2443" s="1" t="s">
        <v>9741</v>
      </c>
      <c r="Z2443" s="1"/>
      <c r="AA2443" s="1" t="s">
        <v>40</v>
      </c>
      <c r="AB2443" s="1" t="s">
        <v>331</v>
      </c>
      <c r="AC2443" s="1">
        <v>5452.0</v>
      </c>
    </row>
    <row r="2444">
      <c r="A2444" s="1" t="str">
        <f>"000GX7"</f>
        <v>000GX7</v>
      </c>
      <c r="B2444" s="1" t="s">
        <v>9742</v>
      </c>
      <c r="C2444" s="1" t="s">
        <v>9743</v>
      </c>
      <c r="D2444" s="1" t="str">
        <f>"8024408130"</f>
        <v>8024408130</v>
      </c>
      <c r="E2444" s="1">
        <v>4289.0</v>
      </c>
      <c r="F2444" s="1" t="s">
        <v>44</v>
      </c>
      <c r="G2444" s="1" t="s">
        <v>9744</v>
      </c>
      <c r="H2444" s="1">
        <v>2.0</v>
      </c>
      <c r="I2444" s="1"/>
      <c r="J2444" s="1"/>
      <c r="K2444" s="1"/>
      <c r="L2444" s="1"/>
      <c r="M2444" s="1" t="s">
        <v>33</v>
      </c>
      <c r="N2444" s="1" t="s">
        <v>414</v>
      </c>
      <c r="O2444" s="1" t="s">
        <v>720</v>
      </c>
      <c r="P2444" s="1" t="s">
        <v>36</v>
      </c>
      <c r="Q2444" s="3">
        <v>40669.0</v>
      </c>
      <c r="R2444" s="1"/>
      <c r="S2444" s="1"/>
      <c r="T2444" s="1" t="s">
        <v>37</v>
      </c>
      <c r="U2444" s="1"/>
      <c r="V2444" s="1" t="s">
        <v>38</v>
      </c>
      <c r="W2444" s="1"/>
      <c r="X2444" s="1"/>
      <c r="Y2444" s="1" t="s">
        <v>9745</v>
      </c>
      <c r="Z2444" s="1"/>
      <c r="AA2444" s="1" t="s">
        <v>40</v>
      </c>
      <c r="AB2444" s="1" t="s">
        <v>414</v>
      </c>
      <c r="AC2444" s="1">
        <v>5201.0</v>
      </c>
    </row>
    <row r="2445">
      <c r="A2445" s="1" t="str">
        <f>"000GX8"</f>
        <v>000GX8</v>
      </c>
      <c r="B2445" s="1" t="s">
        <v>9746</v>
      </c>
      <c r="C2445" s="1" t="s">
        <v>9747</v>
      </c>
      <c r="D2445" s="1" t="str">
        <f>"8023093073"</f>
        <v>8023093073</v>
      </c>
      <c r="E2445" s="1">
        <v>4290.0</v>
      </c>
      <c r="F2445" s="1" t="s">
        <v>44</v>
      </c>
      <c r="G2445" s="1" t="s">
        <v>9748</v>
      </c>
      <c r="H2445" s="1">
        <v>1.0</v>
      </c>
      <c r="I2445" s="1"/>
      <c r="J2445" s="1"/>
      <c r="K2445" s="1"/>
      <c r="L2445" s="1"/>
      <c r="M2445" s="1" t="s">
        <v>33</v>
      </c>
      <c r="N2445" s="1" t="s">
        <v>161</v>
      </c>
      <c r="O2445" s="1" t="s">
        <v>769</v>
      </c>
      <c r="P2445" s="1" t="s">
        <v>36</v>
      </c>
      <c r="Q2445" s="3">
        <v>40668.0</v>
      </c>
      <c r="R2445" s="1"/>
      <c r="S2445" s="1"/>
      <c r="T2445" s="1" t="s">
        <v>37</v>
      </c>
      <c r="U2445" s="1"/>
      <c r="V2445" s="1" t="s">
        <v>38</v>
      </c>
      <c r="W2445" s="1"/>
      <c r="X2445" s="1"/>
      <c r="Y2445" s="1" t="s">
        <v>9749</v>
      </c>
      <c r="Z2445" s="1"/>
      <c r="AA2445" s="1" t="s">
        <v>40</v>
      </c>
      <c r="AB2445" s="1" t="s">
        <v>3581</v>
      </c>
      <c r="AC2445" s="1">
        <v>5491.0</v>
      </c>
    </row>
    <row r="2446">
      <c r="A2446" s="1" t="str">
        <f>"000GX9"</f>
        <v>000GX9</v>
      </c>
      <c r="B2446" s="1" t="s">
        <v>9750</v>
      </c>
      <c r="C2446" s="1" t="s">
        <v>9751</v>
      </c>
      <c r="D2446" s="1" t="str">
        <f>"8028785901"</f>
        <v>8028785901</v>
      </c>
      <c r="E2446" s="1">
        <v>4291.0</v>
      </c>
      <c r="F2446" s="1" t="s">
        <v>117</v>
      </c>
      <c r="G2446" s="1" t="s">
        <v>9752</v>
      </c>
      <c r="H2446" s="1">
        <v>5.0</v>
      </c>
      <c r="I2446" s="2">
        <v>1.0</v>
      </c>
      <c r="J2446" s="2">
        <v>1.0</v>
      </c>
      <c r="K2446" s="2" t="s">
        <v>119</v>
      </c>
      <c r="L2446" s="1"/>
      <c r="M2446" s="1" t="s">
        <v>9753</v>
      </c>
      <c r="N2446" s="1" t="s">
        <v>57</v>
      </c>
      <c r="O2446" s="1" t="s">
        <v>2092</v>
      </c>
      <c r="P2446" s="1" t="s">
        <v>9754</v>
      </c>
      <c r="Q2446" s="3">
        <v>40671.0</v>
      </c>
      <c r="R2446" s="1"/>
      <c r="S2446" s="3">
        <v>42619.0</v>
      </c>
      <c r="T2446" s="1" t="s">
        <v>37</v>
      </c>
      <c r="U2446" s="1"/>
      <c r="V2446" s="1" t="s">
        <v>38</v>
      </c>
      <c r="W2446" s="1">
        <v>44.4072436658639</v>
      </c>
      <c r="X2446" s="1">
        <v>-73.0906891822815</v>
      </c>
      <c r="Y2446" s="1" t="s">
        <v>9755</v>
      </c>
      <c r="Z2446" s="1"/>
      <c r="AA2446" s="1" t="s">
        <v>40</v>
      </c>
      <c r="AB2446" s="1" t="s">
        <v>2093</v>
      </c>
      <c r="AC2446" s="1">
        <v>5495.0</v>
      </c>
    </row>
    <row r="2447">
      <c r="A2447" s="1" t="str">
        <f>"000GY0"</f>
        <v>000GY0</v>
      </c>
      <c r="B2447" s="1" t="s">
        <v>9756</v>
      </c>
      <c r="C2447" s="1" t="s">
        <v>9757</v>
      </c>
      <c r="D2447" s="1" t="str">
        <f>"8022291362"</f>
        <v>8022291362</v>
      </c>
      <c r="E2447" s="1">
        <v>4292.0</v>
      </c>
      <c r="F2447" s="1" t="s">
        <v>44</v>
      </c>
      <c r="G2447" s="1" t="s">
        <v>9758</v>
      </c>
      <c r="H2447" s="1">
        <v>1.0</v>
      </c>
      <c r="I2447" s="1"/>
      <c r="J2447" s="1"/>
      <c r="K2447" s="1"/>
      <c r="L2447" s="1"/>
      <c r="M2447" s="1" t="s">
        <v>33</v>
      </c>
      <c r="N2447" s="1" t="s">
        <v>135</v>
      </c>
      <c r="O2447" s="1" t="s">
        <v>3116</v>
      </c>
      <c r="P2447" s="1" t="s">
        <v>36</v>
      </c>
      <c r="Q2447" s="3">
        <v>40702.0</v>
      </c>
      <c r="R2447" s="1"/>
      <c r="S2447" s="1"/>
      <c r="T2447" s="1" t="s">
        <v>37</v>
      </c>
      <c r="U2447" s="1"/>
      <c r="V2447" s="1" t="s">
        <v>38</v>
      </c>
      <c r="W2447" s="1"/>
      <c r="X2447" s="1"/>
      <c r="Y2447" s="1" t="s">
        <v>9759</v>
      </c>
      <c r="Z2447" s="1"/>
      <c r="AA2447" s="1" t="s">
        <v>40</v>
      </c>
      <c r="AB2447" s="1" t="s">
        <v>9760</v>
      </c>
      <c r="AC2447" s="1">
        <v>5648.0</v>
      </c>
    </row>
    <row r="2448">
      <c r="A2448" s="1" t="str">
        <f>"000GY1"</f>
        <v>000GY1</v>
      </c>
      <c r="B2448" s="1" t="s">
        <v>9761</v>
      </c>
      <c r="C2448" s="1" t="s">
        <v>9762</v>
      </c>
      <c r="D2448" s="1" t="str">
        <f>"8023704078"</f>
        <v>8023704078</v>
      </c>
      <c r="E2448" s="1">
        <v>4293.0</v>
      </c>
      <c r="F2448" s="1" t="s">
        <v>117</v>
      </c>
      <c r="G2448" s="1" t="s">
        <v>9763</v>
      </c>
      <c r="H2448" s="1">
        <v>2.0</v>
      </c>
      <c r="I2448" s="2">
        <v>1.0</v>
      </c>
      <c r="J2448" s="2">
        <v>1.0</v>
      </c>
      <c r="K2448" s="2" t="s">
        <v>119</v>
      </c>
      <c r="L2448" s="1"/>
      <c r="M2448" s="1" t="s">
        <v>9764</v>
      </c>
      <c r="N2448" s="1" t="s">
        <v>47</v>
      </c>
      <c r="O2448" s="1" t="s">
        <v>378</v>
      </c>
      <c r="P2448" s="1" t="s">
        <v>9765</v>
      </c>
      <c r="Q2448" s="3">
        <v>40694.0</v>
      </c>
      <c r="R2448" s="1"/>
      <c r="S2448" s="1"/>
      <c r="T2448" s="1" t="s">
        <v>37</v>
      </c>
      <c r="U2448" s="1"/>
      <c r="V2448" s="1" t="s">
        <v>38</v>
      </c>
      <c r="W2448" s="1">
        <v>44.705369</v>
      </c>
      <c r="X2448" s="1">
        <v>-73.010661</v>
      </c>
      <c r="Y2448" s="1" t="s">
        <v>9766</v>
      </c>
      <c r="Z2448" s="1"/>
      <c r="AA2448" s="1" t="s">
        <v>40</v>
      </c>
      <c r="AB2448" s="1" t="s">
        <v>381</v>
      </c>
      <c r="AC2448" s="1">
        <v>5454.0</v>
      </c>
    </row>
    <row r="2449">
      <c r="A2449" s="1" t="str">
        <f>"000GY2"</f>
        <v>000GY2</v>
      </c>
      <c r="B2449" s="1" t="s">
        <v>9767</v>
      </c>
      <c r="C2449" s="1" t="s">
        <v>9768</v>
      </c>
      <c r="D2449" s="1" t="str">
        <f>"8022230245"</f>
        <v>8022230245</v>
      </c>
      <c r="E2449" s="1">
        <v>4294.0</v>
      </c>
      <c r="F2449" s="1" t="s">
        <v>117</v>
      </c>
      <c r="G2449" s="1" t="s">
        <v>9769</v>
      </c>
      <c r="H2449" s="1">
        <v>1.0</v>
      </c>
      <c r="I2449" s="2" t="s">
        <v>119</v>
      </c>
      <c r="J2449" s="2">
        <v>1.0</v>
      </c>
      <c r="K2449" s="2" t="s">
        <v>119</v>
      </c>
      <c r="L2449" s="1"/>
      <c r="M2449" s="1" t="s">
        <v>33</v>
      </c>
      <c r="N2449" s="1" t="s">
        <v>135</v>
      </c>
      <c r="O2449" s="1" t="s">
        <v>279</v>
      </c>
      <c r="P2449" s="1" t="s">
        <v>36</v>
      </c>
      <c r="Q2449" s="3">
        <v>40665.0</v>
      </c>
      <c r="R2449" s="1"/>
      <c r="S2449" s="1"/>
      <c r="T2449" s="1" t="s">
        <v>37</v>
      </c>
      <c r="U2449" s="1"/>
      <c r="V2449" s="1" t="s">
        <v>38</v>
      </c>
      <c r="W2449" s="1">
        <v>44.189442</v>
      </c>
      <c r="X2449" s="1">
        <v>-72.5708389999999</v>
      </c>
      <c r="Y2449" s="1" t="s">
        <v>9770</v>
      </c>
      <c r="Z2449" s="1"/>
      <c r="AA2449" s="1" t="s">
        <v>40</v>
      </c>
      <c r="AB2449" s="1" t="s">
        <v>4019</v>
      </c>
      <c r="AC2449" s="1">
        <v>5641.0</v>
      </c>
    </row>
    <row r="2450">
      <c r="A2450" s="1" t="str">
        <f>"000GY3"</f>
        <v>000GY3</v>
      </c>
      <c r="B2450" s="1" t="s">
        <v>9771</v>
      </c>
      <c r="C2450" s="1" t="s">
        <v>9772</v>
      </c>
      <c r="D2450" s="1" t="str">
        <f>"8024253829"</f>
        <v>8024253829</v>
      </c>
      <c r="E2450" s="1">
        <v>4295.0</v>
      </c>
      <c r="F2450" s="1" t="s">
        <v>44</v>
      </c>
      <c r="G2450" s="1" t="s">
        <v>9773</v>
      </c>
      <c r="H2450" s="1">
        <v>2.0</v>
      </c>
      <c r="I2450" s="1"/>
      <c r="J2450" s="1"/>
      <c r="K2450" s="1"/>
      <c r="L2450" s="1"/>
      <c r="M2450" s="1" t="s">
        <v>33</v>
      </c>
      <c r="N2450" s="1" t="s">
        <v>57</v>
      </c>
      <c r="O2450" s="1" t="s">
        <v>1633</v>
      </c>
      <c r="P2450" s="1" t="s">
        <v>36</v>
      </c>
      <c r="Q2450" s="3">
        <v>40676.0</v>
      </c>
      <c r="R2450" s="1"/>
      <c r="S2450" s="1"/>
      <c r="T2450" s="1" t="s">
        <v>37</v>
      </c>
      <c r="U2450" s="1"/>
      <c r="V2450" s="1" t="s">
        <v>38</v>
      </c>
      <c r="W2450" s="1"/>
      <c r="X2450" s="1"/>
      <c r="Y2450" s="1" t="s">
        <v>9774</v>
      </c>
      <c r="Z2450" s="1"/>
      <c r="AA2450" s="1" t="s">
        <v>40</v>
      </c>
      <c r="AB2450" s="1" t="s">
        <v>1634</v>
      </c>
      <c r="AC2450" s="1">
        <v>5445.0</v>
      </c>
    </row>
    <row r="2451">
      <c r="A2451" s="1" t="str">
        <f>"000GY4"</f>
        <v>000GY4</v>
      </c>
      <c r="B2451" s="1" t="s">
        <v>9775</v>
      </c>
      <c r="C2451" s="1" t="s">
        <v>9776</v>
      </c>
      <c r="D2451" s="1" t="str">
        <f>"8028483308"</f>
        <v>8028483308</v>
      </c>
      <c r="E2451" s="1">
        <v>4296.0</v>
      </c>
      <c r="F2451" s="1" t="s">
        <v>44</v>
      </c>
      <c r="G2451" s="1" t="s">
        <v>9777</v>
      </c>
      <c r="H2451" s="1">
        <v>2.0</v>
      </c>
      <c r="I2451" s="1"/>
      <c r="J2451" s="1"/>
      <c r="K2451" s="1"/>
      <c r="L2451" s="1"/>
      <c r="M2451" s="1" t="s">
        <v>33</v>
      </c>
      <c r="N2451" s="1" t="s">
        <v>94</v>
      </c>
      <c r="O2451" s="1" t="s">
        <v>2745</v>
      </c>
      <c r="P2451" s="1" t="s">
        <v>36</v>
      </c>
      <c r="Q2451" s="3">
        <v>40678.0</v>
      </c>
      <c r="R2451" s="1"/>
      <c r="S2451" s="1"/>
      <c r="T2451" s="1" t="s">
        <v>37</v>
      </c>
      <c r="U2451" s="1"/>
      <c r="V2451" s="1" t="s">
        <v>38</v>
      </c>
      <c r="W2451" s="1">
        <v>45.0027136</v>
      </c>
      <c r="X2451" s="1">
        <v>-72.6595165</v>
      </c>
      <c r="Y2451" s="1" t="s">
        <v>9778</v>
      </c>
      <c r="Z2451" s="1"/>
      <c r="AA2451" s="1" t="s">
        <v>40</v>
      </c>
      <c r="AB2451" s="1" t="s">
        <v>981</v>
      </c>
      <c r="AC2451" s="1">
        <v>5476.0</v>
      </c>
    </row>
    <row r="2452">
      <c r="A2452" s="1" t="str">
        <f>"000GY6"</f>
        <v>000GY6</v>
      </c>
      <c r="B2452" s="1" t="s">
        <v>9779</v>
      </c>
      <c r="C2452" s="1" t="s">
        <v>9780</v>
      </c>
      <c r="D2452" s="1" t="str">
        <f>"8025650309"</f>
        <v>8025650309</v>
      </c>
      <c r="E2452" s="1">
        <v>4298.0</v>
      </c>
      <c r="F2452" s="1" t="s">
        <v>44</v>
      </c>
      <c r="G2452" s="1" t="s">
        <v>9781</v>
      </c>
      <c r="H2452" s="1">
        <v>2.0</v>
      </c>
      <c r="I2452" s="1"/>
      <c r="J2452" s="1"/>
      <c r="K2452" s="1"/>
      <c r="L2452" s="1"/>
      <c r="M2452" s="1" t="s">
        <v>33</v>
      </c>
      <c r="N2452" s="1" t="s">
        <v>34</v>
      </c>
      <c r="O2452" s="1" t="s">
        <v>551</v>
      </c>
      <c r="P2452" s="1" t="s">
        <v>36</v>
      </c>
      <c r="Q2452" s="3">
        <v>40702.0</v>
      </c>
      <c r="R2452" s="1"/>
      <c r="S2452" s="1"/>
      <c r="T2452" s="1" t="s">
        <v>37</v>
      </c>
      <c r="U2452" s="1"/>
      <c r="V2452" s="1" t="s">
        <v>38</v>
      </c>
      <c r="W2452" s="1">
        <v>43.757313</v>
      </c>
      <c r="X2452" s="1">
        <v>-72.609184</v>
      </c>
      <c r="Y2452" s="1" t="s">
        <v>9782</v>
      </c>
      <c r="Z2452" s="1"/>
      <c r="AA2452" s="1" t="s">
        <v>40</v>
      </c>
      <c r="AB2452" s="1" t="s">
        <v>151</v>
      </c>
      <c r="AC2452" s="1">
        <v>5032.0</v>
      </c>
    </row>
    <row r="2453">
      <c r="A2453" s="1" t="str">
        <f>"000GY7"</f>
        <v>000GY7</v>
      </c>
      <c r="B2453" s="1" t="s">
        <v>9783</v>
      </c>
      <c r="C2453" s="1" t="s">
        <v>9784</v>
      </c>
      <c r="D2453" s="1" t="str">
        <f>"8023551656"</f>
        <v>8023551656</v>
      </c>
      <c r="E2453" s="1">
        <v>4299.0</v>
      </c>
      <c r="F2453" s="1" t="s">
        <v>44</v>
      </c>
      <c r="G2453" s="1" t="s">
        <v>9785</v>
      </c>
      <c r="H2453" s="1">
        <v>2.0</v>
      </c>
      <c r="I2453" s="1"/>
      <c r="J2453" s="1"/>
      <c r="K2453" s="1"/>
      <c r="L2453" s="1"/>
      <c r="M2453" s="1" t="s">
        <v>33</v>
      </c>
      <c r="N2453" s="1" t="s">
        <v>57</v>
      </c>
      <c r="O2453" s="1" t="s">
        <v>256</v>
      </c>
      <c r="P2453" s="1" t="s">
        <v>36</v>
      </c>
      <c r="Q2453" s="3">
        <v>40673.0</v>
      </c>
      <c r="R2453" s="1"/>
      <c r="S2453" s="1"/>
      <c r="T2453" s="1" t="s">
        <v>37</v>
      </c>
      <c r="U2453" s="1"/>
      <c r="V2453" s="1" t="s">
        <v>38</v>
      </c>
      <c r="W2453" s="1"/>
      <c r="X2453" s="1"/>
      <c r="Y2453" s="1" t="s">
        <v>9786</v>
      </c>
      <c r="Z2453" s="1"/>
      <c r="AA2453" s="1" t="s">
        <v>40</v>
      </c>
      <c r="AB2453" s="1" t="s">
        <v>257</v>
      </c>
      <c r="AC2453" s="1">
        <v>5468.0</v>
      </c>
    </row>
    <row r="2454">
      <c r="A2454" s="1" t="str">
        <f>"000GY9"</f>
        <v>000GY9</v>
      </c>
      <c r="B2454" s="1" t="s">
        <v>9787</v>
      </c>
      <c r="C2454" s="1" t="s">
        <v>9788</v>
      </c>
      <c r="D2454" s="1" t="str">
        <f>"8027828244"</f>
        <v>8027828244</v>
      </c>
      <c r="E2454" s="1">
        <v>4301.0</v>
      </c>
      <c r="F2454" s="1" t="s">
        <v>117</v>
      </c>
      <c r="G2454" s="1" t="s">
        <v>9789</v>
      </c>
      <c r="H2454" s="1">
        <v>3.0</v>
      </c>
      <c r="I2454" s="2">
        <v>0.0</v>
      </c>
      <c r="J2454" s="2">
        <v>0.0</v>
      </c>
      <c r="K2454" s="2" t="s">
        <v>119</v>
      </c>
      <c r="L2454" s="1"/>
      <c r="M2454" s="1" t="s">
        <v>9790</v>
      </c>
      <c r="N2454" s="1" t="s">
        <v>47</v>
      </c>
      <c r="O2454" s="1" t="s">
        <v>2889</v>
      </c>
      <c r="P2454" s="1" t="s">
        <v>9791</v>
      </c>
      <c r="Q2454" s="3">
        <v>40686.0</v>
      </c>
      <c r="R2454" s="1"/>
      <c r="S2454" s="1"/>
      <c r="T2454" s="1" t="s">
        <v>37</v>
      </c>
      <c r="U2454" s="1"/>
      <c r="V2454" s="1" t="s">
        <v>38</v>
      </c>
      <c r="W2454" s="1">
        <v>45.013951949748</v>
      </c>
      <c r="X2454" s="1">
        <v>-73.0486857891082</v>
      </c>
      <c r="Y2454" s="1" t="s">
        <v>9792</v>
      </c>
      <c r="Z2454" s="1"/>
      <c r="AA2454" s="1" t="s">
        <v>40</v>
      </c>
      <c r="AB2454" s="1" t="s">
        <v>1115</v>
      </c>
      <c r="AC2454" s="1" t="s">
        <v>9793</v>
      </c>
    </row>
    <row r="2455">
      <c r="A2455" s="1" t="str">
        <f>"000GYG"</f>
        <v>000GYG</v>
      </c>
      <c r="B2455" s="1" t="s">
        <v>9794</v>
      </c>
      <c r="C2455" s="1" t="s">
        <v>9795</v>
      </c>
      <c r="D2455" s="1" t="str">
        <f>"8024615962"</f>
        <v>8024615962</v>
      </c>
      <c r="E2455" s="1">
        <v>4302.0</v>
      </c>
      <c r="F2455" s="1" t="s">
        <v>44</v>
      </c>
      <c r="G2455" s="1" t="s">
        <v>9796</v>
      </c>
      <c r="H2455" s="1">
        <v>2.0</v>
      </c>
      <c r="I2455" s="1"/>
      <c r="J2455" s="1"/>
      <c r="K2455" s="1"/>
      <c r="L2455" s="1"/>
      <c r="M2455" s="1" t="s">
        <v>33</v>
      </c>
      <c r="N2455" s="1" t="s">
        <v>135</v>
      </c>
      <c r="O2455" s="1" t="s">
        <v>758</v>
      </c>
      <c r="P2455" s="1" t="s">
        <v>36</v>
      </c>
      <c r="Q2455" s="3">
        <v>40690.0</v>
      </c>
      <c r="R2455" s="1"/>
      <c r="S2455" s="1"/>
      <c r="T2455" s="1" t="s">
        <v>37</v>
      </c>
      <c r="U2455" s="1"/>
      <c r="V2455" s="1" t="s">
        <v>38</v>
      </c>
      <c r="W2455" s="1"/>
      <c r="X2455" s="1"/>
      <c r="Y2455" s="1" t="s">
        <v>9797</v>
      </c>
      <c r="Z2455" s="1"/>
      <c r="AA2455" s="1" t="s">
        <v>40</v>
      </c>
      <c r="AB2455" s="1" t="s">
        <v>759</v>
      </c>
      <c r="AC2455" s="1">
        <v>5667.0</v>
      </c>
    </row>
    <row r="2456">
      <c r="A2456" s="1" t="str">
        <f>"000GYH"</f>
        <v>000GYH</v>
      </c>
      <c r="B2456" s="1" t="s">
        <v>9798</v>
      </c>
      <c r="C2456" s="1" t="s">
        <v>9799</v>
      </c>
      <c r="D2456" s="1" t="str">
        <f>"8022299971"</f>
        <v>8022299971</v>
      </c>
      <c r="E2456" s="1">
        <v>4303.0</v>
      </c>
      <c r="F2456" s="1" t="s">
        <v>44</v>
      </c>
      <c r="G2456" s="1" t="s">
        <v>9800</v>
      </c>
      <c r="H2456" s="1">
        <v>2.0</v>
      </c>
      <c r="I2456" s="1"/>
      <c r="J2456" s="1"/>
      <c r="K2456" s="1"/>
      <c r="L2456" s="1"/>
      <c r="M2456" s="1" t="s">
        <v>33</v>
      </c>
      <c r="N2456" s="1" t="s">
        <v>135</v>
      </c>
      <c r="O2456" s="1" t="s">
        <v>2713</v>
      </c>
      <c r="P2456" s="1" t="s">
        <v>36</v>
      </c>
      <c r="Q2456" s="3">
        <v>40649.0</v>
      </c>
      <c r="R2456" s="1"/>
      <c r="S2456" s="3">
        <v>40707.0</v>
      </c>
      <c r="T2456" s="1" t="s">
        <v>37</v>
      </c>
      <c r="U2456" s="1"/>
      <c r="V2456" s="1" t="s">
        <v>38</v>
      </c>
      <c r="W2456" s="1"/>
      <c r="X2456" s="1"/>
      <c r="Y2456" s="1" t="s">
        <v>9801</v>
      </c>
      <c r="Z2456" s="1"/>
      <c r="AA2456" s="1" t="s">
        <v>40</v>
      </c>
      <c r="AB2456" s="1" t="s">
        <v>2715</v>
      </c>
      <c r="AC2456" s="1">
        <v>5602.0</v>
      </c>
    </row>
    <row r="2457">
      <c r="A2457" s="1" t="str">
        <f>"000GYM"</f>
        <v>000GYM</v>
      </c>
      <c r="B2457" s="1" t="s">
        <v>9802</v>
      </c>
      <c r="C2457" s="1" t="s">
        <v>9803</v>
      </c>
      <c r="D2457" s="1" t="str">
        <f>"8029334159"</f>
        <v>8029334159</v>
      </c>
      <c r="E2457" s="1">
        <v>4305.0</v>
      </c>
      <c r="F2457" s="1" t="s">
        <v>44</v>
      </c>
      <c r="G2457" s="1" t="s">
        <v>9804</v>
      </c>
      <c r="H2457" s="1">
        <v>2.0</v>
      </c>
      <c r="I2457" s="1"/>
      <c r="J2457" s="1"/>
      <c r="K2457" s="1"/>
      <c r="L2457" s="1"/>
      <c r="M2457" s="1" t="s">
        <v>33</v>
      </c>
      <c r="N2457" s="1" t="s">
        <v>47</v>
      </c>
      <c r="O2457" s="1" t="s">
        <v>670</v>
      </c>
      <c r="P2457" s="1" t="s">
        <v>36</v>
      </c>
      <c r="Q2457" s="3">
        <v>40667.0</v>
      </c>
      <c r="R2457" s="1"/>
      <c r="S2457" s="1"/>
      <c r="T2457" s="1" t="s">
        <v>37</v>
      </c>
      <c r="U2457" s="1"/>
      <c r="V2457" s="1" t="s">
        <v>38</v>
      </c>
      <c r="W2457" s="1"/>
      <c r="X2457" s="1"/>
      <c r="Y2457" s="1" t="s">
        <v>9805</v>
      </c>
      <c r="Z2457" s="1" t="s">
        <v>9806</v>
      </c>
      <c r="AA2457" s="1" t="s">
        <v>40</v>
      </c>
      <c r="AB2457" s="1" t="s">
        <v>267</v>
      </c>
      <c r="AC2457" s="1">
        <v>5450.0</v>
      </c>
    </row>
    <row r="2458">
      <c r="A2458" s="1" t="str">
        <f>"000GYP"</f>
        <v>000GYP</v>
      </c>
      <c r="B2458" s="1" t="s">
        <v>9807</v>
      </c>
      <c r="C2458" s="1" t="s">
        <v>9808</v>
      </c>
      <c r="D2458" s="1" t="str">
        <f>"8028995139"</f>
        <v>8028995139</v>
      </c>
      <c r="E2458" s="1">
        <v>4306.0</v>
      </c>
      <c r="F2458" s="1" t="s">
        <v>117</v>
      </c>
      <c r="G2458" s="1" t="s">
        <v>9809</v>
      </c>
      <c r="H2458" s="1">
        <v>2.0</v>
      </c>
      <c r="I2458" s="2">
        <v>3.0</v>
      </c>
      <c r="J2458" s="2">
        <v>2.0</v>
      </c>
      <c r="K2458" s="2" t="s">
        <v>829</v>
      </c>
      <c r="L2458" s="1"/>
      <c r="M2458" s="1" t="s">
        <v>9810</v>
      </c>
      <c r="N2458" s="1" t="s">
        <v>57</v>
      </c>
      <c r="O2458" s="1" t="s">
        <v>155</v>
      </c>
      <c r="P2458" s="1" t="s">
        <v>9811</v>
      </c>
      <c r="Q2458" s="3">
        <v>40708.0</v>
      </c>
      <c r="R2458" s="1"/>
      <c r="S2458" s="3">
        <v>41143.0</v>
      </c>
      <c r="T2458" s="1" t="s">
        <v>37</v>
      </c>
      <c r="U2458" s="1"/>
      <c r="V2458" s="1" t="s">
        <v>38</v>
      </c>
      <c r="W2458" s="1">
        <v>44.6108311794281</v>
      </c>
      <c r="X2458" s="1">
        <v>-72.9416522383689</v>
      </c>
      <c r="Y2458" s="1" t="s">
        <v>9812</v>
      </c>
      <c r="Z2458" s="1"/>
      <c r="AA2458" s="1" t="s">
        <v>40</v>
      </c>
      <c r="AB2458" s="1" t="s">
        <v>61</v>
      </c>
      <c r="AC2458" s="1">
        <v>5489.0</v>
      </c>
    </row>
    <row r="2459">
      <c r="A2459" s="1" t="str">
        <f>"000GYX"</f>
        <v>000GYX</v>
      </c>
      <c r="B2459" s="1" t="s">
        <v>9813</v>
      </c>
      <c r="C2459" s="1" t="s">
        <v>9814</v>
      </c>
      <c r="D2459" s="1" t="str">
        <f>"8028793847"</f>
        <v>8028793847</v>
      </c>
      <c r="E2459" s="1">
        <v>4307.0</v>
      </c>
      <c r="F2459" s="1" t="s">
        <v>44</v>
      </c>
      <c r="G2459" s="1" t="s">
        <v>9815</v>
      </c>
      <c r="H2459" s="1">
        <v>1.0</v>
      </c>
      <c r="I2459" s="1"/>
      <c r="J2459" s="1"/>
      <c r="K2459" s="1"/>
      <c r="L2459" s="1"/>
      <c r="M2459" s="1" t="s">
        <v>33</v>
      </c>
      <c r="N2459" s="1" t="s">
        <v>57</v>
      </c>
      <c r="O2459" s="1" t="s">
        <v>509</v>
      </c>
      <c r="P2459" s="1" t="s">
        <v>36</v>
      </c>
      <c r="Q2459" s="3">
        <v>40701.0</v>
      </c>
      <c r="R2459" s="1"/>
      <c r="S2459" s="1"/>
      <c r="T2459" s="1" t="s">
        <v>37</v>
      </c>
      <c r="U2459" s="1"/>
      <c r="V2459" s="1" t="s">
        <v>38</v>
      </c>
      <c r="W2459" s="1"/>
      <c r="X2459" s="1"/>
      <c r="Y2459" s="1" t="s">
        <v>9816</v>
      </c>
      <c r="Z2459" s="1"/>
      <c r="AA2459" s="1" t="s">
        <v>40</v>
      </c>
      <c r="AB2459" s="1" t="s">
        <v>3296</v>
      </c>
      <c r="AC2459" s="1">
        <v>5452.0</v>
      </c>
    </row>
    <row r="2460">
      <c r="A2460" s="1" t="str">
        <f>"000H07"</f>
        <v>000H07</v>
      </c>
      <c r="B2460" s="1" t="s">
        <v>9817</v>
      </c>
      <c r="C2460" s="1" t="s">
        <v>9818</v>
      </c>
      <c r="D2460" s="1" t="str">
        <f>"8022352697"</f>
        <v>8022352697</v>
      </c>
      <c r="E2460" s="1">
        <v>4311.0</v>
      </c>
      <c r="F2460" s="1" t="s">
        <v>44</v>
      </c>
      <c r="G2460" s="1" t="s">
        <v>9819</v>
      </c>
      <c r="H2460" s="1">
        <v>7.0</v>
      </c>
      <c r="I2460" s="1"/>
      <c r="J2460" s="1"/>
      <c r="K2460" s="1"/>
      <c r="L2460" s="1"/>
      <c r="M2460" s="1" t="s">
        <v>33</v>
      </c>
      <c r="N2460" s="1" t="s">
        <v>78</v>
      </c>
      <c r="O2460" s="1" t="s">
        <v>420</v>
      </c>
      <c r="P2460" s="1" t="s">
        <v>36</v>
      </c>
      <c r="Q2460" s="3">
        <v>40690.0</v>
      </c>
      <c r="R2460" s="1"/>
      <c r="S2460" s="1"/>
      <c r="T2460" s="1" t="s">
        <v>37</v>
      </c>
      <c r="U2460" s="1"/>
      <c r="V2460" s="1" t="s">
        <v>38</v>
      </c>
      <c r="W2460" s="1">
        <v>43.495575</v>
      </c>
      <c r="X2460" s="1">
        <v>-73.1456279999999</v>
      </c>
      <c r="Y2460" s="1" t="s">
        <v>9820</v>
      </c>
      <c r="Z2460" s="1"/>
      <c r="AA2460" s="1" t="s">
        <v>40</v>
      </c>
      <c r="AB2460" s="1" t="s">
        <v>7161</v>
      </c>
      <c r="AC2460" s="1">
        <v>5757.0</v>
      </c>
    </row>
    <row r="2461">
      <c r="A2461" s="1" t="str">
        <f>"000H08"</f>
        <v>000H08</v>
      </c>
      <c r="B2461" s="1" t="s">
        <v>9821</v>
      </c>
      <c r="C2461" s="1" t="s">
        <v>9822</v>
      </c>
      <c r="D2461" s="1" t="str">
        <f>"8028255432"</f>
        <v>8028255432</v>
      </c>
      <c r="E2461" s="1">
        <v>4312.0</v>
      </c>
      <c r="F2461" s="1" t="s">
        <v>44</v>
      </c>
      <c r="G2461" s="1" t="s">
        <v>9823</v>
      </c>
      <c r="H2461" s="1">
        <v>2.0</v>
      </c>
      <c r="I2461" s="1"/>
      <c r="J2461" s="1"/>
      <c r="K2461" s="1"/>
      <c r="L2461" s="1"/>
      <c r="M2461" s="1" t="s">
        <v>33</v>
      </c>
      <c r="N2461" s="1" t="s">
        <v>57</v>
      </c>
      <c r="O2461" s="1" t="s">
        <v>745</v>
      </c>
      <c r="P2461" s="1" t="s">
        <v>36</v>
      </c>
      <c r="Q2461" s="3">
        <v>40703.0</v>
      </c>
      <c r="R2461" s="1"/>
      <c r="S2461" s="1"/>
      <c r="T2461" s="1" t="s">
        <v>37</v>
      </c>
      <c r="U2461" s="1"/>
      <c r="V2461" s="1" t="s">
        <v>38</v>
      </c>
      <c r="W2461" s="1"/>
      <c r="X2461" s="1"/>
      <c r="Y2461" s="1" t="s">
        <v>9824</v>
      </c>
      <c r="Z2461" s="1"/>
      <c r="AA2461" s="1" t="s">
        <v>40</v>
      </c>
      <c r="AB2461" s="1" t="s">
        <v>746</v>
      </c>
      <c r="AC2461" s="1" t="s">
        <v>9825</v>
      </c>
    </row>
    <row r="2462">
      <c r="A2462" s="1" t="str">
        <f>"000H11"</f>
        <v>000H11</v>
      </c>
      <c r="B2462" s="1" t="s">
        <v>9826</v>
      </c>
      <c r="C2462" s="1" t="s">
        <v>9827</v>
      </c>
      <c r="D2462" s="1" t="str">
        <f>"8028835534"</f>
        <v>8028835534</v>
      </c>
      <c r="E2462" s="1">
        <v>4314.0</v>
      </c>
      <c r="F2462" s="1" t="s">
        <v>31</v>
      </c>
      <c r="G2462" s="1" t="s">
        <v>9828</v>
      </c>
      <c r="H2462" s="1">
        <v>1.0</v>
      </c>
      <c r="I2462" s="1"/>
      <c r="J2462" s="1"/>
      <c r="K2462" s="1"/>
      <c r="L2462" s="1"/>
      <c r="M2462" s="1" t="s">
        <v>33</v>
      </c>
      <c r="N2462" s="1" t="s">
        <v>142</v>
      </c>
      <c r="O2462" s="1" t="s">
        <v>1026</v>
      </c>
      <c r="P2462" s="1" t="s">
        <v>36</v>
      </c>
      <c r="Q2462" s="3">
        <v>40707.0</v>
      </c>
      <c r="R2462" s="1"/>
      <c r="S2462" s="3">
        <v>42205.0</v>
      </c>
      <c r="T2462" s="1" t="s">
        <v>37</v>
      </c>
      <c r="U2462" s="1"/>
      <c r="V2462" s="1" t="s">
        <v>38</v>
      </c>
      <c r="W2462" s="1">
        <v>44.105858</v>
      </c>
      <c r="X2462" s="1">
        <v>-72.4382398999999</v>
      </c>
      <c r="Y2462" s="1" t="s">
        <v>9829</v>
      </c>
      <c r="Z2462" s="1"/>
      <c r="AA2462" s="1" t="s">
        <v>40</v>
      </c>
      <c r="AB2462" s="1" t="s">
        <v>135</v>
      </c>
      <c r="AC2462" s="1">
        <v>5675.0</v>
      </c>
    </row>
    <row r="2463">
      <c r="A2463" s="1" t="str">
        <f>"000H12"</f>
        <v>000H12</v>
      </c>
      <c r="B2463" s="1" t="s">
        <v>9830</v>
      </c>
      <c r="C2463" s="1" t="s">
        <v>9831</v>
      </c>
      <c r="D2463" s="1" t="str">
        <f>"8024342359"</f>
        <v>8024342359</v>
      </c>
      <c r="E2463" s="1">
        <v>4315.0</v>
      </c>
      <c r="F2463" s="1" t="s">
        <v>44</v>
      </c>
      <c r="G2463" s="1" t="s">
        <v>9832</v>
      </c>
      <c r="H2463" s="1">
        <v>1.0</v>
      </c>
      <c r="I2463" s="1"/>
      <c r="J2463" s="1"/>
      <c r="K2463" s="1"/>
      <c r="L2463" s="1"/>
      <c r="M2463" s="1" t="s">
        <v>33</v>
      </c>
      <c r="N2463" s="1" t="s">
        <v>57</v>
      </c>
      <c r="O2463" s="1" t="s">
        <v>201</v>
      </c>
      <c r="P2463" s="1" t="s">
        <v>5310</v>
      </c>
      <c r="Q2463" s="3">
        <v>40694.0</v>
      </c>
      <c r="R2463" s="1"/>
      <c r="S2463" s="1"/>
      <c r="T2463" s="1" t="s">
        <v>37</v>
      </c>
      <c r="U2463" s="1"/>
      <c r="V2463" s="1" t="s">
        <v>38</v>
      </c>
      <c r="W2463" s="1"/>
      <c r="X2463" s="1"/>
      <c r="Y2463" s="1" t="s">
        <v>9833</v>
      </c>
      <c r="Z2463" s="1"/>
      <c r="AA2463" s="1" t="s">
        <v>40</v>
      </c>
      <c r="AB2463" s="1" t="s">
        <v>202</v>
      </c>
      <c r="AC2463" s="1">
        <v>5477.0</v>
      </c>
    </row>
    <row r="2464">
      <c r="A2464" s="1" t="str">
        <f>"000H3A"</f>
        <v>000H3A</v>
      </c>
      <c r="B2464" s="1" t="s">
        <v>9834</v>
      </c>
      <c r="C2464" s="1" t="s">
        <v>9835</v>
      </c>
      <c r="D2464" s="1" t="str">
        <f>"8029334604"</f>
        <v>8029334604</v>
      </c>
      <c r="E2464" s="1">
        <v>4318.0</v>
      </c>
      <c r="F2464" s="1" t="s">
        <v>44</v>
      </c>
      <c r="G2464" s="1" t="s">
        <v>9836</v>
      </c>
      <c r="H2464" s="1">
        <v>2.0</v>
      </c>
      <c r="I2464" s="1"/>
      <c r="J2464" s="1"/>
      <c r="K2464" s="1"/>
      <c r="L2464" s="1"/>
      <c r="M2464" s="1" t="s">
        <v>33</v>
      </c>
      <c r="N2464" s="1" t="s">
        <v>47</v>
      </c>
      <c r="O2464" s="1" t="s">
        <v>48</v>
      </c>
      <c r="P2464" s="1" t="s">
        <v>36</v>
      </c>
      <c r="Q2464" s="3">
        <v>40713.0</v>
      </c>
      <c r="R2464" s="1"/>
      <c r="S2464" s="1"/>
      <c r="T2464" s="1" t="s">
        <v>37</v>
      </c>
      <c r="U2464" s="1"/>
      <c r="V2464" s="1" t="s">
        <v>38</v>
      </c>
      <c r="W2464" s="1">
        <v>44.890308</v>
      </c>
      <c r="X2464" s="1">
        <v>-72.824364</v>
      </c>
      <c r="Y2464" s="1" t="s">
        <v>9837</v>
      </c>
      <c r="Z2464" s="1"/>
      <c r="AA2464" s="1" t="s">
        <v>40</v>
      </c>
      <c r="AB2464" s="1" t="s">
        <v>267</v>
      </c>
      <c r="AC2464" s="1">
        <v>5450.0</v>
      </c>
    </row>
    <row r="2465">
      <c r="A2465" s="1" t="str">
        <f>"000H3B"</f>
        <v>000H3B</v>
      </c>
      <c r="B2465" s="1" t="s">
        <v>9838</v>
      </c>
      <c r="C2465" s="1" t="s">
        <v>9839</v>
      </c>
      <c r="D2465" s="1" t="str">
        <f>"8023734001"</f>
        <v>8023734001</v>
      </c>
      <c r="E2465" s="1">
        <v>4319.0</v>
      </c>
      <c r="F2465" s="1" t="s">
        <v>117</v>
      </c>
      <c r="G2465" s="1" t="s">
        <v>9840</v>
      </c>
      <c r="H2465" s="2">
        <v>13.0</v>
      </c>
      <c r="I2465" s="2">
        <v>3.0</v>
      </c>
      <c r="J2465" s="2">
        <v>2.0</v>
      </c>
      <c r="K2465" s="2" t="s">
        <v>119</v>
      </c>
      <c r="L2465" s="1"/>
      <c r="M2465" s="1" t="s">
        <v>9841</v>
      </c>
      <c r="N2465" s="1" t="s">
        <v>57</v>
      </c>
      <c r="O2465" s="1" t="s">
        <v>2092</v>
      </c>
      <c r="P2465" s="1" t="s">
        <v>9842</v>
      </c>
      <c r="Q2465" s="3">
        <v>40712.0</v>
      </c>
      <c r="R2465" s="1"/>
      <c r="S2465" s="3">
        <v>42571.0</v>
      </c>
      <c r="T2465" s="1" t="s">
        <v>37</v>
      </c>
      <c r="U2465" s="1"/>
      <c r="V2465" s="1" t="s">
        <v>38</v>
      </c>
      <c r="W2465" s="1">
        <v>44.4614714999999</v>
      </c>
      <c r="X2465" s="1">
        <v>-73.0915962</v>
      </c>
      <c r="Y2465" s="1" t="s">
        <v>9843</v>
      </c>
      <c r="Z2465" s="1"/>
      <c r="AA2465" s="1" t="s">
        <v>40</v>
      </c>
      <c r="AB2465" s="1" t="s">
        <v>2093</v>
      </c>
      <c r="AC2465" s="1">
        <v>0.0</v>
      </c>
    </row>
    <row r="2466">
      <c r="A2466" s="1" t="str">
        <f>"000H3C"</f>
        <v>000H3C</v>
      </c>
      <c r="B2466" s="1" t="s">
        <v>9844</v>
      </c>
      <c r="C2466" s="1" t="s">
        <v>9845</v>
      </c>
      <c r="D2466" s="1" t="str">
        <f>"8024471194"</f>
        <v>8024471194</v>
      </c>
      <c r="E2466" s="1">
        <v>4320.0</v>
      </c>
      <c r="F2466" s="1" t="s">
        <v>117</v>
      </c>
      <c r="G2466" s="1" t="s">
        <v>9846</v>
      </c>
      <c r="H2466" s="1">
        <v>3.0</v>
      </c>
      <c r="I2466" s="2">
        <v>3.0</v>
      </c>
      <c r="J2466" s="2">
        <v>2.0</v>
      </c>
      <c r="K2466" s="2" t="s">
        <v>119</v>
      </c>
      <c r="L2466" s="1"/>
      <c r="M2466" s="1" t="s">
        <v>9847</v>
      </c>
      <c r="N2466" s="1" t="s">
        <v>414</v>
      </c>
      <c r="O2466" s="1" t="s">
        <v>720</v>
      </c>
      <c r="P2466" s="1" t="s">
        <v>9848</v>
      </c>
      <c r="Q2466" s="3">
        <v>40714.0</v>
      </c>
      <c r="R2466" s="1"/>
      <c r="S2466" s="1"/>
      <c r="T2466" s="1" t="s">
        <v>37</v>
      </c>
      <c r="U2466" s="1"/>
      <c r="V2466" s="1" t="s">
        <v>38</v>
      </c>
      <c r="W2466" s="1">
        <v>42.8294936</v>
      </c>
      <c r="X2466" s="1">
        <v>-73.2168685</v>
      </c>
      <c r="Y2466" s="1" t="s">
        <v>9849</v>
      </c>
      <c r="Z2466" s="1"/>
      <c r="AA2466" s="1" t="s">
        <v>40</v>
      </c>
      <c r="AB2466" s="1" t="s">
        <v>414</v>
      </c>
      <c r="AC2466" s="1">
        <v>5201.0</v>
      </c>
    </row>
    <row r="2467">
      <c r="A2467" s="1" t="str">
        <f>"000H3D"</f>
        <v>000H3D</v>
      </c>
      <c r="B2467" s="1" t="s">
        <v>9850</v>
      </c>
      <c r="C2467" s="1" t="s">
        <v>9851</v>
      </c>
      <c r="D2467" s="1" t="str">
        <f>"8023875790"</f>
        <v>8023875790</v>
      </c>
      <c r="E2467" s="1">
        <v>4321.0</v>
      </c>
      <c r="F2467" s="1" t="s">
        <v>44</v>
      </c>
      <c r="G2467" s="1" t="s">
        <v>9852</v>
      </c>
      <c r="H2467" s="1">
        <v>4.0</v>
      </c>
      <c r="I2467" s="2" t="s">
        <v>119</v>
      </c>
      <c r="J2467" s="2">
        <v>4.0</v>
      </c>
      <c r="K2467" s="2" t="s">
        <v>119</v>
      </c>
      <c r="L2467" s="1"/>
      <c r="M2467" s="1" t="s">
        <v>33</v>
      </c>
      <c r="N2467" s="1" t="s">
        <v>66</v>
      </c>
      <c r="O2467" s="1" t="s">
        <v>593</v>
      </c>
      <c r="P2467" s="1" t="s">
        <v>36</v>
      </c>
      <c r="Q2467" s="3">
        <v>40715.0</v>
      </c>
      <c r="R2467" s="1"/>
      <c r="S2467" s="1"/>
      <c r="T2467" s="1" t="s">
        <v>37</v>
      </c>
      <c r="U2467" s="1"/>
      <c r="V2467" s="1" t="s">
        <v>38</v>
      </c>
      <c r="W2467" s="1">
        <v>42.9920459999999</v>
      </c>
      <c r="X2467" s="1">
        <v>-72.4691389999999</v>
      </c>
      <c r="Y2467" s="1" t="s">
        <v>9853</v>
      </c>
      <c r="Z2467" s="1"/>
      <c r="AA2467" s="1" t="s">
        <v>40</v>
      </c>
      <c r="AB2467" s="1" t="s">
        <v>594</v>
      </c>
      <c r="AC2467" s="1">
        <v>5346.0</v>
      </c>
    </row>
    <row r="2468">
      <c r="A2468" s="1" t="str">
        <f>"000H3G"</f>
        <v>000H3G</v>
      </c>
      <c r="B2468" s="1" t="s">
        <v>9854</v>
      </c>
      <c r="C2468" s="1" t="s">
        <v>9855</v>
      </c>
      <c r="D2468" s="1" t="str">
        <f>"8028812471"</f>
        <v>8028812471</v>
      </c>
      <c r="E2468" s="1">
        <v>4323.0</v>
      </c>
      <c r="F2468" s="1" t="s">
        <v>117</v>
      </c>
      <c r="G2468" s="1" t="s">
        <v>9856</v>
      </c>
      <c r="H2468" s="1">
        <v>1.0</v>
      </c>
      <c r="I2468" s="2">
        <v>1.0</v>
      </c>
      <c r="J2468" s="2">
        <v>1.0</v>
      </c>
      <c r="K2468" s="2" t="s">
        <v>119</v>
      </c>
      <c r="L2468" s="2" t="s">
        <v>4799</v>
      </c>
      <c r="M2468" s="1" t="s">
        <v>33</v>
      </c>
      <c r="N2468" s="1" t="s">
        <v>57</v>
      </c>
      <c r="O2468" s="1" t="s">
        <v>175</v>
      </c>
      <c r="P2468" s="1" t="s">
        <v>9857</v>
      </c>
      <c r="Q2468" s="3">
        <v>40702.0</v>
      </c>
      <c r="R2468" s="1"/>
      <c r="S2468" s="3">
        <v>42619.0</v>
      </c>
      <c r="T2468" s="1" t="s">
        <v>37</v>
      </c>
      <c r="U2468" s="1"/>
      <c r="V2468" s="1" t="s">
        <v>38</v>
      </c>
      <c r="W2468" s="1">
        <v>44.466519</v>
      </c>
      <c r="X2468" s="1">
        <v>-73.210171</v>
      </c>
      <c r="Y2468" s="1" t="s">
        <v>9858</v>
      </c>
      <c r="Z2468" s="1"/>
      <c r="AA2468" s="1" t="s">
        <v>40</v>
      </c>
      <c r="AB2468" s="1" t="s">
        <v>176</v>
      </c>
      <c r="AC2468" s="1">
        <v>5401.0</v>
      </c>
    </row>
    <row r="2469">
      <c r="A2469" s="1" t="str">
        <f>"000H3H"</f>
        <v>000H3H</v>
      </c>
      <c r="B2469" s="1" t="s">
        <v>9859</v>
      </c>
      <c r="C2469" s="1" t="s">
        <v>9860</v>
      </c>
      <c r="D2469" s="1" t="str">
        <f>"8028794534"</f>
        <v>8028794534</v>
      </c>
      <c r="E2469" s="1">
        <v>4324.0</v>
      </c>
      <c r="F2469" s="1" t="s">
        <v>44</v>
      </c>
      <c r="G2469" s="1" t="s">
        <v>9861</v>
      </c>
      <c r="H2469" s="1">
        <v>1.0</v>
      </c>
      <c r="I2469" s="1"/>
      <c r="J2469" s="1"/>
      <c r="K2469" s="1"/>
      <c r="L2469" s="1"/>
      <c r="M2469" s="1" t="s">
        <v>33</v>
      </c>
      <c r="N2469" s="1" t="s">
        <v>57</v>
      </c>
      <c r="O2469" s="1" t="s">
        <v>559</v>
      </c>
      <c r="P2469" s="1" t="s">
        <v>36</v>
      </c>
      <c r="Q2469" s="3">
        <v>40699.0</v>
      </c>
      <c r="R2469" s="1"/>
      <c r="S2469" s="3">
        <v>40751.0</v>
      </c>
      <c r="T2469" s="1" t="s">
        <v>37</v>
      </c>
      <c r="U2469" s="1"/>
      <c r="V2469" s="1" t="s">
        <v>38</v>
      </c>
      <c r="W2469" s="1">
        <v>44.516154</v>
      </c>
      <c r="X2469" s="1">
        <v>-73.147874</v>
      </c>
      <c r="Y2469" s="1" t="s">
        <v>9862</v>
      </c>
      <c r="Z2469" s="1"/>
      <c r="AA2469" s="1" t="s">
        <v>40</v>
      </c>
      <c r="AB2469" s="1" t="s">
        <v>560</v>
      </c>
      <c r="AC2469" s="1">
        <v>5446.0</v>
      </c>
    </row>
    <row r="2470">
      <c r="A2470" s="1" t="str">
        <f>"000H3J"</f>
        <v>000H3J</v>
      </c>
      <c r="B2470" s="1" t="s">
        <v>9863</v>
      </c>
      <c r="C2470" s="1" t="s">
        <v>9864</v>
      </c>
      <c r="D2470" s="1" t="str">
        <f>"8029337444"</f>
        <v>8029337444</v>
      </c>
      <c r="E2470" s="1">
        <v>4325.0</v>
      </c>
      <c r="F2470" s="1" t="s">
        <v>44</v>
      </c>
      <c r="G2470" s="1" t="s">
        <v>9865</v>
      </c>
      <c r="H2470" s="1">
        <v>3.0</v>
      </c>
      <c r="I2470" s="1"/>
      <c r="J2470" s="1"/>
      <c r="K2470" s="1"/>
      <c r="L2470" s="1"/>
      <c r="M2470" s="1" t="s">
        <v>9866</v>
      </c>
      <c r="N2470" s="1" t="s">
        <v>47</v>
      </c>
      <c r="O2470" s="1" t="s">
        <v>670</v>
      </c>
      <c r="P2470" s="1" t="s">
        <v>9867</v>
      </c>
      <c r="Q2470" s="3">
        <v>40699.0</v>
      </c>
      <c r="R2470" s="1"/>
      <c r="S2470" s="1"/>
      <c r="T2470" s="1" t="s">
        <v>37</v>
      </c>
      <c r="U2470" s="1"/>
      <c r="V2470" s="1" t="s">
        <v>38</v>
      </c>
      <c r="W2470" s="1"/>
      <c r="X2470" s="1"/>
      <c r="Y2470" s="1" t="s">
        <v>9868</v>
      </c>
      <c r="Z2470" s="1"/>
      <c r="AA2470" s="1" t="s">
        <v>40</v>
      </c>
      <c r="AB2470" s="1" t="s">
        <v>671</v>
      </c>
      <c r="AC2470" s="1">
        <v>5450.0</v>
      </c>
    </row>
    <row r="2471">
      <c r="A2471" s="1" t="str">
        <f>"000H3Y"</f>
        <v>000H3Y</v>
      </c>
      <c r="B2471" s="1" t="s">
        <v>9869</v>
      </c>
      <c r="C2471" s="1" t="s">
        <v>9870</v>
      </c>
      <c r="D2471" s="1" t="str">
        <f>"8024254259"</f>
        <v>8024254259</v>
      </c>
      <c r="E2471" s="1">
        <v>4328.0</v>
      </c>
      <c r="F2471" s="1" t="s">
        <v>44</v>
      </c>
      <c r="G2471" s="1" t="s">
        <v>9871</v>
      </c>
      <c r="H2471" s="1">
        <v>1.0</v>
      </c>
      <c r="I2471" s="1"/>
      <c r="J2471" s="1"/>
      <c r="K2471" s="1"/>
      <c r="L2471" s="1"/>
      <c r="M2471" s="1" t="s">
        <v>33</v>
      </c>
      <c r="N2471" s="1" t="s">
        <v>57</v>
      </c>
      <c r="O2471" s="1" t="s">
        <v>1633</v>
      </c>
      <c r="P2471" s="1" t="s">
        <v>36</v>
      </c>
      <c r="Q2471" s="3">
        <v>40720.0</v>
      </c>
      <c r="R2471" s="1"/>
      <c r="S2471" s="1"/>
      <c r="T2471" s="1" t="s">
        <v>37</v>
      </c>
      <c r="U2471" s="1"/>
      <c r="V2471" s="1" t="s">
        <v>38</v>
      </c>
      <c r="W2471" s="1"/>
      <c r="X2471" s="1"/>
      <c r="Y2471" s="1" t="s">
        <v>9872</v>
      </c>
      <c r="Z2471" s="1"/>
      <c r="AA2471" s="1" t="s">
        <v>40</v>
      </c>
      <c r="AB2471" s="1" t="s">
        <v>1634</v>
      </c>
      <c r="AC2471" s="1">
        <v>5445.0</v>
      </c>
    </row>
    <row r="2472">
      <c r="A2472" s="1" t="str">
        <f>"000H3Z"</f>
        <v>000H3Z</v>
      </c>
      <c r="B2472" s="1" t="s">
        <v>9873</v>
      </c>
      <c r="C2472" s="1" t="s">
        <v>9874</v>
      </c>
      <c r="D2472" s="1" t="str">
        <f>"8025253002"</f>
        <v>8025253002</v>
      </c>
      <c r="E2472" s="1">
        <v>4329.0</v>
      </c>
      <c r="F2472" s="1" t="s">
        <v>44</v>
      </c>
      <c r="G2472" s="1" t="s">
        <v>9875</v>
      </c>
      <c r="H2472" s="1">
        <v>2.0</v>
      </c>
      <c r="I2472" s="1"/>
      <c r="J2472" s="1"/>
      <c r="K2472" s="1"/>
      <c r="L2472" s="1"/>
      <c r="M2472" s="1" t="s">
        <v>33</v>
      </c>
      <c r="N2472" s="1" t="s">
        <v>94</v>
      </c>
      <c r="O2472" s="1" t="s">
        <v>1672</v>
      </c>
      <c r="P2472" s="1" t="s">
        <v>36</v>
      </c>
      <c r="Q2472" s="3">
        <v>40725.0</v>
      </c>
      <c r="R2472" s="1"/>
      <c r="S2472" s="1"/>
      <c r="T2472" s="1" t="s">
        <v>37</v>
      </c>
      <c r="U2472" s="1"/>
      <c r="V2472" s="1" t="s">
        <v>38</v>
      </c>
      <c r="W2472" s="1"/>
      <c r="X2472" s="1"/>
      <c r="Y2472" s="1" t="s">
        <v>9876</v>
      </c>
      <c r="Z2472" s="1"/>
      <c r="AA2472" s="1" t="s">
        <v>40</v>
      </c>
      <c r="AB2472" s="1" t="s">
        <v>1673</v>
      </c>
      <c r="AC2472" s="1">
        <v>5822.0</v>
      </c>
    </row>
    <row r="2473">
      <c r="A2473" s="1" t="str">
        <f>"000H42"</f>
        <v>000H42</v>
      </c>
      <c r="B2473" s="1" t="s">
        <v>9877</v>
      </c>
      <c r="C2473" s="1" t="s">
        <v>9878</v>
      </c>
      <c r="D2473" s="1" t="str">
        <f>"8023161817"</f>
        <v>8023161817</v>
      </c>
      <c r="E2473" s="1">
        <v>4332.0</v>
      </c>
      <c r="F2473" s="1" t="s">
        <v>44</v>
      </c>
      <c r="G2473" s="1" t="s">
        <v>9879</v>
      </c>
      <c r="H2473" s="1">
        <v>2.0</v>
      </c>
      <c r="I2473" s="1"/>
      <c r="J2473" s="1"/>
      <c r="K2473" s="1"/>
      <c r="L2473" s="1"/>
      <c r="M2473" s="1" t="s">
        <v>33</v>
      </c>
      <c r="N2473" s="1" t="s">
        <v>57</v>
      </c>
      <c r="O2473" s="1" t="s">
        <v>2092</v>
      </c>
      <c r="P2473" s="1" t="s">
        <v>36</v>
      </c>
      <c r="Q2473" s="3">
        <v>40687.0</v>
      </c>
      <c r="R2473" s="1"/>
      <c r="S2473" s="1"/>
      <c r="T2473" s="1" t="s">
        <v>37</v>
      </c>
      <c r="U2473" s="1"/>
      <c r="V2473" s="1" t="s">
        <v>38</v>
      </c>
      <c r="W2473" s="1"/>
      <c r="X2473" s="1"/>
      <c r="Y2473" s="1" t="s">
        <v>9880</v>
      </c>
      <c r="Z2473" s="1"/>
      <c r="AA2473" s="1" t="s">
        <v>40</v>
      </c>
      <c r="AB2473" s="1" t="s">
        <v>2093</v>
      </c>
      <c r="AC2473" s="1">
        <v>5495.0</v>
      </c>
    </row>
    <row r="2474">
      <c r="A2474" s="1" t="str">
        <f>"000H43"</f>
        <v>000H43</v>
      </c>
      <c r="B2474" s="1" t="s">
        <v>9881</v>
      </c>
      <c r="C2474" s="1" t="s">
        <v>9882</v>
      </c>
      <c r="D2474" s="1" t="str">
        <f>"8022474046"</f>
        <v>8022474046</v>
      </c>
      <c r="E2474" s="1">
        <v>4333.0</v>
      </c>
      <c r="F2474" s="1" t="s">
        <v>117</v>
      </c>
      <c r="G2474" s="1" t="s">
        <v>9883</v>
      </c>
      <c r="H2474" s="1">
        <v>1.0</v>
      </c>
      <c r="I2474" s="2" t="s">
        <v>119</v>
      </c>
      <c r="J2474" s="2" t="s">
        <v>119</v>
      </c>
      <c r="K2474" s="2" t="s">
        <v>119</v>
      </c>
      <c r="L2474" s="1"/>
      <c r="M2474" s="1" t="s">
        <v>9884</v>
      </c>
      <c r="N2474" s="1" t="s">
        <v>78</v>
      </c>
      <c r="O2474" s="1" t="s">
        <v>2574</v>
      </c>
      <c r="P2474" s="1" t="s">
        <v>9885</v>
      </c>
      <c r="Q2474" s="3">
        <v>40664.0</v>
      </c>
      <c r="R2474" s="1"/>
      <c r="S2474" s="1"/>
      <c r="T2474" s="1" t="s">
        <v>37</v>
      </c>
      <c r="U2474" s="1"/>
      <c r="V2474" s="1" t="s">
        <v>38</v>
      </c>
      <c r="W2474" s="1">
        <v>43.8311769</v>
      </c>
      <c r="X2474" s="1">
        <v>-73.084555</v>
      </c>
      <c r="Y2474" s="1" t="s">
        <v>9886</v>
      </c>
      <c r="Z2474" s="1"/>
      <c r="AA2474" s="1" t="s">
        <v>40</v>
      </c>
      <c r="AB2474" s="1" t="s">
        <v>2575</v>
      </c>
      <c r="AC2474" s="1">
        <v>5733.0</v>
      </c>
    </row>
    <row r="2475">
      <c r="A2475" s="1" t="str">
        <f>"000H44"</f>
        <v>000H44</v>
      </c>
      <c r="B2475" s="1" t="s">
        <v>9887</v>
      </c>
      <c r="C2475" s="1" t="s">
        <v>9888</v>
      </c>
      <c r="D2475" s="1" t="str">
        <f>"8027457842"</f>
        <v>8027457842</v>
      </c>
      <c r="E2475" s="1">
        <v>4334.0</v>
      </c>
      <c r="F2475" s="1" t="s">
        <v>44</v>
      </c>
      <c r="G2475" s="1" t="s">
        <v>9889</v>
      </c>
      <c r="H2475" s="1">
        <v>2.0</v>
      </c>
      <c r="I2475" s="1"/>
      <c r="J2475" s="1"/>
      <c r="K2475" s="1"/>
      <c r="L2475" s="1"/>
      <c r="M2475" s="1" t="s">
        <v>33</v>
      </c>
      <c r="N2475" s="1" t="s">
        <v>94</v>
      </c>
      <c r="O2475" s="1" t="s">
        <v>3623</v>
      </c>
      <c r="P2475" s="1" t="s">
        <v>36</v>
      </c>
      <c r="Q2475" s="3">
        <v>40658.0</v>
      </c>
      <c r="R2475" s="1"/>
      <c r="S2475" s="1"/>
      <c r="T2475" s="1" t="s">
        <v>37</v>
      </c>
      <c r="U2475" s="1"/>
      <c r="V2475" s="1" t="s">
        <v>38</v>
      </c>
      <c r="W2475" s="1">
        <v>44.77153</v>
      </c>
      <c r="X2475" s="1">
        <v>-72.246346</v>
      </c>
      <c r="Y2475" s="1" t="s">
        <v>9890</v>
      </c>
      <c r="Z2475" s="1"/>
      <c r="AA2475" s="1" t="s">
        <v>40</v>
      </c>
      <c r="AB2475" s="1" t="s">
        <v>1673</v>
      </c>
      <c r="AC2475" s="1">
        <v>5822.0</v>
      </c>
    </row>
    <row r="2476">
      <c r="A2476" s="1" t="str">
        <f>"000H4Q"</f>
        <v>000H4Q</v>
      </c>
      <c r="B2476" s="1" t="s">
        <v>9891</v>
      </c>
      <c r="C2476" s="1" t="s">
        <v>9892</v>
      </c>
      <c r="D2476" s="1" t="str">
        <f>"8028887214"</f>
        <v>8028887214</v>
      </c>
      <c r="E2476" s="1">
        <v>4336.0</v>
      </c>
      <c r="F2476" s="1" t="s">
        <v>44</v>
      </c>
      <c r="G2476" s="1" t="s">
        <v>9893</v>
      </c>
      <c r="H2476" s="1">
        <v>2.0</v>
      </c>
      <c r="I2476" s="1"/>
      <c r="J2476" s="1"/>
      <c r="K2476" s="1"/>
      <c r="L2476" s="1"/>
      <c r="M2476" s="1" t="s">
        <v>33</v>
      </c>
      <c r="N2476" s="1" t="s">
        <v>213</v>
      </c>
      <c r="O2476" s="1" t="s">
        <v>625</v>
      </c>
      <c r="P2476" s="1" t="s">
        <v>9894</v>
      </c>
      <c r="Q2476" s="3">
        <v>40738.0</v>
      </c>
      <c r="R2476" s="1"/>
      <c r="S2476" s="1"/>
      <c r="T2476" s="1" t="s">
        <v>37</v>
      </c>
      <c r="U2476" s="1"/>
      <c r="V2476" s="1" t="s">
        <v>38</v>
      </c>
      <c r="W2476" s="1"/>
      <c r="X2476" s="1"/>
      <c r="Y2476" s="1" t="s">
        <v>9895</v>
      </c>
      <c r="Z2476" s="1"/>
      <c r="AA2476" s="1" t="s">
        <v>40</v>
      </c>
      <c r="AB2476" s="1" t="s">
        <v>626</v>
      </c>
      <c r="AC2476" s="1">
        <v>5655.0</v>
      </c>
    </row>
    <row r="2477">
      <c r="A2477" s="1" t="str">
        <f>"000H4W"</f>
        <v>000H4W</v>
      </c>
      <c r="B2477" s="1" t="s">
        <v>9896</v>
      </c>
      <c r="C2477" s="1" t="s">
        <v>9897</v>
      </c>
      <c r="D2477" s="1" t="str">
        <f>"8028648274"</f>
        <v>8028648274</v>
      </c>
      <c r="E2477" s="1">
        <v>4337.0</v>
      </c>
      <c r="F2477" s="1" t="s">
        <v>117</v>
      </c>
      <c r="G2477" s="1" t="s">
        <v>9898</v>
      </c>
      <c r="H2477" s="1">
        <v>1.0</v>
      </c>
      <c r="I2477" s="2">
        <v>2.0</v>
      </c>
      <c r="J2477" s="2">
        <v>2.0</v>
      </c>
      <c r="K2477" s="2" t="s">
        <v>119</v>
      </c>
      <c r="L2477" s="1"/>
      <c r="M2477" s="1" t="s">
        <v>799</v>
      </c>
      <c r="N2477" s="1" t="s">
        <v>57</v>
      </c>
      <c r="O2477" s="1" t="s">
        <v>175</v>
      </c>
      <c r="P2477" s="1" t="s">
        <v>9899</v>
      </c>
      <c r="Q2477" s="3">
        <v>40746.0</v>
      </c>
      <c r="R2477" s="1"/>
      <c r="S2477" s="1"/>
      <c r="T2477" s="1" t="s">
        <v>37</v>
      </c>
      <c r="U2477" s="1"/>
      <c r="V2477" s="1" t="s">
        <v>38</v>
      </c>
      <c r="W2477" s="1">
        <v>44.4846913</v>
      </c>
      <c r="X2477" s="1">
        <v>-73.206537</v>
      </c>
      <c r="Y2477" s="1" t="s">
        <v>9900</v>
      </c>
      <c r="Z2477" s="1"/>
      <c r="AA2477" s="1" t="s">
        <v>40</v>
      </c>
      <c r="AB2477" s="1" t="s">
        <v>176</v>
      </c>
      <c r="AC2477" s="1">
        <v>5401.0</v>
      </c>
    </row>
    <row r="2478">
      <c r="A2478" s="1" t="str">
        <f>"000H4X"</f>
        <v>000H4X</v>
      </c>
      <c r="B2478" s="1" t="s">
        <v>9901</v>
      </c>
      <c r="C2478" s="1" t="s">
        <v>9902</v>
      </c>
      <c r="D2478" s="1" t="str">
        <f>"8025249120"</f>
        <v>8025249120</v>
      </c>
      <c r="E2478" s="1">
        <v>4338.0</v>
      </c>
      <c r="F2478" s="1" t="s">
        <v>44</v>
      </c>
      <c r="G2478" s="1" t="s">
        <v>9903</v>
      </c>
      <c r="H2478" s="1">
        <v>1.0</v>
      </c>
      <c r="I2478" s="1"/>
      <c r="J2478" s="1"/>
      <c r="K2478" s="1"/>
      <c r="L2478" s="1"/>
      <c r="M2478" s="1" t="s">
        <v>33</v>
      </c>
      <c r="N2478" s="1" t="s">
        <v>47</v>
      </c>
      <c r="O2478" s="1" t="s">
        <v>2753</v>
      </c>
      <c r="P2478" s="1" t="s">
        <v>36</v>
      </c>
      <c r="Q2478" s="3">
        <v>40724.0</v>
      </c>
      <c r="R2478" s="1"/>
      <c r="S2478" s="1"/>
      <c r="T2478" s="1" t="s">
        <v>37</v>
      </c>
      <c r="U2478" s="1"/>
      <c r="V2478" s="1" t="s">
        <v>38</v>
      </c>
      <c r="W2478" s="1">
        <v>44.794204715174</v>
      </c>
      <c r="X2478" s="1">
        <v>-73.0450701713562</v>
      </c>
      <c r="Y2478" s="1" t="s">
        <v>9904</v>
      </c>
      <c r="Z2478" s="1"/>
      <c r="AA2478" s="1" t="s">
        <v>40</v>
      </c>
      <c r="AB2478" s="1" t="s">
        <v>5776</v>
      </c>
      <c r="AC2478" s="1">
        <v>5478.0</v>
      </c>
    </row>
    <row r="2479">
      <c r="A2479" s="1" t="str">
        <f>"000H4Y"</f>
        <v>000H4Y</v>
      </c>
      <c r="B2479" s="1" t="s">
        <v>9905</v>
      </c>
      <c r="C2479" s="1" t="s">
        <v>9906</v>
      </c>
      <c r="D2479" s="1" t="str">
        <f>"8028628637"</f>
        <v>8028628637</v>
      </c>
      <c r="E2479" s="1">
        <v>4339.0</v>
      </c>
      <c r="F2479" s="1" t="s">
        <v>117</v>
      </c>
      <c r="G2479" s="1" t="s">
        <v>9907</v>
      </c>
      <c r="H2479" s="1">
        <v>10.0</v>
      </c>
      <c r="I2479" s="2">
        <v>7.0</v>
      </c>
      <c r="J2479" s="2">
        <v>7.0</v>
      </c>
      <c r="K2479" s="2" t="s">
        <v>119</v>
      </c>
      <c r="L2479" s="2" t="s">
        <v>4799</v>
      </c>
      <c r="M2479" s="1" t="s">
        <v>9908</v>
      </c>
      <c r="N2479" s="1" t="s">
        <v>57</v>
      </c>
      <c r="O2479" s="1" t="s">
        <v>204</v>
      </c>
      <c r="P2479" s="1" t="s">
        <v>9909</v>
      </c>
      <c r="Q2479" s="3">
        <v>40729.0</v>
      </c>
      <c r="R2479" s="1"/>
      <c r="S2479" s="1"/>
      <c r="T2479" s="1" t="s">
        <v>37</v>
      </c>
      <c r="U2479" s="1"/>
      <c r="V2479" s="1" t="s">
        <v>38</v>
      </c>
      <c r="W2479" s="1">
        <v>44.3672524</v>
      </c>
      <c r="X2479" s="1">
        <v>-73.0499481</v>
      </c>
      <c r="Y2479" s="1" t="s">
        <v>9910</v>
      </c>
      <c r="Z2479" s="1"/>
      <c r="AA2479" s="1" t="s">
        <v>40</v>
      </c>
      <c r="AB2479" s="1" t="s">
        <v>205</v>
      </c>
      <c r="AC2479" s="1">
        <v>5461.0</v>
      </c>
    </row>
    <row r="2480">
      <c r="A2480" s="1" t="str">
        <f>"000H50"</f>
        <v>000H50</v>
      </c>
      <c r="B2480" s="1" t="s">
        <v>9911</v>
      </c>
      <c r="C2480" s="1" t="s">
        <v>9912</v>
      </c>
      <c r="D2480" s="1" t="str">
        <f>"8027481309"</f>
        <v>8027481309</v>
      </c>
      <c r="E2480" s="1">
        <v>4341.0</v>
      </c>
      <c r="F2480" s="1" t="s">
        <v>44</v>
      </c>
      <c r="G2480" s="1" t="s">
        <v>9913</v>
      </c>
      <c r="H2480" s="1">
        <v>1.0</v>
      </c>
      <c r="I2480" s="1"/>
      <c r="J2480" s="1"/>
      <c r="K2480" s="1"/>
      <c r="L2480" s="1"/>
      <c r="M2480" s="1" t="s">
        <v>33</v>
      </c>
      <c r="N2480" s="1" t="s">
        <v>128</v>
      </c>
      <c r="O2480" s="1" t="s">
        <v>129</v>
      </c>
      <c r="P2480" s="1" t="s">
        <v>36</v>
      </c>
      <c r="Q2480" s="3">
        <v>40746.0</v>
      </c>
      <c r="R2480" s="1"/>
      <c r="S2480" s="3">
        <v>42220.0</v>
      </c>
      <c r="T2480" s="1" t="s">
        <v>37</v>
      </c>
      <c r="U2480" s="1"/>
      <c r="V2480" s="1" t="s">
        <v>38</v>
      </c>
      <c r="W2480" s="1">
        <v>44.464697</v>
      </c>
      <c r="X2480" s="1">
        <v>-72.10874</v>
      </c>
      <c r="Y2480" s="1" t="s">
        <v>9914</v>
      </c>
      <c r="Z2480" s="1"/>
      <c r="AA2480" s="1" t="s">
        <v>40</v>
      </c>
      <c r="AB2480" s="1" t="s">
        <v>130</v>
      </c>
      <c r="AC2480" s="1">
        <v>5828.0</v>
      </c>
    </row>
    <row r="2481">
      <c r="A2481" s="1" t="str">
        <f>"000H51"</f>
        <v>000H51</v>
      </c>
      <c r="B2481" s="1" t="s">
        <v>9915</v>
      </c>
      <c r="C2481" s="1" t="s">
        <v>9916</v>
      </c>
      <c r="D2481" s="1" t="str">
        <f>"8029336549"</f>
        <v>8029336549</v>
      </c>
      <c r="E2481" s="1">
        <v>4342.0</v>
      </c>
      <c r="F2481" s="1" t="s">
        <v>117</v>
      </c>
      <c r="G2481" s="1" t="s">
        <v>9917</v>
      </c>
      <c r="H2481" s="1">
        <v>2.0</v>
      </c>
      <c r="I2481" s="2" t="s">
        <v>119</v>
      </c>
      <c r="J2481" s="2">
        <v>2.0</v>
      </c>
      <c r="K2481" s="2" t="s">
        <v>119</v>
      </c>
      <c r="L2481" s="1"/>
      <c r="M2481" s="1" t="s">
        <v>9918</v>
      </c>
      <c r="N2481" s="1" t="s">
        <v>47</v>
      </c>
      <c r="O2481" s="1" t="s">
        <v>2319</v>
      </c>
      <c r="P2481" s="1" t="s">
        <v>9919</v>
      </c>
      <c r="Q2481" s="3">
        <v>40694.0</v>
      </c>
      <c r="R2481" s="1"/>
      <c r="S2481" s="1"/>
      <c r="T2481" s="1" t="s">
        <v>37</v>
      </c>
      <c r="U2481" s="1"/>
      <c r="V2481" s="1" t="s">
        <v>38</v>
      </c>
      <c r="W2481" s="1">
        <v>44.9694884</v>
      </c>
      <c r="X2481" s="1">
        <v>-72.8536189999999</v>
      </c>
      <c r="Y2481" s="1" t="s">
        <v>9920</v>
      </c>
      <c r="Z2481" s="1"/>
      <c r="AA2481" s="1" t="s">
        <v>40</v>
      </c>
      <c r="AB2481" s="1" t="s">
        <v>267</v>
      </c>
      <c r="AC2481" s="1">
        <v>5450.0</v>
      </c>
    </row>
    <row r="2482">
      <c r="A2482" s="1" t="str">
        <f>"000H52"</f>
        <v>000H52</v>
      </c>
      <c r="B2482" s="1" t="s">
        <v>9921</v>
      </c>
      <c r="C2482" s="1" t="s">
        <v>9922</v>
      </c>
      <c r="D2482" s="1" t="str">
        <f>"8023162650"</f>
        <v>8023162650</v>
      </c>
      <c r="E2482" s="1">
        <v>4343.0</v>
      </c>
      <c r="F2482" s="1" t="s">
        <v>44</v>
      </c>
      <c r="G2482" s="1" t="s">
        <v>9923</v>
      </c>
      <c r="H2482" s="1">
        <v>1.0</v>
      </c>
      <c r="I2482" s="1"/>
      <c r="J2482" s="1"/>
      <c r="K2482" s="1"/>
      <c r="L2482" s="1"/>
      <c r="M2482" s="1" t="s">
        <v>33</v>
      </c>
      <c r="N2482" s="1" t="s">
        <v>57</v>
      </c>
      <c r="O2482" s="1" t="s">
        <v>58</v>
      </c>
      <c r="P2482" s="1" t="s">
        <v>36</v>
      </c>
      <c r="Q2482" s="3">
        <v>40688.0</v>
      </c>
      <c r="R2482" s="1"/>
      <c r="S2482" s="1"/>
      <c r="T2482" s="1" t="s">
        <v>37</v>
      </c>
      <c r="U2482" s="1"/>
      <c r="V2482" s="1" t="s">
        <v>38</v>
      </c>
      <c r="W2482" s="1">
        <v>44.5318594</v>
      </c>
      <c r="X2482" s="1">
        <v>-72.9446775999999</v>
      </c>
      <c r="Y2482" s="1" t="s">
        <v>9924</v>
      </c>
      <c r="Z2482" s="1"/>
      <c r="AA2482" s="1" t="s">
        <v>40</v>
      </c>
      <c r="AB2482" s="1" t="s">
        <v>61</v>
      </c>
      <c r="AC2482" s="1">
        <v>5489.0</v>
      </c>
    </row>
    <row r="2483">
      <c r="A2483" s="1" t="str">
        <f>"000H6W"</f>
        <v>000H6W</v>
      </c>
      <c r="B2483" s="1" t="s">
        <v>1055</v>
      </c>
      <c r="C2483" s="1" t="s">
        <v>9925</v>
      </c>
      <c r="D2483" s="1" t="str">
        <f>"8025270154"</f>
        <v>8025270154</v>
      </c>
      <c r="E2483" s="1">
        <v>4348.0</v>
      </c>
      <c r="F2483" s="1" t="s">
        <v>44</v>
      </c>
      <c r="G2483" s="1" t="s">
        <v>9926</v>
      </c>
      <c r="H2483" s="1">
        <v>1.0</v>
      </c>
      <c r="I2483" s="2">
        <v>1.0</v>
      </c>
      <c r="J2483" s="2">
        <v>1.0</v>
      </c>
      <c r="K2483" s="2" t="s">
        <v>119</v>
      </c>
      <c r="L2483" s="1"/>
      <c r="M2483" s="1" t="s">
        <v>33</v>
      </c>
      <c r="N2483" s="1" t="s">
        <v>47</v>
      </c>
      <c r="O2483" s="1" t="s">
        <v>2837</v>
      </c>
      <c r="P2483" s="1" t="s">
        <v>9927</v>
      </c>
      <c r="Q2483" s="3">
        <v>40749.0</v>
      </c>
      <c r="R2483" s="1"/>
      <c r="S2483" s="1"/>
      <c r="T2483" s="1" t="s">
        <v>37</v>
      </c>
      <c r="U2483" s="1"/>
      <c r="V2483" s="1" t="s">
        <v>38</v>
      </c>
      <c r="W2483" s="1">
        <v>44.793101</v>
      </c>
      <c r="X2483" s="1">
        <v>-73.093211</v>
      </c>
      <c r="Y2483" s="1" t="s">
        <v>9928</v>
      </c>
      <c r="Z2483" s="1"/>
      <c r="AA2483" s="1" t="s">
        <v>40</v>
      </c>
      <c r="AB2483" s="1" t="s">
        <v>5776</v>
      </c>
      <c r="AC2483" s="1">
        <v>5478.0</v>
      </c>
    </row>
    <row r="2484">
      <c r="A2484" s="1" t="str">
        <f>"000H6Y"</f>
        <v>000H6Y</v>
      </c>
      <c r="B2484" s="1" t="s">
        <v>9929</v>
      </c>
      <c r="C2484" s="1" t="s">
        <v>9930</v>
      </c>
      <c r="D2484" s="1" t="str">
        <f>"8028797080"</f>
        <v>8028797080</v>
      </c>
      <c r="E2484" s="1">
        <v>4350.0</v>
      </c>
      <c r="F2484" s="1" t="s">
        <v>117</v>
      </c>
      <c r="G2484" s="1" t="s">
        <v>9931</v>
      </c>
      <c r="H2484" s="1">
        <v>7.0</v>
      </c>
      <c r="I2484" s="2">
        <v>1.0</v>
      </c>
      <c r="J2484" s="2">
        <v>1.0</v>
      </c>
      <c r="K2484" s="2" t="s">
        <v>119</v>
      </c>
      <c r="L2484" s="1"/>
      <c r="M2484" s="1" t="s">
        <v>9932</v>
      </c>
      <c r="N2484" s="1" t="s">
        <v>57</v>
      </c>
      <c r="O2484" s="1" t="s">
        <v>509</v>
      </c>
      <c r="P2484" s="1" t="s">
        <v>9933</v>
      </c>
      <c r="Q2484" s="3">
        <v>40664.0</v>
      </c>
      <c r="R2484" s="1"/>
      <c r="S2484" s="3">
        <v>40688.0</v>
      </c>
      <c r="T2484" s="1" t="s">
        <v>37</v>
      </c>
      <c r="U2484" s="1"/>
      <c r="V2484" s="1" t="s">
        <v>38</v>
      </c>
      <c r="W2484" s="1"/>
      <c r="X2484" s="1"/>
      <c r="Y2484" s="1" t="s">
        <v>9934</v>
      </c>
      <c r="Z2484" s="1"/>
      <c r="AA2484" s="1" t="s">
        <v>40</v>
      </c>
      <c r="AB2484" s="1" t="s">
        <v>3296</v>
      </c>
      <c r="AC2484" s="1">
        <v>5452.0</v>
      </c>
    </row>
    <row r="2485">
      <c r="A2485" s="1" t="str">
        <f>"000H9P"</f>
        <v>000H9P</v>
      </c>
      <c r="B2485" s="1" t="s">
        <v>9935</v>
      </c>
      <c r="C2485" s="1" t="s">
        <v>9936</v>
      </c>
      <c r="D2485" s="1" t="str">
        <f>"8024573188"</f>
        <v>8024573188</v>
      </c>
      <c r="E2485" s="1">
        <v>4351.0</v>
      </c>
      <c r="F2485" s="1" t="s">
        <v>31</v>
      </c>
      <c r="G2485" s="1" t="s">
        <v>9937</v>
      </c>
      <c r="H2485" s="1">
        <v>2.0</v>
      </c>
      <c r="I2485" s="1"/>
      <c r="J2485" s="1"/>
      <c r="K2485" s="1"/>
      <c r="L2485" s="1"/>
      <c r="M2485" s="1" t="s">
        <v>9938</v>
      </c>
      <c r="N2485" s="1" t="s">
        <v>34</v>
      </c>
      <c r="O2485" s="1" t="s">
        <v>1286</v>
      </c>
      <c r="P2485" s="1"/>
      <c r="Q2485" s="3">
        <v>40761.0</v>
      </c>
      <c r="R2485" s="1"/>
      <c r="S2485" s="1"/>
      <c r="T2485" s="1" t="s">
        <v>37</v>
      </c>
      <c r="U2485" s="1"/>
      <c r="V2485" s="1" t="s">
        <v>38</v>
      </c>
      <c r="W2485" s="1">
        <v>43.657817</v>
      </c>
      <c r="X2485" s="1">
        <v>-72.509984</v>
      </c>
      <c r="Y2485" s="1" t="s">
        <v>9939</v>
      </c>
      <c r="Z2485" s="1"/>
      <c r="AA2485" s="1" t="s">
        <v>40</v>
      </c>
      <c r="AB2485" s="1" t="s">
        <v>326</v>
      </c>
      <c r="AC2485" s="1">
        <v>5091.0</v>
      </c>
    </row>
    <row r="2486">
      <c r="A2486" s="1" t="str">
        <f>"000H9Q"</f>
        <v>000H9Q</v>
      </c>
      <c r="B2486" s="1" t="s">
        <v>9940</v>
      </c>
      <c r="C2486" s="1" t="s">
        <v>9941</v>
      </c>
      <c r="D2486" s="1" t="str">
        <f>"8028492949"</f>
        <v>8028492949</v>
      </c>
      <c r="E2486" s="1">
        <v>4352.0</v>
      </c>
      <c r="F2486" s="1" t="s">
        <v>31</v>
      </c>
      <c r="G2486" s="1" t="s">
        <v>9942</v>
      </c>
      <c r="H2486" s="1">
        <v>5.0</v>
      </c>
      <c r="I2486" s="1"/>
      <c r="J2486" s="1"/>
      <c r="K2486" s="1"/>
      <c r="L2486" s="1"/>
      <c r="M2486" s="1" t="s">
        <v>33</v>
      </c>
      <c r="N2486" s="1" t="s">
        <v>47</v>
      </c>
      <c r="O2486" s="1" t="s">
        <v>378</v>
      </c>
      <c r="P2486" s="1" t="s">
        <v>9943</v>
      </c>
      <c r="Q2486" s="3">
        <v>40761.0</v>
      </c>
      <c r="R2486" s="1"/>
      <c r="S2486" s="3">
        <v>42564.0</v>
      </c>
      <c r="T2486" s="1" t="s">
        <v>37</v>
      </c>
      <c r="U2486" s="1"/>
      <c r="V2486" s="1" t="s">
        <v>9944</v>
      </c>
      <c r="W2486" s="1">
        <v>44.7332420551829</v>
      </c>
      <c r="X2486" s="1">
        <v>-73.0325299322703</v>
      </c>
      <c r="Y2486" s="1" t="s">
        <v>9945</v>
      </c>
      <c r="Z2486" s="1"/>
      <c r="AA2486" s="1" t="s">
        <v>40</v>
      </c>
      <c r="AB2486" s="1" t="s">
        <v>381</v>
      </c>
      <c r="AC2486" s="1">
        <v>5454.0</v>
      </c>
    </row>
    <row r="2487">
      <c r="A2487" s="1" t="str">
        <f>"000H9V"</f>
        <v>000H9V</v>
      </c>
      <c r="B2487" s="1" t="s">
        <v>9946</v>
      </c>
      <c r="C2487" s="1" t="s">
        <v>9947</v>
      </c>
      <c r="D2487" s="1"/>
      <c r="E2487" s="1">
        <v>4353.0</v>
      </c>
      <c r="F2487" s="1" t="s">
        <v>31</v>
      </c>
      <c r="G2487" s="1" t="s">
        <v>9948</v>
      </c>
      <c r="H2487" s="1">
        <v>10.0</v>
      </c>
      <c r="I2487" s="1"/>
      <c r="J2487" s="1"/>
      <c r="K2487" s="1"/>
      <c r="L2487" s="1"/>
      <c r="M2487" s="1" t="s">
        <v>33</v>
      </c>
      <c r="N2487" s="1" t="s">
        <v>57</v>
      </c>
      <c r="O2487" s="1" t="s">
        <v>745</v>
      </c>
      <c r="P2487" s="1" t="s">
        <v>36</v>
      </c>
      <c r="Q2487" s="3">
        <v>40785.0</v>
      </c>
      <c r="R2487" s="1"/>
      <c r="S2487" s="1"/>
      <c r="T2487" s="1" t="s">
        <v>37</v>
      </c>
      <c r="U2487" s="1"/>
      <c r="V2487" s="1" t="s">
        <v>38</v>
      </c>
      <c r="W2487" s="1"/>
      <c r="X2487" s="1"/>
      <c r="Y2487" s="1" t="s">
        <v>9949</v>
      </c>
      <c r="Z2487" s="1"/>
      <c r="AA2487" s="1" t="s">
        <v>40</v>
      </c>
      <c r="AB2487" s="1" t="s">
        <v>746</v>
      </c>
      <c r="AC2487" s="1">
        <v>5465.0</v>
      </c>
    </row>
    <row r="2488">
      <c r="A2488" s="1" t="str">
        <f>"000HA4"</f>
        <v>000HA4</v>
      </c>
      <c r="B2488" s="1" t="s">
        <v>9950</v>
      </c>
      <c r="C2488" s="1" t="s">
        <v>9951</v>
      </c>
      <c r="D2488" s="1" t="str">
        <f>"8024534735"</f>
        <v>8024534735</v>
      </c>
      <c r="E2488" s="1">
        <v>4354.0</v>
      </c>
      <c r="F2488" s="1" t="s">
        <v>44</v>
      </c>
      <c r="G2488" s="1" t="s">
        <v>9952</v>
      </c>
      <c r="H2488" s="1">
        <v>2.0</v>
      </c>
      <c r="I2488" s="1"/>
      <c r="J2488" s="1"/>
      <c r="K2488" s="1"/>
      <c r="L2488" s="1"/>
      <c r="M2488" s="1" t="s">
        <v>33</v>
      </c>
      <c r="N2488" s="1" t="s">
        <v>161</v>
      </c>
      <c r="O2488" s="1" t="s">
        <v>185</v>
      </c>
      <c r="P2488" s="1" t="s">
        <v>36</v>
      </c>
      <c r="Q2488" s="3">
        <v>40774.0</v>
      </c>
      <c r="R2488" s="1"/>
      <c r="S2488" s="1"/>
      <c r="T2488" s="1" t="s">
        <v>37</v>
      </c>
      <c r="U2488" s="1"/>
      <c r="V2488" s="1" t="s">
        <v>38</v>
      </c>
      <c r="W2488" s="1"/>
      <c r="X2488" s="1"/>
      <c r="Y2488" s="1" t="s">
        <v>9953</v>
      </c>
      <c r="Z2488" s="1"/>
      <c r="AA2488" s="1" t="s">
        <v>40</v>
      </c>
      <c r="AB2488" s="1" t="s">
        <v>186</v>
      </c>
      <c r="AC2488" s="1">
        <v>5472.0</v>
      </c>
    </row>
    <row r="2489">
      <c r="A2489" s="1" t="str">
        <f>"000HA6"</f>
        <v>000HA6</v>
      </c>
      <c r="B2489" s="1" t="s">
        <v>9954</v>
      </c>
      <c r="C2489" s="1" t="s">
        <v>9955</v>
      </c>
      <c r="D2489" s="1" t="str">
        <f>"8028932654"</f>
        <v>8028932654</v>
      </c>
      <c r="E2489" s="1">
        <v>4356.0</v>
      </c>
      <c r="F2489" s="1" t="s">
        <v>117</v>
      </c>
      <c r="G2489" s="1" t="s">
        <v>9956</v>
      </c>
      <c r="H2489" s="1">
        <v>2.0</v>
      </c>
      <c r="I2489" s="2" t="s">
        <v>119</v>
      </c>
      <c r="J2489" s="2" t="s">
        <v>119</v>
      </c>
      <c r="K2489" s="2" t="s">
        <v>119</v>
      </c>
      <c r="L2489" s="1"/>
      <c r="M2489" s="1" t="s">
        <v>9957</v>
      </c>
      <c r="N2489" s="1" t="s">
        <v>57</v>
      </c>
      <c r="O2489" s="1" t="s">
        <v>256</v>
      </c>
      <c r="P2489" s="1" t="s">
        <v>9958</v>
      </c>
      <c r="Q2489" s="3">
        <v>40783.0</v>
      </c>
      <c r="R2489" s="1"/>
      <c r="S2489" s="3">
        <v>42599.0</v>
      </c>
      <c r="T2489" s="1" t="s">
        <v>37</v>
      </c>
      <c r="U2489" s="1"/>
      <c r="V2489" s="1" t="s">
        <v>38</v>
      </c>
      <c r="W2489" s="1">
        <v>44.605615</v>
      </c>
      <c r="X2489" s="1">
        <v>-73.0993629999999</v>
      </c>
      <c r="Y2489" s="1" t="s">
        <v>9959</v>
      </c>
      <c r="Z2489" s="1"/>
      <c r="AA2489" s="1" t="s">
        <v>40</v>
      </c>
      <c r="AB2489" s="1" t="s">
        <v>257</v>
      </c>
      <c r="AC2489" s="1">
        <v>5468.0</v>
      </c>
    </row>
    <row r="2490">
      <c r="A2490" s="1" t="str">
        <f>"000HA7"</f>
        <v>000HA7</v>
      </c>
      <c r="B2490" s="1" t="s">
        <v>9960</v>
      </c>
      <c r="C2490" s="1" t="s">
        <v>9961</v>
      </c>
      <c r="D2490" s="1" t="str">
        <f>"8026442278"</f>
        <v>8026442278</v>
      </c>
      <c r="E2490" s="1">
        <v>4357.0</v>
      </c>
      <c r="F2490" s="1" t="s">
        <v>44</v>
      </c>
      <c r="G2490" s="1" t="s">
        <v>9962</v>
      </c>
      <c r="H2490" s="1">
        <v>2.0</v>
      </c>
      <c r="I2490" s="1"/>
      <c r="J2490" s="1"/>
      <c r="K2490" s="1"/>
      <c r="L2490" s="1"/>
      <c r="M2490" s="1" t="s">
        <v>33</v>
      </c>
      <c r="N2490" s="1" t="s">
        <v>213</v>
      </c>
      <c r="O2490" s="1" t="s">
        <v>620</v>
      </c>
      <c r="P2490" s="1" t="s">
        <v>36</v>
      </c>
      <c r="Q2490" s="3">
        <v>40769.0</v>
      </c>
      <c r="R2490" s="1"/>
      <c r="S2490" s="1"/>
      <c r="T2490" s="1" t="s">
        <v>37</v>
      </c>
      <c r="U2490" s="1"/>
      <c r="V2490" s="1" t="s">
        <v>38</v>
      </c>
      <c r="W2490" s="1">
        <v>44.6865847</v>
      </c>
      <c r="X2490" s="1">
        <v>-72.8572102</v>
      </c>
      <c r="Y2490" s="1" t="s">
        <v>9963</v>
      </c>
      <c r="Z2490" s="1"/>
      <c r="AA2490" s="1" t="s">
        <v>40</v>
      </c>
      <c r="AB2490" s="1" t="s">
        <v>8822</v>
      </c>
      <c r="AC2490" s="1">
        <v>5464.0</v>
      </c>
    </row>
    <row r="2491">
      <c r="A2491" s="1" t="str">
        <f>"000HA8"</f>
        <v>000HA8</v>
      </c>
      <c r="B2491" s="1" t="s">
        <v>9964</v>
      </c>
      <c r="C2491" s="1" t="s">
        <v>9965</v>
      </c>
      <c r="D2491" s="1" t="str">
        <f>"8024346369"</f>
        <v>8024346369</v>
      </c>
      <c r="E2491" s="1">
        <v>4358.0</v>
      </c>
      <c r="F2491" s="1" t="s">
        <v>44</v>
      </c>
      <c r="G2491" s="1" t="s">
        <v>9966</v>
      </c>
      <c r="H2491" s="1">
        <v>2.0</v>
      </c>
      <c r="I2491" s="1"/>
      <c r="J2491" s="1"/>
      <c r="K2491" s="1"/>
      <c r="L2491" s="1"/>
      <c r="M2491" s="1" t="s">
        <v>33</v>
      </c>
      <c r="N2491" s="1" t="s">
        <v>57</v>
      </c>
      <c r="O2491" s="1" t="s">
        <v>313</v>
      </c>
      <c r="P2491" s="1" t="s">
        <v>36</v>
      </c>
      <c r="Q2491" s="3">
        <v>40768.0</v>
      </c>
      <c r="R2491" s="1"/>
      <c r="S2491" s="1"/>
      <c r="T2491" s="1" t="s">
        <v>37</v>
      </c>
      <c r="U2491" s="1"/>
      <c r="V2491" s="1" t="s">
        <v>38</v>
      </c>
      <c r="W2491" s="1"/>
      <c r="X2491" s="1"/>
      <c r="Y2491" s="1" t="s">
        <v>9967</v>
      </c>
      <c r="Z2491" s="1"/>
      <c r="AA2491" s="1" t="s">
        <v>40</v>
      </c>
      <c r="AB2491" s="1" t="s">
        <v>314</v>
      </c>
      <c r="AC2491" s="1">
        <v>5462.0</v>
      </c>
    </row>
    <row r="2492">
      <c r="A2492" s="1" t="str">
        <f>"000HA9"</f>
        <v>000HA9</v>
      </c>
      <c r="B2492" s="1" t="s">
        <v>9968</v>
      </c>
      <c r="C2492" s="1" t="s">
        <v>9969</v>
      </c>
      <c r="D2492" s="1" t="str">
        <f>"8028883000"</f>
        <v>8028883000</v>
      </c>
      <c r="E2492" s="1">
        <v>4359.0</v>
      </c>
      <c r="F2492" s="1" t="s">
        <v>44</v>
      </c>
      <c r="G2492" s="1" t="s">
        <v>9970</v>
      </c>
      <c r="H2492" s="1">
        <v>2.0</v>
      </c>
      <c r="I2492" s="1"/>
      <c r="J2492" s="1"/>
      <c r="K2492" s="1"/>
      <c r="L2492" s="1"/>
      <c r="M2492" s="1" t="s">
        <v>33</v>
      </c>
      <c r="N2492" s="1" t="s">
        <v>213</v>
      </c>
      <c r="O2492" s="1" t="s">
        <v>2562</v>
      </c>
      <c r="P2492" s="1" t="s">
        <v>36</v>
      </c>
      <c r="Q2492" s="3">
        <v>40758.0</v>
      </c>
      <c r="R2492" s="1"/>
      <c r="S2492" s="1"/>
      <c r="T2492" s="1" t="s">
        <v>37</v>
      </c>
      <c r="U2492" s="1"/>
      <c r="V2492" s="1" t="s">
        <v>38</v>
      </c>
      <c r="W2492" s="1"/>
      <c r="X2492" s="1"/>
      <c r="Y2492" s="1" t="s">
        <v>9971</v>
      </c>
      <c r="Z2492" s="1"/>
      <c r="AA2492" s="1" t="s">
        <v>40</v>
      </c>
      <c r="AB2492" s="1" t="s">
        <v>2563</v>
      </c>
      <c r="AC2492" s="1">
        <v>5680.0</v>
      </c>
    </row>
    <row r="2493">
      <c r="A2493" s="1" t="str">
        <f>"000HAA"</f>
        <v>000HAA</v>
      </c>
      <c r="B2493" s="1" t="s">
        <v>8644</v>
      </c>
      <c r="C2493" s="1" t="s">
        <v>8645</v>
      </c>
      <c r="D2493" s="1" t="str">
        <f>"8022790396"</f>
        <v>8022790396</v>
      </c>
      <c r="E2493" s="1">
        <v>4360.0</v>
      </c>
      <c r="F2493" s="1" t="s">
        <v>44</v>
      </c>
      <c r="G2493" s="1" t="s">
        <v>9972</v>
      </c>
      <c r="H2493" s="1">
        <v>0.0</v>
      </c>
      <c r="I2493" s="1"/>
      <c r="J2493" s="1"/>
      <c r="K2493" s="1"/>
      <c r="L2493" s="1"/>
      <c r="M2493" s="1" t="s">
        <v>33</v>
      </c>
      <c r="N2493" s="1" t="s">
        <v>142</v>
      </c>
      <c r="O2493" s="1" t="s">
        <v>2253</v>
      </c>
      <c r="P2493" s="1" t="s">
        <v>36</v>
      </c>
      <c r="Q2493" s="3">
        <v>40766.0</v>
      </c>
      <c r="R2493" s="1"/>
      <c r="S2493" s="1"/>
      <c r="T2493" s="1" t="s">
        <v>37</v>
      </c>
      <c r="U2493" s="1"/>
      <c r="V2493" s="1" t="s">
        <v>38</v>
      </c>
      <c r="W2493" s="1">
        <v>44.104515</v>
      </c>
      <c r="X2493" s="1">
        <v>-72.5047379999999</v>
      </c>
      <c r="Y2493" s="1" t="s">
        <v>9973</v>
      </c>
      <c r="Z2493" s="1"/>
      <c r="AA2493" s="1" t="s">
        <v>40</v>
      </c>
      <c r="AB2493" s="1" t="s">
        <v>2254</v>
      </c>
      <c r="AC2493" s="1">
        <v>5679.0</v>
      </c>
    </row>
    <row r="2494">
      <c r="A2494" s="1" t="str">
        <f>"000HAB"</f>
        <v>000HAB</v>
      </c>
      <c r="B2494" s="1" t="s">
        <v>9974</v>
      </c>
      <c r="C2494" s="1" t="s">
        <v>9975</v>
      </c>
      <c r="D2494" s="1" t="str">
        <f>"3109134341"</f>
        <v>3109134341</v>
      </c>
      <c r="E2494" s="1">
        <v>4361.0</v>
      </c>
      <c r="F2494" s="1" t="s">
        <v>44</v>
      </c>
      <c r="G2494" s="1" t="s">
        <v>9976</v>
      </c>
      <c r="H2494" s="1">
        <v>2.0</v>
      </c>
      <c r="I2494" s="1"/>
      <c r="J2494" s="1"/>
      <c r="K2494" s="1"/>
      <c r="L2494" s="1"/>
      <c r="M2494" s="1" t="s">
        <v>9977</v>
      </c>
      <c r="N2494" s="1" t="s">
        <v>142</v>
      </c>
      <c r="O2494" s="1" t="s">
        <v>359</v>
      </c>
      <c r="P2494" s="1" t="s">
        <v>9978</v>
      </c>
      <c r="Q2494" s="3">
        <v>40760.0</v>
      </c>
      <c r="R2494" s="1"/>
      <c r="S2494" s="1"/>
      <c r="T2494" s="1" t="s">
        <v>37</v>
      </c>
      <c r="U2494" s="1"/>
      <c r="V2494" s="1" t="s">
        <v>38</v>
      </c>
      <c r="W2494" s="1">
        <v>43.9882757822684</v>
      </c>
      <c r="X2494" s="1">
        <v>-72.7154159545898</v>
      </c>
      <c r="Y2494" s="1" t="s">
        <v>9979</v>
      </c>
      <c r="Z2494" s="1"/>
      <c r="AA2494" s="1" t="s">
        <v>40</v>
      </c>
      <c r="AB2494" s="1" t="s">
        <v>361</v>
      </c>
      <c r="AC2494" s="1">
        <v>5060.0</v>
      </c>
    </row>
    <row r="2495">
      <c r="A2495" s="1" t="str">
        <f>"000HAC"</f>
        <v>000HAC</v>
      </c>
      <c r="B2495" s="1" t="s">
        <v>9980</v>
      </c>
      <c r="C2495" s="1" t="s">
        <v>9981</v>
      </c>
      <c r="D2495" s="1" t="str">
        <f>"8026511016"</f>
        <v>8026511016</v>
      </c>
      <c r="E2495" s="1">
        <v>4362.0</v>
      </c>
      <c r="F2495" s="1" t="s">
        <v>117</v>
      </c>
      <c r="G2495" s="1" t="s">
        <v>9982</v>
      </c>
      <c r="H2495" s="1">
        <v>3.0</v>
      </c>
      <c r="I2495" s="2">
        <v>4.0</v>
      </c>
      <c r="J2495" s="2">
        <v>3.0</v>
      </c>
      <c r="K2495" s="2" t="s">
        <v>119</v>
      </c>
      <c r="L2495" s="1"/>
      <c r="M2495" s="1" t="s">
        <v>9983</v>
      </c>
      <c r="N2495" s="1" t="s">
        <v>57</v>
      </c>
      <c r="O2495" s="1" t="s">
        <v>1633</v>
      </c>
      <c r="P2495" s="1" t="s">
        <v>9984</v>
      </c>
      <c r="Q2495" s="3">
        <v>40781.0</v>
      </c>
      <c r="R2495" s="1"/>
      <c r="S2495" s="3">
        <v>42947.0</v>
      </c>
      <c r="T2495" s="1" t="s">
        <v>37</v>
      </c>
      <c r="U2495" s="1"/>
      <c r="V2495" s="1" t="s">
        <v>38</v>
      </c>
      <c r="W2495" s="1">
        <v>44.3166794121239</v>
      </c>
      <c r="X2495" s="1">
        <v>-73.2341243326664</v>
      </c>
      <c r="Y2495" s="1" t="s">
        <v>9985</v>
      </c>
      <c r="Z2495" s="1"/>
      <c r="AA2495" s="1" t="s">
        <v>40</v>
      </c>
      <c r="AB2495" s="1" t="s">
        <v>1634</v>
      </c>
      <c r="AC2495" s="1">
        <v>5445.0</v>
      </c>
    </row>
    <row r="2496">
      <c r="A2496" s="1" t="str">
        <f>"000HAD"</f>
        <v>000HAD</v>
      </c>
      <c r="B2496" s="1" t="s">
        <v>9986</v>
      </c>
      <c r="C2496" s="1" t="s">
        <v>9987</v>
      </c>
      <c r="D2496" s="1" t="str">
        <f>"8022447029"</f>
        <v>8022447029</v>
      </c>
      <c r="E2496" s="1">
        <v>4363.0</v>
      </c>
      <c r="F2496" s="1" t="s">
        <v>31</v>
      </c>
      <c r="G2496" s="1" t="s">
        <v>9988</v>
      </c>
      <c r="H2496" s="1">
        <v>1.0</v>
      </c>
      <c r="I2496" s="1"/>
      <c r="J2496" s="1"/>
      <c r="K2496" s="1"/>
      <c r="L2496" s="1"/>
      <c r="M2496" s="1" t="s">
        <v>33</v>
      </c>
      <c r="N2496" s="1" t="s">
        <v>135</v>
      </c>
      <c r="O2496" s="1" t="s">
        <v>3300</v>
      </c>
      <c r="P2496" s="1" t="s">
        <v>36</v>
      </c>
      <c r="Q2496" s="3">
        <v>40776.0</v>
      </c>
      <c r="R2496" s="1"/>
      <c r="S2496" s="3">
        <v>42170.0</v>
      </c>
      <c r="T2496" s="1" t="s">
        <v>37</v>
      </c>
      <c r="U2496" s="1"/>
      <c r="V2496" s="1" t="s">
        <v>38</v>
      </c>
      <c r="W2496" s="1">
        <v>44.31031</v>
      </c>
      <c r="X2496" s="1">
        <v>-72.7882789999999</v>
      </c>
      <c r="Y2496" s="1" t="s">
        <v>9989</v>
      </c>
      <c r="Z2496" s="1"/>
      <c r="AA2496" s="1" t="s">
        <v>40</v>
      </c>
      <c r="AB2496" s="1" t="s">
        <v>3301</v>
      </c>
      <c r="AC2496" s="1">
        <v>5676.0</v>
      </c>
    </row>
    <row r="2497">
      <c r="A2497" s="1" t="str">
        <f>"000HAJ"</f>
        <v>000HAJ</v>
      </c>
      <c r="B2497" s="1" t="s">
        <v>9990</v>
      </c>
      <c r="C2497" s="1" t="s">
        <v>9991</v>
      </c>
      <c r="D2497" s="1" t="str">
        <f>"8028933878"</f>
        <v>8028933878</v>
      </c>
      <c r="E2497" s="1">
        <v>4364.0</v>
      </c>
      <c r="F2497" s="1" t="s">
        <v>44</v>
      </c>
      <c r="G2497" s="1" t="s">
        <v>9992</v>
      </c>
      <c r="H2497" s="1">
        <v>2.0</v>
      </c>
      <c r="I2497" s="2">
        <v>2.0</v>
      </c>
      <c r="J2497" s="2">
        <v>1.0</v>
      </c>
      <c r="K2497" s="2" t="s">
        <v>119</v>
      </c>
      <c r="L2497" s="1"/>
      <c r="M2497" s="1" t="s">
        <v>9993</v>
      </c>
      <c r="N2497" s="1" t="s">
        <v>57</v>
      </c>
      <c r="O2497" s="1" t="s">
        <v>256</v>
      </c>
      <c r="P2497" s="1" t="s">
        <v>36</v>
      </c>
      <c r="Q2497" s="3">
        <v>40795.0</v>
      </c>
      <c r="R2497" s="1"/>
      <c r="S2497" s="1"/>
      <c r="T2497" s="1" t="s">
        <v>37</v>
      </c>
      <c r="U2497" s="1"/>
      <c r="V2497" s="1" t="s">
        <v>38</v>
      </c>
      <c r="W2497" s="1">
        <v>44.606268</v>
      </c>
      <c r="X2497" s="1">
        <v>-73.212468</v>
      </c>
      <c r="Y2497" s="1" t="s">
        <v>9994</v>
      </c>
      <c r="Z2497" s="1"/>
      <c r="AA2497" s="1" t="s">
        <v>40</v>
      </c>
      <c r="AB2497" s="1" t="s">
        <v>257</v>
      </c>
      <c r="AC2497" s="1">
        <v>5468.0</v>
      </c>
    </row>
    <row r="2498">
      <c r="A2498" s="1" t="str">
        <f>"000HC1"</f>
        <v>000HC1</v>
      </c>
      <c r="B2498" s="1" t="s">
        <v>9995</v>
      </c>
      <c r="C2498" s="1" t="s">
        <v>9996</v>
      </c>
      <c r="D2498" s="1" t="str">
        <f>"8025374531"</f>
        <v>8025374531</v>
      </c>
      <c r="E2498" s="1">
        <v>4366.0</v>
      </c>
      <c r="F2498" s="1" t="s">
        <v>117</v>
      </c>
      <c r="G2498" s="1" t="s">
        <v>9997</v>
      </c>
      <c r="H2498" s="1">
        <v>2.0</v>
      </c>
      <c r="I2498" s="2" t="s">
        <v>119</v>
      </c>
      <c r="J2498" s="2" t="s">
        <v>119</v>
      </c>
      <c r="K2498" s="2" t="s">
        <v>119</v>
      </c>
      <c r="L2498" s="1"/>
      <c r="M2498" s="1" t="s">
        <v>9998</v>
      </c>
      <c r="N2498" s="1" t="s">
        <v>78</v>
      </c>
      <c r="O2498" s="1" t="s">
        <v>426</v>
      </c>
      <c r="P2498" s="1" t="s">
        <v>9999</v>
      </c>
      <c r="Q2498" s="3">
        <v>40810.0</v>
      </c>
      <c r="R2498" s="1"/>
      <c r="S2498" s="3">
        <v>40991.0</v>
      </c>
      <c r="T2498" s="1" t="s">
        <v>37</v>
      </c>
      <c r="U2498" s="1"/>
      <c r="V2498" s="1" t="s">
        <v>38</v>
      </c>
      <c r="W2498" s="1">
        <v>43.700989</v>
      </c>
      <c r="X2498" s="1">
        <v>-73.276718</v>
      </c>
      <c r="Y2498" s="1" t="s">
        <v>10000</v>
      </c>
      <c r="Z2498" s="1"/>
      <c r="AA2498" s="1" t="s">
        <v>40</v>
      </c>
      <c r="AB2498" s="1" t="s">
        <v>427</v>
      </c>
      <c r="AC2498" s="1">
        <v>5743.0</v>
      </c>
    </row>
    <row r="2499">
      <c r="A2499" s="1" t="str">
        <f>"000HC2"</f>
        <v>000HC2</v>
      </c>
      <c r="B2499" s="1" t="s">
        <v>10001</v>
      </c>
      <c r="C2499" s="1" t="s">
        <v>10002</v>
      </c>
      <c r="D2499" s="1" t="str">
        <f>"8022461506"</f>
        <v>8022461506</v>
      </c>
      <c r="E2499" s="1">
        <v>4367.0</v>
      </c>
      <c r="F2499" s="1" t="s">
        <v>44</v>
      </c>
      <c r="G2499" s="1" t="s">
        <v>10003</v>
      </c>
      <c r="H2499" s="1">
        <v>2.0</v>
      </c>
      <c r="I2499" s="2" t="s">
        <v>119</v>
      </c>
      <c r="J2499" s="2" t="s">
        <v>119</v>
      </c>
      <c r="K2499" s="2" t="s">
        <v>119</v>
      </c>
      <c r="L2499" s="1"/>
      <c r="M2499" s="1" t="s">
        <v>33</v>
      </c>
      <c r="N2499" s="1" t="s">
        <v>66</v>
      </c>
      <c r="O2499" s="1" t="s">
        <v>1136</v>
      </c>
      <c r="P2499" s="1" t="s">
        <v>36</v>
      </c>
      <c r="Q2499" s="3">
        <v>40802.0</v>
      </c>
      <c r="R2499" s="1"/>
      <c r="S2499" s="1"/>
      <c r="T2499" s="1" t="s">
        <v>37</v>
      </c>
      <c r="U2499" s="1"/>
      <c r="V2499" s="1" t="s">
        <v>38</v>
      </c>
      <c r="W2499" s="1">
        <v>42.7883799</v>
      </c>
      <c r="X2499" s="1">
        <v>-72.6462169</v>
      </c>
      <c r="Y2499" s="1" t="s">
        <v>10004</v>
      </c>
      <c r="Z2499" s="1"/>
      <c r="AA2499" s="1" t="s">
        <v>40</v>
      </c>
      <c r="AB2499" s="1" t="s">
        <v>1137</v>
      </c>
      <c r="AC2499" s="1">
        <v>5301.0</v>
      </c>
    </row>
    <row r="2500">
      <c r="A2500" s="1" t="str">
        <f>"000HC6"</f>
        <v>000HC6</v>
      </c>
      <c r="B2500" s="1" t="s">
        <v>10005</v>
      </c>
      <c r="C2500" s="1" t="s">
        <v>10006</v>
      </c>
      <c r="D2500" s="1" t="str">
        <f>"8028932743"</f>
        <v>8028932743</v>
      </c>
      <c r="E2500" s="1">
        <v>4370.0</v>
      </c>
      <c r="F2500" s="1" t="s">
        <v>44</v>
      </c>
      <c r="G2500" s="1" t="s">
        <v>10007</v>
      </c>
      <c r="H2500" s="1">
        <v>2.0</v>
      </c>
      <c r="I2500" s="1"/>
      <c r="J2500" s="1"/>
      <c r="K2500" s="1"/>
      <c r="L2500" s="1"/>
      <c r="M2500" s="1" t="s">
        <v>33</v>
      </c>
      <c r="N2500" s="1" t="s">
        <v>57</v>
      </c>
      <c r="O2500" s="1" t="s">
        <v>256</v>
      </c>
      <c r="P2500" s="1" t="s">
        <v>36</v>
      </c>
      <c r="Q2500" s="3">
        <v>40810.0</v>
      </c>
      <c r="R2500" s="1"/>
      <c r="S2500" s="1"/>
      <c r="T2500" s="1" t="s">
        <v>37</v>
      </c>
      <c r="U2500" s="1"/>
      <c r="V2500" s="1" t="s">
        <v>38</v>
      </c>
      <c r="W2500" s="1"/>
      <c r="X2500" s="1"/>
      <c r="Y2500" s="1" t="s">
        <v>10008</v>
      </c>
      <c r="Z2500" s="1"/>
      <c r="AA2500" s="1" t="s">
        <v>40</v>
      </c>
      <c r="AB2500" s="1" t="s">
        <v>257</v>
      </c>
      <c r="AC2500" s="1">
        <v>5468.0</v>
      </c>
    </row>
    <row r="2501">
      <c r="A2501" s="1" t="str">
        <f>"000HC7"</f>
        <v>000HC7</v>
      </c>
      <c r="B2501" s="1" t="s">
        <v>10009</v>
      </c>
      <c r="C2501" s="1" t="s">
        <v>10010</v>
      </c>
      <c r="D2501" s="1" t="str">
        <f>"8027304701"</f>
        <v>8027304701</v>
      </c>
      <c r="E2501" s="1">
        <v>4371.0</v>
      </c>
      <c r="F2501" s="1" t="s">
        <v>44</v>
      </c>
      <c r="G2501" s="1" t="s">
        <v>10011</v>
      </c>
      <c r="H2501" s="1">
        <v>1.0</v>
      </c>
      <c r="I2501" s="1"/>
      <c r="J2501" s="1"/>
      <c r="K2501" s="1"/>
      <c r="L2501" s="1"/>
      <c r="M2501" s="1" t="s">
        <v>33</v>
      </c>
      <c r="N2501" s="1" t="s">
        <v>213</v>
      </c>
      <c r="O2501" s="1" t="s">
        <v>625</v>
      </c>
      <c r="P2501" s="1" t="s">
        <v>36</v>
      </c>
      <c r="Q2501" s="3">
        <v>40810.0</v>
      </c>
      <c r="R2501" s="1"/>
      <c r="S2501" s="1"/>
      <c r="T2501" s="1" t="s">
        <v>37</v>
      </c>
      <c r="U2501" s="1"/>
      <c r="V2501" s="1" t="s">
        <v>38</v>
      </c>
      <c r="W2501" s="1"/>
      <c r="X2501" s="1"/>
      <c r="Y2501" s="1" t="s">
        <v>10012</v>
      </c>
      <c r="Z2501" s="1"/>
      <c r="AA2501" s="1" t="s">
        <v>40</v>
      </c>
      <c r="AB2501" s="1" t="s">
        <v>626</v>
      </c>
      <c r="AC2501" s="1">
        <v>5655.0</v>
      </c>
    </row>
    <row r="2502">
      <c r="A2502" s="1" t="str">
        <f>"000HDC"</f>
        <v>000HDC</v>
      </c>
      <c r="B2502" s="1" t="s">
        <v>10013</v>
      </c>
      <c r="C2502" s="1" t="s">
        <v>10014</v>
      </c>
      <c r="D2502" s="1" t="str">
        <f>"8024422837"</f>
        <v>8024422837</v>
      </c>
      <c r="E2502" s="1">
        <v>4372.0</v>
      </c>
      <c r="F2502" s="1" t="s">
        <v>44</v>
      </c>
      <c r="G2502" s="1" t="s">
        <v>10015</v>
      </c>
      <c r="H2502" s="1">
        <v>0.0</v>
      </c>
      <c r="I2502" s="1"/>
      <c r="J2502" s="1"/>
      <c r="K2502" s="1"/>
      <c r="L2502" s="1"/>
      <c r="M2502" s="1" t="s">
        <v>33</v>
      </c>
      <c r="N2502" s="1" t="s">
        <v>414</v>
      </c>
      <c r="O2502" s="1" t="s">
        <v>720</v>
      </c>
      <c r="P2502" s="1" t="s">
        <v>36</v>
      </c>
      <c r="Q2502" s="3">
        <v>40875.0</v>
      </c>
      <c r="R2502" s="1"/>
      <c r="S2502" s="1"/>
      <c r="T2502" s="1" t="s">
        <v>37</v>
      </c>
      <c r="U2502" s="1"/>
      <c r="V2502" s="1" t="s">
        <v>38</v>
      </c>
      <c r="W2502" s="1"/>
      <c r="X2502" s="1"/>
      <c r="Y2502" s="1" t="s">
        <v>10016</v>
      </c>
      <c r="Z2502" s="1"/>
      <c r="AA2502" s="1" t="s">
        <v>40</v>
      </c>
      <c r="AB2502" s="1" t="s">
        <v>414</v>
      </c>
      <c r="AC2502" s="1">
        <v>5201.0</v>
      </c>
    </row>
    <row r="2503">
      <c r="A2503" s="1" t="str">
        <f>"000HF2"</f>
        <v>000HF2</v>
      </c>
      <c r="B2503" s="1" t="s">
        <v>10017</v>
      </c>
      <c r="C2503" s="1" t="s">
        <v>10018</v>
      </c>
      <c r="D2503" s="1" t="str">
        <f>"8026357628"</f>
        <v>8026357628</v>
      </c>
      <c r="E2503" s="1">
        <v>4374.0</v>
      </c>
      <c r="F2503" s="1" t="s">
        <v>44</v>
      </c>
      <c r="G2503" s="1" t="s">
        <v>10019</v>
      </c>
      <c r="H2503" s="1">
        <v>1.0</v>
      </c>
      <c r="I2503" s="1"/>
      <c r="J2503" s="1"/>
      <c r="K2503" s="1"/>
      <c r="L2503" s="1"/>
      <c r="M2503" s="1" t="s">
        <v>33</v>
      </c>
      <c r="N2503" s="1" t="s">
        <v>213</v>
      </c>
      <c r="O2503" s="1" t="s">
        <v>4949</v>
      </c>
      <c r="P2503" s="1" t="s">
        <v>10020</v>
      </c>
      <c r="Q2503" s="3">
        <v>40815.0</v>
      </c>
      <c r="R2503" s="1"/>
      <c r="S2503" s="1"/>
      <c r="T2503" s="1" t="s">
        <v>37</v>
      </c>
      <c r="U2503" s="1"/>
      <c r="V2503" s="1" t="s">
        <v>38</v>
      </c>
      <c r="W2503" s="1"/>
      <c r="X2503" s="1"/>
      <c r="Y2503" s="1" t="s">
        <v>10021</v>
      </c>
      <c r="Z2503" s="1"/>
      <c r="AA2503" s="1" t="s">
        <v>40</v>
      </c>
      <c r="AB2503" s="1" t="s">
        <v>4950</v>
      </c>
      <c r="AC2503" s="1">
        <v>5652.0</v>
      </c>
    </row>
    <row r="2504">
      <c r="A2504" s="1" t="str">
        <f>"000HG5"</f>
        <v>000HG5</v>
      </c>
      <c r="B2504" s="1" t="s">
        <v>10022</v>
      </c>
      <c r="C2504" s="1" t="s">
        <v>10023</v>
      </c>
      <c r="D2504" s="1" t="str">
        <f>"8028996830"</f>
        <v>8028996830</v>
      </c>
      <c r="E2504" s="1">
        <v>4375.0</v>
      </c>
      <c r="F2504" s="1" t="s">
        <v>117</v>
      </c>
      <c r="G2504" s="1" t="s">
        <v>10024</v>
      </c>
      <c r="H2504" s="1">
        <v>1.0</v>
      </c>
      <c r="I2504" s="2">
        <v>1.0</v>
      </c>
      <c r="J2504" s="2">
        <v>1.0</v>
      </c>
      <c r="K2504" s="2" t="s">
        <v>119</v>
      </c>
      <c r="L2504" s="1"/>
      <c r="M2504" s="1" t="s">
        <v>10025</v>
      </c>
      <c r="N2504" s="1" t="s">
        <v>57</v>
      </c>
      <c r="O2504" s="1" t="s">
        <v>509</v>
      </c>
      <c r="P2504" s="1" t="s">
        <v>10026</v>
      </c>
      <c r="Q2504" s="3">
        <v>40664.0</v>
      </c>
      <c r="R2504" s="1"/>
      <c r="S2504" s="3">
        <v>40688.0</v>
      </c>
      <c r="T2504" s="1" t="s">
        <v>37</v>
      </c>
      <c r="U2504" s="1"/>
      <c r="V2504" s="1" t="s">
        <v>38</v>
      </c>
      <c r="W2504" s="1">
        <v>44.5200186</v>
      </c>
      <c r="X2504" s="1">
        <v>-72.9948974999999</v>
      </c>
      <c r="Y2504" s="1" t="s">
        <v>10027</v>
      </c>
      <c r="Z2504" s="1"/>
      <c r="AA2504" s="1" t="s">
        <v>40</v>
      </c>
      <c r="AB2504" s="1" t="s">
        <v>331</v>
      </c>
      <c r="AC2504" s="1">
        <v>5452.0</v>
      </c>
    </row>
    <row r="2505">
      <c r="A2505" s="1" t="str">
        <f>"000HG6"</f>
        <v>000HG6</v>
      </c>
      <c r="B2505" s="1" t="s">
        <v>10028</v>
      </c>
      <c r="C2505" s="1" t="s">
        <v>10029</v>
      </c>
      <c r="D2505" s="1" t="str">
        <f>"8028783743"</f>
        <v>8028783743</v>
      </c>
      <c r="E2505" s="1">
        <v>4376.0</v>
      </c>
      <c r="F2505" s="1" t="s">
        <v>117</v>
      </c>
      <c r="G2505" s="1" t="s">
        <v>10030</v>
      </c>
      <c r="H2505" s="1">
        <v>2.0</v>
      </c>
      <c r="I2505" s="2" t="s">
        <v>119</v>
      </c>
      <c r="J2505" s="2">
        <v>2.0</v>
      </c>
      <c r="K2505" s="2" t="s">
        <v>119</v>
      </c>
      <c r="L2505" s="1"/>
      <c r="M2505" s="1" t="s">
        <v>10031</v>
      </c>
      <c r="N2505" s="1" t="s">
        <v>57</v>
      </c>
      <c r="O2505" s="1" t="s">
        <v>559</v>
      </c>
      <c r="P2505" s="1" t="s">
        <v>10032</v>
      </c>
      <c r="Q2505" s="3">
        <v>40826.0</v>
      </c>
      <c r="R2505" s="1"/>
      <c r="S2505" s="1"/>
      <c r="T2505" s="1" t="s">
        <v>37</v>
      </c>
      <c r="U2505" s="1"/>
      <c r="V2505" s="1" t="s">
        <v>38</v>
      </c>
      <c r="W2505" s="1">
        <v>44.545232</v>
      </c>
      <c r="X2505" s="1">
        <v>-73.13517</v>
      </c>
      <c r="Y2505" s="1" t="s">
        <v>10033</v>
      </c>
      <c r="Z2505" s="1"/>
      <c r="AA2505" s="1" t="s">
        <v>40</v>
      </c>
      <c r="AB2505" s="1" t="s">
        <v>560</v>
      </c>
      <c r="AC2505" s="1">
        <v>5446.0</v>
      </c>
    </row>
    <row r="2506">
      <c r="A2506" s="1" t="str">
        <f>"000HNH"</f>
        <v>000HNH</v>
      </c>
      <c r="B2506" s="1" t="s">
        <v>10034</v>
      </c>
      <c r="C2506" s="1" t="s">
        <v>10035</v>
      </c>
      <c r="D2506" s="1" t="str">
        <f>"8028773830"</f>
        <v>8028773830</v>
      </c>
      <c r="E2506" s="1">
        <v>4377.0</v>
      </c>
      <c r="F2506" s="1" t="s">
        <v>44</v>
      </c>
      <c r="G2506" s="1" t="s">
        <v>10036</v>
      </c>
      <c r="H2506" s="1">
        <v>2.0</v>
      </c>
      <c r="I2506" s="1"/>
      <c r="J2506" s="1"/>
      <c r="K2506" s="1"/>
      <c r="L2506" s="1"/>
      <c r="M2506" s="1" t="s">
        <v>10037</v>
      </c>
      <c r="N2506" s="1" t="s">
        <v>161</v>
      </c>
      <c r="O2506" s="1" t="s">
        <v>3580</v>
      </c>
      <c r="P2506" s="1" t="s">
        <v>10038</v>
      </c>
      <c r="Q2506" s="3">
        <v>40984.0</v>
      </c>
      <c r="R2506" s="1"/>
      <c r="S2506" s="1"/>
      <c r="T2506" s="1" t="s">
        <v>37</v>
      </c>
      <c r="U2506" s="1"/>
      <c r="V2506" s="1" t="s">
        <v>38</v>
      </c>
      <c r="W2506" s="1">
        <v>44.1970584</v>
      </c>
      <c r="X2506" s="1">
        <v>-73.3619727999999</v>
      </c>
      <c r="Y2506" s="1" t="s">
        <v>10039</v>
      </c>
      <c r="Z2506" s="1"/>
      <c r="AA2506" s="1" t="s">
        <v>40</v>
      </c>
      <c r="AB2506" s="1" t="s">
        <v>3581</v>
      </c>
      <c r="AC2506" s="1">
        <v>5491.0</v>
      </c>
    </row>
    <row r="2507">
      <c r="A2507" s="1" t="str">
        <f>"000HNJ"</f>
        <v>000HNJ</v>
      </c>
      <c r="B2507" s="1" t="s">
        <v>10040</v>
      </c>
      <c r="C2507" s="1" t="s">
        <v>10041</v>
      </c>
      <c r="D2507" s="1" t="str">
        <f>"8028689272"</f>
        <v>8028689272</v>
      </c>
      <c r="E2507" s="1">
        <v>4378.0</v>
      </c>
      <c r="F2507" s="1" t="s">
        <v>117</v>
      </c>
      <c r="G2507" s="1" t="s">
        <v>10042</v>
      </c>
      <c r="H2507" s="1">
        <v>2.0</v>
      </c>
      <c r="I2507" s="2">
        <v>2.0</v>
      </c>
      <c r="J2507" s="2">
        <v>2.0</v>
      </c>
      <c r="K2507" s="2" t="s">
        <v>119</v>
      </c>
      <c r="L2507" s="1"/>
      <c r="M2507" s="1" t="s">
        <v>10043</v>
      </c>
      <c r="N2507" s="1" t="s">
        <v>47</v>
      </c>
      <c r="O2507" s="1" t="s">
        <v>1112</v>
      </c>
      <c r="P2507" s="1" t="s">
        <v>10044</v>
      </c>
      <c r="Q2507" s="3">
        <v>40956.0</v>
      </c>
      <c r="R2507" s="1"/>
      <c r="S2507" s="1"/>
      <c r="T2507" s="1" t="s">
        <v>37</v>
      </c>
      <c r="U2507" s="1"/>
      <c r="V2507" s="1" t="s">
        <v>38</v>
      </c>
      <c r="W2507" s="1">
        <v>44.9142541173583</v>
      </c>
      <c r="X2507" s="1">
        <v>-73.1618455052375</v>
      </c>
      <c r="Y2507" s="1" t="s">
        <v>10045</v>
      </c>
      <c r="Z2507" s="1"/>
      <c r="AA2507" s="1" t="s">
        <v>40</v>
      </c>
      <c r="AB2507" s="1" t="s">
        <v>1115</v>
      </c>
      <c r="AC2507" s="1" t="s">
        <v>10046</v>
      </c>
    </row>
    <row r="2508">
      <c r="A2508" s="1" t="str">
        <f>"000HNK"</f>
        <v>000HNK</v>
      </c>
      <c r="B2508" s="1" t="s">
        <v>10047</v>
      </c>
      <c r="C2508" s="1" t="s">
        <v>10048</v>
      </c>
      <c r="D2508" s="1" t="str">
        <f>"8026886644"</f>
        <v>8026886644</v>
      </c>
      <c r="E2508" s="1">
        <v>4379.0</v>
      </c>
      <c r="F2508" s="1" t="s">
        <v>117</v>
      </c>
      <c r="G2508" s="1" t="s">
        <v>10049</v>
      </c>
      <c r="H2508" s="1">
        <v>2.0</v>
      </c>
      <c r="I2508" s="2">
        <v>0.0</v>
      </c>
      <c r="J2508" s="2">
        <v>1.0</v>
      </c>
      <c r="K2508" s="2" t="s">
        <v>119</v>
      </c>
      <c r="L2508" s="1"/>
      <c r="M2508" s="1" t="s">
        <v>10050</v>
      </c>
      <c r="N2508" s="1" t="s">
        <v>414</v>
      </c>
      <c r="O2508" s="1" t="s">
        <v>415</v>
      </c>
      <c r="P2508" s="1" t="s">
        <v>8298</v>
      </c>
      <c r="Q2508" s="3">
        <v>40950.0</v>
      </c>
      <c r="R2508" s="1"/>
      <c r="S2508" s="1"/>
      <c r="T2508" s="1" t="s">
        <v>37</v>
      </c>
      <c r="U2508" s="1"/>
      <c r="V2508" s="1" t="s">
        <v>38</v>
      </c>
      <c r="W2508" s="1">
        <v>43.240993</v>
      </c>
      <c r="X2508" s="1">
        <v>-72.9991299</v>
      </c>
      <c r="Y2508" s="1" t="s">
        <v>8673</v>
      </c>
      <c r="Z2508" s="1"/>
      <c r="AA2508" s="1" t="s">
        <v>40</v>
      </c>
      <c r="AB2508" s="1" t="s">
        <v>6366</v>
      </c>
      <c r="AC2508" s="1">
        <v>5253.0</v>
      </c>
    </row>
    <row r="2509">
      <c r="A2509" s="1" t="str">
        <f>"000HNM"</f>
        <v>000HNM</v>
      </c>
      <c r="B2509" s="1" t="s">
        <v>10051</v>
      </c>
      <c r="C2509" s="1" t="s">
        <v>10052</v>
      </c>
      <c r="D2509" s="1" t="str">
        <f>"8025983834"</f>
        <v>8025983834</v>
      </c>
      <c r="E2509" s="1">
        <v>4380.0</v>
      </c>
      <c r="F2509" s="1" t="s">
        <v>117</v>
      </c>
      <c r="G2509" s="1" t="s">
        <v>10053</v>
      </c>
      <c r="H2509" s="1">
        <v>5.0</v>
      </c>
      <c r="I2509" s="2">
        <v>1.0</v>
      </c>
      <c r="J2509" s="2">
        <v>1.0</v>
      </c>
      <c r="K2509" s="2" t="s">
        <v>119</v>
      </c>
      <c r="L2509" s="1"/>
      <c r="M2509" s="1" t="s">
        <v>10054</v>
      </c>
      <c r="N2509" s="1" t="s">
        <v>57</v>
      </c>
      <c r="O2509" s="1" t="s">
        <v>58</v>
      </c>
      <c r="P2509" s="1" t="s">
        <v>10055</v>
      </c>
      <c r="Q2509" s="3">
        <v>40956.0</v>
      </c>
      <c r="R2509" s="1"/>
      <c r="S2509" s="3">
        <v>42612.0</v>
      </c>
      <c r="T2509" s="1" t="s">
        <v>37</v>
      </c>
      <c r="U2509" s="1"/>
      <c r="V2509" s="1" t="s">
        <v>38</v>
      </c>
      <c r="W2509" s="1">
        <v>44.5090239772942</v>
      </c>
      <c r="X2509" s="1">
        <v>-72.8673791885376</v>
      </c>
      <c r="Y2509" s="1" t="s">
        <v>10056</v>
      </c>
      <c r="Z2509" s="1"/>
      <c r="AA2509" s="1" t="s">
        <v>40</v>
      </c>
      <c r="AB2509" s="1" t="s">
        <v>61</v>
      </c>
      <c r="AC2509" s="1">
        <v>5489.0</v>
      </c>
    </row>
    <row r="2510">
      <c r="A2510" s="1" t="str">
        <f>"000HNN"</f>
        <v>000HNN</v>
      </c>
      <c r="B2510" s="1" t="s">
        <v>10057</v>
      </c>
      <c r="C2510" s="1" t="s">
        <v>10058</v>
      </c>
      <c r="D2510" s="1" t="str">
        <f>"8024549916"</f>
        <v>8024549916</v>
      </c>
      <c r="E2510" s="1">
        <v>4381.0</v>
      </c>
      <c r="F2510" s="1" t="s">
        <v>44</v>
      </c>
      <c r="G2510" s="1" t="s">
        <v>10059</v>
      </c>
      <c r="H2510" s="1">
        <v>3.0</v>
      </c>
      <c r="I2510" s="1"/>
      <c r="J2510" s="1"/>
      <c r="K2510" s="1"/>
      <c r="L2510" s="1"/>
      <c r="M2510" s="1" t="s">
        <v>10060</v>
      </c>
      <c r="N2510" s="1" t="s">
        <v>135</v>
      </c>
      <c r="O2510" s="1" t="s">
        <v>758</v>
      </c>
      <c r="P2510" s="1" t="s">
        <v>36</v>
      </c>
      <c r="Q2510" s="3">
        <v>40960.0</v>
      </c>
      <c r="R2510" s="1"/>
      <c r="S2510" s="1"/>
      <c r="T2510" s="1" t="s">
        <v>37</v>
      </c>
      <c r="U2510" s="1"/>
      <c r="V2510" s="1" t="s">
        <v>38</v>
      </c>
      <c r="W2510" s="1">
        <v>44.275215</v>
      </c>
      <c r="X2510" s="1">
        <v>-72.449028</v>
      </c>
      <c r="Y2510" s="1" t="s">
        <v>10061</v>
      </c>
      <c r="Z2510" s="1"/>
      <c r="AA2510" s="1" t="s">
        <v>40</v>
      </c>
      <c r="AB2510" s="1" t="s">
        <v>759</v>
      </c>
      <c r="AC2510" s="1">
        <v>5667.0</v>
      </c>
    </row>
    <row r="2511">
      <c r="A2511" s="1" t="str">
        <f>"000HVD"</f>
        <v>000HVD</v>
      </c>
      <c r="B2511" s="1" t="s">
        <v>10062</v>
      </c>
      <c r="C2511" s="1" t="s">
        <v>10063</v>
      </c>
      <c r="D2511" s="1" t="str">
        <f>"8028795273"</f>
        <v>8028795273</v>
      </c>
      <c r="E2511" s="1">
        <v>4382.0</v>
      </c>
      <c r="F2511" s="1" t="s">
        <v>44</v>
      </c>
      <c r="G2511" s="1" t="s">
        <v>10064</v>
      </c>
      <c r="H2511" s="1">
        <v>1.0</v>
      </c>
      <c r="I2511" s="1"/>
      <c r="J2511" s="1"/>
      <c r="K2511" s="1"/>
      <c r="L2511" s="1"/>
      <c r="M2511" s="1" t="s">
        <v>33</v>
      </c>
      <c r="N2511" s="1" t="s">
        <v>57</v>
      </c>
      <c r="O2511" s="1" t="s">
        <v>2092</v>
      </c>
      <c r="P2511" s="1" t="s">
        <v>36</v>
      </c>
      <c r="Q2511" s="3">
        <v>40969.0</v>
      </c>
      <c r="R2511" s="1"/>
      <c r="S2511" s="1"/>
      <c r="T2511" s="1" t="s">
        <v>37</v>
      </c>
      <c r="U2511" s="1"/>
      <c r="V2511" s="1" t="s">
        <v>38</v>
      </c>
      <c r="W2511" s="1"/>
      <c r="X2511" s="1"/>
      <c r="Y2511" s="1" t="s">
        <v>10065</v>
      </c>
      <c r="Z2511" s="1"/>
      <c r="AA2511" s="1" t="s">
        <v>40</v>
      </c>
      <c r="AB2511" s="1" t="s">
        <v>2093</v>
      </c>
      <c r="AC2511" s="1">
        <v>5495.0</v>
      </c>
    </row>
    <row r="2512">
      <c r="A2512" s="1" t="str">
        <f>"000HVP"</f>
        <v>000HVP</v>
      </c>
      <c r="B2512" s="1" t="s">
        <v>10066</v>
      </c>
      <c r="C2512" s="1" t="s">
        <v>10067</v>
      </c>
      <c r="D2512" s="1" t="str">
        <f>"8024473578"</f>
        <v>8024473578</v>
      </c>
      <c r="E2512" s="1">
        <v>4383.0</v>
      </c>
      <c r="F2512" s="1" t="s">
        <v>44</v>
      </c>
      <c r="G2512" s="1" t="s">
        <v>10068</v>
      </c>
      <c r="H2512" s="1">
        <v>4.0</v>
      </c>
      <c r="I2512" s="2">
        <v>4.0</v>
      </c>
      <c r="J2512" s="2">
        <v>2.0</v>
      </c>
      <c r="K2512" s="2" t="s">
        <v>119</v>
      </c>
      <c r="L2512" s="1"/>
      <c r="M2512" s="1" t="s">
        <v>33</v>
      </c>
      <c r="N2512" s="1" t="s">
        <v>414</v>
      </c>
      <c r="O2512" s="1" t="s">
        <v>720</v>
      </c>
      <c r="P2512" s="1" t="s">
        <v>36</v>
      </c>
      <c r="Q2512" s="3">
        <v>41009.0</v>
      </c>
      <c r="R2512" s="1"/>
      <c r="S2512" s="1"/>
      <c r="T2512" s="1" t="s">
        <v>37</v>
      </c>
      <c r="U2512" s="1"/>
      <c r="V2512" s="1" t="s">
        <v>38</v>
      </c>
      <c r="W2512" s="1">
        <v>42.88216</v>
      </c>
      <c r="X2512" s="1">
        <v>-73.1874619999999</v>
      </c>
      <c r="Y2512" s="1" t="s">
        <v>10069</v>
      </c>
      <c r="Z2512" s="1"/>
      <c r="AA2512" s="1" t="s">
        <v>40</v>
      </c>
      <c r="AB2512" s="1" t="s">
        <v>414</v>
      </c>
      <c r="AC2512" s="1" t="s">
        <v>10070</v>
      </c>
    </row>
    <row r="2513">
      <c r="A2513" s="1" t="str">
        <f>"000HVW"</f>
        <v>000HVW</v>
      </c>
      <c r="B2513" s="1" t="s">
        <v>10071</v>
      </c>
      <c r="C2513" s="1" t="s">
        <v>10072</v>
      </c>
      <c r="D2513" s="1" t="str">
        <f>"8022538532"</f>
        <v>8022538532</v>
      </c>
      <c r="E2513" s="1">
        <v>4385.0</v>
      </c>
      <c r="F2513" s="1" t="s">
        <v>31</v>
      </c>
      <c r="G2513" s="1" t="s">
        <v>10073</v>
      </c>
      <c r="H2513" s="1">
        <v>2.0</v>
      </c>
      <c r="I2513" s="1"/>
      <c r="J2513" s="1"/>
      <c r="K2513" s="1"/>
      <c r="L2513" s="1"/>
      <c r="M2513" s="1" t="s">
        <v>33</v>
      </c>
      <c r="N2513" s="1" t="s">
        <v>213</v>
      </c>
      <c r="O2513" s="1" t="s">
        <v>365</v>
      </c>
      <c r="P2513" s="1" t="s">
        <v>36</v>
      </c>
      <c r="Q2513" s="3">
        <v>40960.0</v>
      </c>
      <c r="R2513" s="1"/>
      <c r="S2513" s="3">
        <v>41060.0</v>
      </c>
      <c r="T2513" s="1" t="s">
        <v>37</v>
      </c>
      <c r="U2513" s="1"/>
      <c r="V2513" s="1" t="s">
        <v>38</v>
      </c>
      <c r="W2513" s="1">
        <v>44.505795</v>
      </c>
      <c r="X2513" s="1">
        <v>-72.6742249999999</v>
      </c>
      <c r="Y2513" s="1" t="s">
        <v>10074</v>
      </c>
      <c r="Z2513" s="1"/>
      <c r="AA2513" s="1" t="s">
        <v>40</v>
      </c>
      <c r="AB2513" s="1" t="s">
        <v>10075</v>
      </c>
      <c r="AC2513" s="1">
        <v>5672.0</v>
      </c>
    </row>
    <row r="2514">
      <c r="A2514" s="1" t="str">
        <f>"000HVX"</f>
        <v>000HVX</v>
      </c>
      <c r="B2514" s="1" t="s">
        <v>10076</v>
      </c>
      <c r="C2514" s="1" t="s">
        <v>10077</v>
      </c>
      <c r="D2514" s="1" t="str">
        <f>"8028715249"</f>
        <v>8028715249</v>
      </c>
      <c r="E2514" s="1">
        <v>4386.0</v>
      </c>
      <c r="F2514" s="1" t="s">
        <v>44</v>
      </c>
      <c r="G2514" s="1" t="s">
        <v>10078</v>
      </c>
      <c r="H2514" s="1">
        <v>1.0</v>
      </c>
      <c r="I2514" s="1"/>
      <c r="J2514" s="1"/>
      <c r="K2514" s="1"/>
      <c r="L2514" s="1"/>
      <c r="M2514" s="1" t="s">
        <v>33</v>
      </c>
      <c r="N2514" s="1" t="s">
        <v>57</v>
      </c>
      <c r="O2514" s="1" t="s">
        <v>155</v>
      </c>
      <c r="P2514" s="1" t="s">
        <v>36</v>
      </c>
      <c r="Q2514" s="3">
        <v>40981.0</v>
      </c>
      <c r="R2514" s="1"/>
      <c r="S2514" s="1"/>
      <c r="T2514" s="1" t="s">
        <v>37</v>
      </c>
      <c r="U2514" s="1"/>
      <c r="V2514" s="1" t="s">
        <v>38</v>
      </c>
      <c r="W2514" s="1"/>
      <c r="X2514" s="1"/>
      <c r="Y2514" s="1" t="s">
        <v>10079</v>
      </c>
      <c r="Z2514" s="1"/>
      <c r="AA2514" s="1" t="s">
        <v>40</v>
      </c>
      <c r="AB2514" s="1" t="s">
        <v>156</v>
      </c>
      <c r="AC2514" s="1">
        <v>5494.0</v>
      </c>
    </row>
    <row r="2515">
      <c r="A2515" s="1" t="str">
        <f>"000HVY"</f>
        <v>000HVY</v>
      </c>
      <c r="B2515" s="1" t="s">
        <v>10080</v>
      </c>
      <c r="C2515" s="1" t="s">
        <v>10081</v>
      </c>
      <c r="D2515" s="1" t="str">
        <f>"8028723585"</f>
        <v>8028723585</v>
      </c>
      <c r="E2515" s="1">
        <v>4387.0</v>
      </c>
      <c r="F2515" s="1" t="s">
        <v>44</v>
      </c>
      <c r="G2515" s="1" t="s">
        <v>10082</v>
      </c>
      <c r="H2515" s="1">
        <v>2.0</v>
      </c>
      <c r="I2515" s="1"/>
      <c r="J2515" s="1"/>
      <c r="K2515" s="1"/>
      <c r="L2515" s="1"/>
      <c r="M2515" s="1" t="s">
        <v>33</v>
      </c>
      <c r="N2515" s="1" t="s">
        <v>57</v>
      </c>
      <c r="O2515" s="1" t="s">
        <v>155</v>
      </c>
      <c r="P2515" s="1" t="s">
        <v>36</v>
      </c>
      <c r="Q2515" s="3">
        <v>40976.0</v>
      </c>
      <c r="R2515" s="1"/>
      <c r="S2515" s="1"/>
      <c r="T2515" s="1" t="s">
        <v>37</v>
      </c>
      <c r="U2515" s="1"/>
      <c r="V2515" s="1" t="s">
        <v>38</v>
      </c>
      <c r="W2515" s="1"/>
      <c r="X2515" s="1"/>
      <c r="Y2515" s="1" t="s">
        <v>10083</v>
      </c>
      <c r="Z2515" s="1"/>
      <c r="AA2515" s="1" t="s">
        <v>40</v>
      </c>
      <c r="AB2515" s="1" t="s">
        <v>156</v>
      </c>
      <c r="AC2515" s="1">
        <v>5494.0</v>
      </c>
    </row>
    <row r="2516">
      <c r="A2516" s="1" t="str">
        <f>"000HW0"</f>
        <v>000HW0</v>
      </c>
      <c r="B2516" s="1" t="s">
        <v>10084</v>
      </c>
      <c r="C2516" s="1" t="s">
        <v>10085</v>
      </c>
      <c r="D2516" s="1" t="str">
        <f>"8022299606"</f>
        <v>8022299606</v>
      </c>
      <c r="E2516" s="1">
        <v>4389.0</v>
      </c>
      <c r="F2516" s="1" t="s">
        <v>31</v>
      </c>
      <c r="G2516" s="1" t="s">
        <v>10086</v>
      </c>
      <c r="H2516" s="1">
        <v>0.0</v>
      </c>
      <c r="I2516" s="1"/>
      <c r="J2516" s="1"/>
      <c r="K2516" s="1"/>
      <c r="L2516" s="1"/>
      <c r="M2516" s="1" t="s">
        <v>33</v>
      </c>
      <c r="N2516" s="1" t="s">
        <v>135</v>
      </c>
      <c r="O2516" s="1" t="s">
        <v>3983</v>
      </c>
      <c r="P2516" s="1" t="s">
        <v>36</v>
      </c>
      <c r="Q2516" s="3">
        <v>40932.0</v>
      </c>
      <c r="R2516" s="1"/>
      <c r="S2516" s="1"/>
      <c r="T2516" s="1" t="s">
        <v>37</v>
      </c>
      <c r="U2516" s="1"/>
      <c r="V2516" s="1" t="s">
        <v>38</v>
      </c>
      <c r="W2516" s="1">
        <v>44.387866</v>
      </c>
      <c r="X2516" s="1">
        <v>-72.586518</v>
      </c>
      <c r="Y2516" s="1" t="s">
        <v>10087</v>
      </c>
      <c r="Z2516" s="1"/>
      <c r="AA2516" s="1" t="s">
        <v>40</v>
      </c>
      <c r="AB2516" s="1" t="s">
        <v>3986</v>
      </c>
      <c r="AC2516" s="1">
        <v>5682.0</v>
      </c>
    </row>
    <row r="2517">
      <c r="A2517" s="1" t="str">
        <f>"000HW2"</f>
        <v>000HW2</v>
      </c>
      <c r="B2517" s="1" t="s">
        <v>10088</v>
      </c>
      <c r="C2517" s="1" t="s">
        <v>10089</v>
      </c>
      <c r="D2517" s="1" t="str">
        <f>"8028632696"</f>
        <v>8028632696</v>
      </c>
      <c r="E2517" s="1">
        <v>4390.0</v>
      </c>
      <c r="F2517" s="1" t="s">
        <v>44</v>
      </c>
      <c r="G2517" s="1" t="s">
        <v>10090</v>
      </c>
      <c r="H2517" s="1">
        <v>1.0</v>
      </c>
      <c r="I2517" s="1"/>
      <c r="J2517" s="1"/>
      <c r="K2517" s="1"/>
      <c r="L2517" s="1"/>
      <c r="M2517" s="1" t="s">
        <v>2629</v>
      </c>
      <c r="N2517" s="1" t="s">
        <v>57</v>
      </c>
      <c r="O2517" s="1" t="s">
        <v>256</v>
      </c>
      <c r="P2517" s="1" t="s">
        <v>10091</v>
      </c>
      <c r="Q2517" s="3">
        <v>40940.0</v>
      </c>
      <c r="R2517" s="1"/>
      <c r="S2517" s="1"/>
      <c r="T2517" s="1" t="s">
        <v>37</v>
      </c>
      <c r="U2517" s="1"/>
      <c r="V2517" s="1" t="s">
        <v>38</v>
      </c>
      <c r="W2517" s="1"/>
      <c r="X2517" s="1"/>
      <c r="Y2517" s="1" t="s">
        <v>10092</v>
      </c>
      <c r="Z2517" s="1"/>
      <c r="AA2517" s="1" t="s">
        <v>40</v>
      </c>
      <c r="AB2517" s="1" t="s">
        <v>560</v>
      </c>
      <c r="AC2517" s="1">
        <v>5446.0</v>
      </c>
    </row>
    <row r="2518">
      <c r="A2518" s="1" t="str">
        <f>"000HW3"</f>
        <v>000HW3</v>
      </c>
      <c r="B2518" s="1" t="s">
        <v>10093</v>
      </c>
      <c r="C2518" s="1" t="s">
        <v>10094</v>
      </c>
      <c r="D2518" s="1" t="str">
        <f>"8023252277"</f>
        <v>8023252277</v>
      </c>
      <c r="E2518" s="1">
        <v>4391.0</v>
      </c>
      <c r="F2518" s="1" t="s">
        <v>44</v>
      </c>
      <c r="G2518" s="1" t="s">
        <v>10095</v>
      </c>
      <c r="H2518" s="1">
        <v>1.0</v>
      </c>
      <c r="I2518" s="2" t="s">
        <v>119</v>
      </c>
      <c r="J2518" s="2" t="s">
        <v>119</v>
      </c>
      <c r="K2518" s="2" t="s">
        <v>119</v>
      </c>
      <c r="L2518" s="1"/>
      <c r="M2518" s="1" t="s">
        <v>33</v>
      </c>
      <c r="N2518" s="1" t="s">
        <v>78</v>
      </c>
      <c r="O2518" s="1" t="s">
        <v>434</v>
      </c>
      <c r="P2518" s="1" t="s">
        <v>10096</v>
      </c>
      <c r="Q2518" s="3">
        <v>40998.0</v>
      </c>
      <c r="R2518" s="1"/>
      <c r="S2518" s="3">
        <v>40998.0</v>
      </c>
      <c r="T2518" s="1" t="s">
        <v>37</v>
      </c>
      <c r="U2518" s="1"/>
      <c r="V2518" s="1" t="s">
        <v>38</v>
      </c>
      <c r="W2518" s="1"/>
      <c r="X2518" s="1"/>
      <c r="Y2518" s="1" t="s">
        <v>10097</v>
      </c>
      <c r="Z2518" s="1"/>
      <c r="AA2518" s="1" t="s">
        <v>40</v>
      </c>
      <c r="AB2518" s="1" t="s">
        <v>435</v>
      </c>
      <c r="AC2518" s="1">
        <v>5761.0</v>
      </c>
    </row>
    <row r="2519">
      <c r="A2519" s="1" t="str">
        <f>"000J66"</f>
        <v>000J66</v>
      </c>
      <c r="B2519" s="1" t="s">
        <v>10098</v>
      </c>
      <c r="C2519" s="1" t="s">
        <v>10099</v>
      </c>
      <c r="D2519" s="1" t="str">
        <f>"8024985741"</f>
        <v>8024985741</v>
      </c>
      <c r="E2519" s="1">
        <v>4392.0</v>
      </c>
      <c r="F2519" s="1" t="s">
        <v>117</v>
      </c>
      <c r="G2519" s="1" t="s">
        <v>10100</v>
      </c>
      <c r="H2519" s="1">
        <v>2.0</v>
      </c>
      <c r="I2519" s="2">
        <v>2.0</v>
      </c>
      <c r="J2519" s="2" t="s">
        <v>119</v>
      </c>
      <c r="K2519" s="2" t="s">
        <v>119</v>
      </c>
      <c r="L2519" s="1"/>
      <c r="M2519" s="1" t="s">
        <v>10101</v>
      </c>
      <c r="N2519" s="1" t="s">
        <v>213</v>
      </c>
      <c r="O2519" s="1" t="s">
        <v>2562</v>
      </c>
      <c r="P2519" s="1" t="s">
        <v>10102</v>
      </c>
      <c r="Q2519" s="3">
        <v>41048.0</v>
      </c>
      <c r="R2519" s="1"/>
      <c r="S2519" s="1"/>
      <c r="T2519" s="1" t="s">
        <v>37</v>
      </c>
      <c r="U2519" s="1"/>
      <c r="V2519" s="1" t="s">
        <v>38</v>
      </c>
      <c r="W2519" s="1">
        <v>44.556311</v>
      </c>
      <c r="X2519" s="1">
        <v>-72.5352219999999</v>
      </c>
      <c r="Y2519" s="1" t="s">
        <v>10103</v>
      </c>
      <c r="Z2519" s="1"/>
      <c r="AA2519" s="1" t="s">
        <v>40</v>
      </c>
      <c r="AB2519" s="1" t="s">
        <v>2563</v>
      </c>
      <c r="AC2519" s="1">
        <v>5680.0</v>
      </c>
    </row>
    <row r="2520">
      <c r="A2520" s="1" t="str">
        <f>"000J67"</f>
        <v>000J67</v>
      </c>
      <c r="B2520" s="1" t="s">
        <v>10104</v>
      </c>
      <c r="C2520" s="1" t="s">
        <v>10105</v>
      </c>
      <c r="D2520" s="1" t="str">
        <f>"8024767363"</f>
        <v>8024767363</v>
      </c>
      <c r="E2520" s="1">
        <v>4393.0</v>
      </c>
      <c r="F2520" s="1" t="s">
        <v>44</v>
      </c>
      <c r="G2520" s="1" t="s">
        <v>10106</v>
      </c>
      <c r="H2520" s="1">
        <v>3.0</v>
      </c>
      <c r="I2520" s="1"/>
      <c r="J2520" s="1"/>
      <c r="K2520" s="1"/>
      <c r="L2520" s="1"/>
      <c r="M2520" s="1" t="s">
        <v>33</v>
      </c>
      <c r="N2520" s="1" t="s">
        <v>135</v>
      </c>
      <c r="O2520" s="1" t="s">
        <v>343</v>
      </c>
      <c r="P2520" s="1" t="s">
        <v>36</v>
      </c>
      <c r="Q2520" s="3">
        <v>41034.0</v>
      </c>
      <c r="R2520" s="1"/>
      <c r="S2520" s="3">
        <v>41855.0</v>
      </c>
      <c r="T2520" s="1" t="s">
        <v>37</v>
      </c>
      <c r="U2520" s="1"/>
      <c r="V2520" s="1" t="s">
        <v>38</v>
      </c>
      <c r="W2520" s="1">
        <v>44.165949</v>
      </c>
      <c r="X2520" s="1">
        <v>-72.5311889999999</v>
      </c>
      <c r="Y2520" s="1" t="s">
        <v>10107</v>
      </c>
      <c r="Z2520" s="1"/>
      <c r="AA2520" s="1" t="s">
        <v>40</v>
      </c>
      <c r="AB2520" s="1" t="s">
        <v>4019</v>
      </c>
      <c r="AC2520" s="1">
        <v>5641.0</v>
      </c>
    </row>
    <row r="2521">
      <c r="A2521" s="1" t="str">
        <f>"000J69"</f>
        <v>000J69</v>
      </c>
      <c r="B2521" s="1" t="s">
        <v>10108</v>
      </c>
      <c r="C2521" s="1" t="s">
        <v>10109</v>
      </c>
      <c r="D2521" s="1" t="str">
        <f>"8028996770"</f>
        <v>8028996770</v>
      </c>
      <c r="E2521" s="1">
        <v>4395.0</v>
      </c>
      <c r="F2521" s="1" t="s">
        <v>31</v>
      </c>
      <c r="G2521" s="1" t="s">
        <v>10110</v>
      </c>
      <c r="H2521" s="1">
        <v>1.0</v>
      </c>
      <c r="I2521" s="1"/>
      <c r="J2521" s="1"/>
      <c r="K2521" s="1"/>
      <c r="L2521" s="1"/>
      <c r="M2521" s="1" t="s">
        <v>33</v>
      </c>
      <c r="N2521" s="1" t="s">
        <v>57</v>
      </c>
      <c r="O2521" s="1" t="s">
        <v>58</v>
      </c>
      <c r="P2521" s="1" t="s">
        <v>5310</v>
      </c>
      <c r="Q2521" s="3">
        <v>41026.0</v>
      </c>
      <c r="R2521" s="1"/>
      <c r="S2521" s="3">
        <v>41143.0</v>
      </c>
      <c r="T2521" s="1" t="s">
        <v>37</v>
      </c>
      <c r="U2521" s="1"/>
      <c r="V2521" s="1" t="s">
        <v>38</v>
      </c>
      <c r="W2521" s="1">
        <v>44.5999711413394</v>
      </c>
      <c r="X2521" s="1">
        <v>-72.9284155368805</v>
      </c>
      <c r="Y2521" s="1" t="s">
        <v>10111</v>
      </c>
      <c r="Z2521" s="1"/>
      <c r="AA2521" s="1" t="s">
        <v>40</v>
      </c>
      <c r="AB2521" s="1" t="s">
        <v>61</v>
      </c>
      <c r="AC2521" s="1">
        <v>5489.0</v>
      </c>
    </row>
    <row r="2522">
      <c r="A2522" s="1" t="str">
        <f>"000J6C"</f>
        <v>000J6C</v>
      </c>
      <c r="B2522" s="1" t="s">
        <v>10112</v>
      </c>
      <c r="C2522" s="1" t="s">
        <v>10113</v>
      </c>
      <c r="D2522" s="1" t="str">
        <f>"8027608033"</f>
        <v>8027608033</v>
      </c>
      <c r="E2522" s="1">
        <v>4396.0</v>
      </c>
      <c r="F2522" s="1" t="s">
        <v>117</v>
      </c>
      <c r="G2522" s="1" t="s">
        <v>10114</v>
      </c>
      <c r="H2522" s="1">
        <v>1.0</v>
      </c>
      <c r="I2522" s="2" t="s">
        <v>119</v>
      </c>
      <c r="J2522" s="2">
        <v>1.0</v>
      </c>
      <c r="K2522" s="2" t="s">
        <v>119</v>
      </c>
      <c r="L2522" s="1"/>
      <c r="M2522" s="1" t="s">
        <v>10115</v>
      </c>
      <c r="N2522" s="1" t="s">
        <v>135</v>
      </c>
      <c r="O2522" s="1" t="s">
        <v>775</v>
      </c>
      <c r="P2522" s="1" t="s">
        <v>10116</v>
      </c>
      <c r="Q2522" s="3">
        <v>41034.0</v>
      </c>
      <c r="R2522" s="1"/>
      <c r="S2522" s="3">
        <v>42170.0</v>
      </c>
      <c r="T2522" s="1" t="s">
        <v>37</v>
      </c>
      <c r="U2522" s="1"/>
      <c r="V2522" s="1" t="s">
        <v>38</v>
      </c>
      <c r="W2522" s="1">
        <v>44.372326</v>
      </c>
      <c r="X2522" s="1">
        <v>-72.7032689999999</v>
      </c>
      <c r="Y2522" s="1" t="s">
        <v>10117</v>
      </c>
      <c r="Z2522" s="1"/>
      <c r="AA2522" s="1" t="s">
        <v>40</v>
      </c>
      <c r="AB2522" s="1" t="s">
        <v>3755</v>
      </c>
      <c r="AC2522" s="1">
        <v>5677.0</v>
      </c>
    </row>
    <row r="2523">
      <c r="A2523" s="1" t="str">
        <f>"000J6D"</f>
        <v>000J6D</v>
      </c>
      <c r="B2523" s="1" t="s">
        <v>10118</v>
      </c>
      <c r="C2523" s="1" t="s">
        <v>10119</v>
      </c>
      <c r="D2523" s="1" t="str">
        <f>"8022332629"</f>
        <v>8022332629</v>
      </c>
      <c r="E2523" s="1">
        <v>4397.0</v>
      </c>
      <c r="F2523" s="1" t="s">
        <v>44</v>
      </c>
      <c r="G2523" s="1" t="s">
        <v>10120</v>
      </c>
      <c r="H2523" s="1">
        <v>1.0</v>
      </c>
      <c r="I2523" s="1"/>
      <c r="J2523" s="1"/>
      <c r="K2523" s="1"/>
      <c r="L2523" s="1"/>
      <c r="M2523" s="1" t="s">
        <v>33</v>
      </c>
      <c r="N2523" s="1" t="s">
        <v>47</v>
      </c>
      <c r="O2523" s="1" t="s">
        <v>378</v>
      </c>
      <c r="P2523" s="1" t="s">
        <v>10121</v>
      </c>
      <c r="Q2523" s="3">
        <v>41011.0</v>
      </c>
      <c r="R2523" s="1"/>
      <c r="S2523" s="1"/>
      <c r="T2523" s="1" t="s">
        <v>37</v>
      </c>
      <c r="U2523" s="1"/>
      <c r="V2523" s="1" t="s">
        <v>38</v>
      </c>
      <c r="W2523" s="1">
        <v>44.7508291</v>
      </c>
      <c r="X2523" s="1">
        <v>-73.0055908</v>
      </c>
      <c r="Y2523" s="1" t="s">
        <v>10122</v>
      </c>
      <c r="Z2523" s="1"/>
      <c r="AA2523" s="1" t="s">
        <v>40</v>
      </c>
      <c r="AB2523" s="1" t="s">
        <v>381</v>
      </c>
      <c r="AC2523" s="1">
        <v>5454.0</v>
      </c>
    </row>
    <row r="2524">
      <c r="A2524" s="1" t="str">
        <f>"000J7P"</f>
        <v>000J7P</v>
      </c>
      <c r="B2524" s="1" t="s">
        <v>10123</v>
      </c>
      <c r="C2524" s="1" t="s">
        <v>10124</v>
      </c>
      <c r="D2524" s="1" t="str">
        <f>"8028881826"</f>
        <v>8028881826</v>
      </c>
      <c r="E2524" s="1">
        <v>4399.0</v>
      </c>
      <c r="F2524" s="1" t="s">
        <v>117</v>
      </c>
      <c r="G2524" s="1" t="s">
        <v>10125</v>
      </c>
      <c r="H2524" s="1">
        <v>2.0</v>
      </c>
      <c r="I2524" s="2">
        <v>2.0</v>
      </c>
      <c r="J2524" s="2">
        <v>2.0</v>
      </c>
      <c r="K2524" s="2" t="s">
        <v>119</v>
      </c>
      <c r="L2524" s="1"/>
      <c r="M2524" s="1" t="s">
        <v>10126</v>
      </c>
      <c r="N2524" s="1" t="s">
        <v>213</v>
      </c>
      <c r="O2524" s="1" t="s">
        <v>214</v>
      </c>
      <c r="P2524" s="1" t="s">
        <v>10127</v>
      </c>
      <c r="Q2524" s="3">
        <v>41036.0</v>
      </c>
      <c r="R2524" s="1"/>
      <c r="S2524" s="1"/>
      <c r="T2524" s="1" t="s">
        <v>37</v>
      </c>
      <c r="U2524" s="1"/>
      <c r="V2524" s="1" t="s">
        <v>38</v>
      </c>
      <c r="W2524" s="1">
        <v>44.535485</v>
      </c>
      <c r="X2524" s="1">
        <v>-72.5675249999999</v>
      </c>
      <c r="Y2524" s="1" t="s">
        <v>10128</v>
      </c>
      <c r="Z2524" s="1"/>
      <c r="AA2524" s="1" t="s">
        <v>40</v>
      </c>
      <c r="AB2524" s="1" t="s">
        <v>8450</v>
      </c>
      <c r="AC2524" s="1">
        <v>5661.0</v>
      </c>
    </row>
    <row r="2525">
      <c r="A2525" s="1" t="str">
        <f>"000J7Q"</f>
        <v>000J7Q</v>
      </c>
      <c r="B2525" s="1" t="s">
        <v>10129</v>
      </c>
      <c r="C2525" s="1" t="s">
        <v>10130</v>
      </c>
      <c r="D2525" s="1" t="str">
        <f>"8802878836"</f>
        <v>8802878836</v>
      </c>
      <c r="E2525" s="1">
        <v>4400.0</v>
      </c>
      <c r="F2525" s="1" t="s">
        <v>44</v>
      </c>
      <c r="G2525" s="1" t="s">
        <v>10131</v>
      </c>
      <c r="H2525" s="1">
        <v>1.0</v>
      </c>
      <c r="I2525" s="1"/>
      <c r="J2525" s="1"/>
      <c r="K2525" s="1"/>
      <c r="L2525" s="1"/>
      <c r="M2525" s="1" t="s">
        <v>33</v>
      </c>
      <c r="N2525" s="1" t="s">
        <v>57</v>
      </c>
      <c r="O2525" s="1" t="s">
        <v>509</v>
      </c>
      <c r="P2525" s="1" t="s">
        <v>36</v>
      </c>
      <c r="Q2525" s="3">
        <v>41034.0</v>
      </c>
      <c r="R2525" s="1"/>
      <c r="S2525" s="1"/>
      <c r="T2525" s="1" t="s">
        <v>37</v>
      </c>
      <c r="U2525" s="1"/>
      <c r="V2525" s="1" t="s">
        <v>38</v>
      </c>
      <c r="W2525" s="1">
        <v>44.507564</v>
      </c>
      <c r="X2525" s="1">
        <v>-73.026015</v>
      </c>
      <c r="Y2525" s="1" t="s">
        <v>10132</v>
      </c>
      <c r="Z2525" s="1"/>
      <c r="AA2525" s="1" t="s">
        <v>40</v>
      </c>
      <c r="AB2525" s="1" t="s">
        <v>331</v>
      </c>
      <c r="AC2525" s="1">
        <v>5452.0</v>
      </c>
    </row>
    <row r="2526">
      <c r="A2526" s="1" t="str">
        <f>"000J7X"</f>
        <v>000J7X</v>
      </c>
      <c r="B2526" s="1" t="s">
        <v>10133</v>
      </c>
      <c r="C2526" s="1" t="s">
        <v>10134</v>
      </c>
      <c r="D2526" s="1" t="str">
        <f>"8026951081"</f>
        <v>8026951081</v>
      </c>
      <c r="E2526" s="1">
        <v>4401.0</v>
      </c>
      <c r="F2526" s="1" t="s">
        <v>44</v>
      </c>
      <c r="G2526" s="1" t="s">
        <v>10135</v>
      </c>
      <c r="H2526" s="1">
        <v>4.0</v>
      </c>
      <c r="I2526" s="1"/>
      <c r="J2526" s="1"/>
      <c r="K2526" s="1"/>
      <c r="L2526" s="1"/>
      <c r="M2526" s="1" t="s">
        <v>33</v>
      </c>
      <c r="N2526" s="1" t="s">
        <v>331</v>
      </c>
      <c r="O2526" s="1" t="s">
        <v>1573</v>
      </c>
      <c r="P2526" s="1" t="s">
        <v>36</v>
      </c>
      <c r="Q2526" s="3">
        <v>41009.0</v>
      </c>
      <c r="R2526" s="1"/>
      <c r="S2526" s="1"/>
      <c r="T2526" s="1" t="s">
        <v>37</v>
      </c>
      <c r="U2526" s="1"/>
      <c r="V2526" s="1" t="s">
        <v>38</v>
      </c>
      <c r="W2526" s="1">
        <v>44.428036</v>
      </c>
      <c r="X2526" s="1">
        <v>-71.8939669999999</v>
      </c>
      <c r="Y2526" s="1" t="s">
        <v>10136</v>
      </c>
      <c r="Z2526" s="1"/>
      <c r="AA2526" s="1" t="s">
        <v>40</v>
      </c>
      <c r="AB2526" s="1" t="s">
        <v>1574</v>
      </c>
      <c r="AC2526" s="1">
        <v>5824.0</v>
      </c>
    </row>
    <row r="2527">
      <c r="A2527" s="1" t="str">
        <f>"000J7Y"</f>
        <v>000J7Y</v>
      </c>
      <c r="B2527" s="1" t="s">
        <v>10137</v>
      </c>
      <c r="C2527" s="1" t="s">
        <v>10138</v>
      </c>
      <c r="D2527" s="1" t="str">
        <f>"8028998992"</f>
        <v>8028998992</v>
      </c>
      <c r="E2527" s="1">
        <v>4402.0</v>
      </c>
      <c r="F2527" s="1" t="s">
        <v>44</v>
      </c>
      <c r="G2527" s="1" t="s">
        <v>10139</v>
      </c>
      <c r="H2527" s="1">
        <v>0.0</v>
      </c>
      <c r="I2527" s="1"/>
      <c r="J2527" s="1"/>
      <c r="K2527" s="1"/>
      <c r="L2527" s="1"/>
      <c r="M2527" s="1" t="s">
        <v>33</v>
      </c>
      <c r="N2527" s="1" t="s">
        <v>57</v>
      </c>
      <c r="O2527" s="1" t="s">
        <v>745</v>
      </c>
      <c r="P2527" s="1" t="s">
        <v>36</v>
      </c>
      <c r="Q2527" s="3">
        <v>41036.0</v>
      </c>
      <c r="R2527" s="1"/>
      <c r="S2527" s="3">
        <v>41143.0</v>
      </c>
      <c r="T2527" s="1" t="s">
        <v>37</v>
      </c>
      <c r="U2527" s="1"/>
      <c r="V2527" s="1" t="s">
        <v>38</v>
      </c>
      <c r="W2527" s="1"/>
      <c r="X2527" s="1"/>
      <c r="Y2527" s="1" t="s">
        <v>10140</v>
      </c>
      <c r="Z2527" s="1"/>
      <c r="AA2527" s="1" t="s">
        <v>40</v>
      </c>
      <c r="AB2527" s="1" t="s">
        <v>746</v>
      </c>
      <c r="AC2527" s="1">
        <v>5465.0</v>
      </c>
    </row>
    <row r="2528">
      <c r="A2528" s="1" t="str">
        <f>"000J7Z"</f>
        <v>000J7Z</v>
      </c>
      <c r="B2528" s="1" t="s">
        <v>10141</v>
      </c>
      <c r="C2528" s="1" t="s">
        <v>10142</v>
      </c>
      <c r="D2528" s="1" t="str">
        <f>"8024343159"</f>
        <v>8024343159</v>
      </c>
      <c r="E2528" s="1">
        <v>4403.0</v>
      </c>
      <c r="F2528" s="1" t="s">
        <v>44</v>
      </c>
      <c r="G2528" s="1" t="s">
        <v>10143</v>
      </c>
      <c r="H2528" s="1">
        <v>1.0</v>
      </c>
      <c r="I2528" s="1"/>
      <c r="J2528" s="1"/>
      <c r="K2528" s="1"/>
      <c r="L2528" s="1"/>
      <c r="M2528" s="1" t="s">
        <v>33</v>
      </c>
      <c r="N2528" s="1" t="s">
        <v>57</v>
      </c>
      <c r="O2528" s="1" t="s">
        <v>201</v>
      </c>
      <c r="P2528" s="1" t="s">
        <v>36</v>
      </c>
      <c r="Q2528" s="3">
        <v>41034.0</v>
      </c>
      <c r="R2528" s="1"/>
      <c r="S2528" s="1"/>
      <c r="T2528" s="1" t="s">
        <v>37</v>
      </c>
      <c r="U2528" s="1"/>
      <c r="V2528" s="1" t="s">
        <v>38</v>
      </c>
      <c r="W2528" s="1"/>
      <c r="X2528" s="1"/>
      <c r="Y2528" s="1" t="s">
        <v>10144</v>
      </c>
      <c r="Z2528" s="1"/>
      <c r="AA2528" s="1" t="s">
        <v>40</v>
      </c>
      <c r="AB2528" s="1" t="s">
        <v>202</v>
      </c>
      <c r="AC2528" s="1">
        <v>5477.0</v>
      </c>
    </row>
    <row r="2529">
      <c r="A2529" s="1" t="str">
        <f>"000J8N"</f>
        <v>000J8N</v>
      </c>
      <c r="B2529" s="1" t="s">
        <v>10145</v>
      </c>
      <c r="C2529" s="1" t="s">
        <v>10146</v>
      </c>
      <c r="D2529" s="1" t="str">
        <f>"8028492648"</f>
        <v>8028492648</v>
      </c>
      <c r="E2529" s="1">
        <v>4404.0</v>
      </c>
      <c r="F2529" s="1" t="s">
        <v>117</v>
      </c>
      <c r="G2529" s="1" t="s">
        <v>10147</v>
      </c>
      <c r="H2529" s="1">
        <v>5.0</v>
      </c>
      <c r="I2529" s="2" t="s">
        <v>119</v>
      </c>
      <c r="J2529" s="2" t="s">
        <v>119</v>
      </c>
      <c r="K2529" s="2" t="s">
        <v>119</v>
      </c>
      <c r="L2529" s="1"/>
      <c r="M2529" s="1" t="s">
        <v>10148</v>
      </c>
      <c r="N2529" s="1" t="s">
        <v>47</v>
      </c>
      <c r="O2529" s="1" t="s">
        <v>378</v>
      </c>
      <c r="P2529" s="1" t="s">
        <v>10149</v>
      </c>
      <c r="Q2529" s="3">
        <v>41034.0</v>
      </c>
      <c r="R2529" s="1"/>
      <c r="S2529" s="3">
        <v>42639.0</v>
      </c>
      <c r="T2529" s="1" t="s">
        <v>37</v>
      </c>
      <c r="U2529" s="1"/>
      <c r="V2529" s="1" t="s">
        <v>38</v>
      </c>
      <c r="W2529" s="1">
        <v>44.698265</v>
      </c>
      <c r="X2529" s="1">
        <v>-73.055883</v>
      </c>
      <c r="Y2529" s="1" t="s">
        <v>10150</v>
      </c>
      <c r="Z2529" s="1"/>
      <c r="AA2529" s="1" t="s">
        <v>40</v>
      </c>
      <c r="AB2529" s="1" t="s">
        <v>381</v>
      </c>
      <c r="AC2529" s="1">
        <v>5454.0</v>
      </c>
    </row>
    <row r="2530">
      <c r="A2530" s="1" t="str">
        <f>"000J8Y"</f>
        <v>000J8Y</v>
      </c>
      <c r="B2530" s="1" t="s">
        <v>10151</v>
      </c>
      <c r="C2530" s="1" t="s">
        <v>10152</v>
      </c>
      <c r="D2530" s="1" t="str">
        <f>"8027351225"</f>
        <v>8027351225</v>
      </c>
      <c r="E2530" s="1">
        <v>4406.0</v>
      </c>
      <c r="F2530" s="1" t="s">
        <v>31</v>
      </c>
      <c r="G2530" s="1" t="s">
        <v>10153</v>
      </c>
      <c r="H2530" s="1">
        <v>1.0</v>
      </c>
      <c r="I2530" s="1"/>
      <c r="J2530" s="1"/>
      <c r="K2530" s="1"/>
      <c r="L2530" s="1"/>
      <c r="M2530" s="1" t="s">
        <v>33</v>
      </c>
      <c r="N2530" s="1" t="s">
        <v>57</v>
      </c>
      <c r="O2530" s="1" t="s">
        <v>745</v>
      </c>
      <c r="P2530" s="1" t="s">
        <v>10154</v>
      </c>
      <c r="Q2530" s="3">
        <v>41045.0</v>
      </c>
      <c r="R2530" s="1"/>
      <c r="S2530" s="1"/>
      <c r="T2530" s="1" t="s">
        <v>37</v>
      </c>
      <c r="U2530" s="1"/>
      <c r="V2530" s="1" t="s">
        <v>38</v>
      </c>
      <c r="W2530" s="1"/>
      <c r="X2530" s="1"/>
      <c r="Y2530" s="1" t="s">
        <v>10155</v>
      </c>
      <c r="Z2530" s="1"/>
      <c r="AA2530" s="1" t="s">
        <v>40</v>
      </c>
      <c r="AB2530" s="1" t="s">
        <v>746</v>
      </c>
      <c r="AC2530" s="1">
        <v>5465.0</v>
      </c>
    </row>
    <row r="2531">
      <c r="A2531" s="1" t="str">
        <f>"000J90"</f>
        <v>000J90</v>
      </c>
      <c r="B2531" s="1" t="s">
        <v>10156</v>
      </c>
      <c r="C2531" s="1" t="s">
        <v>10157</v>
      </c>
      <c r="D2531" s="1" t="str">
        <f>"8022231473"</f>
        <v>8022231473</v>
      </c>
      <c r="E2531" s="1">
        <v>4407.0</v>
      </c>
      <c r="F2531" s="1" t="s">
        <v>117</v>
      </c>
      <c r="G2531" s="1" t="s">
        <v>10158</v>
      </c>
      <c r="H2531" s="1">
        <v>2.0</v>
      </c>
      <c r="I2531" s="2">
        <v>2.0</v>
      </c>
      <c r="J2531" s="2">
        <v>2.0</v>
      </c>
      <c r="K2531" s="2" t="s">
        <v>119</v>
      </c>
      <c r="L2531" s="1"/>
      <c r="M2531" s="1" t="s">
        <v>10159</v>
      </c>
      <c r="N2531" s="1" t="s">
        <v>135</v>
      </c>
      <c r="O2531" s="1" t="s">
        <v>1142</v>
      </c>
      <c r="P2531" s="1" t="s">
        <v>10160</v>
      </c>
      <c r="Q2531" s="3">
        <v>41041.0</v>
      </c>
      <c r="R2531" s="1"/>
      <c r="S2531" s="1"/>
      <c r="T2531" s="1" t="s">
        <v>37</v>
      </c>
      <c r="U2531" s="1"/>
      <c r="V2531" s="1" t="s">
        <v>38</v>
      </c>
      <c r="W2531" s="1">
        <v>44.276363</v>
      </c>
      <c r="X2531" s="1">
        <v>-72.573962</v>
      </c>
      <c r="Y2531" s="1" t="s">
        <v>10161</v>
      </c>
      <c r="Z2531" s="1"/>
      <c r="AA2531" s="1" t="s">
        <v>40</v>
      </c>
      <c r="AB2531" s="1" t="s">
        <v>1145</v>
      </c>
      <c r="AC2531" s="1">
        <v>5602.0</v>
      </c>
    </row>
    <row r="2532">
      <c r="A2532" s="1" t="str">
        <f>"000JC8"</f>
        <v>000JC8</v>
      </c>
      <c r="B2532" s="1" t="s">
        <v>10162</v>
      </c>
      <c r="C2532" s="1" t="s">
        <v>10163</v>
      </c>
      <c r="D2532" s="1" t="str">
        <f>"8026889069"</f>
        <v>8026889069</v>
      </c>
      <c r="E2532" s="1">
        <v>4409.0</v>
      </c>
      <c r="F2532" s="1" t="s">
        <v>31</v>
      </c>
      <c r="G2532" s="1" t="s">
        <v>10164</v>
      </c>
      <c r="H2532" s="1">
        <v>12.0</v>
      </c>
      <c r="I2532" s="1"/>
      <c r="J2532" s="1"/>
      <c r="K2532" s="1"/>
      <c r="L2532" s="1"/>
      <c r="M2532" s="1" t="s">
        <v>10165</v>
      </c>
      <c r="N2532" s="1" t="s">
        <v>34</v>
      </c>
      <c r="O2532" s="1" t="s">
        <v>4998</v>
      </c>
      <c r="P2532" s="1" t="s">
        <v>10166</v>
      </c>
      <c r="Q2532" s="3">
        <v>41109.0</v>
      </c>
      <c r="R2532" s="1"/>
      <c r="S2532" s="1"/>
      <c r="T2532" s="1" t="s">
        <v>37</v>
      </c>
      <c r="U2532" s="1"/>
      <c r="V2532" s="1" t="s">
        <v>38</v>
      </c>
      <c r="W2532" s="1">
        <v>43.30139</v>
      </c>
      <c r="X2532" s="1">
        <v>-72.7896448999999</v>
      </c>
      <c r="Y2532" s="1" t="s">
        <v>10167</v>
      </c>
      <c r="Z2532" s="1"/>
      <c r="AA2532" s="1" t="s">
        <v>40</v>
      </c>
      <c r="AB2532" s="1" t="s">
        <v>5001</v>
      </c>
      <c r="AC2532" s="1">
        <v>5161.0</v>
      </c>
    </row>
    <row r="2533">
      <c r="A2533" s="1" t="str">
        <f>"000JC9"</f>
        <v>000JC9</v>
      </c>
      <c r="B2533" s="1" t="s">
        <v>10168</v>
      </c>
      <c r="C2533" s="1" t="s">
        <v>10169</v>
      </c>
      <c r="D2533" s="1" t="str">
        <f>"8026268754"</f>
        <v>8026268754</v>
      </c>
      <c r="E2533" s="1">
        <v>4410.0</v>
      </c>
      <c r="F2533" s="1" t="s">
        <v>44</v>
      </c>
      <c r="G2533" s="1" t="s">
        <v>10170</v>
      </c>
      <c r="H2533" s="1">
        <v>2.0</v>
      </c>
      <c r="I2533" s="2">
        <v>1.0</v>
      </c>
      <c r="J2533" s="2">
        <v>1.0</v>
      </c>
      <c r="K2533" s="2" t="s">
        <v>119</v>
      </c>
      <c r="L2533" s="1"/>
      <c r="M2533" s="1" t="s">
        <v>33</v>
      </c>
      <c r="N2533" s="1" t="s">
        <v>128</v>
      </c>
      <c r="O2533" s="1" t="s">
        <v>337</v>
      </c>
      <c r="P2533" s="1" t="s">
        <v>36</v>
      </c>
      <c r="Q2533" s="3">
        <v>41049.0</v>
      </c>
      <c r="R2533" s="1"/>
      <c r="S2533" s="1"/>
      <c r="T2533" s="1" t="s">
        <v>37</v>
      </c>
      <c r="U2533" s="1"/>
      <c r="V2533" s="1" t="s">
        <v>38</v>
      </c>
      <c r="W2533" s="1">
        <v>44.537697</v>
      </c>
      <c r="X2533" s="1">
        <v>-72.0501939999999</v>
      </c>
      <c r="Y2533" s="1" t="s">
        <v>10171</v>
      </c>
      <c r="Z2533" s="1"/>
      <c r="AA2533" s="1" t="s">
        <v>40</v>
      </c>
      <c r="AB2533" s="1" t="s">
        <v>10172</v>
      </c>
      <c r="AC2533" s="1">
        <v>5851.0</v>
      </c>
    </row>
    <row r="2534">
      <c r="A2534" s="1" t="str">
        <f>"000JCA"</f>
        <v>000JCA</v>
      </c>
      <c r="B2534" s="1" t="s">
        <v>10173</v>
      </c>
      <c r="C2534" s="1" t="s">
        <v>10174</v>
      </c>
      <c r="D2534" s="1" t="str">
        <f>"8026853898"</f>
        <v>8026853898</v>
      </c>
      <c r="E2534" s="1">
        <v>4411.0</v>
      </c>
      <c r="F2534" s="1" t="s">
        <v>117</v>
      </c>
      <c r="G2534" s="1" t="s">
        <v>10175</v>
      </c>
      <c r="H2534" s="1">
        <v>2.0</v>
      </c>
      <c r="I2534" s="2">
        <v>2.0</v>
      </c>
      <c r="J2534" s="2">
        <v>0.0</v>
      </c>
      <c r="K2534" s="2">
        <v>0.0</v>
      </c>
      <c r="L2534" s="1"/>
      <c r="M2534" s="1" t="s">
        <v>10176</v>
      </c>
      <c r="N2534" s="1" t="s">
        <v>142</v>
      </c>
      <c r="O2534" s="1" t="s">
        <v>844</v>
      </c>
      <c r="P2534" s="1" t="s">
        <v>10177</v>
      </c>
      <c r="Q2534" s="3">
        <v>41109.0</v>
      </c>
      <c r="R2534" s="1"/>
      <c r="S2534" s="3">
        <v>42929.0</v>
      </c>
      <c r="T2534" s="1" t="s">
        <v>37</v>
      </c>
      <c r="U2534" s="1"/>
      <c r="V2534" s="1" t="s">
        <v>38</v>
      </c>
      <c r="W2534" s="1">
        <v>43.9522586</v>
      </c>
      <c r="X2534" s="1">
        <v>-72.4851122999999</v>
      </c>
      <c r="Y2534" s="1" t="s">
        <v>10178</v>
      </c>
      <c r="Z2534" s="1"/>
      <c r="AA2534" s="1" t="s">
        <v>40</v>
      </c>
      <c r="AB2534" s="1" t="s">
        <v>847</v>
      </c>
      <c r="AC2534" s="1">
        <v>5038.0</v>
      </c>
    </row>
    <row r="2535">
      <c r="A2535" s="1" t="str">
        <f>"000JCB"</f>
        <v>000JCB</v>
      </c>
      <c r="B2535" s="1" t="s">
        <v>10179</v>
      </c>
      <c r="C2535" s="1" t="s">
        <v>10180</v>
      </c>
      <c r="D2535" s="1" t="str">
        <f>"8028994340"</f>
        <v>8028994340</v>
      </c>
      <c r="E2535" s="1">
        <v>4412.0</v>
      </c>
      <c r="F2535" s="1" t="s">
        <v>44</v>
      </c>
      <c r="G2535" s="1" t="s">
        <v>10181</v>
      </c>
      <c r="H2535" s="1">
        <v>1.0</v>
      </c>
      <c r="I2535" s="1"/>
      <c r="J2535" s="1"/>
      <c r="K2535" s="1"/>
      <c r="L2535" s="1"/>
      <c r="M2535" s="1" t="s">
        <v>33</v>
      </c>
      <c r="N2535" s="1" t="s">
        <v>57</v>
      </c>
      <c r="O2535" s="1" t="s">
        <v>509</v>
      </c>
      <c r="P2535" s="1" t="s">
        <v>36</v>
      </c>
      <c r="Q2535" s="3">
        <v>41109.0</v>
      </c>
      <c r="R2535" s="1"/>
      <c r="S2535" s="1"/>
      <c r="T2535" s="1" t="s">
        <v>37</v>
      </c>
      <c r="U2535" s="1"/>
      <c r="V2535" s="1" t="s">
        <v>38</v>
      </c>
      <c r="W2535" s="1">
        <v>44.518574</v>
      </c>
      <c r="X2535" s="1">
        <v>-73.0109479999999</v>
      </c>
      <c r="Y2535" s="1" t="s">
        <v>10182</v>
      </c>
      <c r="Z2535" s="1"/>
      <c r="AA2535" s="1" t="s">
        <v>40</v>
      </c>
      <c r="AB2535" s="1" t="s">
        <v>331</v>
      </c>
      <c r="AC2535" s="1">
        <v>5452.0</v>
      </c>
    </row>
    <row r="2536">
      <c r="A2536" s="1" t="str">
        <f>"000JCP"</f>
        <v>000JCP</v>
      </c>
      <c r="B2536" s="1" t="s">
        <v>10183</v>
      </c>
      <c r="C2536" s="1" t="s">
        <v>10184</v>
      </c>
      <c r="D2536" s="1" t="str">
        <f>"8026359435"</f>
        <v>8026359435</v>
      </c>
      <c r="E2536" s="1">
        <v>4414.0</v>
      </c>
      <c r="F2536" s="1" t="s">
        <v>44</v>
      </c>
      <c r="G2536" s="1" t="s">
        <v>10185</v>
      </c>
      <c r="H2536" s="1">
        <v>1.0</v>
      </c>
      <c r="I2536" s="1"/>
      <c r="J2536" s="1"/>
      <c r="K2536" s="1"/>
      <c r="L2536" s="1"/>
      <c r="M2536" s="1" t="s">
        <v>33</v>
      </c>
      <c r="N2536" s="1" t="s">
        <v>213</v>
      </c>
      <c r="O2536" s="1" t="s">
        <v>1154</v>
      </c>
      <c r="P2536" s="1" t="s">
        <v>36</v>
      </c>
      <c r="Q2536" s="3">
        <v>41040.0</v>
      </c>
      <c r="R2536" s="1"/>
      <c r="S2536" s="1"/>
      <c r="T2536" s="1" t="s">
        <v>37</v>
      </c>
      <c r="U2536" s="1"/>
      <c r="V2536" s="1" t="s">
        <v>38</v>
      </c>
      <c r="W2536" s="1"/>
      <c r="X2536" s="1"/>
      <c r="Y2536" s="1" t="s">
        <v>10186</v>
      </c>
      <c r="Z2536" s="1"/>
      <c r="AA2536" s="1" t="s">
        <v>40</v>
      </c>
      <c r="AB2536" s="1" t="s">
        <v>1155</v>
      </c>
      <c r="AC2536" s="1" t="s">
        <v>10187</v>
      </c>
    </row>
    <row r="2537">
      <c r="A2537" s="1" t="str">
        <f>"000JCQ"</f>
        <v>000JCQ</v>
      </c>
      <c r="B2537" s="1" t="s">
        <v>10188</v>
      </c>
      <c r="C2537" s="1" t="s">
        <v>10189</v>
      </c>
      <c r="D2537" s="1" t="str">
        <f>"8026951404"</f>
        <v>8026951404</v>
      </c>
      <c r="E2537" s="1">
        <v>4415.0</v>
      </c>
      <c r="F2537" s="1" t="s">
        <v>31</v>
      </c>
      <c r="G2537" s="1" t="s">
        <v>10190</v>
      </c>
      <c r="H2537" s="1">
        <v>1.0</v>
      </c>
      <c r="I2537" s="1"/>
      <c r="J2537" s="1"/>
      <c r="K2537" s="1"/>
      <c r="L2537" s="1"/>
      <c r="M2537" s="1" t="s">
        <v>33</v>
      </c>
      <c r="N2537" s="1" t="s">
        <v>331</v>
      </c>
      <c r="O2537" s="1" t="s">
        <v>1573</v>
      </c>
      <c r="P2537" s="1" t="s">
        <v>36</v>
      </c>
      <c r="Q2537" s="3">
        <v>41044.0</v>
      </c>
      <c r="R2537" s="1"/>
      <c r="S2537" s="1"/>
      <c r="T2537" s="1" t="s">
        <v>37</v>
      </c>
      <c r="U2537" s="1"/>
      <c r="V2537" s="1" t="s">
        <v>38</v>
      </c>
      <c r="W2537" s="1"/>
      <c r="X2537" s="1"/>
      <c r="Y2537" s="1" t="s">
        <v>10191</v>
      </c>
      <c r="Z2537" s="1"/>
      <c r="AA2537" s="1" t="s">
        <v>40</v>
      </c>
      <c r="AB2537" s="1" t="s">
        <v>1574</v>
      </c>
      <c r="AC2537" s="1">
        <v>5824.0</v>
      </c>
    </row>
    <row r="2538">
      <c r="A2538" s="1" t="str">
        <f>"000JCW"</f>
        <v>000JCW</v>
      </c>
      <c r="B2538" s="1" t="s">
        <v>10192</v>
      </c>
      <c r="C2538" s="1" t="s">
        <v>10193</v>
      </c>
      <c r="D2538" s="1" t="str">
        <f>"8022519943"</f>
        <v>8022519943</v>
      </c>
      <c r="E2538" s="1">
        <v>4417.0</v>
      </c>
      <c r="F2538" s="1" t="s">
        <v>117</v>
      </c>
      <c r="G2538" s="1" t="s">
        <v>10194</v>
      </c>
      <c r="H2538" s="1">
        <v>2.0</v>
      </c>
      <c r="I2538" s="2">
        <v>1.0</v>
      </c>
      <c r="J2538" s="2" t="s">
        <v>119</v>
      </c>
      <c r="K2538" s="2" t="s">
        <v>119</v>
      </c>
      <c r="L2538" s="1"/>
      <c r="M2538" s="1" t="s">
        <v>10195</v>
      </c>
      <c r="N2538" s="1" t="s">
        <v>66</v>
      </c>
      <c r="O2538" s="1" t="s">
        <v>1256</v>
      </c>
      <c r="P2538" s="1" t="s">
        <v>10196</v>
      </c>
      <c r="Q2538" s="3">
        <v>41066.0</v>
      </c>
      <c r="R2538" s="1"/>
      <c r="S2538" s="1"/>
      <c r="T2538" s="1" t="s">
        <v>37</v>
      </c>
      <c r="U2538" s="1"/>
      <c r="V2538" s="1" t="s">
        <v>38</v>
      </c>
      <c r="W2538" s="1">
        <v>42.8991619</v>
      </c>
      <c r="X2538" s="1">
        <v>-72.554727</v>
      </c>
      <c r="Y2538" s="1" t="s">
        <v>10197</v>
      </c>
      <c r="Z2538" s="1"/>
      <c r="AA2538" s="1" t="s">
        <v>40</v>
      </c>
      <c r="AB2538" s="1" t="s">
        <v>1257</v>
      </c>
      <c r="AC2538" s="1">
        <v>5301.0</v>
      </c>
    </row>
    <row r="2539">
      <c r="A2539" s="1" t="str">
        <f>"000JCX"</f>
        <v>000JCX</v>
      </c>
      <c r="B2539" s="1" t="s">
        <v>10198</v>
      </c>
      <c r="C2539" s="1" t="s">
        <v>10199</v>
      </c>
      <c r="D2539" s="1" t="str">
        <f>"8024336077"</f>
        <v>8024336077</v>
      </c>
      <c r="E2539" s="1">
        <v>4418.0</v>
      </c>
      <c r="F2539" s="1" t="s">
        <v>44</v>
      </c>
      <c r="G2539" s="1" t="s">
        <v>10200</v>
      </c>
      <c r="H2539" s="1">
        <v>1.0</v>
      </c>
      <c r="I2539" s="1"/>
      <c r="J2539" s="1"/>
      <c r="K2539" s="1"/>
      <c r="L2539" s="1"/>
      <c r="M2539" s="1" t="s">
        <v>33</v>
      </c>
      <c r="N2539" s="1" t="s">
        <v>142</v>
      </c>
      <c r="O2539" s="1" t="s">
        <v>2253</v>
      </c>
      <c r="P2539" s="1" t="s">
        <v>10201</v>
      </c>
      <c r="Q2539" s="3">
        <v>41034.0</v>
      </c>
      <c r="R2539" s="1"/>
      <c r="S2539" s="1"/>
      <c r="T2539" s="1" t="s">
        <v>37</v>
      </c>
      <c r="U2539" s="1"/>
      <c r="V2539" s="1" t="s">
        <v>38</v>
      </c>
      <c r="W2539" s="1">
        <v>44.1331859999999</v>
      </c>
      <c r="X2539" s="1">
        <v>-72.5582349999999</v>
      </c>
      <c r="Y2539" s="1" t="s">
        <v>10202</v>
      </c>
      <c r="Z2539" s="1"/>
      <c r="AA2539" s="1" t="s">
        <v>40</v>
      </c>
      <c r="AB2539" s="1" t="s">
        <v>2254</v>
      </c>
      <c r="AC2539" s="1">
        <v>5679.0</v>
      </c>
    </row>
    <row r="2540">
      <c r="A2540" s="1" t="str">
        <f>"000JCY"</f>
        <v>000JCY</v>
      </c>
      <c r="B2540" s="1" t="s">
        <v>10203</v>
      </c>
      <c r="C2540" s="1" t="s">
        <v>10204</v>
      </c>
      <c r="D2540" s="1" t="str">
        <f>"8028467681"</f>
        <v>8028467681</v>
      </c>
      <c r="E2540" s="1">
        <v>4419.0</v>
      </c>
      <c r="F2540" s="1" t="s">
        <v>44</v>
      </c>
      <c r="G2540" s="1" t="s">
        <v>10205</v>
      </c>
      <c r="H2540" s="1">
        <v>1.0</v>
      </c>
      <c r="I2540" s="2">
        <v>1.0</v>
      </c>
      <c r="J2540" s="2">
        <v>1.0</v>
      </c>
      <c r="K2540" s="2">
        <v>12.0</v>
      </c>
      <c r="L2540" s="1"/>
      <c r="M2540" s="1" t="s">
        <v>33</v>
      </c>
      <c r="N2540" s="1" t="s">
        <v>57</v>
      </c>
      <c r="O2540" s="1" t="s">
        <v>204</v>
      </c>
      <c r="P2540" s="1" t="s">
        <v>36</v>
      </c>
      <c r="Q2540" s="3">
        <v>41071.0</v>
      </c>
      <c r="R2540" s="1"/>
      <c r="S2540" s="3">
        <v>42584.0</v>
      </c>
      <c r="T2540" s="1" t="s">
        <v>37</v>
      </c>
      <c r="U2540" s="1"/>
      <c r="V2540" s="1" t="s">
        <v>38</v>
      </c>
      <c r="W2540" s="1">
        <v>44.346138</v>
      </c>
      <c r="X2540" s="1">
        <v>-73.1007159999999</v>
      </c>
      <c r="Y2540" s="1" t="s">
        <v>10206</v>
      </c>
      <c r="Z2540" s="1"/>
      <c r="AA2540" s="1" t="s">
        <v>40</v>
      </c>
      <c r="AB2540" s="1" t="s">
        <v>205</v>
      </c>
      <c r="AC2540" s="1">
        <v>5461.0</v>
      </c>
    </row>
    <row r="2541">
      <c r="A2541" s="1" t="str">
        <f>"000JCZ"</f>
        <v>000JCZ</v>
      </c>
      <c r="B2541" s="1" t="s">
        <v>10207</v>
      </c>
      <c r="C2541" s="1" t="s">
        <v>10208</v>
      </c>
      <c r="D2541" s="1" t="str">
        <f>"8023282161"</f>
        <v>8023282161</v>
      </c>
      <c r="E2541" s="1">
        <v>4420.0</v>
      </c>
      <c r="F2541" s="1" t="s">
        <v>31</v>
      </c>
      <c r="G2541" s="1" t="s">
        <v>10209</v>
      </c>
      <c r="H2541" s="1">
        <v>2.0</v>
      </c>
      <c r="I2541" s="1"/>
      <c r="J2541" s="1"/>
      <c r="K2541" s="1"/>
      <c r="L2541" s="1"/>
      <c r="M2541" s="1" t="s">
        <v>33</v>
      </c>
      <c r="N2541" s="1" t="s">
        <v>331</v>
      </c>
      <c r="O2541" s="1" t="s">
        <v>10210</v>
      </c>
      <c r="P2541" s="1" t="s">
        <v>10211</v>
      </c>
      <c r="Q2541" s="3">
        <v>41045.0</v>
      </c>
      <c r="R2541" s="1"/>
      <c r="S2541" s="1"/>
      <c r="T2541" s="1" t="s">
        <v>37</v>
      </c>
      <c r="U2541" s="1"/>
      <c r="V2541" s="1" t="s">
        <v>38</v>
      </c>
      <c r="W2541" s="1">
        <v>44.5851109692676</v>
      </c>
      <c r="X2541" s="1">
        <v>-71.5968167781829</v>
      </c>
      <c r="Y2541" s="1" t="s">
        <v>10212</v>
      </c>
      <c r="Z2541" s="1"/>
      <c r="AA2541" s="1" t="s">
        <v>40</v>
      </c>
      <c r="AB2541" s="1" t="s">
        <v>10213</v>
      </c>
      <c r="AC2541" s="1">
        <v>5905.0</v>
      </c>
    </row>
    <row r="2542">
      <c r="A2542" s="1" t="str">
        <f>"000JD0"</f>
        <v>000JD0</v>
      </c>
      <c r="B2542" s="1" t="s">
        <v>10214</v>
      </c>
      <c r="C2542" s="1" t="s">
        <v>10215</v>
      </c>
      <c r="D2542" s="1" t="str">
        <f>"8029991260"</f>
        <v>8029991260</v>
      </c>
      <c r="E2542" s="1">
        <v>4421.0</v>
      </c>
      <c r="F2542" s="1" t="s">
        <v>31</v>
      </c>
      <c r="G2542" s="1" t="s">
        <v>10216</v>
      </c>
      <c r="H2542" s="1">
        <v>2.0</v>
      </c>
      <c r="I2542" s="1"/>
      <c r="J2542" s="1"/>
      <c r="K2542" s="1"/>
      <c r="L2542" s="1"/>
      <c r="M2542" s="1" t="s">
        <v>33</v>
      </c>
      <c r="N2542" s="1" t="s">
        <v>57</v>
      </c>
      <c r="O2542" s="1" t="s">
        <v>503</v>
      </c>
      <c r="P2542" s="1" t="s">
        <v>36</v>
      </c>
      <c r="Q2542" s="3">
        <v>41073.0</v>
      </c>
      <c r="R2542" s="1"/>
      <c r="S2542" s="1"/>
      <c r="T2542" s="1" t="s">
        <v>37</v>
      </c>
      <c r="U2542" s="1"/>
      <c r="V2542" s="1" t="s">
        <v>38</v>
      </c>
      <c r="W2542" s="1"/>
      <c r="X2542" s="1"/>
      <c r="Y2542" s="1" t="s">
        <v>10217</v>
      </c>
      <c r="Z2542" s="1"/>
      <c r="AA2542" s="1" t="s">
        <v>40</v>
      </c>
      <c r="AB2542" s="1" t="s">
        <v>5195</v>
      </c>
      <c r="AC2542" s="1">
        <v>5403.0</v>
      </c>
    </row>
    <row r="2543">
      <c r="A2543" s="1" t="str">
        <f>"000JD1"</f>
        <v>000JD1</v>
      </c>
      <c r="B2543" s="1" t="s">
        <v>10218</v>
      </c>
      <c r="C2543" s="1" t="s">
        <v>10219</v>
      </c>
      <c r="D2543" s="1" t="str">
        <f>"8026584119"</f>
        <v>8026584119</v>
      </c>
      <c r="E2543" s="1">
        <v>4422.0</v>
      </c>
      <c r="F2543" s="1" t="s">
        <v>117</v>
      </c>
      <c r="G2543" s="1" t="s">
        <v>10220</v>
      </c>
      <c r="H2543" s="1">
        <v>3.0</v>
      </c>
      <c r="I2543" s="2">
        <v>1.0</v>
      </c>
      <c r="J2543" s="2">
        <v>1.0</v>
      </c>
      <c r="K2543" s="2" t="s">
        <v>119</v>
      </c>
      <c r="L2543" s="1"/>
      <c r="M2543" s="1" t="s">
        <v>10221</v>
      </c>
      <c r="N2543" s="1" t="s">
        <v>57</v>
      </c>
      <c r="O2543" s="1" t="s">
        <v>175</v>
      </c>
      <c r="P2543" s="1" t="s">
        <v>10222</v>
      </c>
      <c r="Q2543" s="3">
        <v>41034.0</v>
      </c>
      <c r="R2543" s="1"/>
      <c r="S2543" s="1"/>
      <c r="T2543" s="1" t="s">
        <v>37</v>
      </c>
      <c r="U2543" s="1"/>
      <c r="V2543" s="1" t="s">
        <v>38</v>
      </c>
      <c r="W2543" s="1">
        <v>44.457563</v>
      </c>
      <c r="X2543" s="1">
        <v>-73.203925</v>
      </c>
      <c r="Y2543" s="1" t="s">
        <v>10223</v>
      </c>
      <c r="Z2543" s="1"/>
      <c r="AA2543" s="1" t="s">
        <v>40</v>
      </c>
      <c r="AB2543" s="1" t="s">
        <v>176</v>
      </c>
      <c r="AC2543" s="1" t="s">
        <v>10224</v>
      </c>
    </row>
    <row r="2544">
      <c r="A2544" s="1" t="str">
        <f>"000JDV"</f>
        <v>000JDV</v>
      </c>
      <c r="B2544" s="1" t="s">
        <v>10225</v>
      </c>
      <c r="C2544" s="1" t="s">
        <v>10226</v>
      </c>
      <c r="D2544" s="1" t="str">
        <f>"8022231342"</f>
        <v>8022231342</v>
      </c>
      <c r="E2544" s="1">
        <v>4423.0</v>
      </c>
      <c r="F2544" s="1" t="s">
        <v>44</v>
      </c>
      <c r="G2544" s="1" t="s">
        <v>10227</v>
      </c>
      <c r="H2544" s="1">
        <v>3.0</v>
      </c>
      <c r="I2544" s="1"/>
      <c r="J2544" s="1"/>
      <c r="K2544" s="1"/>
      <c r="L2544" s="1"/>
      <c r="M2544" s="1">
        <v>1.0</v>
      </c>
      <c r="N2544" s="1" t="s">
        <v>135</v>
      </c>
      <c r="O2544" s="1" t="s">
        <v>805</v>
      </c>
      <c r="P2544" s="1" t="s">
        <v>845</v>
      </c>
      <c r="Q2544" s="3">
        <v>41090.0</v>
      </c>
      <c r="R2544" s="1"/>
      <c r="S2544" s="3">
        <v>42222.0</v>
      </c>
      <c r="T2544" s="1" t="s">
        <v>37</v>
      </c>
      <c r="U2544" s="1"/>
      <c r="V2544" s="1" t="s">
        <v>38</v>
      </c>
      <c r="W2544" s="1">
        <v>44.2966016454789</v>
      </c>
      <c r="X2544" s="1">
        <v>-72.4650156497955</v>
      </c>
      <c r="Y2544" s="1" t="s">
        <v>10228</v>
      </c>
      <c r="Z2544" s="1"/>
      <c r="AA2544" s="1" t="s">
        <v>40</v>
      </c>
      <c r="AB2544" s="1" t="s">
        <v>10229</v>
      </c>
      <c r="AC2544" s="1">
        <v>5651.0</v>
      </c>
    </row>
    <row r="2545">
      <c r="A2545" s="1" t="str">
        <f>"000JF1"</f>
        <v>000JF1</v>
      </c>
      <c r="B2545" s="1" t="s">
        <v>10230</v>
      </c>
      <c r="C2545" s="1" t="s">
        <v>10231</v>
      </c>
      <c r="D2545" s="1" t="str">
        <f>"8022951456"</f>
        <v>8022951456</v>
      </c>
      <c r="E2545" s="1">
        <v>4424.0</v>
      </c>
      <c r="F2545" s="1" t="s">
        <v>117</v>
      </c>
      <c r="G2545" s="1" t="s">
        <v>10232</v>
      </c>
      <c r="H2545" s="1">
        <v>4.0</v>
      </c>
      <c r="I2545" s="2">
        <v>2.0</v>
      </c>
      <c r="J2545" s="2">
        <v>2.0</v>
      </c>
      <c r="K2545" s="2" t="s">
        <v>119</v>
      </c>
      <c r="L2545" s="1"/>
      <c r="M2545" s="1" t="s">
        <v>10233</v>
      </c>
      <c r="N2545" s="1" t="s">
        <v>34</v>
      </c>
      <c r="O2545" s="1" t="s">
        <v>953</v>
      </c>
      <c r="P2545" s="1" t="s">
        <v>10234</v>
      </c>
      <c r="Q2545" s="3">
        <v>41122.0</v>
      </c>
      <c r="R2545" s="1"/>
      <c r="S2545" s="3">
        <v>42901.0</v>
      </c>
      <c r="T2545" s="1" t="s">
        <v>37</v>
      </c>
      <c r="U2545" s="1"/>
      <c r="V2545" s="1" t="s">
        <v>38</v>
      </c>
      <c r="W2545" s="1">
        <v>43.6489596</v>
      </c>
      <c r="X2545" s="1">
        <v>-72.3192579</v>
      </c>
      <c r="Y2545" s="1" t="s">
        <v>10235</v>
      </c>
      <c r="Z2545" s="1"/>
      <c r="AA2545" s="1" t="s">
        <v>40</v>
      </c>
      <c r="AB2545" s="1" t="s">
        <v>8959</v>
      </c>
      <c r="AC2545" s="1">
        <v>5001.0</v>
      </c>
    </row>
    <row r="2546">
      <c r="A2546" s="1" t="str">
        <f>"000JF2"</f>
        <v>000JF2</v>
      </c>
      <c r="B2546" s="1" t="s">
        <v>10236</v>
      </c>
      <c r="C2546" s="1" t="s">
        <v>10237</v>
      </c>
      <c r="D2546" s="1" t="str">
        <f>"8025843797"</f>
        <v>8025843797</v>
      </c>
      <c r="E2546" s="1">
        <v>4425.0</v>
      </c>
      <c r="F2546" s="1" t="s">
        <v>44</v>
      </c>
      <c r="G2546" s="1" t="s">
        <v>10238</v>
      </c>
      <c r="H2546" s="1">
        <v>2.0</v>
      </c>
      <c r="I2546" s="1"/>
      <c r="J2546" s="1"/>
      <c r="K2546" s="1"/>
      <c r="L2546" s="1"/>
      <c r="M2546" s="1" t="s">
        <v>33</v>
      </c>
      <c r="N2546" s="1" t="s">
        <v>128</v>
      </c>
      <c r="O2546" s="1" t="s">
        <v>1333</v>
      </c>
      <c r="P2546" s="1" t="s">
        <v>36</v>
      </c>
      <c r="Q2546" s="3">
        <v>41072.0</v>
      </c>
      <c r="R2546" s="1"/>
      <c r="S2546" s="1"/>
      <c r="T2546" s="1" t="s">
        <v>37</v>
      </c>
      <c r="U2546" s="1"/>
      <c r="V2546" s="1" t="s">
        <v>38</v>
      </c>
      <c r="W2546" s="1">
        <v>44.2308654</v>
      </c>
      <c r="X2546" s="1">
        <v>-72.1893837</v>
      </c>
      <c r="Y2546" s="1" t="s">
        <v>10239</v>
      </c>
      <c r="Z2546" s="1"/>
      <c r="AA2546" s="1" t="s">
        <v>40</v>
      </c>
      <c r="AB2546" s="1" t="s">
        <v>1334</v>
      </c>
      <c r="AC2546" s="1">
        <v>5046.0</v>
      </c>
    </row>
    <row r="2547">
      <c r="A2547" s="1" t="str">
        <f>"000JF3"</f>
        <v>000JF3</v>
      </c>
      <c r="B2547" s="1" t="s">
        <v>10240</v>
      </c>
      <c r="C2547" s="1" t="s">
        <v>10241</v>
      </c>
      <c r="D2547" s="1" t="str">
        <f>"8028487568"</f>
        <v>8028487568</v>
      </c>
      <c r="E2547" s="1">
        <v>4426.0</v>
      </c>
      <c r="F2547" s="1" t="s">
        <v>31</v>
      </c>
      <c r="G2547" s="1" t="s">
        <v>10242</v>
      </c>
      <c r="H2547" s="1">
        <v>4.0</v>
      </c>
      <c r="I2547" s="1"/>
      <c r="J2547" s="1"/>
      <c r="K2547" s="1"/>
      <c r="L2547" s="1"/>
      <c r="M2547" s="1" t="s">
        <v>33</v>
      </c>
      <c r="N2547" s="1" t="s">
        <v>47</v>
      </c>
      <c r="O2547" s="1" t="s">
        <v>980</v>
      </c>
      <c r="P2547" s="1" t="s">
        <v>36</v>
      </c>
      <c r="Q2547" s="3">
        <v>41072.0</v>
      </c>
      <c r="R2547" s="1"/>
      <c r="S2547" s="1"/>
      <c r="T2547" s="1" t="s">
        <v>37</v>
      </c>
      <c r="U2547" s="1"/>
      <c r="V2547" s="1" t="s">
        <v>38</v>
      </c>
      <c r="W2547" s="1">
        <v>44.9957753</v>
      </c>
      <c r="X2547" s="1">
        <v>-72.6696463999999</v>
      </c>
      <c r="Y2547" s="1" t="s">
        <v>10243</v>
      </c>
      <c r="Z2547" s="1"/>
      <c r="AA2547" s="1" t="s">
        <v>40</v>
      </c>
      <c r="AB2547" s="1" t="s">
        <v>981</v>
      </c>
      <c r="AC2547" s="1">
        <v>5476.0</v>
      </c>
    </row>
    <row r="2548">
      <c r="A2548" s="1" t="str">
        <f>"000JF4"</f>
        <v>000JF4</v>
      </c>
      <c r="B2548" s="1" t="s">
        <v>10244</v>
      </c>
      <c r="C2548" s="1" t="s">
        <v>10245</v>
      </c>
      <c r="D2548" s="1" t="str">
        <f>"8028889569"</f>
        <v>8028889569</v>
      </c>
      <c r="E2548" s="1">
        <v>4427.0</v>
      </c>
      <c r="F2548" s="1" t="s">
        <v>44</v>
      </c>
      <c r="G2548" s="1" t="s">
        <v>10246</v>
      </c>
      <c r="H2548" s="1">
        <v>1.0</v>
      </c>
      <c r="I2548" s="1"/>
      <c r="J2548" s="1"/>
      <c r="K2548" s="1"/>
      <c r="L2548" s="1"/>
      <c r="M2548" s="1" t="s">
        <v>33</v>
      </c>
      <c r="N2548" s="1" t="s">
        <v>213</v>
      </c>
      <c r="O2548" s="1" t="s">
        <v>214</v>
      </c>
      <c r="P2548" s="1" t="s">
        <v>36</v>
      </c>
      <c r="Q2548" s="3">
        <v>41065.0</v>
      </c>
      <c r="R2548" s="1"/>
      <c r="S2548" s="1"/>
      <c r="T2548" s="1" t="s">
        <v>37</v>
      </c>
      <c r="U2548" s="1"/>
      <c r="V2548" s="1" t="s">
        <v>38</v>
      </c>
      <c r="W2548" s="1"/>
      <c r="X2548" s="1"/>
      <c r="Y2548" s="1" t="s">
        <v>10247</v>
      </c>
      <c r="Z2548" s="1"/>
      <c r="AA2548" s="1" t="s">
        <v>40</v>
      </c>
      <c r="AB2548" s="1" t="s">
        <v>8450</v>
      </c>
      <c r="AC2548" s="1" t="s">
        <v>10248</v>
      </c>
    </row>
    <row r="2549">
      <c r="A2549" s="1" t="str">
        <f>"000JF5"</f>
        <v>000JF5</v>
      </c>
      <c r="B2549" s="1" t="s">
        <v>10249</v>
      </c>
      <c r="C2549" s="1" t="s">
        <v>10250</v>
      </c>
      <c r="D2549" s="1" t="str">
        <f>"8024732115"</f>
        <v>8024732115</v>
      </c>
      <c r="E2549" s="1">
        <v>4428.0</v>
      </c>
      <c r="F2549" s="1" t="s">
        <v>44</v>
      </c>
      <c r="G2549" s="1" t="s">
        <v>10251</v>
      </c>
      <c r="H2549" s="1">
        <v>4.0</v>
      </c>
      <c r="I2549" s="1"/>
      <c r="J2549" s="1"/>
      <c r="K2549" s="1"/>
      <c r="L2549" s="1"/>
      <c r="M2549" s="1" t="s">
        <v>33</v>
      </c>
      <c r="N2549" s="1" t="s">
        <v>128</v>
      </c>
      <c r="O2549" s="1" t="s">
        <v>525</v>
      </c>
      <c r="P2549" s="1" t="s">
        <v>36</v>
      </c>
      <c r="Q2549" s="3">
        <v>41034.0</v>
      </c>
      <c r="R2549" s="1"/>
      <c r="S2549" s="1"/>
      <c r="T2549" s="1" t="s">
        <v>37</v>
      </c>
      <c r="U2549" s="1"/>
      <c r="V2549" s="1" t="s">
        <v>38</v>
      </c>
      <c r="W2549" s="1">
        <v>44.4907235</v>
      </c>
      <c r="X2549" s="1">
        <v>-71.9179752999999</v>
      </c>
      <c r="Y2549" s="1" t="s">
        <v>10252</v>
      </c>
      <c r="Z2549" s="1"/>
      <c r="AA2549" s="1" t="s">
        <v>40</v>
      </c>
      <c r="AB2549" s="1" t="s">
        <v>1574</v>
      </c>
      <c r="AC2549" s="1">
        <v>5824.0</v>
      </c>
    </row>
    <row r="2550">
      <c r="A2550" s="1" t="str">
        <f>"000JF6"</f>
        <v>000JF6</v>
      </c>
      <c r="B2550" s="1" t="s">
        <v>10253</v>
      </c>
      <c r="C2550" s="1" t="s">
        <v>10254</v>
      </c>
      <c r="D2550" s="1" t="str">
        <f>"9149531785"</f>
        <v>9149531785</v>
      </c>
      <c r="E2550" s="1">
        <v>4429.0</v>
      </c>
      <c r="F2550" s="1" t="s">
        <v>44</v>
      </c>
      <c r="G2550" s="1" t="s">
        <v>10255</v>
      </c>
      <c r="H2550" s="1">
        <v>1.0</v>
      </c>
      <c r="I2550" s="1"/>
      <c r="J2550" s="1"/>
      <c r="K2550" s="1"/>
      <c r="L2550" s="1"/>
      <c r="M2550" s="1" t="s">
        <v>33</v>
      </c>
      <c r="N2550" s="1" t="s">
        <v>66</v>
      </c>
      <c r="O2550" s="1" t="s">
        <v>593</v>
      </c>
      <c r="P2550" s="1" t="s">
        <v>36</v>
      </c>
      <c r="Q2550" s="3">
        <v>41054.0</v>
      </c>
      <c r="R2550" s="1"/>
      <c r="S2550" s="1"/>
      <c r="T2550" s="1" t="s">
        <v>37</v>
      </c>
      <c r="U2550" s="1"/>
      <c r="V2550" s="1" t="s">
        <v>38</v>
      </c>
      <c r="W2550" s="1"/>
      <c r="X2550" s="1"/>
      <c r="Y2550" s="1" t="s">
        <v>10256</v>
      </c>
      <c r="Z2550" s="1"/>
      <c r="AA2550" s="1" t="s">
        <v>40</v>
      </c>
      <c r="AB2550" s="1" t="s">
        <v>594</v>
      </c>
      <c r="AC2550" s="1">
        <v>5346.0</v>
      </c>
    </row>
    <row r="2551">
      <c r="A2551" s="1" t="str">
        <f>"000JM0"</f>
        <v>000JM0</v>
      </c>
      <c r="B2551" s="1" t="s">
        <v>10257</v>
      </c>
      <c r="C2551" s="1" t="s">
        <v>10258</v>
      </c>
      <c r="D2551" s="1" t="str">
        <f>"8027852154"</f>
        <v>8027852154</v>
      </c>
      <c r="E2551" s="1">
        <v>4430.0</v>
      </c>
      <c r="F2551" s="1" t="s">
        <v>44</v>
      </c>
      <c r="G2551" s="1" t="s">
        <v>10259</v>
      </c>
      <c r="H2551" s="1">
        <v>1.0</v>
      </c>
      <c r="I2551" s="1"/>
      <c r="J2551" s="1"/>
      <c r="K2551" s="1"/>
      <c r="L2551" s="1"/>
      <c r="M2551" s="1" t="s">
        <v>33</v>
      </c>
      <c r="N2551" s="1" t="s">
        <v>142</v>
      </c>
      <c r="O2551" s="1" t="s">
        <v>143</v>
      </c>
      <c r="P2551" s="1" t="s">
        <v>36</v>
      </c>
      <c r="Q2551" s="3">
        <v>41150.0</v>
      </c>
      <c r="R2551" s="1"/>
      <c r="S2551" s="1"/>
      <c r="T2551" s="1" t="s">
        <v>37</v>
      </c>
      <c r="U2551" s="1"/>
      <c r="V2551" s="1" t="s">
        <v>38</v>
      </c>
      <c r="W2551" s="1">
        <v>43.8464199999999</v>
      </c>
      <c r="X2551" s="1">
        <v>-72.253143</v>
      </c>
      <c r="Y2551" s="1" t="s">
        <v>10260</v>
      </c>
      <c r="Z2551" s="1"/>
      <c r="AA2551" s="1" t="s">
        <v>40</v>
      </c>
      <c r="AB2551" s="1" t="s">
        <v>9100</v>
      </c>
      <c r="AC2551" s="1">
        <v>5075.0</v>
      </c>
    </row>
    <row r="2552">
      <c r="A2552" s="1" t="str">
        <f>"000JQV"</f>
        <v>000JQV</v>
      </c>
      <c r="B2552" s="1" t="s">
        <v>10261</v>
      </c>
      <c r="C2552" s="1" t="s">
        <v>10262</v>
      </c>
      <c r="D2552" s="1" t="str">
        <f>"8024471966"</f>
        <v>8024471966</v>
      </c>
      <c r="E2552" s="1">
        <v>4431.0</v>
      </c>
      <c r="F2552" s="1" t="s">
        <v>44</v>
      </c>
      <c r="G2552" s="1" t="s">
        <v>10263</v>
      </c>
      <c r="H2552" s="1">
        <v>3.0</v>
      </c>
      <c r="I2552" s="1"/>
      <c r="J2552" s="1"/>
      <c r="K2552" s="1"/>
      <c r="L2552" s="1"/>
      <c r="M2552" s="1" t="s">
        <v>33</v>
      </c>
      <c r="N2552" s="1" t="s">
        <v>414</v>
      </c>
      <c r="O2552" s="1" t="s">
        <v>720</v>
      </c>
      <c r="P2552" s="1" t="s">
        <v>36</v>
      </c>
      <c r="Q2552" s="3">
        <v>41134.0</v>
      </c>
      <c r="R2552" s="1"/>
      <c r="S2552" s="1"/>
      <c r="T2552" s="1" t="s">
        <v>37</v>
      </c>
      <c r="U2552" s="1"/>
      <c r="V2552" s="1" t="s">
        <v>38</v>
      </c>
      <c r="W2552" s="1"/>
      <c r="X2552" s="1"/>
      <c r="Y2552" s="1" t="s">
        <v>10264</v>
      </c>
      <c r="Z2552" s="1"/>
      <c r="AA2552" s="1" t="s">
        <v>40</v>
      </c>
      <c r="AB2552" s="1" t="s">
        <v>414</v>
      </c>
      <c r="AC2552" s="1" t="s">
        <v>10265</v>
      </c>
    </row>
    <row r="2553">
      <c r="A2553" s="1" t="str">
        <f>"000JQY"</f>
        <v>000JQY</v>
      </c>
      <c r="B2553" s="1" t="s">
        <v>10266</v>
      </c>
      <c r="C2553" s="1" t="s">
        <v>10267</v>
      </c>
      <c r="D2553" s="1" t="str">
        <f>"8027526518"</f>
        <v>8027526518</v>
      </c>
      <c r="E2553" s="1">
        <v>4434.0</v>
      </c>
      <c r="F2553" s="1" t="s">
        <v>117</v>
      </c>
      <c r="G2553" s="1" t="s">
        <v>10268</v>
      </c>
      <c r="H2553" s="1">
        <v>5.0</v>
      </c>
      <c r="I2553" s="2">
        <v>3.0</v>
      </c>
      <c r="J2553" s="2">
        <v>2.0</v>
      </c>
      <c r="K2553" s="2" t="s">
        <v>119</v>
      </c>
      <c r="L2553" s="2" t="s">
        <v>2923</v>
      </c>
      <c r="M2553" s="1" t="s">
        <v>10269</v>
      </c>
      <c r="N2553" s="1" t="s">
        <v>47</v>
      </c>
      <c r="O2553" s="1" t="s">
        <v>928</v>
      </c>
      <c r="P2553" s="1" t="s">
        <v>10270</v>
      </c>
      <c r="Q2553" s="3">
        <v>41131.0</v>
      </c>
      <c r="R2553" s="1"/>
      <c r="S2553" s="1"/>
      <c r="T2553" s="1" t="s">
        <v>37</v>
      </c>
      <c r="U2553" s="1"/>
      <c r="V2553" s="1" t="s">
        <v>38</v>
      </c>
      <c r="W2553" s="1">
        <v>44.811508</v>
      </c>
      <c r="X2553" s="1">
        <v>-72.761024</v>
      </c>
      <c r="Y2553" s="1" t="s">
        <v>10271</v>
      </c>
      <c r="Z2553" s="1"/>
      <c r="AA2553" s="1" t="s">
        <v>40</v>
      </c>
      <c r="AB2553" s="1" t="s">
        <v>267</v>
      </c>
      <c r="AC2553" s="1">
        <v>5450.0</v>
      </c>
    </row>
    <row r="2554">
      <c r="A2554" s="1" t="str">
        <f>"000JV2"</f>
        <v>000JV2</v>
      </c>
      <c r="B2554" s="1" t="s">
        <v>10272</v>
      </c>
      <c r="C2554" s="1" t="s">
        <v>10273</v>
      </c>
      <c r="D2554" s="1" t="str">
        <f>"8024254628"</f>
        <v>8024254628</v>
      </c>
      <c r="E2554" s="1">
        <v>4437.0</v>
      </c>
      <c r="F2554" s="1" t="s">
        <v>31</v>
      </c>
      <c r="G2554" s="1" t="s">
        <v>10274</v>
      </c>
      <c r="H2554" s="1">
        <v>2.0</v>
      </c>
      <c r="I2554" s="1"/>
      <c r="J2554" s="1"/>
      <c r="K2554" s="1"/>
      <c r="L2554" s="1"/>
      <c r="M2554" s="1" t="s">
        <v>10275</v>
      </c>
      <c r="N2554" s="1" t="s">
        <v>57</v>
      </c>
      <c r="O2554" s="1" t="s">
        <v>1633</v>
      </c>
      <c r="P2554" s="1" t="s">
        <v>10276</v>
      </c>
      <c r="Q2554" s="3">
        <v>41041.0</v>
      </c>
      <c r="R2554" s="1"/>
      <c r="S2554" s="3">
        <v>42542.0</v>
      </c>
      <c r="T2554" s="1" t="s">
        <v>37</v>
      </c>
      <c r="U2554" s="1"/>
      <c r="V2554" s="1" t="s">
        <v>38</v>
      </c>
      <c r="W2554" s="1"/>
      <c r="X2554" s="1"/>
      <c r="Y2554" s="1" t="s">
        <v>10277</v>
      </c>
      <c r="Z2554" s="1"/>
      <c r="AA2554" s="1" t="s">
        <v>40</v>
      </c>
      <c r="AB2554" s="1" t="s">
        <v>1634</v>
      </c>
      <c r="AC2554" s="1">
        <v>5445.0</v>
      </c>
    </row>
    <row r="2555">
      <c r="A2555" s="1" t="str">
        <f>"000JV3"</f>
        <v>000JV3</v>
      </c>
      <c r="B2555" s="1" t="s">
        <v>10278</v>
      </c>
      <c r="C2555" s="1" t="s">
        <v>10279</v>
      </c>
      <c r="D2555" s="1" t="str">
        <f>"8026269712"</f>
        <v>8026269712</v>
      </c>
      <c r="E2555" s="1">
        <v>4438.0</v>
      </c>
      <c r="F2555" s="1" t="s">
        <v>117</v>
      </c>
      <c r="G2555" s="1" t="s">
        <v>10280</v>
      </c>
      <c r="H2555" s="1">
        <v>4.0</v>
      </c>
      <c r="I2555" s="2" t="s">
        <v>119</v>
      </c>
      <c r="J2555" s="2">
        <v>7.0</v>
      </c>
      <c r="K2555" s="2" t="s">
        <v>829</v>
      </c>
      <c r="L2555" s="1"/>
      <c r="M2555" s="1" t="s">
        <v>10281</v>
      </c>
      <c r="N2555" s="1" t="s">
        <v>128</v>
      </c>
      <c r="O2555" s="1" t="s">
        <v>286</v>
      </c>
      <c r="P2555" s="1" t="s">
        <v>10282</v>
      </c>
      <c r="Q2555" s="3">
        <v>41285.0</v>
      </c>
      <c r="R2555" s="1"/>
      <c r="S2555" s="3">
        <v>41414.0</v>
      </c>
      <c r="T2555" s="1" t="s">
        <v>37</v>
      </c>
      <c r="U2555" s="1"/>
      <c r="V2555" s="1" t="s">
        <v>38</v>
      </c>
      <c r="W2555" s="1">
        <v>44.5584011</v>
      </c>
      <c r="X2555" s="1">
        <v>-71.9623762</v>
      </c>
      <c r="Y2555" s="1" t="s">
        <v>10283</v>
      </c>
      <c r="Z2555" s="1"/>
      <c r="AA2555" s="1" t="s">
        <v>40</v>
      </c>
      <c r="AB2555" s="1" t="s">
        <v>8332</v>
      </c>
      <c r="AC2555" s="1">
        <v>5851.0</v>
      </c>
    </row>
    <row r="2556">
      <c r="A2556" s="1" t="str">
        <f>"000JV4"</f>
        <v>000JV4</v>
      </c>
      <c r="B2556" s="1" t="s">
        <v>10284</v>
      </c>
      <c r="C2556" s="1" t="s">
        <v>10285</v>
      </c>
      <c r="D2556" s="1" t="str">
        <f>"8024255241"</f>
        <v>8024255241</v>
      </c>
      <c r="E2556" s="1">
        <v>4439.0</v>
      </c>
      <c r="F2556" s="1" t="s">
        <v>117</v>
      </c>
      <c r="G2556" s="1" t="s">
        <v>10286</v>
      </c>
      <c r="H2556" s="1">
        <v>2.0</v>
      </c>
      <c r="I2556" s="2">
        <v>0.0</v>
      </c>
      <c r="J2556" s="2">
        <v>0.0</v>
      </c>
      <c r="K2556" s="2" t="s">
        <v>119</v>
      </c>
      <c r="L2556" s="1"/>
      <c r="M2556" s="1" t="s">
        <v>10287</v>
      </c>
      <c r="N2556" s="1" t="s">
        <v>57</v>
      </c>
      <c r="O2556" s="1" t="s">
        <v>1633</v>
      </c>
      <c r="P2556" s="1" t="s">
        <v>10276</v>
      </c>
      <c r="Q2556" s="3">
        <v>41119.0</v>
      </c>
      <c r="R2556" s="1"/>
      <c r="S2556" s="1"/>
      <c r="T2556" s="1" t="s">
        <v>37</v>
      </c>
      <c r="U2556" s="1"/>
      <c r="V2556" s="1" t="s">
        <v>38</v>
      </c>
      <c r="W2556" s="1">
        <v>44.3462771476185</v>
      </c>
      <c r="X2556" s="1">
        <v>-73.2605239748954</v>
      </c>
      <c r="Y2556" s="1" t="s">
        <v>10288</v>
      </c>
      <c r="Z2556" s="1"/>
      <c r="AA2556" s="1" t="s">
        <v>40</v>
      </c>
      <c r="AB2556" s="1" t="s">
        <v>1634</v>
      </c>
      <c r="AC2556" s="1">
        <v>5445.0</v>
      </c>
    </row>
    <row r="2557">
      <c r="A2557" s="1" t="str">
        <f>"000JV5"</f>
        <v>000JV5</v>
      </c>
      <c r="B2557" s="1" t="s">
        <v>10289</v>
      </c>
      <c r="C2557" s="1" t="s">
        <v>10290</v>
      </c>
      <c r="D2557" s="1" t="str">
        <f>"8027950033"</f>
        <v>8027950033</v>
      </c>
      <c r="E2557" s="1">
        <v>4440.0</v>
      </c>
      <c r="F2557" s="1" t="s">
        <v>117</v>
      </c>
      <c r="G2557" s="1" t="s">
        <v>10291</v>
      </c>
      <c r="H2557" s="1">
        <v>4.0</v>
      </c>
      <c r="I2557" s="2">
        <v>1.0</v>
      </c>
      <c r="J2557" s="2">
        <v>1.0</v>
      </c>
      <c r="K2557" s="2" t="s">
        <v>829</v>
      </c>
      <c r="L2557" s="1"/>
      <c r="M2557" s="1" t="s">
        <v>10292</v>
      </c>
      <c r="N2557" s="1" t="s">
        <v>34</v>
      </c>
      <c r="O2557" s="1" t="s">
        <v>1085</v>
      </c>
      <c r="P2557" s="1" t="s">
        <v>10293</v>
      </c>
      <c r="Q2557" s="3">
        <v>41285.0</v>
      </c>
      <c r="R2557" s="1"/>
      <c r="S2557" s="1"/>
      <c r="T2557" s="1" t="s">
        <v>37</v>
      </c>
      <c r="U2557" s="1"/>
      <c r="V2557" s="1" t="s">
        <v>38</v>
      </c>
      <c r="W2557" s="1">
        <v>43.3619871</v>
      </c>
      <c r="X2557" s="1">
        <v>-72.5022659</v>
      </c>
      <c r="Y2557" s="1" t="s">
        <v>10294</v>
      </c>
      <c r="Z2557" s="1"/>
      <c r="AA2557" s="1" t="s">
        <v>40</v>
      </c>
      <c r="AB2557" s="1" t="s">
        <v>5248</v>
      </c>
      <c r="AC2557" s="1">
        <v>5151.0</v>
      </c>
    </row>
    <row r="2558">
      <c r="A2558" s="1" t="str">
        <f>"000JV7"</f>
        <v>000JV7</v>
      </c>
      <c r="B2558" s="1" t="s">
        <v>10295</v>
      </c>
      <c r="C2558" s="1" t="s">
        <v>10296</v>
      </c>
      <c r="D2558" s="1" t="str">
        <f>"8029332123"</f>
        <v>8029332123</v>
      </c>
      <c r="E2558" s="1">
        <v>4442.0</v>
      </c>
      <c r="F2558" s="1" t="s">
        <v>44</v>
      </c>
      <c r="G2558" s="1" t="s">
        <v>10297</v>
      </c>
      <c r="H2558" s="1">
        <v>2.0</v>
      </c>
      <c r="I2558" s="1"/>
      <c r="J2558" s="1"/>
      <c r="K2558" s="1"/>
      <c r="L2558" s="1"/>
      <c r="M2558" s="1" t="s">
        <v>33</v>
      </c>
      <c r="N2558" s="1" t="s">
        <v>47</v>
      </c>
      <c r="O2558" s="1" t="s">
        <v>2319</v>
      </c>
      <c r="P2558" s="1" t="s">
        <v>36</v>
      </c>
      <c r="Q2558" s="3">
        <v>40985.0</v>
      </c>
      <c r="R2558" s="1"/>
      <c r="S2558" s="1"/>
      <c r="T2558" s="1" t="s">
        <v>37</v>
      </c>
      <c r="U2558" s="1"/>
      <c r="V2558" s="1" t="s">
        <v>38</v>
      </c>
      <c r="W2558" s="1">
        <v>44.9223441</v>
      </c>
      <c r="X2558" s="1">
        <v>-72.8303791999999</v>
      </c>
      <c r="Y2558" s="1" t="s">
        <v>10298</v>
      </c>
      <c r="Z2558" s="1"/>
      <c r="AA2558" s="1" t="s">
        <v>40</v>
      </c>
      <c r="AB2558" s="1" t="s">
        <v>267</v>
      </c>
      <c r="AC2558" s="1">
        <v>5450.0</v>
      </c>
    </row>
    <row r="2559">
      <c r="A2559" s="1" t="str">
        <f>"000JVJ"</f>
        <v>000JVJ</v>
      </c>
      <c r="B2559" s="1" t="s">
        <v>10299</v>
      </c>
      <c r="C2559" s="1" t="s">
        <v>10300</v>
      </c>
      <c r="D2559" s="1" t="str">
        <f>"8023188844"</f>
        <v>8023188844</v>
      </c>
      <c r="E2559" s="1">
        <v>4448.0</v>
      </c>
      <c r="F2559" s="1" t="s">
        <v>31</v>
      </c>
      <c r="G2559" s="1" t="s">
        <v>10301</v>
      </c>
      <c r="H2559" s="1">
        <v>10.0</v>
      </c>
      <c r="I2559" s="1"/>
      <c r="J2559" s="1"/>
      <c r="K2559" s="1"/>
      <c r="L2559" s="1"/>
      <c r="M2559" s="1" t="s">
        <v>33</v>
      </c>
      <c r="N2559" s="1" t="s">
        <v>161</v>
      </c>
      <c r="O2559" s="1" t="s">
        <v>180</v>
      </c>
      <c r="P2559" s="1" t="s">
        <v>36</v>
      </c>
      <c r="Q2559" s="3">
        <v>41089.0</v>
      </c>
      <c r="R2559" s="1"/>
      <c r="S2559" s="1"/>
      <c r="T2559" s="1" t="s">
        <v>37</v>
      </c>
      <c r="U2559" s="1"/>
      <c r="V2559" s="1" t="s">
        <v>38</v>
      </c>
      <c r="W2559" s="1"/>
      <c r="X2559" s="1"/>
      <c r="Y2559" s="1" t="s">
        <v>10302</v>
      </c>
      <c r="Z2559" s="1"/>
      <c r="AA2559" s="1" t="s">
        <v>40</v>
      </c>
      <c r="AB2559" s="1" t="s">
        <v>181</v>
      </c>
      <c r="AC2559" s="1">
        <v>5487.0</v>
      </c>
    </row>
    <row r="2560">
      <c r="A2560" s="1" t="str">
        <f>"000JVK"</f>
        <v>000JVK</v>
      </c>
      <c r="B2560" s="1" t="s">
        <v>10303</v>
      </c>
      <c r="C2560" s="1" t="s">
        <v>10304</v>
      </c>
      <c r="D2560" s="1" t="str">
        <f>"8028993835"</f>
        <v>8028993835</v>
      </c>
      <c r="E2560" s="1">
        <v>4449.0</v>
      </c>
      <c r="F2560" s="1" t="s">
        <v>44</v>
      </c>
      <c r="G2560" s="1" t="s">
        <v>10305</v>
      </c>
      <c r="H2560" s="1">
        <v>1.0</v>
      </c>
      <c r="I2560" s="1"/>
      <c r="J2560" s="1"/>
      <c r="K2560" s="1"/>
      <c r="L2560" s="1"/>
      <c r="M2560" s="1" t="s">
        <v>33</v>
      </c>
      <c r="N2560" s="1" t="s">
        <v>57</v>
      </c>
      <c r="O2560" s="1" t="s">
        <v>58</v>
      </c>
      <c r="P2560" s="1" t="s">
        <v>36</v>
      </c>
      <c r="Q2560" s="3">
        <v>41048.0</v>
      </c>
      <c r="R2560" s="1"/>
      <c r="S2560" s="1"/>
      <c r="T2560" s="1" t="s">
        <v>37</v>
      </c>
      <c r="U2560" s="1"/>
      <c r="V2560" s="1" t="s">
        <v>38</v>
      </c>
      <c r="W2560" s="1"/>
      <c r="X2560" s="1"/>
      <c r="Y2560" s="1" t="s">
        <v>10306</v>
      </c>
      <c r="Z2560" s="1"/>
      <c r="AA2560" s="1" t="s">
        <v>40</v>
      </c>
      <c r="AB2560" s="1" t="s">
        <v>61</v>
      </c>
      <c r="AC2560" s="1">
        <v>5489.0</v>
      </c>
    </row>
    <row r="2561">
      <c r="A2561" s="1" t="str">
        <f>"000JVM"</f>
        <v>000JVM</v>
      </c>
      <c r="B2561" s="1" t="s">
        <v>10307</v>
      </c>
      <c r="C2561" s="1" t="s">
        <v>10308</v>
      </c>
      <c r="D2561" s="1" t="str">
        <f>"8022349499"</f>
        <v>8022349499</v>
      </c>
      <c r="E2561" s="1">
        <v>4450.0</v>
      </c>
      <c r="F2561" s="1" t="s">
        <v>44</v>
      </c>
      <c r="G2561" s="1" t="s">
        <v>10309</v>
      </c>
      <c r="H2561" s="1">
        <v>1.0</v>
      </c>
      <c r="I2561" s="1"/>
      <c r="J2561" s="1"/>
      <c r="K2561" s="1"/>
      <c r="L2561" s="1"/>
      <c r="M2561" s="1" t="s">
        <v>33</v>
      </c>
      <c r="N2561" s="1" t="s">
        <v>34</v>
      </c>
      <c r="O2561" s="1" t="s">
        <v>150</v>
      </c>
      <c r="P2561" s="1" t="s">
        <v>36</v>
      </c>
      <c r="Q2561" s="3">
        <v>41096.0</v>
      </c>
      <c r="R2561" s="1"/>
      <c r="S2561" s="1"/>
      <c r="T2561" s="1" t="s">
        <v>37</v>
      </c>
      <c r="U2561" s="1"/>
      <c r="V2561" s="1" t="s">
        <v>38</v>
      </c>
      <c r="W2561" s="1">
        <v>43.8551949999999</v>
      </c>
      <c r="X2561" s="1">
        <v>-72.6662999999999</v>
      </c>
      <c r="Y2561" s="1" t="s">
        <v>10310</v>
      </c>
      <c r="Z2561" s="1"/>
      <c r="AA2561" s="1" t="s">
        <v>40</v>
      </c>
      <c r="AB2561" s="1" t="s">
        <v>151</v>
      </c>
      <c r="AC2561" s="1">
        <v>5032.0</v>
      </c>
    </row>
    <row r="2562">
      <c r="A2562" s="1" t="str">
        <f>"000JVX"</f>
        <v>000JVX</v>
      </c>
      <c r="B2562" s="1" t="s">
        <v>10311</v>
      </c>
      <c r="C2562" s="1" t="s">
        <v>10312</v>
      </c>
      <c r="D2562" s="1" t="str">
        <f>"8028635251"</f>
        <v>8028635251</v>
      </c>
      <c r="E2562" s="1">
        <v>4453.0</v>
      </c>
      <c r="F2562" s="1" t="s">
        <v>44</v>
      </c>
      <c r="G2562" s="1" t="s">
        <v>10313</v>
      </c>
      <c r="H2562" s="1">
        <v>2.0</v>
      </c>
      <c r="I2562" s="1"/>
      <c r="J2562" s="1"/>
      <c r="K2562" s="1"/>
      <c r="L2562" s="1"/>
      <c r="M2562" s="1" t="s">
        <v>10314</v>
      </c>
      <c r="N2562" s="1" t="s">
        <v>57</v>
      </c>
      <c r="O2562" s="1" t="s">
        <v>503</v>
      </c>
      <c r="P2562" s="1" t="s">
        <v>10315</v>
      </c>
      <c r="Q2562" s="3">
        <v>41039.0</v>
      </c>
      <c r="R2562" s="1"/>
      <c r="S2562" s="1"/>
      <c r="T2562" s="1" t="s">
        <v>37</v>
      </c>
      <c r="U2562" s="1"/>
      <c r="V2562" s="1" t="s">
        <v>38</v>
      </c>
      <c r="W2562" s="1"/>
      <c r="X2562" s="1"/>
      <c r="Y2562" s="1" t="s">
        <v>10316</v>
      </c>
      <c r="Z2562" s="1"/>
      <c r="AA2562" s="1" t="s">
        <v>40</v>
      </c>
      <c r="AB2562" s="1" t="s">
        <v>5195</v>
      </c>
      <c r="AC2562" s="1">
        <v>5403.0</v>
      </c>
    </row>
    <row r="2563">
      <c r="A2563" s="1" t="str">
        <f>"000JW0"</f>
        <v>000JW0</v>
      </c>
      <c r="B2563" s="1" t="s">
        <v>10317</v>
      </c>
      <c r="C2563" s="1" t="s">
        <v>10318</v>
      </c>
      <c r="D2563" s="1" t="str">
        <f>"8024767871"</f>
        <v>8024767871</v>
      </c>
      <c r="E2563" s="1">
        <v>4454.0</v>
      </c>
      <c r="F2563" s="1" t="s">
        <v>44</v>
      </c>
      <c r="G2563" s="1" t="s">
        <v>10319</v>
      </c>
      <c r="H2563" s="1">
        <v>2.0</v>
      </c>
      <c r="I2563" s="1"/>
      <c r="J2563" s="1"/>
      <c r="K2563" s="1"/>
      <c r="L2563" s="1"/>
      <c r="M2563" s="1" t="s">
        <v>33</v>
      </c>
      <c r="N2563" s="1" t="s">
        <v>135</v>
      </c>
      <c r="O2563" s="1" t="s">
        <v>343</v>
      </c>
      <c r="P2563" s="1" t="s">
        <v>36</v>
      </c>
      <c r="Q2563" s="3">
        <v>41039.0</v>
      </c>
      <c r="R2563" s="1"/>
      <c r="S2563" s="1"/>
      <c r="T2563" s="1" t="s">
        <v>37</v>
      </c>
      <c r="U2563" s="1"/>
      <c r="V2563" s="1" t="s">
        <v>38</v>
      </c>
      <c r="W2563" s="1"/>
      <c r="X2563" s="1"/>
      <c r="Y2563" s="1" t="s">
        <v>10320</v>
      </c>
      <c r="Z2563" s="1"/>
      <c r="AA2563" s="1" t="s">
        <v>40</v>
      </c>
      <c r="AB2563" s="1" t="s">
        <v>4019</v>
      </c>
      <c r="AC2563" s="1" t="s">
        <v>10321</v>
      </c>
    </row>
    <row r="2564">
      <c r="A2564" s="1" t="str">
        <f>"000JW1"</f>
        <v>000JW1</v>
      </c>
      <c r="B2564" s="1" t="s">
        <v>10322</v>
      </c>
      <c r="C2564" s="1" t="s">
        <v>10323</v>
      </c>
      <c r="D2564" s="1" t="str">
        <f>"8027559019"</f>
        <v>8027559019</v>
      </c>
      <c r="E2564" s="1">
        <v>4455.0</v>
      </c>
      <c r="F2564" s="1" t="s">
        <v>44</v>
      </c>
      <c r="G2564" s="1" t="s">
        <v>10324</v>
      </c>
      <c r="H2564" s="1">
        <v>2.0</v>
      </c>
      <c r="I2564" s="1"/>
      <c r="J2564" s="1"/>
      <c r="K2564" s="1"/>
      <c r="L2564" s="1"/>
      <c r="M2564" s="1" t="s">
        <v>33</v>
      </c>
      <c r="N2564" s="1" t="s">
        <v>94</v>
      </c>
      <c r="O2564" s="1" t="s">
        <v>513</v>
      </c>
      <c r="P2564" s="1" t="s">
        <v>36</v>
      </c>
      <c r="Q2564" s="3">
        <v>41043.0</v>
      </c>
      <c r="R2564" s="1"/>
      <c r="S2564" s="1"/>
      <c r="T2564" s="1" t="s">
        <v>37</v>
      </c>
      <c r="U2564" s="1"/>
      <c r="V2564" s="1" t="s">
        <v>38</v>
      </c>
      <c r="W2564" s="1">
        <v>44.7371575</v>
      </c>
      <c r="X2564" s="1">
        <v>-72.2852193</v>
      </c>
      <c r="Y2564" s="1" t="s">
        <v>10325</v>
      </c>
      <c r="Z2564" s="1"/>
      <c r="AA2564" s="1" t="s">
        <v>40</v>
      </c>
      <c r="AB2564" s="1" t="s">
        <v>10326</v>
      </c>
      <c r="AC2564" s="1">
        <v>5875.0</v>
      </c>
    </row>
    <row r="2565">
      <c r="A2565" s="1" t="str">
        <f>"000JW2"</f>
        <v>000JW2</v>
      </c>
      <c r="B2565" s="1" t="s">
        <v>10327</v>
      </c>
      <c r="C2565" s="1" t="s">
        <v>10328</v>
      </c>
      <c r="D2565" s="1" t="str">
        <f>"5086415945"</f>
        <v>5086415945</v>
      </c>
      <c r="E2565" s="1">
        <v>4456.0</v>
      </c>
      <c r="F2565" s="1" t="s">
        <v>44</v>
      </c>
      <c r="G2565" s="1" t="s">
        <v>10329</v>
      </c>
      <c r="H2565" s="1">
        <v>1.0</v>
      </c>
      <c r="I2565" s="1"/>
      <c r="J2565" s="1"/>
      <c r="K2565" s="1"/>
      <c r="L2565" s="1"/>
      <c r="M2565" s="1" t="s">
        <v>33</v>
      </c>
      <c r="N2565" s="1" t="s">
        <v>57</v>
      </c>
      <c r="O2565" s="1" t="s">
        <v>175</v>
      </c>
      <c r="P2565" s="1" t="s">
        <v>36</v>
      </c>
      <c r="Q2565" s="3">
        <v>41037.0</v>
      </c>
      <c r="R2565" s="1"/>
      <c r="S2565" s="1"/>
      <c r="T2565" s="1" t="s">
        <v>37</v>
      </c>
      <c r="U2565" s="1"/>
      <c r="V2565" s="1" t="s">
        <v>38</v>
      </c>
      <c r="W2565" s="1">
        <v>44.509563</v>
      </c>
      <c r="X2565" s="1">
        <v>-73.2606789999999</v>
      </c>
      <c r="Y2565" s="1" t="s">
        <v>10330</v>
      </c>
      <c r="Z2565" s="1"/>
      <c r="AA2565" s="1" t="s">
        <v>40</v>
      </c>
      <c r="AB2565" s="1" t="s">
        <v>176</v>
      </c>
      <c r="AC2565" s="1">
        <v>5408.0</v>
      </c>
    </row>
    <row r="2566">
      <c r="A2566" s="1" t="str">
        <f>"000JW3"</f>
        <v>000JW3</v>
      </c>
      <c r="B2566" s="1" t="s">
        <v>10331</v>
      </c>
      <c r="C2566" s="1" t="s">
        <v>10332</v>
      </c>
      <c r="D2566" s="1" t="str">
        <f>"8023243327"</f>
        <v>8023243327</v>
      </c>
      <c r="E2566" s="1">
        <v>4457.0</v>
      </c>
      <c r="F2566" s="1" t="s">
        <v>44</v>
      </c>
      <c r="G2566" s="1" t="s">
        <v>10333</v>
      </c>
      <c r="H2566" s="1">
        <v>2.0</v>
      </c>
      <c r="I2566" s="1"/>
      <c r="J2566" s="1"/>
      <c r="K2566" s="1"/>
      <c r="L2566" s="1"/>
      <c r="M2566" s="1" t="s">
        <v>33</v>
      </c>
      <c r="N2566" s="1" t="s">
        <v>57</v>
      </c>
      <c r="O2566" s="1" t="s">
        <v>503</v>
      </c>
      <c r="P2566" s="1" t="s">
        <v>36</v>
      </c>
      <c r="Q2566" s="3">
        <v>41061.0</v>
      </c>
      <c r="R2566" s="1"/>
      <c r="S2566" s="3">
        <v>41456.0</v>
      </c>
      <c r="T2566" s="1" t="s">
        <v>37</v>
      </c>
      <c r="U2566" s="1"/>
      <c r="V2566" s="1" t="s">
        <v>38</v>
      </c>
      <c r="W2566" s="1">
        <v>44.433876</v>
      </c>
      <c r="X2566" s="1">
        <v>-73.153862</v>
      </c>
      <c r="Y2566" s="1" t="s">
        <v>10334</v>
      </c>
      <c r="Z2566" s="1"/>
      <c r="AA2566" s="1" t="s">
        <v>40</v>
      </c>
      <c r="AB2566" s="1" t="s">
        <v>5195</v>
      </c>
      <c r="AC2566" s="1">
        <v>5403.0</v>
      </c>
    </row>
    <row r="2567">
      <c r="A2567" s="1" t="str">
        <f>"000JW6"</f>
        <v>000JW6</v>
      </c>
      <c r="B2567" s="1" t="s">
        <v>10335</v>
      </c>
      <c r="C2567" s="1" t="s">
        <v>10336</v>
      </c>
      <c r="D2567" s="1" t="str">
        <f>"8029336435"</f>
        <v>8029336435</v>
      </c>
      <c r="E2567" s="1">
        <v>4458.0</v>
      </c>
      <c r="F2567" s="1" t="s">
        <v>117</v>
      </c>
      <c r="G2567" s="1" t="s">
        <v>10337</v>
      </c>
      <c r="H2567" s="1">
        <v>36.0</v>
      </c>
      <c r="I2567" s="2">
        <v>14.0</v>
      </c>
      <c r="J2567" s="2">
        <v>14.0</v>
      </c>
      <c r="K2567" s="2" t="s">
        <v>119</v>
      </c>
      <c r="L2567" s="1"/>
      <c r="M2567" s="1" t="s">
        <v>10338</v>
      </c>
      <c r="N2567" s="1" t="s">
        <v>47</v>
      </c>
      <c r="O2567" s="1" t="s">
        <v>264</v>
      </c>
      <c r="P2567" s="1" t="s">
        <v>10339</v>
      </c>
      <c r="Q2567" s="3">
        <v>41050.0</v>
      </c>
      <c r="R2567" s="1"/>
      <c r="S2567" s="3">
        <v>42495.0</v>
      </c>
      <c r="T2567" s="1" t="s">
        <v>37</v>
      </c>
      <c r="U2567" s="1"/>
      <c r="V2567" s="1" t="s">
        <v>38</v>
      </c>
      <c r="W2567" s="1">
        <v>44.957135</v>
      </c>
      <c r="X2567" s="1">
        <v>-72.8143079999999</v>
      </c>
      <c r="Y2567" s="1" t="s">
        <v>10340</v>
      </c>
      <c r="Z2567" s="1"/>
      <c r="AA2567" s="1" t="s">
        <v>40</v>
      </c>
      <c r="AB2567" s="1" t="s">
        <v>50</v>
      </c>
      <c r="AC2567" s="1">
        <v>5450.0</v>
      </c>
    </row>
    <row r="2568">
      <c r="A2568" s="1" t="str">
        <f>"000JW7"</f>
        <v>000JW7</v>
      </c>
      <c r="B2568" s="1" t="s">
        <v>10341</v>
      </c>
      <c r="C2568" s="1" t="s">
        <v>10342</v>
      </c>
      <c r="D2568" s="1" t="str">
        <f>"8022290249"</f>
        <v>8022290249</v>
      </c>
      <c r="E2568" s="1">
        <v>4459.0</v>
      </c>
      <c r="F2568" s="1" t="s">
        <v>31</v>
      </c>
      <c r="G2568" s="1" t="s">
        <v>10343</v>
      </c>
      <c r="H2568" s="1">
        <v>2.0</v>
      </c>
      <c r="I2568" s="1"/>
      <c r="J2568" s="1"/>
      <c r="K2568" s="1"/>
      <c r="L2568" s="1"/>
      <c r="M2568" s="1" t="s">
        <v>33</v>
      </c>
      <c r="N2568" s="1" t="s">
        <v>135</v>
      </c>
      <c r="O2568" s="1" t="s">
        <v>3983</v>
      </c>
      <c r="P2568" s="1" t="s">
        <v>36</v>
      </c>
      <c r="Q2568" s="3">
        <v>41066.0</v>
      </c>
      <c r="R2568" s="1"/>
      <c r="S2568" s="3">
        <v>42145.0</v>
      </c>
      <c r="T2568" s="1" t="s">
        <v>37</v>
      </c>
      <c r="U2568" s="1"/>
      <c r="V2568" s="1" t="s">
        <v>38</v>
      </c>
      <c r="W2568" s="1">
        <v>44.375697</v>
      </c>
      <c r="X2568" s="1">
        <v>-72.548488</v>
      </c>
      <c r="Y2568" s="1" t="s">
        <v>10344</v>
      </c>
      <c r="Z2568" s="1"/>
      <c r="AA2568" s="1" t="s">
        <v>40</v>
      </c>
      <c r="AB2568" s="1" t="s">
        <v>3986</v>
      </c>
      <c r="AC2568" s="1">
        <v>5682.0</v>
      </c>
    </row>
    <row r="2569">
      <c r="A2569" s="1" t="str">
        <f>"000JWA"</f>
        <v>000JWA</v>
      </c>
      <c r="B2569" s="1" t="s">
        <v>10345</v>
      </c>
      <c r="C2569" s="1" t="s">
        <v>10346</v>
      </c>
      <c r="D2569" s="1" t="str">
        <f>"8027852912"</f>
        <v>8027852912</v>
      </c>
      <c r="E2569" s="1">
        <v>4462.0</v>
      </c>
      <c r="F2569" s="1" t="s">
        <v>44</v>
      </c>
      <c r="G2569" s="1" t="s">
        <v>10347</v>
      </c>
      <c r="H2569" s="1">
        <v>1.0</v>
      </c>
      <c r="I2569" s="1"/>
      <c r="J2569" s="1"/>
      <c r="K2569" s="1"/>
      <c r="L2569" s="1"/>
      <c r="M2569" s="1" t="s">
        <v>33</v>
      </c>
      <c r="N2569" s="1" t="s">
        <v>142</v>
      </c>
      <c r="O2569" s="1" t="s">
        <v>143</v>
      </c>
      <c r="P2569" s="1" t="s">
        <v>36</v>
      </c>
      <c r="Q2569" s="3">
        <v>41108.0</v>
      </c>
      <c r="R2569" s="1"/>
      <c r="S2569" s="1"/>
      <c r="T2569" s="1" t="s">
        <v>37</v>
      </c>
      <c r="U2569" s="1"/>
      <c r="V2569" s="1" t="s">
        <v>38</v>
      </c>
      <c r="W2569" s="1"/>
      <c r="X2569" s="1"/>
      <c r="Y2569" s="1" t="s">
        <v>10348</v>
      </c>
      <c r="Z2569" s="1"/>
      <c r="AA2569" s="1" t="s">
        <v>40</v>
      </c>
      <c r="AB2569" s="1" t="s">
        <v>10349</v>
      </c>
      <c r="AC2569" s="1">
        <v>5043.0</v>
      </c>
    </row>
    <row r="2570">
      <c r="A2570" s="1" t="str">
        <f>"000JWB"</f>
        <v>000JWB</v>
      </c>
      <c r="B2570" s="1" t="s">
        <v>10350</v>
      </c>
      <c r="C2570" s="1" t="s">
        <v>10351</v>
      </c>
      <c r="D2570" s="1" t="str">
        <f>"8024255532"</f>
        <v>8024255532</v>
      </c>
      <c r="E2570" s="1">
        <v>4463.0</v>
      </c>
      <c r="F2570" s="1" t="s">
        <v>117</v>
      </c>
      <c r="G2570" s="1" t="s">
        <v>10352</v>
      </c>
      <c r="H2570" s="1">
        <v>15.0</v>
      </c>
      <c r="I2570" s="2">
        <v>2.0</v>
      </c>
      <c r="J2570" s="2">
        <v>1.0</v>
      </c>
      <c r="K2570" s="2" t="s">
        <v>119</v>
      </c>
      <c r="L2570" s="1"/>
      <c r="M2570" s="1" t="s">
        <v>10353</v>
      </c>
      <c r="N2570" s="1" t="s">
        <v>57</v>
      </c>
      <c r="O2570" s="1" t="s">
        <v>1633</v>
      </c>
      <c r="P2570" s="1" t="s">
        <v>10354</v>
      </c>
      <c r="Q2570" s="3">
        <v>41062.0</v>
      </c>
      <c r="R2570" s="1"/>
      <c r="S2570" s="3">
        <v>42626.0</v>
      </c>
      <c r="T2570" s="1" t="s">
        <v>37</v>
      </c>
      <c r="U2570" s="1"/>
      <c r="V2570" s="1" t="s">
        <v>38</v>
      </c>
      <c r="W2570" s="1">
        <v>44.272137</v>
      </c>
      <c r="X2570" s="1">
        <v>-73.237503</v>
      </c>
      <c r="Y2570" s="1" t="s">
        <v>10355</v>
      </c>
      <c r="Z2570" s="1"/>
      <c r="AA2570" s="1" t="s">
        <v>40</v>
      </c>
      <c r="AB2570" s="1" t="s">
        <v>1634</v>
      </c>
      <c r="AC2570" s="1">
        <v>5445.0</v>
      </c>
    </row>
    <row r="2571">
      <c r="A2571" s="1" t="str">
        <f>"000JWG"</f>
        <v>000JWG</v>
      </c>
      <c r="B2571" s="1" t="s">
        <v>10356</v>
      </c>
      <c r="C2571" s="1" t="s">
        <v>10357</v>
      </c>
      <c r="D2571" s="1" t="str">
        <f>"8024843138"</f>
        <v>8024843138</v>
      </c>
      <c r="E2571" s="1">
        <v>4467.0</v>
      </c>
      <c r="F2571" s="1" t="s">
        <v>117</v>
      </c>
      <c r="G2571" s="1" t="s">
        <v>10358</v>
      </c>
      <c r="H2571" s="1">
        <v>2.0</v>
      </c>
      <c r="I2571" s="2">
        <v>2.0</v>
      </c>
      <c r="J2571" s="2">
        <v>2.0</v>
      </c>
      <c r="K2571" s="2" t="s">
        <v>119</v>
      </c>
      <c r="L2571" s="1"/>
      <c r="M2571" s="1" t="s">
        <v>10359</v>
      </c>
      <c r="N2571" s="1" t="s">
        <v>34</v>
      </c>
      <c r="O2571" s="1" t="s">
        <v>295</v>
      </c>
      <c r="P2571" s="1" t="s">
        <v>10360</v>
      </c>
      <c r="Q2571" s="3">
        <v>41291.0</v>
      </c>
      <c r="R2571" s="1"/>
      <c r="S2571" s="3">
        <v>41071.0</v>
      </c>
      <c r="T2571" s="1" t="s">
        <v>37</v>
      </c>
      <c r="U2571" s="1"/>
      <c r="V2571" s="1" t="s">
        <v>38</v>
      </c>
      <c r="W2571" s="1">
        <v>43.4813246259668</v>
      </c>
      <c r="X2571" s="1">
        <v>-72.4800145626068</v>
      </c>
      <c r="Y2571" s="1" t="s">
        <v>10361</v>
      </c>
      <c r="Z2571" s="1"/>
      <c r="AA2571" s="1" t="s">
        <v>40</v>
      </c>
      <c r="AB2571" s="1" t="s">
        <v>1872</v>
      </c>
      <c r="AC2571" s="1">
        <v>5037.0</v>
      </c>
    </row>
    <row r="2572">
      <c r="A2572" s="1" t="str">
        <f>"000JWH"</f>
        <v>000JWH</v>
      </c>
      <c r="B2572" s="1" t="s">
        <v>10362</v>
      </c>
      <c r="C2572" s="1" t="s">
        <v>10363</v>
      </c>
      <c r="D2572" s="1" t="str">
        <f>"2013144636"</f>
        <v>2013144636</v>
      </c>
      <c r="E2572" s="1">
        <v>4468.0</v>
      </c>
      <c r="F2572" s="1" t="s">
        <v>44</v>
      </c>
      <c r="G2572" s="1" t="s">
        <v>10364</v>
      </c>
      <c r="H2572" s="1">
        <v>8.0</v>
      </c>
      <c r="I2572" s="1"/>
      <c r="J2572" s="1"/>
      <c r="K2572" s="1"/>
      <c r="L2572" s="1"/>
      <c r="M2572" s="1" t="s">
        <v>33</v>
      </c>
      <c r="N2572" s="1" t="s">
        <v>78</v>
      </c>
      <c r="O2572" s="1" t="s">
        <v>1124</v>
      </c>
      <c r="P2572" s="1" t="s">
        <v>36</v>
      </c>
      <c r="Q2572" s="3">
        <v>41115.0</v>
      </c>
      <c r="R2572" s="1"/>
      <c r="S2572" s="1"/>
      <c r="T2572" s="1" t="s">
        <v>37</v>
      </c>
      <c r="U2572" s="1"/>
      <c r="V2572" s="1" t="s">
        <v>38</v>
      </c>
      <c r="W2572" s="1"/>
      <c r="X2572" s="1"/>
      <c r="Y2572" s="1" t="s">
        <v>10365</v>
      </c>
      <c r="Z2572" s="1"/>
      <c r="AA2572" s="1" t="s">
        <v>40</v>
      </c>
      <c r="AB2572" s="1" t="s">
        <v>10366</v>
      </c>
      <c r="AC2572" s="1">
        <v>5742.0</v>
      </c>
    </row>
    <row r="2573">
      <c r="A2573" s="1" t="str">
        <f>"000JWM"</f>
        <v>000JWM</v>
      </c>
      <c r="B2573" s="1" t="s">
        <v>10367</v>
      </c>
      <c r="C2573" s="1" t="s">
        <v>10368</v>
      </c>
      <c r="D2573" s="1" t="str">
        <f>"8022654267"</f>
        <v>8022654267</v>
      </c>
      <c r="E2573" s="1">
        <v>4471.0</v>
      </c>
      <c r="F2573" s="1" t="s">
        <v>44</v>
      </c>
      <c r="G2573" s="1" t="s">
        <v>10369</v>
      </c>
      <c r="H2573" s="1">
        <v>2.0</v>
      </c>
      <c r="I2573" s="1"/>
      <c r="J2573" s="1"/>
      <c r="K2573" s="1"/>
      <c r="L2573" s="1"/>
      <c r="M2573" s="1" t="s">
        <v>33</v>
      </c>
      <c r="N2573" s="1" t="s">
        <v>78</v>
      </c>
      <c r="O2573" s="1" t="s">
        <v>2066</v>
      </c>
      <c r="P2573" s="1" t="s">
        <v>36</v>
      </c>
      <c r="Q2573" s="3">
        <v>41068.0</v>
      </c>
      <c r="R2573" s="1"/>
      <c r="S2573" s="1"/>
      <c r="T2573" s="1" t="s">
        <v>37</v>
      </c>
      <c r="U2573" s="1"/>
      <c r="V2573" s="1" t="s">
        <v>38</v>
      </c>
      <c r="W2573" s="1"/>
      <c r="X2573" s="1"/>
      <c r="Y2573" s="1" t="s">
        <v>10370</v>
      </c>
      <c r="Z2573" s="1"/>
      <c r="AA2573" s="1" t="s">
        <v>40</v>
      </c>
      <c r="AB2573" s="1" t="s">
        <v>2069</v>
      </c>
      <c r="AC2573" s="1">
        <v>5743.0</v>
      </c>
    </row>
    <row r="2574">
      <c r="A2574" s="1" t="str">
        <f>"000JWP"</f>
        <v>000JWP</v>
      </c>
      <c r="B2574" s="1" t="s">
        <v>10371</v>
      </c>
      <c r="C2574" s="1" t="s">
        <v>10372</v>
      </c>
      <c r="D2574" s="1" t="str">
        <f>"8082922030"</f>
        <v>8082922030</v>
      </c>
      <c r="E2574" s="1">
        <v>4473.0</v>
      </c>
      <c r="F2574" s="1" t="s">
        <v>44</v>
      </c>
      <c r="G2574" s="1" t="s">
        <v>10373</v>
      </c>
      <c r="H2574" s="1">
        <v>4.0</v>
      </c>
      <c r="I2574" s="1"/>
      <c r="J2574" s="1"/>
      <c r="K2574" s="1"/>
      <c r="L2574" s="1"/>
      <c r="M2574" s="1" t="s">
        <v>33</v>
      </c>
      <c r="N2574" s="1" t="s">
        <v>57</v>
      </c>
      <c r="O2574" s="1" t="s">
        <v>2092</v>
      </c>
      <c r="P2574" s="1" t="s">
        <v>36</v>
      </c>
      <c r="Q2574" s="3">
        <v>41291.0</v>
      </c>
      <c r="R2574" s="1"/>
      <c r="S2574" s="1"/>
      <c r="T2574" s="1" t="s">
        <v>37</v>
      </c>
      <c r="U2574" s="1"/>
      <c r="V2574" s="1" t="s">
        <v>38</v>
      </c>
      <c r="W2574" s="1"/>
      <c r="X2574" s="1"/>
      <c r="Y2574" s="1" t="s">
        <v>10374</v>
      </c>
      <c r="Z2574" s="1"/>
      <c r="AA2574" s="1" t="s">
        <v>40</v>
      </c>
      <c r="AB2574" s="1" t="s">
        <v>2093</v>
      </c>
      <c r="AC2574" s="1">
        <v>5495.0</v>
      </c>
    </row>
    <row r="2575">
      <c r="A2575" s="1" t="str">
        <f>"000JWQ"</f>
        <v>000JWQ</v>
      </c>
      <c r="B2575" s="1" t="s">
        <v>10375</v>
      </c>
      <c r="C2575" s="1" t="s">
        <v>10376</v>
      </c>
      <c r="D2575" s="1" t="str">
        <f>"8028776365"</f>
        <v>8028776365</v>
      </c>
      <c r="E2575" s="1">
        <v>4474.0</v>
      </c>
      <c r="F2575" s="1" t="s">
        <v>31</v>
      </c>
      <c r="G2575" s="1" t="s">
        <v>10377</v>
      </c>
      <c r="H2575" s="1">
        <v>2.0</v>
      </c>
      <c r="I2575" s="1"/>
      <c r="J2575" s="1"/>
      <c r="K2575" s="1"/>
      <c r="L2575" s="1"/>
      <c r="M2575" s="1" t="s">
        <v>33</v>
      </c>
      <c r="N2575" s="1" t="s">
        <v>161</v>
      </c>
      <c r="O2575" s="1" t="s">
        <v>769</v>
      </c>
      <c r="P2575" s="1" t="s">
        <v>36</v>
      </c>
      <c r="Q2575" s="3">
        <v>41157.0</v>
      </c>
      <c r="R2575" s="1"/>
      <c r="S2575" s="1"/>
      <c r="T2575" s="1" t="s">
        <v>37</v>
      </c>
      <c r="U2575" s="1"/>
      <c r="V2575" s="1" t="s">
        <v>38</v>
      </c>
      <c r="W2575" s="1"/>
      <c r="X2575" s="1"/>
      <c r="Y2575" s="1" t="s">
        <v>10378</v>
      </c>
      <c r="Z2575" s="1"/>
      <c r="AA2575" s="1" t="s">
        <v>40</v>
      </c>
      <c r="AB2575" s="1" t="s">
        <v>3581</v>
      </c>
      <c r="AC2575" s="1">
        <v>5491.0</v>
      </c>
    </row>
    <row r="2576">
      <c r="A2576" s="1" t="str">
        <f>"000JWW"</f>
        <v>000JWW</v>
      </c>
      <c r="B2576" s="1" t="s">
        <v>10379</v>
      </c>
      <c r="C2576" s="1" t="s">
        <v>10380</v>
      </c>
      <c r="D2576" s="1" t="str">
        <f>"8028996565"</f>
        <v>8028996565</v>
      </c>
      <c r="E2576" s="1">
        <v>4476.0</v>
      </c>
      <c r="F2576" s="1" t="s">
        <v>44</v>
      </c>
      <c r="G2576" s="1" t="s">
        <v>10381</v>
      </c>
      <c r="H2576" s="1">
        <v>3.0</v>
      </c>
      <c r="I2576" s="1"/>
      <c r="J2576" s="1"/>
      <c r="K2576" s="1"/>
      <c r="L2576" s="1"/>
      <c r="M2576" s="1" t="s">
        <v>33</v>
      </c>
      <c r="N2576" s="1" t="s">
        <v>57</v>
      </c>
      <c r="O2576" s="1" t="s">
        <v>745</v>
      </c>
      <c r="P2576" s="1" t="s">
        <v>36</v>
      </c>
      <c r="Q2576" s="3">
        <v>41165.0</v>
      </c>
      <c r="R2576" s="1"/>
      <c r="S2576" s="1"/>
      <c r="T2576" s="1" t="s">
        <v>37</v>
      </c>
      <c r="U2576" s="1"/>
      <c r="V2576" s="1" t="s">
        <v>38</v>
      </c>
      <c r="W2576" s="1"/>
      <c r="X2576" s="1"/>
      <c r="Y2576" s="1" t="s">
        <v>10382</v>
      </c>
      <c r="Z2576" s="1"/>
      <c r="AA2576" s="1" t="s">
        <v>40</v>
      </c>
      <c r="AB2576" s="1" t="s">
        <v>746</v>
      </c>
      <c r="AC2576" s="1">
        <v>5465.0</v>
      </c>
    </row>
    <row r="2577">
      <c r="A2577" s="1" t="str">
        <f>"000JWX"</f>
        <v>000JWX</v>
      </c>
      <c r="B2577" s="1" t="s">
        <v>10383</v>
      </c>
      <c r="C2577" s="1" t="s">
        <v>10384</v>
      </c>
      <c r="D2577" s="1" t="str">
        <f>"8029992578"</f>
        <v>8029992578</v>
      </c>
      <c r="E2577" s="1">
        <v>4477.0</v>
      </c>
      <c r="F2577" s="1" t="s">
        <v>31</v>
      </c>
      <c r="G2577" s="1" t="s">
        <v>10385</v>
      </c>
      <c r="H2577" s="1">
        <v>2.0</v>
      </c>
      <c r="I2577" s="1"/>
      <c r="J2577" s="1"/>
      <c r="K2577" s="1"/>
      <c r="L2577" s="1"/>
      <c r="M2577" s="1" t="s">
        <v>33</v>
      </c>
      <c r="N2577" s="1" t="s">
        <v>107</v>
      </c>
      <c r="O2577" s="1" t="s">
        <v>108</v>
      </c>
      <c r="P2577" s="1" t="s">
        <v>36</v>
      </c>
      <c r="Q2577" s="3">
        <v>41023.0</v>
      </c>
      <c r="R2577" s="1"/>
      <c r="S2577" s="3">
        <v>42563.0</v>
      </c>
      <c r="T2577" s="1" t="s">
        <v>37</v>
      </c>
      <c r="U2577" s="1"/>
      <c r="V2577" s="1" t="s">
        <v>38</v>
      </c>
      <c r="W2577" s="1">
        <v>44.753765</v>
      </c>
      <c r="X2577" s="1">
        <v>-73.2865909999999</v>
      </c>
      <c r="Y2577" s="1" t="s">
        <v>10386</v>
      </c>
      <c r="Z2577" s="1"/>
      <c r="AA2577" s="1" t="s">
        <v>40</v>
      </c>
      <c r="AB2577" s="1" t="s">
        <v>107</v>
      </c>
      <c r="AC2577" s="1">
        <v>5458.0</v>
      </c>
    </row>
    <row r="2578">
      <c r="A2578" s="1" t="str">
        <f>"000JX0"</f>
        <v>000JX0</v>
      </c>
      <c r="B2578" s="1" t="s">
        <v>10387</v>
      </c>
      <c r="C2578" s="1" t="s">
        <v>10388</v>
      </c>
      <c r="D2578" s="1" t="str">
        <f>"8024462728"</f>
        <v>8024462728</v>
      </c>
      <c r="E2578" s="1">
        <v>4479.0</v>
      </c>
      <c r="F2578" s="1" t="s">
        <v>117</v>
      </c>
      <c r="G2578" s="1" t="s">
        <v>10389</v>
      </c>
      <c r="H2578" s="1">
        <v>3.0</v>
      </c>
      <c r="I2578" s="2" t="s">
        <v>119</v>
      </c>
      <c r="J2578" s="2">
        <v>3.0</v>
      </c>
      <c r="K2578" s="2" t="s">
        <v>119</v>
      </c>
      <c r="L2578" s="1"/>
      <c r="M2578" s="1" t="s">
        <v>10390</v>
      </c>
      <c r="N2578" s="1" t="s">
        <v>78</v>
      </c>
      <c r="O2578" s="1" t="s">
        <v>2872</v>
      </c>
      <c r="P2578" s="1" t="s">
        <v>10391</v>
      </c>
      <c r="Q2578" s="3">
        <v>41031.0</v>
      </c>
      <c r="R2578" s="1"/>
      <c r="S2578" s="1"/>
      <c r="T2578" s="1" t="s">
        <v>37</v>
      </c>
      <c r="U2578" s="1"/>
      <c r="V2578" s="1" t="s">
        <v>38</v>
      </c>
      <c r="W2578" s="1">
        <v>43.449474</v>
      </c>
      <c r="X2578" s="1">
        <v>-73.0517959999999</v>
      </c>
      <c r="Y2578" s="1" t="s">
        <v>10392</v>
      </c>
      <c r="Z2578" s="1"/>
      <c r="AA2578" s="1" t="s">
        <v>40</v>
      </c>
      <c r="AB2578" s="1" t="s">
        <v>2875</v>
      </c>
      <c r="AC2578" s="1">
        <v>5773.0</v>
      </c>
    </row>
    <row r="2579">
      <c r="A2579" s="1" t="str">
        <f>"000JX1"</f>
        <v>000JX1</v>
      </c>
      <c r="B2579" s="1" t="s">
        <v>10393</v>
      </c>
      <c r="C2579" s="1" t="s">
        <v>10394</v>
      </c>
      <c r="D2579" s="1" t="str">
        <f>"8023351000"</f>
        <v>8023351000</v>
      </c>
      <c r="E2579" s="1">
        <v>4480.0</v>
      </c>
      <c r="F2579" s="1" t="s">
        <v>117</v>
      </c>
      <c r="G2579" s="1" t="s">
        <v>10395</v>
      </c>
      <c r="H2579" s="1">
        <v>4.0</v>
      </c>
      <c r="I2579" s="2" t="s">
        <v>119</v>
      </c>
      <c r="J2579" s="2">
        <v>5.0</v>
      </c>
      <c r="K2579" s="2" t="s">
        <v>119</v>
      </c>
      <c r="L2579" s="1"/>
      <c r="M2579" s="1" t="s">
        <v>10396</v>
      </c>
      <c r="N2579" s="1" t="s">
        <v>57</v>
      </c>
      <c r="O2579" s="1" t="s">
        <v>58</v>
      </c>
      <c r="P2579" s="1" t="s">
        <v>10397</v>
      </c>
      <c r="Q2579" s="3">
        <v>41027.0</v>
      </c>
      <c r="R2579" s="1"/>
      <c r="S2579" s="3">
        <v>42606.0</v>
      </c>
      <c r="T2579" s="1" t="s">
        <v>37</v>
      </c>
      <c r="U2579" s="1"/>
      <c r="V2579" s="1" t="s">
        <v>38</v>
      </c>
      <c r="W2579" s="1">
        <v>44.5864461</v>
      </c>
      <c r="X2579" s="1">
        <v>-72.9392844</v>
      </c>
      <c r="Y2579" s="1" t="s">
        <v>10398</v>
      </c>
      <c r="Z2579" s="1"/>
      <c r="AA2579" s="1" t="s">
        <v>40</v>
      </c>
      <c r="AB2579" s="1" t="s">
        <v>61</v>
      </c>
      <c r="AC2579" s="1">
        <v>5489.0</v>
      </c>
    </row>
    <row r="2580">
      <c r="A2580" s="1" t="str">
        <f>"000JX2"</f>
        <v>000JX2</v>
      </c>
      <c r="B2580" s="1" t="s">
        <v>10399</v>
      </c>
      <c r="C2580" s="1" t="s">
        <v>10400</v>
      </c>
      <c r="D2580" s="1"/>
      <c r="E2580" s="1">
        <v>4481.0</v>
      </c>
      <c r="F2580" s="1" t="s">
        <v>117</v>
      </c>
      <c r="G2580" s="1" t="s">
        <v>10401</v>
      </c>
      <c r="H2580" s="1">
        <v>2.0</v>
      </c>
      <c r="I2580" s="2">
        <v>2.0</v>
      </c>
      <c r="J2580" s="2">
        <v>3.0</v>
      </c>
      <c r="K2580" s="2" t="s">
        <v>119</v>
      </c>
      <c r="L2580" s="2" t="s">
        <v>10402</v>
      </c>
      <c r="M2580" s="1" t="s">
        <v>10403</v>
      </c>
      <c r="N2580" s="1" t="s">
        <v>34</v>
      </c>
      <c r="O2580" s="1" t="s">
        <v>85</v>
      </c>
      <c r="P2580" s="1" t="s">
        <v>10404</v>
      </c>
      <c r="Q2580" s="3">
        <v>40994.0</v>
      </c>
      <c r="R2580" s="1"/>
      <c r="S2580" s="1"/>
      <c r="T2580" s="1" t="s">
        <v>37</v>
      </c>
      <c r="U2580" s="1"/>
      <c r="V2580" s="1" t="s">
        <v>38</v>
      </c>
      <c r="W2580" s="1"/>
      <c r="X2580" s="1"/>
      <c r="Y2580" s="1" t="s">
        <v>10405</v>
      </c>
      <c r="Z2580" s="1"/>
      <c r="AA2580" s="1" t="s">
        <v>40</v>
      </c>
      <c r="AB2580" s="1" t="s">
        <v>86</v>
      </c>
      <c r="AC2580" s="1">
        <v>5048.0</v>
      </c>
    </row>
    <row r="2581">
      <c r="A2581" s="1" t="str">
        <f>"000JX3"</f>
        <v>000JX3</v>
      </c>
      <c r="B2581" s="1" t="s">
        <v>10406</v>
      </c>
      <c r="C2581" s="1" t="s">
        <v>10407</v>
      </c>
      <c r="D2581" s="1" t="str">
        <f>"8027483256"</f>
        <v>8027483256</v>
      </c>
      <c r="E2581" s="1">
        <v>4482.0</v>
      </c>
      <c r="F2581" s="1" t="s">
        <v>31</v>
      </c>
      <c r="G2581" s="1" t="s">
        <v>10408</v>
      </c>
      <c r="H2581" s="1">
        <v>3.0</v>
      </c>
      <c r="I2581" s="1"/>
      <c r="J2581" s="1"/>
      <c r="K2581" s="1"/>
      <c r="L2581" s="1"/>
      <c r="M2581" s="1" t="s">
        <v>33</v>
      </c>
      <c r="N2581" s="1" t="s">
        <v>128</v>
      </c>
      <c r="O2581" s="1" t="s">
        <v>1707</v>
      </c>
      <c r="P2581" s="1" t="s">
        <v>36</v>
      </c>
      <c r="Q2581" s="3">
        <v>41239.0</v>
      </c>
      <c r="R2581" s="1"/>
      <c r="S2581" s="1"/>
      <c r="T2581" s="1" t="s">
        <v>37</v>
      </c>
      <c r="U2581" s="1"/>
      <c r="V2581" s="1" t="s">
        <v>38</v>
      </c>
      <c r="W2581" s="1">
        <v>44.445526</v>
      </c>
      <c r="X2581" s="1">
        <v>-72.059166</v>
      </c>
      <c r="Y2581" s="1" t="s">
        <v>10409</v>
      </c>
      <c r="Z2581" s="1"/>
      <c r="AA2581" s="1" t="s">
        <v>40</v>
      </c>
      <c r="AB2581" s="1" t="s">
        <v>10410</v>
      </c>
      <c r="AC2581" s="1">
        <v>5819.0</v>
      </c>
    </row>
    <row r="2582">
      <c r="A2582" s="1" t="str">
        <f>"000JX6"</f>
        <v>000JX6</v>
      </c>
      <c r="B2582" s="1" t="s">
        <v>10411</v>
      </c>
      <c r="C2582" s="1" t="s">
        <v>10412</v>
      </c>
      <c r="D2582" s="1" t="str">
        <f>"8025951848"</f>
        <v>8025951848</v>
      </c>
      <c r="E2582" s="1">
        <v>4485.0</v>
      </c>
      <c r="F2582" s="1" t="s">
        <v>44</v>
      </c>
      <c r="G2582" s="1" t="s">
        <v>10413</v>
      </c>
      <c r="H2582" s="1">
        <v>3.0</v>
      </c>
      <c r="I2582" s="1"/>
      <c r="J2582" s="1"/>
      <c r="K2582" s="1"/>
      <c r="L2582" s="1"/>
      <c r="M2582" s="1" t="s">
        <v>33</v>
      </c>
      <c r="N2582" s="1" t="s">
        <v>135</v>
      </c>
      <c r="O2582" s="1" t="s">
        <v>440</v>
      </c>
      <c r="P2582" s="1" t="s">
        <v>36</v>
      </c>
      <c r="Q2582" s="3">
        <v>41215.0</v>
      </c>
      <c r="R2582" s="1"/>
      <c r="S2582" s="1"/>
      <c r="T2582" s="1" t="s">
        <v>37</v>
      </c>
      <c r="U2582" s="1"/>
      <c r="V2582" s="1" t="s">
        <v>38</v>
      </c>
      <c r="W2582" s="1">
        <v>44.2192585</v>
      </c>
      <c r="X2582" s="1">
        <v>-72.7849248</v>
      </c>
      <c r="Y2582" s="1" t="s">
        <v>10414</v>
      </c>
      <c r="Z2582" s="1"/>
      <c r="AA2582" s="1" t="s">
        <v>40</v>
      </c>
      <c r="AB2582" s="1" t="s">
        <v>441</v>
      </c>
      <c r="AC2582" s="1">
        <v>5673.0</v>
      </c>
    </row>
    <row r="2583">
      <c r="A2583" s="1" t="str">
        <f>"000JX7"</f>
        <v>000JX7</v>
      </c>
      <c r="B2583" s="1" t="s">
        <v>10415</v>
      </c>
      <c r="C2583" s="1" t="s">
        <v>10416</v>
      </c>
      <c r="D2583" s="1" t="str">
        <f>"8025793766"</f>
        <v>8025793766</v>
      </c>
      <c r="E2583" s="1">
        <v>4486.0</v>
      </c>
      <c r="F2583" s="1" t="s">
        <v>44</v>
      </c>
      <c r="G2583" s="1" t="s">
        <v>10417</v>
      </c>
      <c r="H2583" s="1">
        <v>3.0</v>
      </c>
      <c r="I2583" s="1"/>
      <c r="J2583" s="1"/>
      <c r="K2583" s="1"/>
      <c r="L2583" s="1"/>
      <c r="M2583" s="1" t="s">
        <v>33</v>
      </c>
      <c r="N2583" s="1" t="s">
        <v>66</v>
      </c>
      <c r="O2583" s="1" t="s">
        <v>1136</v>
      </c>
      <c r="P2583" s="1" t="s">
        <v>36</v>
      </c>
      <c r="Q2583" s="3">
        <v>41184.0</v>
      </c>
      <c r="R2583" s="1"/>
      <c r="S2583" s="1"/>
      <c r="T2583" s="1" t="s">
        <v>37</v>
      </c>
      <c r="U2583" s="1"/>
      <c r="V2583" s="1" t="s">
        <v>38</v>
      </c>
      <c r="W2583" s="1">
        <v>42.815479</v>
      </c>
      <c r="X2583" s="1">
        <v>-72.61261</v>
      </c>
      <c r="Y2583" s="1" t="s">
        <v>10418</v>
      </c>
      <c r="Z2583" s="1"/>
      <c r="AA2583" s="1" t="s">
        <v>40</v>
      </c>
      <c r="AB2583" s="1" t="s">
        <v>1137</v>
      </c>
      <c r="AC2583" s="1">
        <v>5301.0</v>
      </c>
    </row>
    <row r="2584">
      <c r="A2584" s="1" t="str">
        <f>"000JXA"</f>
        <v>000JXA</v>
      </c>
      <c r="B2584" s="1" t="s">
        <v>10419</v>
      </c>
      <c r="C2584" s="1" t="s">
        <v>10420</v>
      </c>
      <c r="D2584" s="1" t="str">
        <f>"8027283346"</f>
        <v>8027283346</v>
      </c>
      <c r="E2584" s="1">
        <v>4487.0</v>
      </c>
      <c r="F2584" s="1" t="s">
        <v>44</v>
      </c>
      <c r="G2584" s="1" t="s">
        <v>10421</v>
      </c>
      <c r="H2584" s="1">
        <v>4.0</v>
      </c>
      <c r="I2584" s="1"/>
      <c r="J2584" s="1"/>
      <c r="K2584" s="1"/>
      <c r="L2584" s="1"/>
      <c r="M2584" s="1" t="s">
        <v>33</v>
      </c>
      <c r="N2584" s="1" t="s">
        <v>142</v>
      </c>
      <c r="O2584" s="1" t="s">
        <v>474</v>
      </c>
      <c r="P2584" s="1" t="s">
        <v>36</v>
      </c>
      <c r="Q2584" s="3">
        <v>41015.0</v>
      </c>
      <c r="R2584" s="1"/>
      <c r="S2584" s="3">
        <v>41015.0</v>
      </c>
      <c r="T2584" s="1" t="s">
        <v>37</v>
      </c>
      <c r="U2584" s="1"/>
      <c r="V2584" s="1" t="s">
        <v>38</v>
      </c>
      <c r="W2584" s="1">
        <v>43.976171</v>
      </c>
      <c r="X2584" s="1">
        <v>-72.583769</v>
      </c>
      <c r="Y2584" s="1" t="s">
        <v>10422</v>
      </c>
      <c r="Z2584" s="1"/>
      <c r="AA2584" s="1" t="s">
        <v>40</v>
      </c>
      <c r="AB2584" s="1" t="s">
        <v>736</v>
      </c>
      <c r="AC2584" s="1">
        <v>5061.0</v>
      </c>
    </row>
    <row r="2585">
      <c r="A2585" s="1" t="str">
        <f>"000JXB"</f>
        <v>000JXB</v>
      </c>
      <c r="B2585" s="1" t="s">
        <v>10423</v>
      </c>
      <c r="C2585" s="1" t="s">
        <v>10424</v>
      </c>
      <c r="D2585" s="1" t="str">
        <f>"8023569679"</f>
        <v>8023569679</v>
      </c>
      <c r="E2585" s="1">
        <v>4488.0</v>
      </c>
      <c r="F2585" s="1" t="s">
        <v>117</v>
      </c>
      <c r="G2585" s="1" t="s">
        <v>10425</v>
      </c>
      <c r="H2585" s="1">
        <v>2.0</v>
      </c>
      <c r="I2585" s="2">
        <v>2.0</v>
      </c>
      <c r="J2585" s="2">
        <v>2.0</v>
      </c>
      <c r="K2585" s="2" t="s">
        <v>829</v>
      </c>
      <c r="L2585" s="1"/>
      <c r="M2585" s="1" t="s">
        <v>33</v>
      </c>
      <c r="N2585" s="1" t="s">
        <v>34</v>
      </c>
      <c r="O2585" s="1" t="s">
        <v>85</v>
      </c>
      <c r="P2585" s="1" t="s">
        <v>10426</v>
      </c>
      <c r="Q2585" s="3">
        <v>41071.0</v>
      </c>
      <c r="R2585" s="1"/>
      <c r="S2585" s="3">
        <v>41071.0</v>
      </c>
      <c r="T2585" s="1" t="s">
        <v>37</v>
      </c>
      <c r="U2585" s="1"/>
      <c r="V2585" s="1" t="s">
        <v>38</v>
      </c>
      <c r="W2585" s="1">
        <v>43.578976325359</v>
      </c>
      <c r="X2585" s="1">
        <v>-72.4288380146026</v>
      </c>
      <c r="Y2585" s="1" t="s">
        <v>10427</v>
      </c>
      <c r="Z2585" s="1"/>
      <c r="AA2585" s="1" t="s">
        <v>40</v>
      </c>
      <c r="AB2585" s="1" t="s">
        <v>86</v>
      </c>
      <c r="AC2585" s="1">
        <v>5048.0</v>
      </c>
    </row>
    <row r="2586">
      <c r="A2586" s="1" t="str">
        <f>"000JXD"</f>
        <v>000JXD</v>
      </c>
      <c r="B2586" s="1" t="s">
        <v>10428</v>
      </c>
      <c r="C2586" s="1" t="s">
        <v>10429</v>
      </c>
      <c r="D2586" s="1" t="str">
        <f>"8027963050"</f>
        <v>8027963050</v>
      </c>
      <c r="E2586" s="1">
        <v>4489.0</v>
      </c>
      <c r="F2586" s="1" t="s">
        <v>117</v>
      </c>
      <c r="G2586" s="1" t="s">
        <v>10430</v>
      </c>
      <c r="H2586" s="1">
        <v>2.0</v>
      </c>
      <c r="I2586" s="2" t="s">
        <v>119</v>
      </c>
      <c r="J2586" s="2" t="s">
        <v>119</v>
      </c>
      <c r="K2586" s="2" t="s">
        <v>119</v>
      </c>
      <c r="L2586" s="1"/>
      <c r="M2586" s="1" t="s">
        <v>10431</v>
      </c>
      <c r="N2586" s="1" t="s">
        <v>107</v>
      </c>
      <c r="O2586" s="1" t="s">
        <v>2016</v>
      </c>
      <c r="P2586" s="1" t="s">
        <v>10432</v>
      </c>
      <c r="Q2586" s="3">
        <v>41298.0</v>
      </c>
      <c r="R2586" s="1"/>
      <c r="S2586" s="3">
        <v>41103.0</v>
      </c>
      <c r="T2586" s="1" t="s">
        <v>37</v>
      </c>
      <c r="U2586" s="1"/>
      <c r="V2586" s="1" t="s">
        <v>38</v>
      </c>
      <c r="W2586" s="1">
        <v>45.0067534999999</v>
      </c>
      <c r="X2586" s="1">
        <v>-73.2427900999999</v>
      </c>
      <c r="Y2586" s="1" t="s">
        <v>10433</v>
      </c>
      <c r="Z2586" s="1"/>
      <c r="AA2586" s="1" t="s">
        <v>40</v>
      </c>
      <c r="AB2586" s="1" t="s">
        <v>2019</v>
      </c>
      <c r="AC2586" s="1">
        <v>5440.0</v>
      </c>
    </row>
    <row r="2587">
      <c r="A2587" s="1" t="str">
        <f>"000JXQ"</f>
        <v>000JXQ</v>
      </c>
      <c r="B2587" s="1" t="s">
        <v>10434</v>
      </c>
      <c r="C2587" s="1" t="s">
        <v>10435</v>
      </c>
      <c r="D2587" s="1" t="str">
        <f>"8023188806"</f>
        <v>8023188806</v>
      </c>
      <c r="E2587" s="1">
        <v>4490.0</v>
      </c>
      <c r="F2587" s="1" t="s">
        <v>117</v>
      </c>
      <c r="G2587" s="1" t="s">
        <v>10436</v>
      </c>
      <c r="H2587" s="1">
        <v>1.0</v>
      </c>
      <c r="I2587" s="2">
        <v>1.0</v>
      </c>
      <c r="J2587" s="2">
        <v>1.0</v>
      </c>
      <c r="K2587" s="2" t="s">
        <v>119</v>
      </c>
      <c r="L2587" s="1"/>
      <c r="M2587" s="1" t="s">
        <v>10437</v>
      </c>
      <c r="N2587" s="1" t="s">
        <v>107</v>
      </c>
      <c r="O2587" s="1" t="s">
        <v>2016</v>
      </c>
      <c r="P2587" s="1" t="s">
        <v>10438</v>
      </c>
      <c r="Q2587" s="3">
        <v>41091.0</v>
      </c>
      <c r="R2587" s="1"/>
      <c r="S2587" s="3">
        <v>41200.0</v>
      </c>
      <c r="T2587" s="1" t="s">
        <v>37</v>
      </c>
      <c r="U2587" s="1"/>
      <c r="V2587" s="1" t="s">
        <v>38</v>
      </c>
      <c r="W2587" s="1">
        <v>45.0031308</v>
      </c>
      <c r="X2587" s="1">
        <v>-73.2836540999999</v>
      </c>
      <c r="Y2587" s="1" t="s">
        <v>10439</v>
      </c>
      <c r="Z2587" s="1"/>
      <c r="AA2587" s="1" t="s">
        <v>40</v>
      </c>
      <c r="AB2587" s="1" t="s">
        <v>8724</v>
      </c>
      <c r="AC2587" s="1">
        <v>5440.0</v>
      </c>
    </row>
    <row r="2588">
      <c r="A2588" s="1" t="str">
        <f>"000JXV"</f>
        <v>000JXV</v>
      </c>
      <c r="B2588" s="1" t="s">
        <v>10440</v>
      </c>
      <c r="C2588" s="1" t="s">
        <v>10441</v>
      </c>
      <c r="D2588" s="1" t="str">
        <f>"8025780236"</f>
        <v>8025780236</v>
      </c>
      <c r="E2588" s="1">
        <v>4491.0</v>
      </c>
      <c r="F2588" s="1" t="s">
        <v>44</v>
      </c>
      <c r="G2588" s="1" t="s">
        <v>10442</v>
      </c>
      <c r="H2588" s="1">
        <v>1.0</v>
      </c>
      <c r="I2588" s="1"/>
      <c r="J2588" s="1"/>
      <c r="K2588" s="1"/>
      <c r="L2588" s="1"/>
      <c r="M2588" s="1" t="s">
        <v>33</v>
      </c>
      <c r="N2588" s="1" t="s">
        <v>57</v>
      </c>
      <c r="O2588" s="1" t="s">
        <v>175</v>
      </c>
      <c r="P2588" s="1" t="s">
        <v>36</v>
      </c>
      <c r="Q2588" s="3">
        <v>41298.0</v>
      </c>
      <c r="R2588" s="1"/>
      <c r="S2588" s="3">
        <v>41199.0</v>
      </c>
      <c r="T2588" s="1" t="s">
        <v>37</v>
      </c>
      <c r="U2588" s="1"/>
      <c r="V2588" s="1" t="s">
        <v>38</v>
      </c>
      <c r="W2588" s="1"/>
      <c r="X2588" s="1"/>
      <c r="Y2588" s="1" t="s">
        <v>10443</v>
      </c>
      <c r="Z2588" s="1"/>
      <c r="AA2588" s="1" t="s">
        <v>40</v>
      </c>
      <c r="AB2588" s="1" t="s">
        <v>176</v>
      </c>
      <c r="AC2588" s="1">
        <v>5401.0</v>
      </c>
    </row>
    <row r="2589">
      <c r="A2589" s="1" t="str">
        <f>"000JZ5"</f>
        <v>000JZ5</v>
      </c>
      <c r="B2589" s="1" t="s">
        <v>10444</v>
      </c>
      <c r="C2589" s="1" t="s">
        <v>10445</v>
      </c>
      <c r="D2589" s="1" t="str">
        <f>"8028932854"</f>
        <v>8028932854</v>
      </c>
      <c r="E2589" s="1">
        <v>4492.0</v>
      </c>
      <c r="F2589" s="1" t="s">
        <v>117</v>
      </c>
      <c r="G2589" s="1" t="s">
        <v>10446</v>
      </c>
      <c r="H2589" s="1">
        <v>5.0</v>
      </c>
      <c r="I2589" s="2">
        <v>4.0</v>
      </c>
      <c r="J2589" s="2">
        <v>4.0</v>
      </c>
      <c r="K2589" s="2" t="s">
        <v>119</v>
      </c>
      <c r="L2589" s="1"/>
      <c r="M2589" s="1" t="s">
        <v>10447</v>
      </c>
      <c r="N2589" s="1" t="s">
        <v>57</v>
      </c>
      <c r="O2589" s="1" t="s">
        <v>256</v>
      </c>
      <c r="P2589" s="1" t="s">
        <v>10448</v>
      </c>
      <c r="Q2589" s="3">
        <v>41320.0</v>
      </c>
      <c r="R2589" s="1"/>
      <c r="S2589" s="1"/>
      <c r="T2589" s="1" t="s">
        <v>37</v>
      </c>
      <c r="U2589" s="1"/>
      <c r="V2589" s="1" t="s">
        <v>38</v>
      </c>
      <c r="W2589" s="1">
        <v>44.630923</v>
      </c>
      <c r="X2589" s="1">
        <v>-73.113919</v>
      </c>
      <c r="Y2589" s="1" t="s">
        <v>10449</v>
      </c>
      <c r="Z2589" s="1"/>
      <c r="AA2589" s="1" t="s">
        <v>40</v>
      </c>
      <c r="AB2589" s="1" t="s">
        <v>257</v>
      </c>
      <c r="AC2589" s="1">
        <v>5468.0</v>
      </c>
    </row>
    <row r="2590">
      <c r="A2590" s="1" t="str">
        <f>"000JZ7"</f>
        <v>000JZ7</v>
      </c>
      <c r="B2590" s="1" t="s">
        <v>10450</v>
      </c>
      <c r="C2590" s="1" t="s">
        <v>10451</v>
      </c>
      <c r="D2590" s="1" t="str">
        <f>"8024969807"</f>
        <v>8024969807</v>
      </c>
      <c r="E2590" s="1">
        <v>4493.0</v>
      </c>
      <c r="F2590" s="1" t="s">
        <v>44</v>
      </c>
      <c r="G2590" s="1" t="s">
        <v>10452</v>
      </c>
      <c r="H2590" s="1">
        <v>2.0</v>
      </c>
      <c r="I2590" s="1"/>
      <c r="J2590" s="1"/>
      <c r="K2590" s="1"/>
      <c r="L2590" s="1"/>
      <c r="M2590" s="1" t="s">
        <v>33</v>
      </c>
      <c r="N2590" s="1" t="s">
        <v>135</v>
      </c>
      <c r="O2590" s="1" t="s">
        <v>2331</v>
      </c>
      <c r="P2590" s="1" t="s">
        <v>36</v>
      </c>
      <c r="Q2590" s="3">
        <v>41320.0</v>
      </c>
      <c r="R2590" s="1"/>
      <c r="S2590" s="1"/>
      <c r="T2590" s="1" t="s">
        <v>37</v>
      </c>
      <c r="U2590" s="1"/>
      <c r="V2590" s="1" t="s">
        <v>38</v>
      </c>
      <c r="W2590" s="1">
        <v>44.2602</v>
      </c>
      <c r="X2590" s="1">
        <v>-72.7564529</v>
      </c>
      <c r="Y2590" s="1" t="s">
        <v>10453</v>
      </c>
      <c r="Z2590" s="1"/>
      <c r="AA2590" s="1" t="s">
        <v>40</v>
      </c>
      <c r="AB2590" s="1" t="s">
        <v>2332</v>
      </c>
      <c r="AC2590" s="1">
        <v>5660.0</v>
      </c>
    </row>
    <row r="2591">
      <c r="A2591" s="1" t="str">
        <f>"000JZ8"</f>
        <v>000JZ8</v>
      </c>
      <c r="B2591" s="1" t="s">
        <v>10454</v>
      </c>
      <c r="C2591" s="1" t="s">
        <v>10455</v>
      </c>
      <c r="D2591" s="1"/>
      <c r="E2591" s="1">
        <v>4494.0</v>
      </c>
      <c r="F2591" s="1" t="s">
        <v>44</v>
      </c>
      <c r="G2591" s="1" t="s">
        <v>10456</v>
      </c>
      <c r="H2591" s="1">
        <v>2.0</v>
      </c>
      <c r="I2591" s="1"/>
      <c r="J2591" s="1"/>
      <c r="K2591" s="1"/>
      <c r="L2591" s="1"/>
      <c r="M2591" s="1" t="s">
        <v>33</v>
      </c>
      <c r="N2591" s="1" t="s">
        <v>142</v>
      </c>
      <c r="O2591" s="1" t="s">
        <v>227</v>
      </c>
      <c r="P2591" s="1" t="s">
        <v>36</v>
      </c>
      <c r="Q2591" s="3">
        <v>41303.0</v>
      </c>
      <c r="R2591" s="1"/>
      <c r="S2591" s="1"/>
      <c r="T2591" s="1" t="s">
        <v>37</v>
      </c>
      <c r="U2591" s="1"/>
      <c r="V2591" s="1" t="s">
        <v>38</v>
      </c>
      <c r="W2591" s="1"/>
      <c r="X2591" s="1"/>
      <c r="Y2591" s="1" t="s">
        <v>10457</v>
      </c>
      <c r="Z2591" s="1"/>
      <c r="AA2591" s="1" t="s">
        <v>40</v>
      </c>
      <c r="AB2591" s="1" t="s">
        <v>228</v>
      </c>
      <c r="AC2591" s="1">
        <v>5033.0</v>
      </c>
    </row>
    <row r="2592">
      <c r="A2592" s="1" t="str">
        <f>"000JZJ"</f>
        <v>000JZJ</v>
      </c>
      <c r="B2592" s="1" t="s">
        <v>10458</v>
      </c>
      <c r="C2592" s="1" t="s">
        <v>10459</v>
      </c>
      <c r="D2592" s="1" t="str">
        <f>"8023339495"</f>
        <v>8023339495</v>
      </c>
      <c r="E2592" s="1">
        <v>4497.0</v>
      </c>
      <c r="F2592" s="1" t="s">
        <v>44</v>
      </c>
      <c r="G2592" s="1" t="s">
        <v>10460</v>
      </c>
      <c r="H2592" s="1">
        <v>1.0</v>
      </c>
      <c r="I2592" s="1"/>
      <c r="J2592" s="1"/>
      <c r="K2592" s="1"/>
      <c r="L2592" s="1"/>
      <c r="M2592" s="1" t="s">
        <v>3033</v>
      </c>
      <c r="N2592" s="1" t="s">
        <v>142</v>
      </c>
      <c r="O2592" s="1" t="s">
        <v>243</v>
      </c>
      <c r="P2592" s="1" t="s">
        <v>36</v>
      </c>
      <c r="Q2592" s="3">
        <v>41325.0</v>
      </c>
      <c r="R2592" s="1"/>
      <c r="S2592" s="1"/>
      <c r="T2592" s="1" t="s">
        <v>37</v>
      </c>
      <c r="U2592" s="1"/>
      <c r="V2592" s="1" t="s">
        <v>38</v>
      </c>
      <c r="W2592" s="1">
        <v>43.910374</v>
      </c>
      <c r="X2592" s="1">
        <v>-72.3405609</v>
      </c>
      <c r="Y2592" s="1" t="s">
        <v>10461</v>
      </c>
      <c r="Z2592" s="1"/>
      <c r="AA2592" s="1" t="s">
        <v>40</v>
      </c>
      <c r="AB2592" s="1" t="s">
        <v>246</v>
      </c>
      <c r="AC2592" s="1">
        <v>5072.0</v>
      </c>
    </row>
    <row r="2593">
      <c r="A2593" s="1" t="str">
        <f>"000K01"</f>
        <v>000K01</v>
      </c>
      <c r="B2593" s="1" t="s">
        <v>10462</v>
      </c>
      <c r="C2593" s="1" t="s">
        <v>10463</v>
      </c>
      <c r="D2593" s="1" t="str">
        <f>"8022763273"</f>
        <v>8022763273</v>
      </c>
      <c r="E2593" s="1">
        <v>4498.0</v>
      </c>
      <c r="F2593" s="1" t="s">
        <v>117</v>
      </c>
      <c r="G2593" s="1" t="s">
        <v>10464</v>
      </c>
      <c r="H2593" s="1">
        <v>2.0</v>
      </c>
      <c r="I2593" s="2" t="s">
        <v>119</v>
      </c>
      <c r="J2593" s="2">
        <v>1.0</v>
      </c>
      <c r="K2593" s="2" t="s">
        <v>119</v>
      </c>
      <c r="L2593" s="1"/>
      <c r="M2593" s="1" t="s">
        <v>10465</v>
      </c>
      <c r="N2593" s="1" t="s">
        <v>142</v>
      </c>
      <c r="O2593" s="1" t="s">
        <v>353</v>
      </c>
      <c r="P2593" s="1" t="s">
        <v>10466</v>
      </c>
      <c r="Q2593" s="3">
        <v>41332.0</v>
      </c>
      <c r="R2593" s="1"/>
      <c r="S2593" s="3">
        <v>42208.0</v>
      </c>
      <c r="T2593" s="1" t="s">
        <v>37</v>
      </c>
      <c r="U2593" s="1"/>
      <c r="V2593" s="1" t="s">
        <v>38</v>
      </c>
      <c r="W2593" s="1">
        <v>44.044811</v>
      </c>
      <c r="X2593" s="1">
        <v>-72.5789039999999</v>
      </c>
      <c r="Y2593" s="1" t="s">
        <v>10467</v>
      </c>
      <c r="Z2593" s="1"/>
      <c r="AA2593" s="1" t="s">
        <v>40</v>
      </c>
      <c r="AB2593" s="1" t="s">
        <v>355</v>
      </c>
      <c r="AC2593" s="1">
        <v>5036.0</v>
      </c>
    </row>
    <row r="2594">
      <c r="A2594" s="1" t="str">
        <f>"000K02"</f>
        <v>000K02</v>
      </c>
      <c r="B2594" s="1" t="s">
        <v>10468</v>
      </c>
      <c r="C2594" s="1" t="s">
        <v>10469</v>
      </c>
      <c r="D2594" s="1" t="str">
        <f>"8028245409"</f>
        <v>8028245409</v>
      </c>
      <c r="E2594" s="1">
        <v>4499.0</v>
      </c>
      <c r="F2594" s="1" t="s">
        <v>117</v>
      </c>
      <c r="G2594" s="1" t="s">
        <v>10470</v>
      </c>
      <c r="H2594" s="1">
        <v>3.0</v>
      </c>
      <c r="I2594" s="2">
        <v>0.0</v>
      </c>
      <c r="J2594" s="2">
        <v>0.0</v>
      </c>
      <c r="K2594" s="2" t="s">
        <v>829</v>
      </c>
      <c r="L2594" s="2"/>
      <c r="M2594" s="1" t="s">
        <v>10471</v>
      </c>
      <c r="N2594" s="1" t="s">
        <v>34</v>
      </c>
      <c r="O2594" s="1" t="s">
        <v>4998</v>
      </c>
      <c r="P2594" s="1" t="s">
        <v>10472</v>
      </c>
      <c r="Q2594" s="3">
        <v>41303.0</v>
      </c>
      <c r="R2594" s="1"/>
      <c r="S2594" s="1"/>
      <c r="T2594" s="1" t="s">
        <v>37</v>
      </c>
      <c r="U2594" s="1"/>
      <c r="V2594" s="1" t="s">
        <v>38</v>
      </c>
      <c r="W2594" s="1">
        <v>43.3378109999999</v>
      </c>
      <c r="X2594" s="1">
        <v>-72.7920609999999</v>
      </c>
      <c r="Y2594" s="1" t="s">
        <v>10473</v>
      </c>
      <c r="Z2594" s="1"/>
      <c r="AA2594" s="1" t="s">
        <v>40</v>
      </c>
      <c r="AB2594" s="1" t="s">
        <v>5001</v>
      </c>
      <c r="AC2594" s="1" t="s">
        <v>10474</v>
      </c>
    </row>
    <row r="2595">
      <c r="A2595" s="1" t="str">
        <f>"000K56"</f>
        <v>000K56</v>
      </c>
      <c r="B2595" s="1" t="s">
        <v>10475</v>
      </c>
      <c r="C2595" s="1" t="s">
        <v>10476</v>
      </c>
      <c r="D2595" s="1" t="str">
        <f>"8026723042"</f>
        <v>8026723042</v>
      </c>
      <c r="E2595" s="1">
        <v>4501.0</v>
      </c>
      <c r="F2595" s="1" t="s">
        <v>117</v>
      </c>
      <c r="G2595" s="1" t="s">
        <v>10477</v>
      </c>
      <c r="H2595" s="1">
        <v>4.0</v>
      </c>
      <c r="I2595" s="2">
        <v>20.0</v>
      </c>
      <c r="J2595" s="2">
        <v>19.0</v>
      </c>
      <c r="K2595" s="2" t="s">
        <v>119</v>
      </c>
      <c r="L2595" s="1"/>
      <c r="M2595" s="1" t="s">
        <v>10478</v>
      </c>
      <c r="N2595" s="1" t="s">
        <v>34</v>
      </c>
      <c r="O2595" s="1" t="s">
        <v>985</v>
      </c>
      <c r="P2595" s="1" t="s">
        <v>10479</v>
      </c>
      <c r="Q2595" s="3">
        <v>41348.0</v>
      </c>
      <c r="R2595" s="1"/>
      <c r="S2595" s="1"/>
      <c r="T2595" s="1" t="s">
        <v>37</v>
      </c>
      <c r="U2595" s="1"/>
      <c r="V2595" s="1" t="s">
        <v>38</v>
      </c>
      <c r="W2595" s="1">
        <v>43.6197589999999</v>
      </c>
      <c r="X2595" s="1">
        <v>-72.662323</v>
      </c>
      <c r="Y2595" s="1" t="s">
        <v>10480</v>
      </c>
      <c r="Z2595" s="1"/>
      <c r="AA2595" s="1" t="s">
        <v>40</v>
      </c>
      <c r="AB2595" s="1" t="s">
        <v>10481</v>
      </c>
      <c r="AC2595" s="1">
        <v>5035.0</v>
      </c>
    </row>
    <row r="2596">
      <c r="A2596" s="1" t="str">
        <f>"000K58"</f>
        <v>000K58</v>
      </c>
      <c r="B2596" s="1" t="s">
        <v>10482</v>
      </c>
      <c r="C2596" s="1" t="s">
        <v>10483</v>
      </c>
      <c r="D2596" s="1" t="str">
        <f>"8024253130"</f>
        <v>8024253130</v>
      </c>
      <c r="E2596" s="1">
        <v>4503.0</v>
      </c>
      <c r="F2596" s="1" t="s">
        <v>117</v>
      </c>
      <c r="G2596" s="1" t="s">
        <v>10484</v>
      </c>
      <c r="H2596" s="1">
        <v>2.0</v>
      </c>
      <c r="I2596" s="2">
        <v>1.0</v>
      </c>
      <c r="J2596" s="2">
        <v>1.0</v>
      </c>
      <c r="K2596" s="2" t="s">
        <v>119</v>
      </c>
      <c r="L2596" s="1"/>
      <c r="M2596" s="1" t="s">
        <v>10485</v>
      </c>
      <c r="N2596" s="1" t="s">
        <v>57</v>
      </c>
      <c r="O2596" s="1" t="s">
        <v>1633</v>
      </c>
      <c r="P2596" s="1" t="s">
        <v>10486</v>
      </c>
      <c r="Q2596" s="3">
        <v>41366.0</v>
      </c>
      <c r="R2596" s="1"/>
      <c r="S2596" s="1"/>
      <c r="T2596" s="1" t="s">
        <v>37</v>
      </c>
      <c r="U2596" s="1"/>
      <c r="V2596" s="1" t="s">
        <v>38</v>
      </c>
      <c r="W2596" s="1">
        <v>44.321667</v>
      </c>
      <c r="X2596" s="1">
        <v>-73.23896</v>
      </c>
      <c r="Y2596" s="1" t="s">
        <v>10487</v>
      </c>
      <c r="Z2596" s="1"/>
      <c r="AA2596" s="1" t="s">
        <v>40</v>
      </c>
      <c r="AB2596" s="1" t="s">
        <v>1634</v>
      </c>
      <c r="AC2596" s="1">
        <v>5445.0</v>
      </c>
    </row>
    <row r="2597">
      <c r="A2597" s="1" t="str">
        <f>"000KGJ"</f>
        <v>000KGJ</v>
      </c>
      <c r="B2597" s="1" t="s">
        <v>10488</v>
      </c>
      <c r="C2597" s="1" t="s">
        <v>10489</v>
      </c>
      <c r="D2597" s="1" t="str">
        <f>"8022255957"</f>
        <v>8022255957</v>
      </c>
      <c r="E2597" s="1">
        <v>4504.0</v>
      </c>
      <c r="F2597" s="1" t="s">
        <v>31</v>
      </c>
      <c r="G2597" s="1" t="s">
        <v>10490</v>
      </c>
      <c r="H2597" s="1">
        <v>6.0</v>
      </c>
      <c r="I2597" s="1"/>
      <c r="J2597" s="1"/>
      <c r="K2597" s="1"/>
      <c r="L2597" s="1"/>
      <c r="M2597" s="1" t="s">
        <v>33</v>
      </c>
      <c r="N2597" s="1" t="s">
        <v>135</v>
      </c>
      <c r="O2597" s="1" t="s">
        <v>775</v>
      </c>
      <c r="P2597" s="1" t="s">
        <v>36</v>
      </c>
      <c r="Q2597" s="3">
        <v>41405.0</v>
      </c>
      <c r="R2597" s="1"/>
      <c r="S2597" s="3">
        <v>41522.0</v>
      </c>
      <c r="T2597" s="1" t="s">
        <v>37</v>
      </c>
      <c r="U2597" s="1"/>
      <c r="V2597" s="1" t="s">
        <v>38</v>
      </c>
      <c r="W2597" s="1">
        <v>44.36043</v>
      </c>
      <c r="X2597" s="1">
        <v>-72.697</v>
      </c>
      <c r="Y2597" s="1" t="s">
        <v>10491</v>
      </c>
      <c r="Z2597" s="1"/>
      <c r="AA2597" s="1" t="s">
        <v>40</v>
      </c>
      <c r="AB2597" s="1" t="s">
        <v>3755</v>
      </c>
      <c r="AC2597" s="1">
        <v>5677.0</v>
      </c>
    </row>
    <row r="2598">
      <c r="A2598" s="1" t="str">
        <f>"000KGK"</f>
        <v>000KGK</v>
      </c>
      <c r="B2598" s="1" t="s">
        <v>10492</v>
      </c>
      <c r="C2598" s="1" t="s">
        <v>10493</v>
      </c>
      <c r="D2598" s="1" t="str">
        <f>"8029334289"</f>
        <v>8029334289</v>
      </c>
      <c r="E2598" s="1">
        <v>4505.0</v>
      </c>
      <c r="F2598" s="1" t="s">
        <v>117</v>
      </c>
      <c r="G2598" s="1" t="s">
        <v>10494</v>
      </c>
      <c r="H2598" s="1">
        <v>3.0</v>
      </c>
      <c r="I2598" s="2">
        <v>2.0</v>
      </c>
      <c r="J2598" s="2">
        <v>2.0</v>
      </c>
      <c r="K2598" s="2" t="s">
        <v>119</v>
      </c>
      <c r="L2598" s="2" t="s">
        <v>3077</v>
      </c>
      <c r="M2598" s="1" t="s">
        <v>10495</v>
      </c>
      <c r="N2598" s="1" t="s">
        <v>47</v>
      </c>
      <c r="O2598" s="1" t="s">
        <v>48</v>
      </c>
      <c r="P2598" s="1" t="s">
        <v>10496</v>
      </c>
      <c r="Q2598" s="3">
        <v>41450.0</v>
      </c>
      <c r="R2598" s="1"/>
      <c r="S2598" s="3">
        <v>41469.0</v>
      </c>
      <c r="T2598" s="1" t="s">
        <v>37</v>
      </c>
      <c r="U2598" s="1"/>
      <c r="V2598" s="1" t="s">
        <v>38</v>
      </c>
      <c r="W2598" s="1">
        <v>44.916672</v>
      </c>
      <c r="X2598" s="1">
        <v>-72.713951</v>
      </c>
      <c r="Y2598" s="1" t="s">
        <v>10497</v>
      </c>
      <c r="Z2598" s="1"/>
      <c r="AA2598" s="1" t="s">
        <v>40</v>
      </c>
      <c r="AB2598" s="1" t="s">
        <v>981</v>
      </c>
      <c r="AC2598" s="1">
        <v>5476.0</v>
      </c>
    </row>
    <row r="2599">
      <c r="A2599" s="1" t="str">
        <f>"000KGZ"</f>
        <v>000KGZ</v>
      </c>
      <c r="B2599" s="1" t="s">
        <v>10498</v>
      </c>
      <c r="C2599" s="1" t="s">
        <v>10499</v>
      </c>
      <c r="D2599" s="1" t="str">
        <f>"8028600234"</f>
        <v>8028600234</v>
      </c>
      <c r="E2599" s="1">
        <v>4509.0</v>
      </c>
      <c r="F2599" s="1" t="s">
        <v>31</v>
      </c>
      <c r="G2599" s="1" t="s">
        <v>10500</v>
      </c>
      <c r="H2599" s="1">
        <v>5.0</v>
      </c>
      <c r="I2599" s="1"/>
      <c r="J2599" s="1"/>
      <c r="K2599" s="1"/>
      <c r="L2599" s="1"/>
      <c r="M2599" s="1" t="s">
        <v>33</v>
      </c>
      <c r="N2599" s="1" t="s">
        <v>57</v>
      </c>
      <c r="O2599" s="1" t="s">
        <v>175</v>
      </c>
      <c r="P2599" s="1" t="s">
        <v>10501</v>
      </c>
      <c r="Q2599" s="3">
        <v>41395.0</v>
      </c>
      <c r="R2599" s="1"/>
      <c r="S2599" s="3">
        <v>42585.0</v>
      </c>
      <c r="T2599" s="1" t="s">
        <v>37</v>
      </c>
      <c r="U2599" s="1"/>
      <c r="V2599" s="1" t="s">
        <v>38</v>
      </c>
      <c r="W2599" s="1">
        <v>44.459654</v>
      </c>
      <c r="X2599" s="1">
        <v>-73.2101099999999</v>
      </c>
      <c r="Y2599" s="1" t="s">
        <v>10502</v>
      </c>
      <c r="Z2599" s="1"/>
      <c r="AA2599" s="1" t="s">
        <v>40</v>
      </c>
      <c r="AB2599" s="1" t="s">
        <v>176</v>
      </c>
      <c r="AC2599" s="1">
        <v>5401.0</v>
      </c>
    </row>
    <row r="2600">
      <c r="A2600" s="1" t="str">
        <f>"000KH0"</f>
        <v>000KH0</v>
      </c>
      <c r="B2600" s="1" t="s">
        <v>10503</v>
      </c>
      <c r="C2600" s="1" t="s">
        <v>10504</v>
      </c>
      <c r="D2600" s="1" t="str">
        <f>"8027637434"</f>
        <v>8027637434</v>
      </c>
      <c r="E2600" s="1">
        <v>4510.0</v>
      </c>
      <c r="F2600" s="1" t="s">
        <v>117</v>
      </c>
      <c r="G2600" s="1" t="s">
        <v>10505</v>
      </c>
      <c r="H2600" s="1">
        <v>4.0</v>
      </c>
      <c r="I2600" s="2">
        <v>0.0</v>
      </c>
      <c r="J2600" s="2">
        <v>0.0</v>
      </c>
      <c r="K2600" s="2" t="s">
        <v>119</v>
      </c>
      <c r="L2600" s="1"/>
      <c r="M2600" s="1" t="s">
        <v>10506</v>
      </c>
      <c r="N2600" s="1" t="s">
        <v>142</v>
      </c>
      <c r="O2600" s="1" t="s">
        <v>648</v>
      </c>
      <c r="P2600" s="1" t="s">
        <v>10507</v>
      </c>
      <c r="Q2600" s="3">
        <v>41360.0</v>
      </c>
      <c r="R2600" s="1"/>
      <c r="S2600" s="3">
        <v>42195.0</v>
      </c>
      <c r="T2600" s="1" t="s">
        <v>37</v>
      </c>
      <c r="U2600" s="1"/>
      <c r="V2600" s="1" t="s">
        <v>38</v>
      </c>
      <c r="W2600" s="1">
        <v>43.869848</v>
      </c>
      <c r="X2600" s="1">
        <v>-72.542347</v>
      </c>
      <c r="Y2600" s="1" t="s">
        <v>10508</v>
      </c>
      <c r="Z2600" s="1"/>
      <c r="AA2600" s="1" t="s">
        <v>40</v>
      </c>
      <c r="AB2600" s="1" t="s">
        <v>650</v>
      </c>
      <c r="AC2600" s="1">
        <v>5077.0</v>
      </c>
    </row>
    <row r="2601">
      <c r="A2601" s="1" t="str">
        <f>"000KH1"</f>
        <v>000KH1</v>
      </c>
      <c r="B2601" s="1" t="s">
        <v>10509</v>
      </c>
      <c r="C2601" s="1" t="s">
        <v>10510</v>
      </c>
      <c r="D2601" s="1" t="str">
        <f>"9196062382"</f>
        <v>9196062382</v>
      </c>
      <c r="E2601" s="1">
        <v>4511.0</v>
      </c>
      <c r="F2601" s="1" t="s">
        <v>117</v>
      </c>
      <c r="G2601" s="1" t="s">
        <v>10511</v>
      </c>
      <c r="H2601" s="1">
        <v>2.0</v>
      </c>
      <c r="I2601" s="2" t="s">
        <v>119</v>
      </c>
      <c r="J2601" s="2" t="s">
        <v>119</v>
      </c>
      <c r="K2601" s="2" t="s">
        <v>119</v>
      </c>
      <c r="L2601" s="1"/>
      <c r="M2601" s="1" t="s">
        <v>10512</v>
      </c>
      <c r="N2601" s="1" t="s">
        <v>161</v>
      </c>
      <c r="O2601" s="1" t="s">
        <v>1761</v>
      </c>
      <c r="P2601" s="1" t="s">
        <v>10513</v>
      </c>
      <c r="Q2601" s="3">
        <v>41421.0</v>
      </c>
      <c r="R2601" s="1"/>
      <c r="S2601" s="1"/>
      <c r="T2601" s="1" t="s">
        <v>37</v>
      </c>
      <c r="U2601" s="1"/>
      <c r="V2601" s="1" t="s">
        <v>38</v>
      </c>
      <c r="W2601" s="1">
        <v>44.0269059</v>
      </c>
      <c r="X2601" s="1">
        <v>-73.2148419999999</v>
      </c>
      <c r="Y2601" s="1" t="s">
        <v>10514</v>
      </c>
      <c r="Z2601" s="1"/>
      <c r="AA2601" s="1" t="s">
        <v>40</v>
      </c>
      <c r="AB2601" s="1" t="s">
        <v>1763</v>
      </c>
      <c r="AC2601" s="1">
        <v>5753.0</v>
      </c>
    </row>
    <row r="2602">
      <c r="A2602" s="1" t="str">
        <f>"000KH2"</f>
        <v>000KH2</v>
      </c>
      <c r="B2602" s="1" t="s">
        <v>10515</v>
      </c>
      <c r="C2602" s="1" t="s">
        <v>10516</v>
      </c>
      <c r="D2602" s="1" t="str">
        <f>"8022510552"</f>
        <v>8022510552</v>
      </c>
      <c r="E2602" s="1">
        <v>4512.0</v>
      </c>
      <c r="F2602" s="1" t="s">
        <v>44</v>
      </c>
      <c r="G2602" s="1" t="s">
        <v>10517</v>
      </c>
      <c r="H2602" s="1">
        <v>2.0</v>
      </c>
      <c r="I2602" s="1"/>
      <c r="J2602" s="1"/>
      <c r="K2602" s="1"/>
      <c r="L2602" s="1"/>
      <c r="M2602" s="1" t="s">
        <v>33</v>
      </c>
      <c r="N2602" s="1" t="s">
        <v>66</v>
      </c>
      <c r="O2602" s="1" t="s">
        <v>1136</v>
      </c>
      <c r="P2602" s="1" t="s">
        <v>36</v>
      </c>
      <c r="Q2602" s="3">
        <v>41450.0</v>
      </c>
      <c r="R2602" s="1"/>
      <c r="S2602" s="1"/>
      <c r="T2602" s="1" t="s">
        <v>37</v>
      </c>
      <c r="U2602" s="1"/>
      <c r="V2602" s="1" t="s">
        <v>38</v>
      </c>
      <c r="W2602" s="1">
        <v>42.741257</v>
      </c>
      <c r="X2602" s="1">
        <v>-72.621521</v>
      </c>
      <c r="Y2602" s="1" t="s">
        <v>10518</v>
      </c>
      <c r="Z2602" s="1"/>
      <c r="AA2602" s="1" t="s">
        <v>40</v>
      </c>
      <c r="AB2602" s="1" t="s">
        <v>1137</v>
      </c>
      <c r="AC2602" s="1">
        <v>5301.0</v>
      </c>
    </row>
    <row r="2603">
      <c r="A2603" s="1" t="str">
        <f>"000KH3"</f>
        <v>000KH3</v>
      </c>
      <c r="B2603" s="1" t="s">
        <v>10519</v>
      </c>
      <c r="C2603" s="1" t="s">
        <v>10520</v>
      </c>
      <c r="D2603" s="1" t="str">
        <f>"8027307153"</f>
        <v>8027307153</v>
      </c>
      <c r="E2603" s="1">
        <v>4513.0</v>
      </c>
      <c r="F2603" s="1" t="s">
        <v>44</v>
      </c>
      <c r="G2603" s="1" t="s">
        <v>10521</v>
      </c>
      <c r="H2603" s="1">
        <v>2.0</v>
      </c>
      <c r="I2603" s="1"/>
      <c r="J2603" s="1"/>
      <c r="K2603" s="1"/>
      <c r="L2603" s="1"/>
      <c r="M2603" s="1" t="s">
        <v>33</v>
      </c>
      <c r="N2603" s="1" t="s">
        <v>213</v>
      </c>
      <c r="O2603" s="1" t="s">
        <v>1154</v>
      </c>
      <c r="P2603" s="1" t="s">
        <v>36</v>
      </c>
      <c r="Q2603" s="3">
        <v>41418.0</v>
      </c>
      <c r="R2603" s="1"/>
      <c r="S2603" s="1"/>
      <c r="T2603" s="1" t="s">
        <v>37</v>
      </c>
      <c r="U2603" s="1"/>
      <c r="V2603" s="1" t="s">
        <v>38</v>
      </c>
      <c r="W2603" s="1">
        <v>44.6332171</v>
      </c>
      <c r="X2603" s="1">
        <v>-72.6757218999999</v>
      </c>
      <c r="Y2603" s="1" t="s">
        <v>10522</v>
      </c>
      <c r="Z2603" s="1"/>
      <c r="AA2603" s="1" t="s">
        <v>40</v>
      </c>
      <c r="AB2603" s="1" t="s">
        <v>1155</v>
      </c>
      <c r="AC2603" s="1">
        <v>5656.0</v>
      </c>
    </row>
    <row r="2604">
      <c r="A2604" s="1" t="str">
        <f>"000KH7"</f>
        <v>000KH7</v>
      </c>
      <c r="B2604" s="1" t="s">
        <v>10523</v>
      </c>
      <c r="C2604" s="1" t="s">
        <v>10524</v>
      </c>
      <c r="D2604" s="1" t="str">
        <f>"8028789565"</f>
        <v>8028789565</v>
      </c>
      <c r="E2604" s="1">
        <v>4515.0</v>
      </c>
      <c r="F2604" s="1" t="s">
        <v>117</v>
      </c>
      <c r="G2604" s="1" t="s">
        <v>10525</v>
      </c>
      <c r="H2604" s="1">
        <v>3.0</v>
      </c>
      <c r="I2604" s="2">
        <v>0.0</v>
      </c>
      <c r="J2604" s="2">
        <v>0.0</v>
      </c>
      <c r="K2604" s="2" t="s">
        <v>829</v>
      </c>
      <c r="L2604" s="1"/>
      <c r="M2604" s="1" t="s">
        <v>10526</v>
      </c>
      <c r="N2604" s="1" t="s">
        <v>57</v>
      </c>
      <c r="O2604" s="1" t="s">
        <v>2092</v>
      </c>
      <c r="P2604" s="1" t="s">
        <v>10527</v>
      </c>
      <c r="Q2604" s="3">
        <v>41426.0</v>
      </c>
      <c r="R2604" s="1"/>
      <c r="S2604" s="3">
        <v>41428.0</v>
      </c>
      <c r="T2604" s="1" t="s">
        <v>37</v>
      </c>
      <c r="U2604" s="1"/>
      <c r="V2604" s="1" t="s">
        <v>38</v>
      </c>
      <c r="W2604" s="1">
        <v>44.418073</v>
      </c>
      <c r="X2604" s="1">
        <v>-73.0897039999999</v>
      </c>
      <c r="Y2604" s="1" t="s">
        <v>10528</v>
      </c>
      <c r="Z2604" s="1"/>
      <c r="AA2604" s="1" t="s">
        <v>40</v>
      </c>
      <c r="AB2604" s="1" t="s">
        <v>2093</v>
      </c>
      <c r="AC2604" s="1">
        <v>5495.0</v>
      </c>
    </row>
    <row r="2605">
      <c r="A2605" s="1" t="str">
        <f>"000KH8"</f>
        <v>000KH8</v>
      </c>
      <c r="B2605" s="1" t="s">
        <v>10529</v>
      </c>
      <c r="C2605" s="1" t="s">
        <v>10530</v>
      </c>
      <c r="D2605" s="1" t="str">
        <f>"8029895944"</f>
        <v>8029895944</v>
      </c>
      <c r="E2605" s="1">
        <v>4516.0</v>
      </c>
      <c r="F2605" s="1" t="s">
        <v>44</v>
      </c>
      <c r="G2605" s="1" t="s">
        <v>10531</v>
      </c>
      <c r="H2605" s="1">
        <v>2.0</v>
      </c>
      <c r="I2605" s="1"/>
      <c r="J2605" s="1"/>
      <c r="K2605" s="1"/>
      <c r="L2605" s="1"/>
      <c r="M2605" s="1" t="s">
        <v>33</v>
      </c>
      <c r="N2605" s="1" t="s">
        <v>161</v>
      </c>
      <c r="O2605" s="1" t="s">
        <v>185</v>
      </c>
      <c r="P2605" s="1" t="s">
        <v>36</v>
      </c>
      <c r="Q2605" s="3">
        <v>41435.0</v>
      </c>
      <c r="R2605" s="1"/>
      <c r="S2605" s="1"/>
      <c r="T2605" s="1" t="s">
        <v>37</v>
      </c>
      <c r="U2605" s="1"/>
      <c r="V2605" s="1" t="s">
        <v>38</v>
      </c>
      <c r="W2605" s="1"/>
      <c r="X2605" s="1"/>
      <c r="Y2605" s="1" t="s">
        <v>10532</v>
      </c>
      <c r="Z2605" s="1"/>
      <c r="AA2605" s="1" t="s">
        <v>40</v>
      </c>
      <c r="AB2605" s="1" t="s">
        <v>186</v>
      </c>
      <c r="AC2605" s="1">
        <v>5472.0</v>
      </c>
    </row>
    <row r="2606">
      <c r="A2606" s="1" t="str">
        <f>"000KH9"</f>
        <v>000KH9</v>
      </c>
      <c r="B2606" s="1" t="s">
        <v>10533</v>
      </c>
      <c r="C2606" s="1" t="s">
        <v>10534</v>
      </c>
      <c r="D2606" s="1" t="str">
        <f>"8022339657"</f>
        <v>8022339657</v>
      </c>
      <c r="E2606" s="1">
        <v>4517.0</v>
      </c>
      <c r="F2606" s="1" t="s">
        <v>44</v>
      </c>
      <c r="G2606" s="1" t="s">
        <v>10535</v>
      </c>
      <c r="H2606" s="1">
        <v>1.0</v>
      </c>
      <c r="I2606" s="1"/>
      <c r="J2606" s="1"/>
      <c r="K2606" s="1"/>
      <c r="L2606" s="1"/>
      <c r="M2606" s="1" t="s">
        <v>33</v>
      </c>
      <c r="N2606" s="1" t="s">
        <v>57</v>
      </c>
      <c r="O2606" s="1" t="s">
        <v>2092</v>
      </c>
      <c r="P2606" s="1" t="s">
        <v>36</v>
      </c>
      <c r="Q2606" s="3">
        <v>41435.0</v>
      </c>
      <c r="R2606" s="1"/>
      <c r="S2606" s="1"/>
      <c r="T2606" s="1" t="s">
        <v>37</v>
      </c>
      <c r="U2606" s="1"/>
      <c r="V2606" s="1" t="s">
        <v>38</v>
      </c>
      <c r="W2606" s="1"/>
      <c r="X2606" s="1"/>
      <c r="Y2606" s="1" t="s">
        <v>10536</v>
      </c>
      <c r="Z2606" s="1"/>
      <c r="AA2606" s="1" t="s">
        <v>40</v>
      </c>
      <c r="AB2606" s="1" t="s">
        <v>2093</v>
      </c>
      <c r="AC2606" s="1">
        <v>5495.0</v>
      </c>
    </row>
    <row r="2607">
      <c r="A2607" s="1" t="str">
        <f>"000KHA"</f>
        <v>000KHA</v>
      </c>
      <c r="B2607" s="1" t="s">
        <v>10537</v>
      </c>
      <c r="C2607" s="1" t="s">
        <v>10538</v>
      </c>
      <c r="D2607" s="1" t="str">
        <f>"8028966188"</f>
        <v>8028966188</v>
      </c>
      <c r="E2607" s="1">
        <v>4518.0</v>
      </c>
      <c r="F2607" s="1" t="s">
        <v>44</v>
      </c>
      <c r="G2607" s="1" t="s">
        <v>10539</v>
      </c>
      <c r="H2607" s="1">
        <v>2.0</v>
      </c>
      <c r="I2607" s="1"/>
      <c r="J2607" s="1"/>
      <c r="K2607" s="1"/>
      <c r="L2607" s="1"/>
      <c r="M2607" s="1" t="s">
        <v>33</v>
      </c>
      <c r="N2607" s="1" t="s">
        <v>66</v>
      </c>
      <c r="O2607" s="1" t="s">
        <v>908</v>
      </c>
      <c r="P2607" s="1" t="s">
        <v>36</v>
      </c>
      <c r="Q2607" s="3">
        <v>41451.0</v>
      </c>
      <c r="R2607" s="1"/>
      <c r="S2607" s="1"/>
      <c r="T2607" s="1" t="s">
        <v>37</v>
      </c>
      <c r="U2607" s="1"/>
      <c r="V2607" s="1" t="s">
        <v>38</v>
      </c>
      <c r="W2607" s="1"/>
      <c r="X2607" s="1"/>
      <c r="Y2607" s="1" t="s">
        <v>10540</v>
      </c>
      <c r="Z2607" s="1"/>
      <c r="AA2607" s="1" t="s">
        <v>40</v>
      </c>
      <c r="AB2607" s="1" t="s">
        <v>909</v>
      </c>
      <c r="AC2607" s="1">
        <v>5355.0</v>
      </c>
    </row>
    <row r="2608">
      <c r="A2608" s="1" t="str">
        <f>"000KHF"</f>
        <v>000KHF</v>
      </c>
      <c r="B2608" s="1" t="s">
        <v>10541</v>
      </c>
      <c r="C2608" s="1" t="s">
        <v>10542</v>
      </c>
      <c r="D2608" s="1" t="str">
        <f>"8024640291"</f>
        <v>8024640291</v>
      </c>
      <c r="E2608" s="1">
        <v>4522.0</v>
      </c>
      <c r="F2608" s="1" t="s">
        <v>117</v>
      </c>
      <c r="G2608" s="1" t="s">
        <v>10543</v>
      </c>
      <c r="H2608" s="1">
        <v>6.0</v>
      </c>
      <c r="I2608" s="2" t="s">
        <v>119</v>
      </c>
      <c r="J2608" s="2" t="s">
        <v>119</v>
      </c>
      <c r="K2608" s="2" t="s">
        <v>829</v>
      </c>
      <c r="L2608" s="1"/>
      <c r="M2608" s="1" t="s">
        <v>10544</v>
      </c>
      <c r="N2608" s="1" t="s">
        <v>66</v>
      </c>
      <c r="O2608" s="1" t="s">
        <v>1411</v>
      </c>
      <c r="P2608" s="1" t="s">
        <v>10545</v>
      </c>
      <c r="Q2608" s="3">
        <v>41385.0</v>
      </c>
      <c r="R2608" s="1"/>
      <c r="S2608" s="1"/>
      <c r="T2608" s="1" t="s">
        <v>37</v>
      </c>
      <c r="U2608" s="1"/>
      <c r="V2608" s="1" t="s">
        <v>38</v>
      </c>
      <c r="W2608" s="1">
        <v>42.8682034298268</v>
      </c>
      <c r="X2608" s="1">
        <v>-72.8434216976165</v>
      </c>
      <c r="Y2608" s="1" t="s">
        <v>10546</v>
      </c>
      <c r="Z2608" s="1"/>
      <c r="AA2608" s="1" t="s">
        <v>40</v>
      </c>
      <c r="AB2608" s="1" t="s">
        <v>1412</v>
      </c>
      <c r="AC2608" s="1">
        <v>5363.0</v>
      </c>
    </row>
    <row r="2609">
      <c r="A2609" s="1" t="str">
        <f>"000KHG"</f>
        <v>000KHG</v>
      </c>
      <c r="B2609" s="1" t="s">
        <v>10547</v>
      </c>
      <c r="C2609" s="1" t="s">
        <v>10548</v>
      </c>
      <c r="D2609" s="1" t="str">
        <f>"8023093931"</f>
        <v>8023093931</v>
      </c>
      <c r="E2609" s="1">
        <v>4523.0</v>
      </c>
      <c r="F2609" s="1" t="s">
        <v>44</v>
      </c>
      <c r="G2609" s="1" t="s">
        <v>10549</v>
      </c>
      <c r="H2609" s="1">
        <v>2.0</v>
      </c>
      <c r="I2609" s="2">
        <v>0.0</v>
      </c>
      <c r="J2609" s="2">
        <v>0.0</v>
      </c>
      <c r="K2609" s="2" t="s">
        <v>119</v>
      </c>
      <c r="L2609" s="2" t="s">
        <v>10550</v>
      </c>
      <c r="M2609" s="1" t="s">
        <v>10551</v>
      </c>
      <c r="N2609" s="1" t="s">
        <v>47</v>
      </c>
      <c r="O2609" s="1" t="s">
        <v>763</v>
      </c>
      <c r="P2609" s="1" t="s">
        <v>36</v>
      </c>
      <c r="Q2609" s="3">
        <v>41405.0</v>
      </c>
      <c r="R2609" s="1"/>
      <c r="S2609" s="3">
        <v>41422.0</v>
      </c>
      <c r="T2609" s="1" t="s">
        <v>37</v>
      </c>
      <c r="U2609" s="1"/>
      <c r="V2609" s="1" t="s">
        <v>38</v>
      </c>
      <c r="W2609" s="1">
        <v>44.6908941</v>
      </c>
      <c r="X2609" s="1">
        <v>-72.9462791999999</v>
      </c>
      <c r="Y2609" s="1" t="s">
        <v>10552</v>
      </c>
      <c r="Z2609" s="1"/>
      <c r="AA2609" s="1" t="s">
        <v>40</v>
      </c>
      <c r="AB2609" s="1" t="s">
        <v>1382</v>
      </c>
      <c r="AC2609" s="1">
        <v>5448.0</v>
      </c>
    </row>
    <row r="2610">
      <c r="A2610" s="1" t="str">
        <f>"000KHK"</f>
        <v>000KHK</v>
      </c>
      <c r="B2610" s="1" t="s">
        <v>10553</v>
      </c>
      <c r="C2610" s="1" t="s">
        <v>10554</v>
      </c>
      <c r="D2610" s="1" t="str">
        <f>"8023755011"</f>
        <v>8023755011</v>
      </c>
      <c r="E2610" s="1">
        <v>4526.0</v>
      </c>
      <c r="F2610" s="1" t="s">
        <v>44</v>
      </c>
      <c r="G2610" s="1" t="s">
        <v>10555</v>
      </c>
      <c r="H2610" s="1">
        <v>2.0</v>
      </c>
      <c r="I2610" s="2">
        <v>2.0</v>
      </c>
      <c r="J2610" s="2">
        <v>1.0</v>
      </c>
      <c r="K2610" s="2" t="s">
        <v>119</v>
      </c>
      <c r="L2610" s="1"/>
      <c r="M2610" s="1" t="s">
        <v>33</v>
      </c>
      <c r="N2610" s="1" t="s">
        <v>414</v>
      </c>
      <c r="O2610" s="1" t="s">
        <v>415</v>
      </c>
      <c r="P2610" s="1" t="s">
        <v>10556</v>
      </c>
      <c r="Q2610" s="3">
        <v>41451.0</v>
      </c>
      <c r="R2610" s="1"/>
      <c r="S2610" s="1"/>
      <c r="T2610" s="1" t="s">
        <v>37</v>
      </c>
      <c r="U2610" s="1"/>
      <c r="V2610" s="1" t="s">
        <v>38</v>
      </c>
      <c r="W2610" s="1"/>
      <c r="X2610" s="1"/>
      <c r="Y2610" s="1" t="s">
        <v>6365</v>
      </c>
      <c r="Z2610" s="1"/>
      <c r="AA2610" s="1" t="s">
        <v>40</v>
      </c>
      <c r="AB2610" s="1" t="s">
        <v>6366</v>
      </c>
      <c r="AC2610" s="1">
        <v>5253.0</v>
      </c>
    </row>
    <row r="2611">
      <c r="A2611" s="1" t="str">
        <f>"000KHM"</f>
        <v>000KHM</v>
      </c>
      <c r="B2611" s="1" t="s">
        <v>10557</v>
      </c>
      <c r="C2611" s="1" t="s">
        <v>10558</v>
      </c>
      <c r="D2611" s="1" t="str">
        <f>"8024385173"</f>
        <v>8024385173</v>
      </c>
      <c r="E2611" s="1">
        <v>4527.0</v>
      </c>
      <c r="F2611" s="1" t="s">
        <v>117</v>
      </c>
      <c r="G2611" s="1" t="s">
        <v>10559</v>
      </c>
      <c r="H2611" s="1">
        <v>3.0</v>
      </c>
      <c r="I2611" s="2">
        <v>2.0</v>
      </c>
      <c r="J2611" s="2">
        <v>2.0</v>
      </c>
      <c r="K2611" s="2" t="s">
        <v>119</v>
      </c>
      <c r="L2611" s="1"/>
      <c r="M2611" s="1" t="s">
        <v>10560</v>
      </c>
      <c r="N2611" s="1" t="s">
        <v>78</v>
      </c>
      <c r="O2611" s="1" t="s">
        <v>3828</v>
      </c>
      <c r="P2611" s="1" t="s">
        <v>10561</v>
      </c>
      <c r="Q2611" s="3">
        <v>41451.0</v>
      </c>
      <c r="R2611" s="1"/>
      <c r="S2611" s="1"/>
      <c r="T2611" s="1" t="s">
        <v>37</v>
      </c>
      <c r="U2611" s="1"/>
      <c r="V2611" s="1" t="s">
        <v>38</v>
      </c>
      <c r="W2611" s="1">
        <v>43.559635898221</v>
      </c>
      <c r="X2611" s="1">
        <v>-73.0164241790771</v>
      </c>
      <c r="Y2611" s="1" t="s">
        <v>10562</v>
      </c>
      <c r="Z2611" s="1"/>
      <c r="AA2611" s="1" t="s">
        <v>40</v>
      </c>
      <c r="AB2611" s="1" t="s">
        <v>6012</v>
      </c>
      <c r="AC2611" s="1">
        <v>5777.0</v>
      </c>
    </row>
    <row r="2612">
      <c r="A2612" s="1" t="str">
        <f>"000KHP"</f>
        <v>000KHP</v>
      </c>
      <c r="B2612" s="1" t="s">
        <v>10563</v>
      </c>
      <c r="C2612" s="1" t="s">
        <v>10564</v>
      </c>
      <c r="D2612" s="1" t="str">
        <f>"8022368715"</f>
        <v>8022368715</v>
      </c>
      <c r="E2612" s="1">
        <v>4529.0</v>
      </c>
      <c r="F2612" s="1" t="s">
        <v>117</v>
      </c>
      <c r="G2612" s="1" t="s">
        <v>10565</v>
      </c>
      <c r="H2612" s="1">
        <v>0.0</v>
      </c>
      <c r="I2612" s="2" t="s">
        <v>119</v>
      </c>
      <c r="J2612" s="2">
        <v>7.0</v>
      </c>
      <c r="K2612" s="2" t="s">
        <v>829</v>
      </c>
      <c r="L2612" s="1"/>
      <c r="M2612" s="1" t="s">
        <v>2629</v>
      </c>
      <c r="N2612" s="1" t="s">
        <v>78</v>
      </c>
      <c r="O2612" s="1" t="s">
        <v>79</v>
      </c>
      <c r="P2612" s="1" t="s">
        <v>10566</v>
      </c>
      <c r="Q2612" s="3">
        <v>41436.0</v>
      </c>
      <c r="R2612" s="3">
        <v>42887.0</v>
      </c>
      <c r="S2612" s="3">
        <v>41858.0</v>
      </c>
      <c r="T2612" s="1" t="s">
        <v>37</v>
      </c>
      <c r="U2612" s="1"/>
      <c r="V2612" s="1" t="s">
        <v>38</v>
      </c>
      <c r="W2612" s="1">
        <v>43.7114401649339</v>
      </c>
      <c r="X2612" s="1">
        <v>-73.0096435546875</v>
      </c>
      <c r="Y2612" s="1" t="s">
        <v>10567</v>
      </c>
      <c r="Z2612" s="1"/>
      <c r="AA2612" s="1" t="s">
        <v>40</v>
      </c>
      <c r="AB2612" s="1" t="s">
        <v>80</v>
      </c>
      <c r="AC2612" s="1">
        <v>5763.0</v>
      </c>
    </row>
    <row r="2613">
      <c r="A2613" s="1" t="str">
        <f>"000KHX"</f>
        <v>000KHX</v>
      </c>
      <c r="B2613" s="1" t="s">
        <v>10568</v>
      </c>
      <c r="C2613" s="1" t="s">
        <v>10569</v>
      </c>
      <c r="D2613" s="1" t="str">
        <f>"8022575838"</f>
        <v>8022575838</v>
      </c>
      <c r="E2613" s="1">
        <v>4531.0</v>
      </c>
      <c r="F2613" s="1" t="s">
        <v>44</v>
      </c>
      <c r="G2613" s="1" t="s">
        <v>10570</v>
      </c>
      <c r="H2613" s="1">
        <v>0.0</v>
      </c>
      <c r="I2613" s="1"/>
      <c r="J2613" s="1"/>
      <c r="K2613" s="1"/>
      <c r="L2613" s="1"/>
      <c r="M2613" s="1" t="s">
        <v>33</v>
      </c>
      <c r="N2613" s="1" t="s">
        <v>66</v>
      </c>
      <c r="O2613" s="1" t="s">
        <v>2346</v>
      </c>
      <c r="P2613" s="1" t="s">
        <v>10571</v>
      </c>
      <c r="Q2613" s="3">
        <v>41424.0</v>
      </c>
      <c r="R2613" s="1"/>
      <c r="S2613" s="1"/>
      <c r="T2613" s="1" t="s">
        <v>37</v>
      </c>
      <c r="U2613" s="1"/>
      <c r="V2613" s="1" t="s">
        <v>38</v>
      </c>
      <c r="W2613" s="1"/>
      <c r="X2613" s="1"/>
      <c r="Y2613" s="1" t="s">
        <v>10572</v>
      </c>
      <c r="Z2613" s="1"/>
      <c r="AA2613" s="1" t="s">
        <v>40</v>
      </c>
      <c r="AB2613" s="1" t="s">
        <v>2349</v>
      </c>
      <c r="AC2613" s="1">
        <v>5301.0</v>
      </c>
    </row>
    <row r="2614">
      <c r="A2614" s="1" t="str">
        <f>"000KKA"</f>
        <v>000KKA</v>
      </c>
      <c r="B2614" s="1" t="s">
        <v>10573</v>
      </c>
      <c r="C2614" s="1" t="s">
        <v>10574</v>
      </c>
      <c r="D2614" s="1" t="str">
        <f>"8028496588"</f>
        <v>8028496588</v>
      </c>
      <c r="E2614" s="1">
        <v>4532.0</v>
      </c>
      <c r="F2614" s="1" t="s">
        <v>44</v>
      </c>
      <c r="G2614" s="1" t="s">
        <v>10575</v>
      </c>
      <c r="H2614" s="1">
        <v>1.0</v>
      </c>
      <c r="I2614" s="1"/>
      <c r="J2614" s="1"/>
      <c r="K2614" s="1"/>
      <c r="L2614" s="1"/>
      <c r="M2614" s="1" t="s">
        <v>33</v>
      </c>
      <c r="N2614" s="1" t="s">
        <v>47</v>
      </c>
      <c r="O2614" s="1" t="s">
        <v>378</v>
      </c>
      <c r="P2614" s="1" t="s">
        <v>36</v>
      </c>
      <c r="Q2614" s="3">
        <v>41422.0</v>
      </c>
      <c r="R2614" s="1"/>
      <c r="S2614" s="1"/>
      <c r="T2614" s="1" t="s">
        <v>37</v>
      </c>
      <c r="U2614" s="1"/>
      <c r="V2614" s="1" t="s">
        <v>38</v>
      </c>
      <c r="W2614" s="1">
        <v>44.670001</v>
      </c>
      <c r="X2614" s="1">
        <v>-73.0077759999999</v>
      </c>
      <c r="Y2614" s="1" t="s">
        <v>10576</v>
      </c>
      <c r="Z2614" s="1"/>
      <c r="AA2614" s="1" t="s">
        <v>40</v>
      </c>
      <c r="AB2614" s="1" t="s">
        <v>381</v>
      </c>
      <c r="AC2614" s="1">
        <v>5454.0</v>
      </c>
    </row>
    <row r="2615">
      <c r="A2615" s="1" t="str">
        <f>"000KKB"</f>
        <v>000KKB</v>
      </c>
      <c r="B2615" s="1" t="s">
        <v>10577</v>
      </c>
      <c r="C2615" s="1" t="s">
        <v>10578</v>
      </c>
      <c r="D2615" s="1" t="str">
        <f>"8027637296"</f>
        <v>8027637296</v>
      </c>
      <c r="E2615" s="1">
        <v>4533.0</v>
      </c>
      <c r="F2615" s="1" t="s">
        <v>44</v>
      </c>
      <c r="G2615" s="1" t="s">
        <v>10579</v>
      </c>
      <c r="H2615" s="1">
        <v>2.0</v>
      </c>
      <c r="I2615" s="2" t="s">
        <v>119</v>
      </c>
      <c r="J2615" s="2" t="s">
        <v>119</v>
      </c>
      <c r="K2615" s="2" t="s">
        <v>119</v>
      </c>
      <c r="L2615" s="1"/>
      <c r="M2615" s="1" t="s">
        <v>10580</v>
      </c>
      <c r="N2615" s="1" t="s">
        <v>34</v>
      </c>
      <c r="O2615" s="1" t="s">
        <v>35</v>
      </c>
      <c r="P2615" s="1" t="s">
        <v>10581</v>
      </c>
      <c r="Q2615" s="3">
        <v>41465.0</v>
      </c>
      <c r="R2615" s="1"/>
      <c r="S2615" s="3">
        <v>42236.0</v>
      </c>
      <c r="T2615" s="1" t="s">
        <v>37</v>
      </c>
      <c r="U2615" s="1"/>
      <c r="V2615" s="1" t="s">
        <v>38</v>
      </c>
      <c r="W2615" s="1">
        <v>43.8619636</v>
      </c>
      <c r="X2615" s="1">
        <v>-72.5602341</v>
      </c>
      <c r="Y2615" s="1" t="s">
        <v>10582</v>
      </c>
      <c r="Z2615" s="1"/>
      <c r="AA2615" s="1" t="s">
        <v>40</v>
      </c>
      <c r="AB2615" s="1" t="s">
        <v>41</v>
      </c>
      <c r="AC2615" s="1">
        <v>5068.0</v>
      </c>
    </row>
    <row r="2616">
      <c r="A2616" s="1" t="str">
        <f>"000KKC"</f>
        <v>000KKC</v>
      </c>
      <c r="B2616" s="1" t="s">
        <v>10583</v>
      </c>
      <c r="C2616" s="1" t="s">
        <v>10584</v>
      </c>
      <c r="D2616" s="1" t="str">
        <f>"8012438045"</f>
        <v>8012438045</v>
      </c>
      <c r="E2616" s="1">
        <v>4534.0</v>
      </c>
      <c r="F2616" s="1" t="s">
        <v>44</v>
      </c>
      <c r="G2616" s="1" t="s">
        <v>10585</v>
      </c>
      <c r="H2616" s="1">
        <v>2.0</v>
      </c>
      <c r="I2616" s="1"/>
      <c r="J2616" s="1"/>
      <c r="K2616" s="1"/>
      <c r="L2616" s="1"/>
      <c r="M2616" s="1" t="s">
        <v>10586</v>
      </c>
      <c r="N2616" s="1" t="s">
        <v>128</v>
      </c>
      <c r="O2616" s="1" t="s">
        <v>286</v>
      </c>
      <c r="P2616" s="1" t="s">
        <v>10587</v>
      </c>
      <c r="Q2616" s="3">
        <v>41402.0</v>
      </c>
      <c r="R2616" s="1"/>
      <c r="S2616" s="1"/>
      <c r="T2616" s="1" t="s">
        <v>37</v>
      </c>
      <c r="U2616" s="1"/>
      <c r="V2616" s="1" t="s">
        <v>38</v>
      </c>
      <c r="W2616" s="1">
        <v>44.668011</v>
      </c>
      <c r="X2616" s="1">
        <v>-71.952644</v>
      </c>
      <c r="Y2616" s="1" t="s">
        <v>10588</v>
      </c>
      <c r="Z2616" s="1"/>
      <c r="AA2616" s="1" t="s">
        <v>40</v>
      </c>
      <c r="AB2616" s="1" t="s">
        <v>2281</v>
      </c>
      <c r="AC2616" s="1">
        <v>5871.0</v>
      </c>
    </row>
    <row r="2617">
      <c r="A2617" s="1" t="str">
        <f>"000KKD"</f>
        <v>000KKD</v>
      </c>
      <c r="B2617" s="1" t="s">
        <v>10589</v>
      </c>
      <c r="C2617" s="1" t="s">
        <v>10590</v>
      </c>
      <c r="D2617" s="1" t="str">
        <f>"9089024311"</f>
        <v>9089024311</v>
      </c>
      <c r="E2617" s="1">
        <v>4535.0</v>
      </c>
      <c r="F2617" s="1" t="s">
        <v>117</v>
      </c>
      <c r="G2617" s="1" t="s">
        <v>10591</v>
      </c>
      <c r="H2617" s="1">
        <v>2.0</v>
      </c>
      <c r="I2617" s="2" t="s">
        <v>119</v>
      </c>
      <c r="J2617" s="2" t="s">
        <v>119</v>
      </c>
      <c r="K2617" s="2" t="s">
        <v>119</v>
      </c>
      <c r="L2617" s="1"/>
      <c r="M2617" s="1" t="s">
        <v>10592</v>
      </c>
      <c r="N2617" s="1" t="s">
        <v>135</v>
      </c>
      <c r="O2617" s="1" t="s">
        <v>343</v>
      </c>
      <c r="P2617" s="1" t="s">
        <v>10593</v>
      </c>
      <c r="Q2617" s="3">
        <v>41415.0</v>
      </c>
      <c r="R2617" s="1"/>
      <c r="S2617" s="3">
        <v>41865.0</v>
      </c>
      <c r="T2617" s="1" t="s">
        <v>37</v>
      </c>
      <c r="U2617" s="1"/>
      <c r="V2617" s="1" t="s">
        <v>38</v>
      </c>
      <c r="W2617" s="1">
        <v>44.19361</v>
      </c>
      <c r="X2617" s="1">
        <v>-72.44821</v>
      </c>
      <c r="Y2617" s="1" t="s">
        <v>10594</v>
      </c>
      <c r="Z2617" s="1"/>
      <c r="AA2617" s="1" t="s">
        <v>40</v>
      </c>
      <c r="AB2617" s="1" t="s">
        <v>4019</v>
      </c>
      <c r="AC2617" s="1">
        <v>5641.0</v>
      </c>
    </row>
    <row r="2618">
      <c r="A2618" s="1" t="str">
        <f>"000KKF"</f>
        <v>000KKF</v>
      </c>
      <c r="B2618" s="1" t="s">
        <v>10595</v>
      </c>
      <c r="C2618" s="1" t="s">
        <v>10596</v>
      </c>
      <c r="D2618" s="1" t="str">
        <f>"8024572096"</f>
        <v>8024572096</v>
      </c>
      <c r="E2618" s="1">
        <v>4536.0</v>
      </c>
      <c r="F2618" s="1" t="s">
        <v>44</v>
      </c>
      <c r="G2618" s="1" t="s">
        <v>10597</v>
      </c>
      <c r="H2618" s="1">
        <v>2.0</v>
      </c>
      <c r="I2618" s="1"/>
      <c r="J2618" s="1"/>
      <c r="K2618" s="1"/>
      <c r="L2618" s="1"/>
      <c r="M2618" s="1" t="s">
        <v>33</v>
      </c>
      <c r="N2618" s="1" t="s">
        <v>34</v>
      </c>
      <c r="O2618" s="1" t="s">
        <v>551</v>
      </c>
      <c r="P2618" s="1" t="s">
        <v>36</v>
      </c>
      <c r="Q2618" s="3">
        <v>41424.0</v>
      </c>
      <c r="R2618" s="1"/>
      <c r="S2618" s="1"/>
      <c r="T2618" s="1" t="s">
        <v>37</v>
      </c>
      <c r="U2618" s="1"/>
      <c r="V2618" s="1" t="s">
        <v>38</v>
      </c>
      <c r="W2618" s="1">
        <v>43.679932</v>
      </c>
      <c r="X2618" s="1">
        <v>-72.5899349999999</v>
      </c>
      <c r="Y2618" s="1" t="s">
        <v>10598</v>
      </c>
      <c r="Z2618" s="1"/>
      <c r="AA2618" s="1" t="s">
        <v>40</v>
      </c>
      <c r="AB2618" s="1" t="s">
        <v>326</v>
      </c>
      <c r="AC2618" s="1">
        <v>5091.0</v>
      </c>
    </row>
    <row r="2619">
      <c r="A2619" s="1" t="str">
        <f>"000KKG"</f>
        <v>000KKG</v>
      </c>
      <c r="B2619" s="1" t="s">
        <v>10599</v>
      </c>
      <c r="C2619" s="1" t="s">
        <v>10600</v>
      </c>
      <c r="D2619" s="1" t="str">
        <f>"8027638396"</f>
        <v>8027638396</v>
      </c>
      <c r="E2619" s="1">
        <v>4537.0</v>
      </c>
      <c r="F2619" s="1" t="s">
        <v>31</v>
      </c>
      <c r="G2619" s="1" t="s">
        <v>10601</v>
      </c>
      <c r="H2619" s="1">
        <v>2.0</v>
      </c>
      <c r="I2619" s="1"/>
      <c r="J2619" s="1"/>
      <c r="K2619" s="1"/>
      <c r="L2619" s="1"/>
      <c r="M2619" s="1" t="s">
        <v>10602</v>
      </c>
      <c r="N2619" s="1" t="s">
        <v>34</v>
      </c>
      <c r="O2619" s="1" t="s">
        <v>88</v>
      </c>
      <c r="P2619" s="1" t="s">
        <v>36</v>
      </c>
      <c r="Q2619" s="3">
        <v>41403.0</v>
      </c>
      <c r="R2619" s="1"/>
      <c r="S2619" s="3">
        <v>42887.0</v>
      </c>
      <c r="T2619" s="1" t="s">
        <v>37</v>
      </c>
      <c r="U2619" s="1"/>
      <c r="V2619" s="1" t="s">
        <v>38</v>
      </c>
      <c r="W2619" s="1">
        <v>43.762427731377</v>
      </c>
      <c r="X2619" s="1">
        <v>-72.4015438556671</v>
      </c>
      <c r="Y2619" s="1" t="s">
        <v>10603</v>
      </c>
      <c r="Z2619" s="1"/>
      <c r="AA2619" s="1" t="s">
        <v>40</v>
      </c>
      <c r="AB2619" s="1" t="s">
        <v>89</v>
      </c>
      <c r="AC2619" s="1">
        <v>5065.0</v>
      </c>
    </row>
    <row r="2620">
      <c r="A2620" s="1" t="str">
        <f>"000KKH"</f>
        <v>000KKH</v>
      </c>
      <c r="B2620" s="1" t="s">
        <v>10604</v>
      </c>
      <c r="C2620" s="1" t="s">
        <v>10605</v>
      </c>
      <c r="D2620" s="1" t="str">
        <f>"8024331430"</f>
        <v>8024331430</v>
      </c>
      <c r="E2620" s="1">
        <v>4538.0</v>
      </c>
      <c r="F2620" s="1" t="s">
        <v>44</v>
      </c>
      <c r="G2620" s="1" t="s">
        <v>10606</v>
      </c>
      <c r="H2620" s="1">
        <v>1.0</v>
      </c>
      <c r="I2620" s="1"/>
      <c r="J2620" s="1"/>
      <c r="K2620" s="1"/>
      <c r="L2620" s="1"/>
      <c r="M2620" s="1" t="s">
        <v>33</v>
      </c>
      <c r="N2620" s="1" t="s">
        <v>142</v>
      </c>
      <c r="O2620" s="1" t="s">
        <v>2253</v>
      </c>
      <c r="P2620" s="1" t="s">
        <v>36</v>
      </c>
      <c r="Q2620" s="3">
        <v>41401.0</v>
      </c>
      <c r="R2620" s="1"/>
      <c r="S2620" s="1"/>
      <c r="T2620" s="1" t="s">
        <v>37</v>
      </c>
      <c r="U2620" s="1"/>
      <c r="V2620" s="1" t="s">
        <v>38</v>
      </c>
      <c r="W2620" s="1">
        <v>44.083099</v>
      </c>
      <c r="X2620" s="1">
        <v>-72.5154039999999</v>
      </c>
      <c r="Y2620" s="1" t="s">
        <v>10607</v>
      </c>
      <c r="Z2620" s="1"/>
      <c r="AA2620" s="1" t="s">
        <v>40</v>
      </c>
      <c r="AB2620" s="1" t="s">
        <v>2254</v>
      </c>
      <c r="AC2620" s="1">
        <v>5679.0</v>
      </c>
    </row>
    <row r="2621">
      <c r="A2621" s="1" t="str">
        <f>"000KKJ"</f>
        <v>000KKJ</v>
      </c>
      <c r="B2621" s="1" t="s">
        <v>10608</v>
      </c>
      <c r="C2621" s="1" t="s">
        <v>10609</v>
      </c>
      <c r="D2621" s="1" t="str">
        <f>"8024984646"</f>
        <v>8024984646</v>
      </c>
      <c r="E2621" s="1">
        <v>4539.0</v>
      </c>
      <c r="F2621" s="1" t="s">
        <v>44</v>
      </c>
      <c r="G2621" s="1" t="s">
        <v>10610</v>
      </c>
      <c r="H2621" s="1">
        <v>1.0</v>
      </c>
      <c r="I2621" s="1"/>
      <c r="J2621" s="1"/>
      <c r="K2621" s="1"/>
      <c r="L2621" s="1"/>
      <c r="M2621" s="1" t="s">
        <v>10611</v>
      </c>
      <c r="N2621" s="1"/>
      <c r="O2621" s="1"/>
      <c r="P2621" s="1" t="s">
        <v>36</v>
      </c>
      <c r="Q2621" s="3">
        <v>41437.0</v>
      </c>
      <c r="R2621" s="1"/>
      <c r="S2621" s="1"/>
      <c r="T2621" s="1" t="s">
        <v>37</v>
      </c>
      <c r="U2621" s="1"/>
      <c r="V2621" s="1" t="s">
        <v>38</v>
      </c>
      <c r="W2621" s="1">
        <v>43.5655478</v>
      </c>
      <c r="X2621" s="1">
        <v>-73.3172951</v>
      </c>
      <c r="Y2621" s="1" t="s">
        <v>10612</v>
      </c>
      <c r="Z2621" s="1"/>
      <c r="AA2621" s="1" t="s">
        <v>10613</v>
      </c>
      <c r="AB2621" s="1" t="s">
        <v>135</v>
      </c>
      <c r="AC2621" s="1">
        <v>5675.0</v>
      </c>
    </row>
    <row r="2622">
      <c r="A2622" s="1" t="str">
        <f>"000KKK"</f>
        <v>000KKK</v>
      </c>
      <c r="B2622" s="1" t="s">
        <v>10614</v>
      </c>
      <c r="C2622" s="1" t="s">
        <v>10615</v>
      </c>
      <c r="D2622" s="1" t="str">
        <f>"8028916074"</f>
        <v>8028916074</v>
      </c>
      <c r="E2622" s="1">
        <v>4540.0</v>
      </c>
      <c r="F2622" s="1" t="s">
        <v>117</v>
      </c>
      <c r="G2622" s="1" t="s">
        <v>10616</v>
      </c>
      <c r="H2622" s="1">
        <v>12.0</v>
      </c>
      <c r="I2622" s="2">
        <v>1.0</v>
      </c>
      <c r="J2622" s="2">
        <v>1.0</v>
      </c>
      <c r="K2622" s="2" t="s">
        <v>119</v>
      </c>
      <c r="L2622" s="1"/>
      <c r="M2622" s="1" t="s">
        <v>10617</v>
      </c>
      <c r="N2622" s="1" t="s">
        <v>57</v>
      </c>
      <c r="O2622" s="1" t="s">
        <v>256</v>
      </c>
      <c r="P2622" s="1" t="s">
        <v>10618</v>
      </c>
      <c r="Q2622" s="3">
        <v>41418.0</v>
      </c>
      <c r="R2622" s="1"/>
      <c r="S2622" s="3">
        <v>41413.0</v>
      </c>
      <c r="T2622" s="1" t="s">
        <v>37</v>
      </c>
      <c r="U2622" s="1"/>
      <c r="V2622" s="1" t="s">
        <v>38</v>
      </c>
      <c r="W2622" s="1">
        <v>44.6940656</v>
      </c>
      <c r="X2622" s="1">
        <v>-73.1791447</v>
      </c>
      <c r="Y2622" s="1" t="s">
        <v>10619</v>
      </c>
      <c r="Z2622" s="1"/>
      <c r="AA2622" s="1" t="s">
        <v>40</v>
      </c>
      <c r="AB2622" s="1" t="s">
        <v>257</v>
      </c>
      <c r="AC2622" s="1">
        <v>5468.0</v>
      </c>
    </row>
    <row r="2623">
      <c r="A2623" s="1" t="str">
        <f>"000KKM"</f>
        <v>000KKM</v>
      </c>
      <c r="B2623" s="1" t="s">
        <v>10620</v>
      </c>
      <c r="C2623" s="1" t="s">
        <v>10621</v>
      </c>
      <c r="D2623" s="1" t="str">
        <f>"8023180857"</f>
        <v>8023180857</v>
      </c>
      <c r="E2623" s="1">
        <v>4541.0</v>
      </c>
      <c r="F2623" s="1" t="s">
        <v>44</v>
      </c>
      <c r="G2623" s="1" t="s">
        <v>10622</v>
      </c>
      <c r="H2623" s="1">
        <v>1.0</v>
      </c>
      <c r="I2623" s="1"/>
      <c r="J2623" s="1"/>
      <c r="K2623" s="1"/>
      <c r="L2623" s="1"/>
      <c r="M2623" s="1" t="s">
        <v>33</v>
      </c>
      <c r="N2623" s="1" t="s">
        <v>34</v>
      </c>
      <c r="O2623" s="1" t="s">
        <v>88</v>
      </c>
      <c r="P2623" s="1" t="s">
        <v>10623</v>
      </c>
      <c r="Q2623" s="3">
        <v>41411.0</v>
      </c>
      <c r="R2623" s="1"/>
      <c r="S2623" s="1"/>
      <c r="T2623" s="1" t="s">
        <v>37</v>
      </c>
      <c r="U2623" s="1"/>
      <c r="V2623" s="1" t="s">
        <v>38</v>
      </c>
      <c r="W2623" s="1">
        <v>43.800373</v>
      </c>
      <c r="X2623" s="1">
        <v>-72.423019</v>
      </c>
      <c r="Y2623" s="1" t="s">
        <v>10624</v>
      </c>
      <c r="Z2623" s="1"/>
      <c r="AA2623" s="1" t="s">
        <v>40</v>
      </c>
      <c r="AB2623" s="1" t="s">
        <v>89</v>
      </c>
      <c r="AC2623" s="1">
        <v>5065.0</v>
      </c>
    </row>
    <row r="2624">
      <c r="A2624" s="1" t="str">
        <f>"000KKP"</f>
        <v>000KKP</v>
      </c>
      <c r="B2624" s="1" t="s">
        <v>10625</v>
      </c>
      <c r="C2624" s="1" t="s">
        <v>10626</v>
      </c>
      <c r="D2624" s="1" t="str">
        <f>"6038287184"</f>
        <v>6038287184</v>
      </c>
      <c r="E2624" s="1">
        <v>4543.0</v>
      </c>
      <c r="F2624" s="1" t="s">
        <v>44</v>
      </c>
      <c r="G2624" s="1" t="s">
        <v>10627</v>
      </c>
      <c r="H2624" s="1">
        <v>5.0</v>
      </c>
      <c r="I2624" s="1"/>
      <c r="J2624" s="1"/>
      <c r="K2624" s="1"/>
      <c r="L2624" s="1"/>
      <c r="M2624" s="1" t="s">
        <v>33</v>
      </c>
      <c r="N2624" s="1" t="s">
        <v>94</v>
      </c>
      <c r="O2624" s="1" t="s">
        <v>3623</v>
      </c>
      <c r="P2624" s="1" t="s">
        <v>10628</v>
      </c>
      <c r="Q2624" s="3">
        <v>41424.0</v>
      </c>
      <c r="R2624" s="1"/>
      <c r="S2624" s="1"/>
      <c r="T2624" s="1" t="s">
        <v>37</v>
      </c>
      <c r="U2624" s="1"/>
      <c r="V2624" s="1" t="s">
        <v>38</v>
      </c>
      <c r="W2624" s="1">
        <v>44.8033815999999</v>
      </c>
      <c r="X2624" s="1">
        <v>-72.2795489</v>
      </c>
      <c r="Y2624" s="1" t="s">
        <v>10629</v>
      </c>
      <c r="Z2624" s="1"/>
      <c r="AA2624" s="1" t="s">
        <v>40</v>
      </c>
      <c r="AB2624" s="1" t="s">
        <v>3624</v>
      </c>
      <c r="AC2624" s="1">
        <v>5845.0</v>
      </c>
    </row>
    <row r="2625">
      <c r="A2625" s="1" t="str">
        <f>"000KKQ"</f>
        <v>000KKQ</v>
      </c>
      <c r="B2625" s="1" t="s">
        <v>10630</v>
      </c>
      <c r="C2625" s="1" t="s">
        <v>10631</v>
      </c>
      <c r="D2625" s="1" t="str">
        <f>"8025223748"</f>
        <v>8025223748</v>
      </c>
      <c r="E2625" s="1">
        <v>4544.0</v>
      </c>
      <c r="F2625" s="1" t="s">
        <v>117</v>
      </c>
      <c r="G2625" s="1" t="s">
        <v>10632</v>
      </c>
      <c r="H2625" s="1">
        <v>1.0</v>
      </c>
      <c r="I2625" s="2" t="s">
        <v>119</v>
      </c>
      <c r="J2625" s="2">
        <v>1.0</v>
      </c>
      <c r="K2625" s="2" t="s">
        <v>119</v>
      </c>
      <c r="L2625" s="1"/>
      <c r="M2625" s="1" t="s">
        <v>10633</v>
      </c>
      <c r="N2625" s="1" t="s">
        <v>34</v>
      </c>
      <c r="O2625" s="1" t="s">
        <v>150</v>
      </c>
      <c r="P2625" s="1" t="s">
        <v>10634</v>
      </c>
      <c r="Q2625" s="3">
        <v>41435.0</v>
      </c>
      <c r="R2625" s="1"/>
      <c r="S2625" s="3">
        <v>42922.0</v>
      </c>
      <c r="T2625" s="1" t="s">
        <v>37</v>
      </c>
      <c r="U2625" s="1"/>
      <c r="V2625" s="1" t="s">
        <v>38</v>
      </c>
      <c r="W2625" s="1">
        <v>43.892864</v>
      </c>
      <c r="X2625" s="1">
        <v>-72.6937669</v>
      </c>
      <c r="Y2625" s="1" t="s">
        <v>10635</v>
      </c>
      <c r="Z2625" s="1"/>
      <c r="AA2625" s="1" t="s">
        <v>40</v>
      </c>
      <c r="AB2625" s="1" t="s">
        <v>475</v>
      </c>
      <c r="AC2625" s="1">
        <v>5060.0</v>
      </c>
    </row>
    <row r="2626">
      <c r="A2626" s="1" t="str">
        <f>"000KKW"</f>
        <v>000KKW</v>
      </c>
      <c r="B2626" s="1" t="s">
        <v>10636</v>
      </c>
      <c r="C2626" s="1" t="s">
        <v>10637</v>
      </c>
      <c r="D2626" s="1" t="str">
        <f>"8022446806"</f>
        <v>8022446806</v>
      </c>
      <c r="E2626" s="1">
        <v>4546.0</v>
      </c>
      <c r="F2626" s="1" t="s">
        <v>44</v>
      </c>
      <c r="G2626" s="1" t="s">
        <v>10638</v>
      </c>
      <c r="H2626" s="1">
        <v>0.0</v>
      </c>
      <c r="I2626" s="1"/>
      <c r="J2626" s="1"/>
      <c r="K2626" s="1"/>
      <c r="L2626" s="1"/>
      <c r="M2626" s="1" t="s">
        <v>33</v>
      </c>
      <c r="N2626" s="1" t="s">
        <v>135</v>
      </c>
      <c r="O2626" s="1" t="s">
        <v>2331</v>
      </c>
      <c r="P2626" s="1" t="s">
        <v>36</v>
      </c>
      <c r="Q2626" s="3">
        <v>41429.0</v>
      </c>
      <c r="R2626" s="1"/>
      <c r="S2626" s="1"/>
      <c r="T2626" s="1" t="s">
        <v>37</v>
      </c>
      <c r="U2626" s="1"/>
      <c r="V2626" s="1" t="s">
        <v>38</v>
      </c>
      <c r="W2626" s="1">
        <v>44.356698</v>
      </c>
      <c r="X2626" s="1">
        <v>-72.792479</v>
      </c>
      <c r="Y2626" s="1" t="s">
        <v>10639</v>
      </c>
      <c r="Z2626" s="1"/>
      <c r="AA2626" s="1" t="s">
        <v>40</v>
      </c>
      <c r="AB2626" s="1" t="s">
        <v>776</v>
      </c>
      <c r="AC2626" s="1">
        <v>5676.0</v>
      </c>
    </row>
    <row r="2627">
      <c r="A2627" s="1" t="str">
        <f>"000KKX"</f>
        <v>000KKX</v>
      </c>
      <c r="B2627" s="1" t="s">
        <v>10640</v>
      </c>
      <c r="C2627" s="1" t="s">
        <v>10641</v>
      </c>
      <c r="D2627" s="1" t="str">
        <f>"8028817872"</f>
        <v>8028817872</v>
      </c>
      <c r="E2627" s="1">
        <v>4547.0</v>
      </c>
      <c r="F2627" s="1" t="s">
        <v>117</v>
      </c>
      <c r="G2627" s="1" t="s">
        <v>10642</v>
      </c>
      <c r="H2627" s="1">
        <v>5.0</v>
      </c>
      <c r="I2627" s="2">
        <v>0.0</v>
      </c>
      <c r="J2627" s="2">
        <v>0.0</v>
      </c>
      <c r="K2627" s="2" t="s">
        <v>119</v>
      </c>
      <c r="L2627" s="1"/>
      <c r="M2627" s="1" t="s">
        <v>10643</v>
      </c>
      <c r="N2627" s="1" t="s">
        <v>213</v>
      </c>
      <c r="O2627" s="1" t="s">
        <v>620</v>
      </c>
      <c r="P2627" s="1" t="s">
        <v>10644</v>
      </c>
      <c r="Q2627" s="3">
        <v>41420.0</v>
      </c>
      <c r="R2627" s="1"/>
      <c r="S2627" s="1"/>
      <c r="T2627" s="1" t="s">
        <v>37</v>
      </c>
      <c r="U2627" s="1"/>
      <c r="V2627" s="1" t="s">
        <v>38</v>
      </c>
      <c r="W2627" s="1">
        <v>44.6994895</v>
      </c>
      <c r="X2627" s="1">
        <v>-72.8429163999999</v>
      </c>
      <c r="Y2627" s="1" t="s">
        <v>10645</v>
      </c>
      <c r="Z2627" s="1"/>
      <c r="AA2627" s="1" t="s">
        <v>40</v>
      </c>
      <c r="AB2627" s="1" t="s">
        <v>8822</v>
      </c>
      <c r="AC2627" s="1">
        <v>5464.0</v>
      </c>
    </row>
    <row r="2628">
      <c r="A2628" s="1" t="str">
        <f>"000KKZ"</f>
        <v>000KKZ</v>
      </c>
      <c r="B2628" s="1" t="s">
        <v>10646</v>
      </c>
      <c r="C2628" s="1" t="s">
        <v>10647</v>
      </c>
      <c r="D2628" s="1" t="str">
        <f>"8022548452"</f>
        <v>8022548452</v>
      </c>
      <c r="E2628" s="1">
        <v>4549.0</v>
      </c>
      <c r="F2628" s="1" t="s">
        <v>117</v>
      </c>
      <c r="G2628" s="1" t="s">
        <v>10648</v>
      </c>
      <c r="H2628" s="1">
        <v>5.0</v>
      </c>
      <c r="I2628" s="2" t="s">
        <v>119</v>
      </c>
      <c r="J2628" s="2" t="s">
        <v>119</v>
      </c>
      <c r="K2628" s="2" t="s">
        <v>119</v>
      </c>
      <c r="L2628" s="1"/>
      <c r="M2628" s="1" t="s">
        <v>10649</v>
      </c>
      <c r="N2628" s="1" t="s">
        <v>66</v>
      </c>
      <c r="O2628" s="1" t="s">
        <v>2346</v>
      </c>
      <c r="P2628" s="1" t="s">
        <v>10650</v>
      </c>
      <c r="Q2628" s="3">
        <v>41418.0</v>
      </c>
      <c r="R2628" s="1"/>
      <c r="S2628" s="1"/>
      <c r="T2628" s="1" t="s">
        <v>37</v>
      </c>
      <c r="U2628" s="1"/>
      <c r="V2628" s="1" t="s">
        <v>38</v>
      </c>
      <c r="W2628" s="1">
        <v>42.85801</v>
      </c>
      <c r="X2628" s="1">
        <v>-72.55671</v>
      </c>
      <c r="Y2628" s="1" t="s">
        <v>10651</v>
      </c>
      <c r="Z2628" s="1"/>
      <c r="AA2628" s="1" t="s">
        <v>40</v>
      </c>
      <c r="AB2628" s="1" t="s">
        <v>2349</v>
      </c>
      <c r="AC2628" s="1">
        <v>5301.0</v>
      </c>
    </row>
    <row r="2629">
      <c r="A2629" s="1" t="str">
        <f>"000KM0"</f>
        <v>000KM0</v>
      </c>
      <c r="B2629" s="1" t="s">
        <v>10652</v>
      </c>
      <c r="C2629" s="1" t="s">
        <v>10653</v>
      </c>
      <c r="D2629" s="1" t="str">
        <f>"8026843681"</f>
        <v>8026843681</v>
      </c>
      <c r="E2629" s="1">
        <v>4550.0</v>
      </c>
      <c r="F2629" s="1" t="s">
        <v>44</v>
      </c>
      <c r="G2629" s="1" t="s">
        <v>10654</v>
      </c>
      <c r="H2629" s="1">
        <v>10.0</v>
      </c>
      <c r="I2629" s="1"/>
      <c r="J2629" s="1"/>
      <c r="K2629" s="1"/>
      <c r="L2629" s="1"/>
      <c r="M2629" s="1" t="s">
        <v>33</v>
      </c>
      <c r="N2629" s="1" t="s">
        <v>128</v>
      </c>
      <c r="O2629" s="1" t="s">
        <v>129</v>
      </c>
      <c r="P2629" s="1" t="s">
        <v>36</v>
      </c>
      <c r="Q2629" s="3">
        <v>41466.0</v>
      </c>
      <c r="R2629" s="1"/>
      <c r="S2629" s="1"/>
      <c r="T2629" s="1" t="s">
        <v>37</v>
      </c>
      <c r="U2629" s="1"/>
      <c r="V2629" s="1" t="s">
        <v>38</v>
      </c>
      <c r="W2629" s="1">
        <v>44.4180389</v>
      </c>
      <c r="X2629" s="1">
        <v>-72.2171493999999</v>
      </c>
      <c r="Y2629" s="1" t="s">
        <v>10655</v>
      </c>
      <c r="Z2629" s="1"/>
      <c r="AA2629" s="1" t="s">
        <v>40</v>
      </c>
      <c r="AB2629" s="1" t="s">
        <v>8140</v>
      </c>
      <c r="AC2629" s="1">
        <v>5873.0</v>
      </c>
    </row>
    <row r="2630">
      <c r="A2630" s="1" t="str">
        <f>"000KM1"</f>
        <v>000KM1</v>
      </c>
      <c r="B2630" s="1" t="s">
        <v>10656</v>
      </c>
      <c r="C2630" s="1" t="s">
        <v>10657</v>
      </c>
      <c r="D2630" s="1" t="str">
        <f>"8022534536"</f>
        <v>8022534536</v>
      </c>
      <c r="E2630" s="1">
        <v>4551.0</v>
      </c>
      <c r="F2630" s="1" t="s">
        <v>44</v>
      </c>
      <c r="G2630" s="1" t="s">
        <v>10658</v>
      </c>
      <c r="H2630" s="1">
        <v>2.0</v>
      </c>
      <c r="I2630" s="2">
        <v>2.0</v>
      </c>
      <c r="J2630" s="2">
        <v>2.0</v>
      </c>
      <c r="K2630" s="2" t="s">
        <v>119</v>
      </c>
      <c r="L2630" s="2" t="s">
        <v>10659</v>
      </c>
      <c r="M2630" s="1" t="s">
        <v>33</v>
      </c>
      <c r="N2630" s="1" t="s">
        <v>135</v>
      </c>
      <c r="O2630" s="1" t="s">
        <v>775</v>
      </c>
      <c r="P2630" s="1" t="s">
        <v>36</v>
      </c>
      <c r="Q2630" s="3">
        <v>41423.0</v>
      </c>
      <c r="R2630" s="1"/>
      <c r="S2630" s="1"/>
      <c r="T2630" s="1" t="s">
        <v>37</v>
      </c>
      <c r="U2630" s="1"/>
      <c r="V2630" s="1" t="s">
        <v>38</v>
      </c>
      <c r="W2630" s="1">
        <v>44.3544364</v>
      </c>
      <c r="X2630" s="1">
        <v>-72.6994293</v>
      </c>
      <c r="Y2630" s="1" t="s">
        <v>10660</v>
      </c>
      <c r="Z2630" s="1"/>
      <c r="AA2630" s="1" t="s">
        <v>40</v>
      </c>
      <c r="AB2630" s="1" t="s">
        <v>776</v>
      </c>
      <c r="AC2630" s="1">
        <v>5676.0</v>
      </c>
    </row>
    <row r="2631">
      <c r="A2631" s="1" t="str">
        <f>"000KM4"</f>
        <v>000KM4</v>
      </c>
      <c r="B2631" s="1" t="s">
        <v>10661</v>
      </c>
      <c r="C2631" s="1" t="s">
        <v>10662</v>
      </c>
      <c r="D2631" s="1" t="str">
        <f>"8029884008"</f>
        <v>8029884008</v>
      </c>
      <c r="E2631" s="1">
        <v>4554.0</v>
      </c>
      <c r="F2631" s="1" t="s">
        <v>44</v>
      </c>
      <c r="G2631" s="1" t="s">
        <v>10663</v>
      </c>
      <c r="H2631" s="1">
        <v>1.0</v>
      </c>
      <c r="I2631" s="1"/>
      <c r="J2631" s="1"/>
      <c r="K2631" s="1"/>
      <c r="L2631" s="1"/>
      <c r="M2631" s="1" t="s">
        <v>33</v>
      </c>
      <c r="N2631" s="1" t="s">
        <v>94</v>
      </c>
      <c r="O2631" s="1" t="s">
        <v>95</v>
      </c>
      <c r="P2631" s="1" t="s">
        <v>36</v>
      </c>
      <c r="Q2631" s="3">
        <v>41411.0</v>
      </c>
      <c r="R2631" s="1"/>
      <c r="S2631" s="1"/>
      <c r="T2631" s="1" t="s">
        <v>37</v>
      </c>
      <c r="U2631" s="1"/>
      <c r="V2631" s="1" t="s">
        <v>38</v>
      </c>
      <c r="W2631" s="1">
        <v>44.848919</v>
      </c>
      <c r="X2631" s="1">
        <v>-72.464088</v>
      </c>
      <c r="Y2631" s="1" t="s">
        <v>10664</v>
      </c>
      <c r="Z2631" s="1"/>
      <c r="AA2631" s="1" t="s">
        <v>40</v>
      </c>
      <c r="AB2631" s="1" t="s">
        <v>96</v>
      </c>
      <c r="AC2631" s="1">
        <v>5874.0</v>
      </c>
    </row>
    <row r="2632">
      <c r="A2632" s="1" t="str">
        <f>"000KM5"</f>
        <v>000KM5</v>
      </c>
      <c r="B2632" s="1" t="s">
        <v>10665</v>
      </c>
      <c r="C2632" s="1" t="s">
        <v>10666</v>
      </c>
      <c r="D2632" s="1" t="str">
        <f>"8022911255"</f>
        <v>8022911255</v>
      </c>
      <c r="E2632" s="1">
        <v>4555.0</v>
      </c>
      <c r="F2632" s="1" t="s">
        <v>44</v>
      </c>
      <c r="G2632" s="1" t="s">
        <v>10667</v>
      </c>
      <c r="H2632" s="1">
        <v>1.0</v>
      </c>
      <c r="I2632" s="1"/>
      <c r="J2632" s="1"/>
      <c r="K2632" s="1"/>
      <c r="L2632" s="1"/>
      <c r="M2632" s="1" t="s">
        <v>10668</v>
      </c>
      <c r="N2632" s="1" t="s">
        <v>34</v>
      </c>
      <c r="O2632" s="1" t="s">
        <v>35</v>
      </c>
      <c r="P2632" s="1" t="s">
        <v>36</v>
      </c>
      <c r="Q2632" s="3">
        <v>41414.0</v>
      </c>
      <c r="R2632" s="1"/>
      <c r="S2632" s="1"/>
      <c r="T2632" s="1" t="s">
        <v>37</v>
      </c>
      <c r="U2632" s="1"/>
      <c r="V2632" s="1" t="s">
        <v>38</v>
      </c>
      <c r="W2632" s="1">
        <v>43.822938</v>
      </c>
      <c r="X2632" s="1">
        <v>-72.477731</v>
      </c>
      <c r="Y2632" s="1" t="s">
        <v>10669</v>
      </c>
      <c r="Z2632" s="1"/>
      <c r="AA2632" s="1" t="s">
        <v>40</v>
      </c>
      <c r="AB2632" s="1" t="s">
        <v>41</v>
      </c>
      <c r="AC2632" s="1">
        <v>5068.0</v>
      </c>
    </row>
    <row r="2633">
      <c r="A2633" s="1" t="str">
        <f>"000KM8"</f>
        <v>000KM8</v>
      </c>
      <c r="B2633" s="1" t="s">
        <v>10670</v>
      </c>
      <c r="C2633" s="1" t="s">
        <v>10671</v>
      </c>
      <c r="D2633" s="1" t="str">
        <f>"8024423194"</f>
        <v>8024423194</v>
      </c>
      <c r="E2633" s="1">
        <v>4558.0</v>
      </c>
      <c r="F2633" s="1" t="s">
        <v>31</v>
      </c>
      <c r="G2633" s="1" t="s">
        <v>10672</v>
      </c>
      <c r="H2633" s="1">
        <v>2.0</v>
      </c>
      <c r="I2633" s="1"/>
      <c r="J2633" s="1"/>
      <c r="K2633" s="1"/>
      <c r="L2633" s="1"/>
      <c r="M2633" s="1" t="s">
        <v>33</v>
      </c>
      <c r="N2633" s="1" t="s">
        <v>414</v>
      </c>
      <c r="O2633" s="1" t="s">
        <v>720</v>
      </c>
      <c r="P2633" s="1" t="s">
        <v>36</v>
      </c>
      <c r="Q2633" s="3">
        <v>41429.0</v>
      </c>
      <c r="R2633" s="1"/>
      <c r="S2633" s="1"/>
      <c r="T2633" s="1" t="s">
        <v>37</v>
      </c>
      <c r="U2633" s="1"/>
      <c r="V2633" s="1" t="s">
        <v>38</v>
      </c>
      <c r="W2633" s="1"/>
      <c r="X2633" s="1"/>
      <c r="Y2633" s="1" t="s">
        <v>10673</v>
      </c>
      <c r="Z2633" s="1"/>
      <c r="AA2633" s="1" t="s">
        <v>40</v>
      </c>
      <c r="AB2633" s="1" t="s">
        <v>414</v>
      </c>
      <c r="AC2633" s="1">
        <v>5201.0</v>
      </c>
    </row>
    <row r="2634">
      <c r="A2634" s="1" t="str">
        <f>"000KMA"</f>
        <v>000KMA</v>
      </c>
      <c r="B2634" s="1" t="s">
        <v>10674</v>
      </c>
      <c r="C2634" s="1" t="s">
        <v>10675</v>
      </c>
      <c r="D2634" s="1" t="str">
        <f>"8024902194"</f>
        <v>8024902194</v>
      </c>
      <c r="E2634" s="1">
        <v>4560.0</v>
      </c>
      <c r="F2634" s="1" t="s">
        <v>44</v>
      </c>
      <c r="G2634" s="1" t="s">
        <v>10676</v>
      </c>
      <c r="H2634" s="1">
        <v>2.0</v>
      </c>
      <c r="I2634" s="1"/>
      <c r="J2634" s="1"/>
      <c r="K2634" s="1"/>
      <c r="L2634" s="1"/>
      <c r="M2634" s="1" t="s">
        <v>33</v>
      </c>
      <c r="N2634" s="1" t="s">
        <v>66</v>
      </c>
      <c r="O2634" s="1" t="s">
        <v>1136</v>
      </c>
      <c r="P2634" s="1" t="s">
        <v>36</v>
      </c>
      <c r="Q2634" s="3">
        <v>41414.0</v>
      </c>
      <c r="R2634" s="1"/>
      <c r="S2634" s="1"/>
      <c r="T2634" s="1" t="s">
        <v>37</v>
      </c>
      <c r="U2634" s="1"/>
      <c r="V2634" s="1" t="s">
        <v>38</v>
      </c>
      <c r="W2634" s="1"/>
      <c r="X2634" s="1"/>
      <c r="Y2634" s="1" t="s">
        <v>10677</v>
      </c>
      <c r="Z2634" s="1"/>
      <c r="AA2634" s="1" t="s">
        <v>40</v>
      </c>
      <c r="AB2634" s="1" t="s">
        <v>1137</v>
      </c>
      <c r="AC2634" s="1">
        <v>5301.0</v>
      </c>
    </row>
    <row r="2635">
      <c r="A2635" s="1" t="str">
        <f>"000KMB"</f>
        <v>000KMB</v>
      </c>
      <c r="B2635" s="1" t="s">
        <v>10678</v>
      </c>
      <c r="C2635" s="1" t="s">
        <v>10679</v>
      </c>
      <c r="D2635" s="1" t="str">
        <f>"8026854812"</f>
        <v>8026854812</v>
      </c>
      <c r="E2635" s="1">
        <v>4561.0</v>
      </c>
      <c r="F2635" s="1" t="s">
        <v>31</v>
      </c>
      <c r="G2635" s="1" t="s">
        <v>10680</v>
      </c>
      <c r="H2635" s="1">
        <v>4.0</v>
      </c>
      <c r="I2635" s="1"/>
      <c r="J2635" s="1"/>
      <c r="K2635" s="1"/>
      <c r="L2635" s="1"/>
      <c r="M2635" s="1" t="s">
        <v>33</v>
      </c>
      <c r="N2635" s="1" t="s">
        <v>142</v>
      </c>
      <c r="O2635" s="1" t="s">
        <v>844</v>
      </c>
      <c r="P2635" s="1" t="s">
        <v>36</v>
      </c>
      <c r="Q2635" s="3">
        <v>41440.0</v>
      </c>
      <c r="R2635" s="1"/>
      <c r="S2635" s="3">
        <v>42195.0</v>
      </c>
      <c r="T2635" s="1" t="s">
        <v>37</v>
      </c>
      <c r="U2635" s="1"/>
      <c r="V2635" s="1" t="s">
        <v>38</v>
      </c>
      <c r="W2635" s="1">
        <v>44.032835</v>
      </c>
      <c r="X2635" s="1">
        <v>-72.510751</v>
      </c>
      <c r="Y2635" s="1" t="s">
        <v>10681</v>
      </c>
      <c r="Z2635" s="1"/>
      <c r="AA2635" s="1" t="s">
        <v>40</v>
      </c>
      <c r="AB2635" s="1" t="s">
        <v>847</v>
      </c>
      <c r="AC2635" s="1" t="s">
        <v>10682</v>
      </c>
    </row>
    <row r="2636">
      <c r="A2636" s="1" t="str">
        <f>"000KMC"</f>
        <v>000KMC</v>
      </c>
      <c r="B2636" s="1" t="s">
        <v>10683</v>
      </c>
      <c r="C2636" s="1" t="s">
        <v>10684</v>
      </c>
      <c r="D2636" s="1" t="str">
        <f>"8028994929"</f>
        <v>8028994929</v>
      </c>
      <c r="E2636" s="1">
        <v>4562.0</v>
      </c>
      <c r="F2636" s="1" t="s">
        <v>44</v>
      </c>
      <c r="G2636" s="1" t="s">
        <v>10685</v>
      </c>
      <c r="H2636" s="1">
        <v>1.0</v>
      </c>
      <c r="I2636" s="1"/>
      <c r="J2636" s="1"/>
      <c r="K2636" s="1"/>
      <c r="L2636" s="1"/>
      <c r="M2636" s="1" t="s">
        <v>33</v>
      </c>
      <c r="N2636" s="1" t="s">
        <v>57</v>
      </c>
      <c r="O2636" s="1" t="s">
        <v>745</v>
      </c>
      <c r="P2636" s="1" t="s">
        <v>36</v>
      </c>
      <c r="Q2636" s="3">
        <v>41467.0</v>
      </c>
      <c r="R2636" s="1"/>
      <c r="S2636" s="1"/>
      <c r="T2636" s="1" t="s">
        <v>37</v>
      </c>
      <c r="U2636" s="1"/>
      <c r="V2636" s="1" t="s">
        <v>38</v>
      </c>
      <c r="W2636" s="1"/>
      <c r="X2636" s="1"/>
      <c r="Y2636" s="1" t="s">
        <v>10686</v>
      </c>
      <c r="Z2636" s="1"/>
      <c r="AA2636" s="1" t="s">
        <v>40</v>
      </c>
      <c r="AB2636" s="1" t="s">
        <v>746</v>
      </c>
      <c r="AC2636" s="1">
        <v>5465.0</v>
      </c>
    </row>
    <row r="2637">
      <c r="A2637" s="1" t="str">
        <f>"000KMF"</f>
        <v>000KMF</v>
      </c>
      <c r="B2637" s="1" t="s">
        <v>10687</v>
      </c>
      <c r="C2637" s="1" t="s">
        <v>10688</v>
      </c>
      <c r="D2637" s="1" t="str">
        <f>"8024536103"</f>
        <v>8024536103</v>
      </c>
      <c r="E2637" s="1">
        <v>4564.0</v>
      </c>
      <c r="F2637" s="1" t="s">
        <v>31</v>
      </c>
      <c r="G2637" s="1" t="s">
        <v>10689</v>
      </c>
      <c r="H2637" s="1">
        <v>1.0</v>
      </c>
      <c r="I2637" s="1"/>
      <c r="J2637" s="1"/>
      <c r="K2637" s="1"/>
      <c r="L2637" s="1"/>
      <c r="M2637" s="1" t="s">
        <v>33</v>
      </c>
      <c r="N2637" s="1" t="s">
        <v>161</v>
      </c>
      <c r="O2637" s="1" t="s">
        <v>307</v>
      </c>
      <c r="P2637" s="1" t="s">
        <v>36</v>
      </c>
      <c r="Q2637" s="3">
        <v>41438.0</v>
      </c>
      <c r="R2637" s="1"/>
      <c r="S2637" s="1"/>
      <c r="T2637" s="1" t="s">
        <v>37</v>
      </c>
      <c r="U2637" s="1"/>
      <c r="V2637" s="1" t="s">
        <v>38</v>
      </c>
      <c r="W2637" s="1">
        <v>44.1111932</v>
      </c>
      <c r="X2637" s="1">
        <v>-73.0767227</v>
      </c>
      <c r="Y2637" s="1" t="s">
        <v>10690</v>
      </c>
      <c r="Z2637" s="1"/>
      <c r="AA2637" s="1" t="s">
        <v>40</v>
      </c>
      <c r="AB2637" s="1" t="s">
        <v>308</v>
      </c>
      <c r="AC2637" s="1">
        <v>5443.0</v>
      </c>
    </row>
    <row r="2638">
      <c r="A2638" s="1" t="str">
        <f>"000KMH"</f>
        <v>000KMH</v>
      </c>
      <c r="B2638" s="1" t="s">
        <v>10691</v>
      </c>
      <c r="C2638" s="1" t="s">
        <v>10692</v>
      </c>
      <c r="D2638" s="1" t="str">
        <f>"8022235393"</f>
        <v>8022235393</v>
      </c>
      <c r="E2638" s="1">
        <v>4566.0</v>
      </c>
      <c r="F2638" s="1" t="s">
        <v>44</v>
      </c>
      <c r="G2638" s="1" t="s">
        <v>10693</v>
      </c>
      <c r="H2638" s="1">
        <v>1.0</v>
      </c>
      <c r="I2638" s="2" t="s">
        <v>119</v>
      </c>
      <c r="J2638" s="2">
        <v>1.0</v>
      </c>
      <c r="K2638" s="2" t="s">
        <v>119</v>
      </c>
      <c r="L2638" s="1"/>
      <c r="M2638" s="1" t="s">
        <v>10694</v>
      </c>
      <c r="N2638" s="1" t="s">
        <v>135</v>
      </c>
      <c r="O2638" s="1" t="s">
        <v>279</v>
      </c>
      <c r="P2638" s="1" t="s">
        <v>10695</v>
      </c>
      <c r="Q2638" s="3">
        <v>41437.0</v>
      </c>
      <c r="R2638" s="1"/>
      <c r="S2638" s="3">
        <v>42222.0</v>
      </c>
      <c r="T2638" s="1" t="s">
        <v>37</v>
      </c>
      <c r="U2638" s="1"/>
      <c r="V2638" s="1" t="s">
        <v>38</v>
      </c>
      <c r="W2638" s="1">
        <v>44.235702549905</v>
      </c>
      <c r="X2638" s="1">
        <v>-72.539672255516</v>
      </c>
      <c r="Y2638" s="1" t="s">
        <v>10696</v>
      </c>
      <c r="Z2638" s="1"/>
      <c r="AA2638" s="1" t="s">
        <v>40</v>
      </c>
      <c r="AB2638" s="1" t="s">
        <v>281</v>
      </c>
      <c r="AC2638" s="1">
        <v>5602.0</v>
      </c>
    </row>
    <row r="2639">
      <c r="A2639" s="1" t="str">
        <f>"000KMJ"</f>
        <v>000KMJ</v>
      </c>
      <c r="B2639" s="1" t="s">
        <v>10697</v>
      </c>
      <c r="C2639" s="1" t="s">
        <v>10698</v>
      </c>
      <c r="D2639" s="1" t="str">
        <f>"8024254513"</f>
        <v>8024254513</v>
      </c>
      <c r="E2639" s="1">
        <v>4567.0</v>
      </c>
      <c r="F2639" s="1" t="s">
        <v>44</v>
      </c>
      <c r="G2639" s="1" t="s">
        <v>10699</v>
      </c>
      <c r="H2639" s="1">
        <v>0.0</v>
      </c>
      <c r="I2639" s="1"/>
      <c r="J2639" s="1"/>
      <c r="K2639" s="1"/>
      <c r="L2639" s="1"/>
      <c r="M2639" s="1" t="s">
        <v>33</v>
      </c>
      <c r="N2639" s="1" t="s">
        <v>57</v>
      </c>
      <c r="O2639" s="1" t="s">
        <v>1633</v>
      </c>
      <c r="P2639" s="1" t="s">
        <v>36</v>
      </c>
      <c r="Q2639" s="3">
        <v>41435.0</v>
      </c>
      <c r="R2639" s="1"/>
      <c r="S2639" s="1"/>
      <c r="T2639" s="1" t="s">
        <v>37</v>
      </c>
      <c r="U2639" s="1"/>
      <c r="V2639" s="1" t="s">
        <v>38</v>
      </c>
      <c r="W2639" s="1"/>
      <c r="X2639" s="1"/>
      <c r="Y2639" s="1" t="s">
        <v>10700</v>
      </c>
      <c r="Z2639" s="1"/>
      <c r="AA2639" s="1" t="s">
        <v>40</v>
      </c>
      <c r="AB2639" s="1" t="s">
        <v>1634</v>
      </c>
      <c r="AC2639" s="1">
        <v>5445.0</v>
      </c>
    </row>
    <row r="2640">
      <c r="A2640" s="1" t="str">
        <f>"000KMM"</f>
        <v>000KMM</v>
      </c>
      <c r="B2640" s="1" t="s">
        <v>10701</v>
      </c>
      <c r="C2640" s="1" t="s">
        <v>10702</v>
      </c>
      <c r="D2640" s="1" t="str">
        <f>"8026742689"</f>
        <v>8026742689</v>
      </c>
      <c r="E2640" s="1">
        <v>4569.0</v>
      </c>
      <c r="F2640" s="1" t="s">
        <v>44</v>
      </c>
      <c r="G2640" s="1" t="s">
        <v>10703</v>
      </c>
      <c r="H2640" s="1">
        <v>2.0</v>
      </c>
      <c r="I2640" s="1"/>
      <c r="J2640" s="1"/>
      <c r="K2640" s="1"/>
      <c r="L2640" s="1"/>
      <c r="M2640" s="1" t="s">
        <v>33</v>
      </c>
      <c r="N2640" s="1" t="s">
        <v>34</v>
      </c>
      <c r="O2640" s="1" t="s">
        <v>295</v>
      </c>
      <c r="P2640" s="1" t="s">
        <v>36</v>
      </c>
      <c r="Q2640" s="3">
        <v>41446.0</v>
      </c>
      <c r="R2640" s="1"/>
      <c r="S2640" s="1"/>
      <c r="T2640" s="1" t="s">
        <v>37</v>
      </c>
      <c r="U2640" s="1"/>
      <c r="V2640" s="1" t="s">
        <v>38</v>
      </c>
      <c r="W2640" s="1">
        <v>43.506149</v>
      </c>
      <c r="X2640" s="1">
        <v>-72.435875</v>
      </c>
      <c r="Y2640" s="1" t="s">
        <v>10704</v>
      </c>
      <c r="Z2640" s="1"/>
      <c r="AA2640" s="1" t="s">
        <v>40</v>
      </c>
      <c r="AB2640" s="1" t="s">
        <v>34</v>
      </c>
      <c r="AC2640" s="1">
        <v>5089.0</v>
      </c>
    </row>
    <row r="2641">
      <c r="A2641" s="1" t="str">
        <f>"000KMV"</f>
        <v>000KMV</v>
      </c>
      <c r="B2641" s="1" t="s">
        <v>10705</v>
      </c>
      <c r="C2641" s="1" t="s">
        <v>10706</v>
      </c>
      <c r="D2641" s="1" t="str">
        <f>"8028993383"</f>
        <v>8028993383</v>
      </c>
      <c r="E2641" s="1">
        <v>4572.0</v>
      </c>
      <c r="F2641" s="1" t="s">
        <v>44</v>
      </c>
      <c r="G2641" s="1" t="s">
        <v>10707</v>
      </c>
      <c r="H2641" s="1">
        <v>3.0</v>
      </c>
      <c r="I2641" s="1"/>
      <c r="J2641" s="1"/>
      <c r="K2641" s="1"/>
      <c r="L2641" s="1"/>
      <c r="M2641" s="1" t="s">
        <v>33</v>
      </c>
      <c r="N2641" s="1" t="s">
        <v>57</v>
      </c>
      <c r="O2641" s="1" t="s">
        <v>745</v>
      </c>
      <c r="P2641" s="1" t="s">
        <v>36</v>
      </c>
      <c r="Q2641" s="3">
        <v>41395.0</v>
      </c>
      <c r="R2641" s="1"/>
      <c r="S2641" s="3">
        <v>41411.0</v>
      </c>
      <c r="T2641" s="1" t="s">
        <v>37</v>
      </c>
      <c r="U2641" s="1"/>
      <c r="V2641" s="1" t="s">
        <v>38</v>
      </c>
      <c r="W2641" s="1"/>
      <c r="X2641" s="1"/>
      <c r="Y2641" s="1" t="s">
        <v>10708</v>
      </c>
      <c r="Z2641" s="1"/>
      <c r="AA2641" s="1" t="s">
        <v>40</v>
      </c>
      <c r="AB2641" s="1" t="s">
        <v>746</v>
      </c>
      <c r="AC2641" s="1">
        <v>5465.0</v>
      </c>
    </row>
    <row r="2642">
      <c r="A2642" s="1" t="str">
        <f>"000KMW"</f>
        <v>000KMW</v>
      </c>
      <c r="B2642" s="1" t="s">
        <v>10709</v>
      </c>
      <c r="C2642" s="1" t="s">
        <v>10710</v>
      </c>
      <c r="D2642" s="1" t="str">
        <f>"8027820400"</f>
        <v>8027820400</v>
      </c>
      <c r="E2642" s="1">
        <v>4573.0</v>
      </c>
      <c r="F2642" s="1" t="s">
        <v>44</v>
      </c>
      <c r="G2642" s="1" t="s">
        <v>10711</v>
      </c>
      <c r="H2642" s="1">
        <v>4.0</v>
      </c>
      <c r="I2642" s="1"/>
      <c r="J2642" s="1"/>
      <c r="K2642" s="1"/>
      <c r="L2642" s="1"/>
      <c r="M2642" s="1" t="s">
        <v>33</v>
      </c>
      <c r="N2642" s="1" t="s">
        <v>47</v>
      </c>
      <c r="O2642" s="1" t="s">
        <v>1112</v>
      </c>
      <c r="P2642" s="1" t="s">
        <v>36</v>
      </c>
      <c r="Q2642" s="3">
        <v>41275.0</v>
      </c>
      <c r="R2642" s="1"/>
      <c r="S2642" s="3">
        <v>41386.0</v>
      </c>
      <c r="T2642" s="1" t="s">
        <v>37</v>
      </c>
      <c r="U2642" s="1"/>
      <c r="V2642" s="1" t="s">
        <v>38</v>
      </c>
      <c r="W2642" s="1"/>
      <c r="X2642" s="1"/>
      <c r="Y2642" s="1" t="s">
        <v>10712</v>
      </c>
      <c r="Z2642" s="1"/>
      <c r="AA2642" s="1" t="s">
        <v>40</v>
      </c>
      <c r="AB2642" s="1" t="s">
        <v>1115</v>
      </c>
      <c r="AC2642" s="1">
        <v>5488.0</v>
      </c>
    </row>
    <row r="2643">
      <c r="A2643" s="1" t="str">
        <f>"000KMX"</f>
        <v>000KMX</v>
      </c>
      <c r="B2643" s="1" t="s">
        <v>10713</v>
      </c>
      <c r="C2643" s="1" t="s">
        <v>10714</v>
      </c>
      <c r="D2643" s="1" t="str">
        <f>"8028496358"</f>
        <v>8028496358</v>
      </c>
      <c r="E2643" s="1">
        <v>4574.0</v>
      </c>
      <c r="F2643" s="1" t="s">
        <v>31</v>
      </c>
      <c r="G2643" s="1" t="s">
        <v>10715</v>
      </c>
      <c r="H2643" s="1">
        <v>1.0</v>
      </c>
      <c r="I2643" s="1"/>
      <c r="J2643" s="1"/>
      <c r="K2643" s="1"/>
      <c r="L2643" s="1"/>
      <c r="M2643" s="1" t="s">
        <v>33</v>
      </c>
      <c r="N2643" s="1" t="s">
        <v>47</v>
      </c>
      <c r="O2643" s="1" t="s">
        <v>763</v>
      </c>
      <c r="P2643" s="1" t="s">
        <v>36</v>
      </c>
      <c r="Q2643" s="3">
        <v>41365.0</v>
      </c>
      <c r="R2643" s="1"/>
      <c r="S2643" s="3">
        <v>42500.0</v>
      </c>
      <c r="T2643" s="1" t="s">
        <v>37</v>
      </c>
      <c r="U2643" s="1"/>
      <c r="V2643" s="1" t="s">
        <v>38</v>
      </c>
      <c r="W2643" s="1">
        <v>44.7180399999999</v>
      </c>
      <c r="X2643" s="1">
        <v>-72.9026109</v>
      </c>
      <c r="Y2643" s="1" t="s">
        <v>10716</v>
      </c>
      <c r="Z2643" s="1"/>
      <c r="AA2643" s="1" t="s">
        <v>40</v>
      </c>
      <c r="AB2643" s="1" t="s">
        <v>764</v>
      </c>
      <c r="AC2643" s="1">
        <v>5448.0</v>
      </c>
    </row>
    <row r="2644">
      <c r="A2644" s="1" t="str">
        <f>"000KMY"</f>
        <v>000KMY</v>
      </c>
      <c r="B2644" s="1" t="s">
        <v>10717</v>
      </c>
      <c r="C2644" s="1" t="s">
        <v>10718</v>
      </c>
      <c r="D2644" s="1" t="str">
        <f>"8024922017"</f>
        <v>8024922017</v>
      </c>
      <c r="E2644" s="1">
        <v>4575.0</v>
      </c>
      <c r="F2644" s="1" t="s">
        <v>117</v>
      </c>
      <c r="G2644" s="1" t="s">
        <v>10719</v>
      </c>
      <c r="H2644" s="1">
        <v>1.0</v>
      </c>
      <c r="I2644" s="2">
        <v>1.0</v>
      </c>
      <c r="J2644" s="2">
        <v>1.0</v>
      </c>
      <c r="K2644" s="2" t="s">
        <v>119</v>
      </c>
      <c r="L2644" s="1"/>
      <c r="M2644" s="1" t="s">
        <v>10720</v>
      </c>
      <c r="N2644" s="1" t="s">
        <v>78</v>
      </c>
      <c r="O2644" s="1" t="s">
        <v>1303</v>
      </c>
      <c r="P2644" s="1" t="s">
        <v>10721</v>
      </c>
      <c r="Q2644" s="3">
        <v>41275.0</v>
      </c>
      <c r="R2644" s="1"/>
      <c r="S2644" s="1"/>
      <c r="T2644" s="1" t="s">
        <v>37</v>
      </c>
      <c r="U2644" s="1"/>
      <c r="V2644" s="1" t="s">
        <v>38</v>
      </c>
      <c r="W2644" s="1">
        <v>43.489218</v>
      </c>
      <c r="X2644" s="1">
        <v>-72.9025829999999</v>
      </c>
      <c r="Y2644" s="1" t="s">
        <v>10722</v>
      </c>
      <c r="Z2644" s="1"/>
      <c r="AA2644" s="1" t="s">
        <v>40</v>
      </c>
      <c r="AB2644" s="1" t="s">
        <v>1304</v>
      </c>
      <c r="AC2644" s="1">
        <v>5738.0</v>
      </c>
    </row>
    <row r="2645">
      <c r="A2645" s="1" t="str">
        <f>"000KMZ"</f>
        <v>000KMZ</v>
      </c>
      <c r="B2645" s="1" t="s">
        <v>10723</v>
      </c>
      <c r="C2645" s="1" t="s">
        <v>10724</v>
      </c>
      <c r="D2645" s="1"/>
      <c r="E2645" s="1">
        <v>4576.0</v>
      </c>
      <c r="F2645" s="1" t="s">
        <v>44</v>
      </c>
      <c r="G2645" s="1" t="s">
        <v>10725</v>
      </c>
      <c r="H2645" s="1">
        <v>1.0</v>
      </c>
      <c r="I2645" s="1"/>
      <c r="J2645" s="1"/>
      <c r="K2645" s="1"/>
      <c r="L2645" s="1"/>
      <c r="M2645" s="1" t="s">
        <v>33</v>
      </c>
      <c r="N2645" s="1" t="s">
        <v>213</v>
      </c>
      <c r="O2645" s="1" t="s">
        <v>5011</v>
      </c>
      <c r="P2645" s="1" t="s">
        <v>36</v>
      </c>
      <c r="Q2645" s="3">
        <v>41467.0</v>
      </c>
      <c r="R2645" s="1"/>
      <c r="S2645" s="1"/>
      <c r="T2645" s="1" t="s">
        <v>37</v>
      </c>
      <c r="U2645" s="1"/>
      <c r="V2645" s="1" t="s">
        <v>38</v>
      </c>
      <c r="W2645" s="1">
        <v>44.748493</v>
      </c>
      <c r="X2645" s="1">
        <v>-72.703102</v>
      </c>
      <c r="Y2645" s="1" t="s">
        <v>10726</v>
      </c>
      <c r="Z2645" s="1"/>
      <c r="AA2645" s="1" t="s">
        <v>40</v>
      </c>
      <c r="AB2645" s="1" t="s">
        <v>10727</v>
      </c>
      <c r="AC2645" s="1">
        <v>5442.0</v>
      </c>
    </row>
    <row r="2646">
      <c r="A2646" s="1" t="str">
        <f>"000KP3"</f>
        <v>000KP3</v>
      </c>
      <c r="B2646" s="1" t="s">
        <v>10728</v>
      </c>
      <c r="C2646" s="1" t="s">
        <v>10729</v>
      </c>
      <c r="D2646" s="1" t="str">
        <f>"8024396666"</f>
        <v>8024396666</v>
      </c>
      <c r="E2646" s="1">
        <v>4577.0</v>
      </c>
      <c r="F2646" s="1" t="s">
        <v>44</v>
      </c>
      <c r="G2646" s="1" t="s">
        <v>10730</v>
      </c>
      <c r="H2646" s="1">
        <v>1.0</v>
      </c>
      <c r="I2646" s="1"/>
      <c r="J2646" s="1"/>
      <c r="K2646" s="1"/>
      <c r="L2646" s="1"/>
      <c r="M2646" s="1" t="s">
        <v>33</v>
      </c>
      <c r="N2646" s="1" t="s">
        <v>142</v>
      </c>
      <c r="O2646" s="1" t="s">
        <v>400</v>
      </c>
      <c r="P2646" s="1" t="s">
        <v>36</v>
      </c>
      <c r="Q2646" s="3">
        <v>41465.0</v>
      </c>
      <c r="R2646" s="1"/>
      <c r="S2646" s="1"/>
      <c r="T2646" s="1" t="s">
        <v>37</v>
      </c>
      <c r="U2646" s="1"/>
      <c r="V2646" s="1" t="s">
        <v>38</v>
      </c>
      <c r="W2646" s="1"/>
      <c r="X2646" s="1"/>
      <c r="Y2646" s="1" t="s">
        <v>10731</v>
      </c>
      <c r="Z2646" s="1"/>
      <c r="AA2646" s="1" t="s">
        <v>40</v>
      </c>
      <c r="AB2646" s="1" t="s">
        <v>4529</v>
      </c>
      <c r="AC2646" s="1">
        <v>5086.0</v>
      </c>
    </row>
    <row r="2647">
      <c r="A2647" s="1" t="str">
        <f>"000KP4"</f>
        <v>000KP4</v>
      </c>
      <c r="B2647" s="1" t="s">
        <v>10732</v>
      </c>
      <c r="C2647" s="1" t="s">
        <v>10733</v>
      </c>
      <c r="D2647" s="1" t="str">
        <f>"8022267142"</f>
        <v>8022267142</v>
      </c>
      <c r="E2647" s="1">
        <v>4578.0</v>
      </c>
      <c r="F2647" s="1" t="s">
        <v>44</v>
      </c>
      <c r="G2647" s="1" t="s">
        <v>10734</v>
      </c>
      <c r="H2647" s="1">
        <v>1.0</v>
      </c>
      <c r="I2647" s="2" t="s">
        <v>119</v>
      </c>
      <c r="J2647" s="2" t="s">
        <v>119</v>
      </c>
      <c r="K2647" s="2" t="s">
        <v>119</v>
      </c>
      <c r="L2647" s="1"/>
      <c r="M2647" s="1" t="s">
        <v>33</v>
      </c>
      <c r="N2647" s="1" t="s">
        <v>34</v>
      </c>
      <c r="O2647" s="1" t="s">
        <v>457</v>
      </c>
      <c r="P2647" s="1" t="s">
        <v>36</v>
      </c>
      <c r="Q2647" s="3">
        <v>41478.0</v>
      </c>
      <c r="R2647" s="1"/>
      <c r="S2647" s="1"/>
      <c r="T2647" s="1" t="s">
        <v>37</v>
      </c>
      <c r="U2647" s="1"/>
      <c r="V2647" s="1" t="s">
        <v>38</v>
      </c>
      <c r="W2647" s="1">
        <v>43.440727</v>
      </c>
      <c r="X2647" s="1">
        <v>-72.653519</v>
      </c>
      <c r="Y2647" s="1" t="s">
        <v>10735</v>
      </c>
      <c r="Z2647" s="1"/>
      <c r="AA2647" s="1" t="s">
        <v>40</v>
      </c>
      <c r="AB2647" s="1" t="s">
        <v>10736</v>
      </c>
      <c r="AC2647" s="1">
        <v>5153.0</v>
      </c>
    </row>
    <row r="2648">
      <c r="A2648" s="1" t="str">
        <f>"000KP6"</f>
        <v>000KP6</v>
      </c>
      <c r="B2648" s="1" t="s">
        <v>10737</v>
      </c>
      <c r="C2648" s="1" t="s">
        <v>10738</v>
      </c>
      <c r="D2648" s="1" t="str">
        <f>"8028934706"</f>
        <v>8028934706</v>
      </c>
      <c r="E2648" s="1">
        <v>4579.0</v>
      </c>
      <c r="F2648" s="1" t="s">
        <v>117</v>
      </c>
      <c r="G2648" s="1" t="s">
        <v>10739</v>
      </c>
      <c r="H2648" s="1">
        <v>6.0</v>
      </c>
      <c r="I2648" s="2">
        <v>0.0</v>
      </c>
      <c r="J2648" s="2">
        <v>0.0</v>
      </c>
      <c r="K2648" s="2" t="s">
        <v>119</v>
      </c>
      <c r="L2648" s="1"/>
      <c r="M2648" s="1" t="s">
        <v>10740</v>
      </c>
      <c r="N2648" s="1" t="s">
        <v>57</v>
      </c>
      <c r="O2648" s="1" t="s">
        <v>256</v>
      </c>
      <c r="P2648" s="1" t="s">
        <v>10741</v>
      </c>
      <c r="Q2648" s="3">
        <v>41448.0</v>
      </c>
      <c r="R2648" s="1"/>
      <c r="S2648" s="1"/>
      <c r="T2648" s="1" t="s">
        <v>37</v>
      </c>
      <c r="U2648" s="1"/>
      <c r="V2648" s="1" t="s">
        <v>38</v>
      </c>
      <c r="W2648" s="1"/>
      <c r="X2648" s="1"/>
      <c r="Y2648" s="1" t="s">
        <v>10742</v>
      </c>
      <c r="Z2648" s="1"/>
      <c r="AA2648" s="1" t="s">
        <v>40</v>
      </c>
      <c r="AB2648" s="1" t="s">
        <v>257</v>
      </c>
      <c r="AC2648" s="1" t="s">
        <v>10743</v>
      </c>
    </row>
    <row r="2649">
      <c r="A2649" s="1" t="str">
        <f>"000KP8"</f>
        <v>000KP8</v>
      </c>
      <c r="B2649" s="1" t="s">
        <v>10744</v>
      </c>
      <c r="C2649" s="1" t="s">
        <v>10745</v>
      </c>
      <c r="D2649" s="1" t="str">
        <f>"8024658067"</f>
        <v>8024658067</v>
      </c>
      <c r="E2649" s="1">
        <v>4580.0</v>
      </c>
      <c r="F2649" s="1" t="s">
        <v>44</v>
      </c>
      <c r="G2649" s="1" t="s">
        <v>10746</v>
      </c>
      <c r="H2649" s="1">
        <v>1.0</v>
      </c>
      <c r="I2649" s="1"/>
      <c r="J2649" s="1"/>
      <c r="K2649" s="1"/>
      <c r="L2649" s="1"/>
      <c r="M2649" s="1" t="s">
        <v>33</v>
      </c>
      <c r="N2649" s="1" t="s">
        <v>78</v>
      </c>
      <c r="O2649" s="1" t="s">
        <v>2574</v>
      </c>
      <c r="P2649" s="1" t="s">
        <v>36</v>
      </c>
      <c r="Q2649" s="3">
        <v>41432.0</v>
      </c>
      <c r="R2649" s="1"/>
      <c r="S2649" s="1"/>
      <c r="T2649" s="1" t="s">
        <v>37</v>
      </c>
      <c r="U2649" s="1"/>
      <c r="V2649" s="1" t="s">
        <v>38</v>
      </c>
      <c r="W2649" s="1"/>
      <c r="X2649" s="1"/>
      <c r="Y2649" s="1" t="s">
        <v>10747</v>
      </c>
      <c r="Z2649" s="1"/>
      <c r="AA2649" s="1" t="s">
        <v>40</v>
      </c>
      <c r="AB2649" s="1" t="s">
        <v>2575</v>
      </c>
      <c r="AC2649" s="1">
        <v>5733.0</v>
      </c>
    </row>
    <row r="2650">
      <c r="A2650" s="1" t="str">
        <f>"000KPA"</f>
        <v>000KPA</v>
      </c>
      <c r="B2650" s="1" t="s">
        <v>10748</v>
      </c>
      <c r="C2650" s="1" t="s">
        <v>10749</v>
      </c>
      <c r="D2650" s="1" t="str">
        <f>"8023726923"</f>
        <v>8023726923</v>
      </c>
      <c r="E2650" s="1">
        <v>4582.0</v>
      </c>
      <c r="F2650" s="1" t="s">
        <v>44</v>
      </c>
      <c r="G2650" s="1" t="s">
        <v>10750</v>
      </c>
      <c r="H2650" s="1">
        <v>1.0</v>
      </c>
      <c r="I2650" s="1"/>
      <c r="J2650" s="1"/>
      <c r="K2650" s="1"/>
      <c r="L2650" s="1"/>
      <c r="M2650" s="1" t="s">
        <v>33</v>
      </c>
      <c r="N2650" s="1" t="s">
        <v>107</v>
      </c>
      <c r="O2650" s="1" t="s">
        <v>108</v>
      </c>
      <c r="P2650" s="1" t="s">
        <v>10751</v>
      </c>
      <c r="Q2650" s="3">
        <v>41445.0</v>
      </c>
      <c r="R2650" s="1"/>
      <c r="S2650" s="1"/>
      <c r="T2650" s="1" t="s">
        <v>37</v>
      </c>
      <c r="U2650" s="1"/>
      <c r="V2650" s="1" t="s">
        <v>38</v>
      </c>
      <c r="W2650" s="1"/>
      <c r="X2650" s="1"/>
      <c r="Y2650" s="1" t="s">
        <v>10752</v>
      </c>
      <c r="Z2650" s="1"/>
      <c r="AA2650" s="1" t="s">
        <v>40</v>
      </c>
      <c r="AB2650" s="1" t="s">
        <v>107</v>
      </c>
      <c r="AC2650" s="1">
        <v>5458.0</v>
      </c>
    </row>
    <row r="2651">
      <c r="A2651" s="1" t="str">
        <f>"000KPG"</f>
        <v>000KPG</v>
      </c>
      <c r="B2651" s="1" t="s">
        <v>10753</v>
      </c>
      <c r="C2651" s="1" t="s">
        <v>10754</v>
      </c>
      <c r="D2651" s="1" t="str">
        <f>"8024753440"</f>
        <v>8024753440</v>
      </c>
      <c r="E2651" s="1">
        <v>4586.0</v>
      </c>
      <c r="F2651" s="1" t="s">
        <v>117</v>
      </c>
      <c r="G2651" s="1" t="s">
        <v>10755</v>
      </c>
      <c r="H2651" s="1">
        <v>3.0</v>
      </c>
      <c r="I2651" s="2" t="s">
        <v>119</v>
      </c>
      <c r="J2651" s="2">
        <v>1.0</v>
      </c>
      <c r="K2651" s="2" t="s">
        <v>119</v>
      </c>
      <c r="L2651" s="1"/>
      <c r="M2651" s="1" t="s">
        <v>10756</v>
      </c>
      <c r="N2651" s="1" t="s">
        <v>161</v>
      </c>
      <c r="O2651" s="1" t="s">
        <v>769</v>
      </c>
      <c r="P2651" s="1" t="s">
        <v>10757</v>
      </c>
      <c r="Q2651" s="3">
        <v>41477.0</v>
      </c>
      <c r="R2651" s="1"/>
      <c r="S2651" s="1"/>
      <c r="T2651" s="1" t="s">
        <v>37</v>
      </c>
      <c r="U2651" s="1"/>
      <c r="V2651" s="1" t="s">
        <v>38</v>
      </c>
      <c r="W2651" s="1">
        <v>44.1637123</v>
      </c>
      <c r="X2651" s="1">
        <v>-73.2889402999999</v>
      </c>
      <c r="Y2651" s="1" t="s">
        <v>10758</v>
      </c>
      <c r="Z2651" s="1"/>
      <c r="AA2651" s="1" t="s">
        <v>40</v>
      </c>
      <c r="AB2651" s="1" t="s">
        <v>10759</v>
      </c>
      <c r="AC2651" s="1">
        <v>5456.0</v>
      </c>
    </row>
    <row r="2652">
      <c r="A2652" s="1" t="str">
        <f>"000KQF"</f>
        <v>000KQF</v>
      </c>
      <c r="B2652" s="1" t="s">
        <v>10760</v>
      </c>
      <c r="C2652" s="1" t="s">
        <v>10761</v>
      </c>
      <c r="D2652" s="1" t="str">
        <f>"8023622560"</f>
        <v>8023622560</v>
      </c>
      <c r="E2652" s="1">
        <v>4587.0</v>
      </c>
      <c r="F2652" s="1" t="s">
        <v>44</v>
      </c>
      <c r="G2652" s="1" t="s">
        <v>10762</v>
      </c>
      <c r="H2652" s="1">
        <v>2.0</v>
      </c>
      <c r="I2652" s="2">
        <v>2.0</v>
      </c>
      <c r="J2652" s="2">
        <v>1.0</v>
      </c>
      <c r="K2652" s="2">
        <v>0.0</v>
      </c>
      <c r="L2652" s="1"/>
      <c r="M2652" s="1" t="s">
        <v>33</v>
      </c>
      <c r="N2652" s="1" t="s">
        <v>78</v>
      </c>
      <c r="O2652" s="1" t="s">
        <v>434</v>
      </c>
      <c r="P2652" s="1" t="s">
        <v>10763</v>
      </c>
      <c r="Q2652" s="3">
        <v>41480.0</v>
      </c>
      <c r="R2652" s="1"/>
      <c r="S2652" s="1"/>
      <c r="T2652" s="1" t="s">
        <v>37</v>
      </c>
      <c r="U2652" s="1"/>
      <c r="V2652" s="1" t="s">
        <v>38</v>
      </c>
      <c r="W2652" s="1">
        <v>43.3833939758855</v>
      </c>
      <c r="X2652" s="1">
        <v>-73.2254755496978</v>
      </c>
      <c r="Y2652" s="1" t="s">
        <v>10764</v>
      </c>
      <c r="Z2652" s="1"/>
      <c r="AA2652" s="1" t="s">
        <v>40</v>
      </c>
      <c r="AB2652" s="1" t="s">
        <v>3710</v>
      </c>
      <c r="AC2652" s="1">
        <v>5775.0</v>
      </c>
    </row>
    <row r="2653">
      <c r="A2653" s="1" t="str">
        <f>"000KQG"</f>
        <v>000KQG</v>
      </c>
      <c r="B2653" s="1" t="s">
        <v>10765</v>
      </c>
      <c r="C2653" s="1" t="s">
        <v>10766</v>
      </c>
      <c r="D2653" s="1" t="str">
        <f>"8023247947"</f>
        <v>8023247947</v>
      </c>
      <c r="E2653" s="1">
        <v>4588.0</v>
      </c>
      <c r="F2653" s="1" t="s">
        <v>44</v>
      </c>
      <c r="G2653" s="1" t="s">
        <v>10767</v>
      </c>
      <c r="H2653" s="1">
        <v>3.0</v>
      </c>
      <c r="I2653" s="1"/>
      <c r="J2653" s="1"/>
      <c r="K2653" s="1"/>
      <c r="L2653" s="1"/>
      <c r="M2653" s="1" t="s">
        <v>33</v>
      </c>
      <c r="N2653" s="1" t="s">
        <v>135</v>
      </c>
      <c r="O2653" s="1" t="s">
        <v>775</v>
      </c>
      <c r="P2653" s="1" t="s">
        <v>36</v>
      </c>
      <c r="Q2653" s="3">
        <v>41479.0</v>
      </c>
      <c r="R2653" s="1"/>
      <c r="S2653" s="3">
        <v>41522.0</v>
      </c>
      <c r="T2653" s="1" t="s">
        <v>37</v>
      </c>
      <c r="U2653" s="1"/>
      <c r="V2653" s="1" t="s">
        <v>38</v>
      </c>
      <c r="W2653" s="1">
        <v>44.34478</v>
      </c>
      <c r="X2653" s="1">
        <v>-72.74599</v>
      </c>
      <c r="Y2653" s="1" t="s">
        <v>10768</v>
      </c>
      <c r="Z2653" s="1"/>
      <c r="AA2653" s="1" t="s">
        <v>40</v>
      </c>
      <c r="AB2653" s="1" t="s">
        <v>776</v>
      </c>
      <c r="AC2653" s="1">
        <v>5676.0</v>
      </c>
    </row>
    <row r="2654">
      <c r="A2654" s="1" t="str">
        <f>"000KQH"</f>
        <v>000KQH</v>
      </c>
      <c r="B2654" s="1" t="s">
        <v>10769</v>
      </c>
      <c r="C2654" s="1" t="s">
        <v>10770</v>
      </c>
      <c r="D2654" s="1" t="str">
        <f>"8024343422"</f>
        <v>8024343422</v>
      </c>
      <c r="E2654" s="1">
        <v>4589.0</v>
      </c>
      <c r="F2654" s="1" t="s">
        <v>31</v>
      </c>
      <c r="G2654" s="1" t="s">
        <v>10771</v>
      </c>
      <c r="H2654" s="1">
        <v>2.0</v>
      </c>
      <c r="I2654" s="2" t="s">
        <v>119</v>
      </c>
      <c r="J2654" s="2" t="s">
        <v>119</v>
      </c>
      <c r="K2654" s="2" t="s">
        <v>119</v>
      </c>
      <c r="L2654" s="1"/>
      <c r="M2654" s="1" t="s">
        <v>33</v>
      </c>
      <c r="N2654" s="1" t="s">
        <v>57</v>
      </c>
      <c r="O2654" s="1" t="s">
        <v>313</v>
      </c>
      <c r="P2654" s="1" t="s">
        <v>36</v>
      </c>
      <c r="Q2654" s="3">
        <v>41482.0</v>
      </c>
      <c r="R2654" s="1"/>
      <c r="S2654" s="3">
        <v>41481.0</v>
      </c>
      <c r="T2654" s="1" t="s">
        <v>37</v>
      </c>
      <c r="U2654" s="1"/>
      <c r="V2654" s="1" t="s">
        <v>38</v>
      </c>
      <c r="W2654" s="1">
        <v>44.32842</v>
      </c>
      <c r="X2654" s="1">
        <v>-72.9856009999999</v>
      </c>
      <c r="Y2654" s="1" t="s">
        <v>10772</v>
      </c>
      <c r="Z2654" s="1"/>
      <c r="AA2654" s="1" t="s">
        <v>40</v>
      </c>
      <c r="AB2654" s="1" t="s">
        <v>314</v>
      </c>
      <c r="AC2654" s="1">
        <v>5462.0</v>
      </c>
    </row>
    <row r="2655">
      <c r="A2655" s="1" t="str">
        <f>"000KQK"</f>
        <v>000KQK</v>
      </c>
      <c r="B2655" s="1" t="s">
        <v>10773</v>
      </c>
      <c r="C2655" s="1" t="s">
        <v>10774</v>
      </c>
      <c r="D2655" s="1" t="str">
        <f>"8023453831"</f>
        <v>8023453831</v>
      </c>
      <c r="E2655" s="1">
        <v>4591.0</v>
      </c>
      <c r="F2655" s="1" t="s">
        <v>117</v>
      </c>
      <c r="G2655" s="1" t="s">
        <v>10775</v>
      </c>
      <c r="H2655" s="1">
        <v>1.0</v>
      </c>
      <c r="I2655" s="2">
        <v>1.0</v>
      </c>
      <c r="J2655" s="2">
        <v>1.0</v>
      </c>
      <c r="K2655" s="2" t="s">
        <v>119</v>
      </c>
      <c r="L2655" s="1"/>
      <c r="M2655" s="1" t="s">
        <v>10776</v>
      </c>
      <c r="N2655" s="1" t="s">
        <v>78</v>
      </c>
      <c r="O2655" s="1" t="s">
        <v>79</v>
      </c>
      <c r="P2655" s="1" t="s">
        <v>10777</v>
      </c>
      <c r="Q2655" s="3">
        <v>41486.0</v>
      </c>
      <c r="R2655" s="1"/>
      <c r="S2655" s="1"/>
      <c r="T2655" s="1" t="s">
        <v>37</v>
      </c>
      <c r="U2655" s="1"/>
      <c r="V2655" s="1" t="s">
        <v>38</v>
      </c>
      <c r="W2655" s="1">
        <v>43.6930809947067</v>
      </c>
      <c r="X2655" s="1">
        <v>-73.0089139938354</v>
      </c>
      <c r="Y2655" s="1" t="s">
        <v>10778</v>
      </c>
      <c r="Z2655" s="1"/>
      <c r="AA2655" s="1" t="s">
        <v>40</v>
      </c>
      <c r="AB2655" s="1" t="s">
        <v>80</v>
      </c>
      <c r="AC2655" s="1">
        <v>5763.0</v>
      </c>
    </row>
    <row r="2656">
      <c r="A2656" s="1" t="str">
        <f>"000KWW"</f>
        <v>000KWW</v>
      </c>
      <c r="B2656" s="1" t="s">
        <v>10779</v>
      </c>
      <c r="C2656" s="1" t="s">
        <v>10780</v>
      </c>
      <c r="D2656" s="1" t="str">
        <f>"8022246390"</f>
        <v>8022246390</v>
      </c>
      <c r="E2656" s="1">
        <v>4592.0</v>
      </c>
      <c r="F2656" s="1" t="s">
        <v>44</v>
      </c>
      <c r="G2656" s="1" t="s">
        <v>10781</v>
      </c>
      <c r="H2656" s="1">
        <v>1.0</v>
      </c>
      <c r="I2656" s="1"/>
      <c r="J2656" s="1"/>
      <c r="K2656" s="1"/>
      <c r="L2656" s="1"/>
      <c r="M2656" s="1" t="s">
        <v>33</v>
      </c>
      <c r="N2656" s="1" t="s">
        <v>128</v>
      </c>
      <c r="O2656" s="1" t="s">
        <v>1079</v>
      </c>
      <c r="P2656" s="1" t="s">
        <v>36</v>
      </c>
      <c r="Q2656" s="3">
        <v>41395.0</v>
      </c>
      <c r="R2656" s="1"/>
      <c r="S2656" s="1"/>
      <c r="T2656" s="1" t="s">
        <v>37</v>
      </c>
      <c r="U2656" s="1"/>
      <c r="V2656" s="1" t="s">
        <v>38</v>
      </c>
      <c r="W2656" s="1"/>
      <c r="X2656" s="1"/>
      <c r="Y2656" s="1" t="s">
        <v>10782</v>
      </c>
      <c r="Z2656" s="1"/>
      <c r="AA2656" s="1" t="s">
        <v>40</v>
      </c>
      <c r="AB2656" s="1" t="s">
        <v>1080</v>
      </c>
      <c r="AC2656" s="1">
        <v>5843.0</v>
      </c>
    </row>
    <row r="2657">
      <c r="A2657" s="1" t="str">
        <f>"000KX6"</f>
        <v>000KX6</v>
      </c>
      <c r="B2657" s="1" t="s">
        <v>10783</v>
      </c>
      <c r="C2657" s="1" t="s">
        <v>10784</v>
      </c>
      <c r="D2657" s="1" t="str">
        <f>"8024532342"</f>
        <v>8024532342</v>
      </c>
      <c r="E2657" s="1">
        <v>4593.0</v>
      </c>
      <c r="F2657" s="1" t="s">
        <v>117</v>
      </c>
      <c r="G2657" s="1" t="s">
        <v>10785</v>
      </c>
      <c r="H2657" s="1">
        <v>2.0</v>
      </c>
      <c r="I2657" s="2">
        <v>0.0</v>
      </c>
      <c r="J2657" s="2">
        <v>0.0</v>
      </c>
      <c r="K2657" s="2" t="s">
        <v>829</v>
      </c>
      <c r="L2657" s="1"/>
      <c r="M2657" s="1" t="s">
        <v>10786</v>
      </c>
      <c r="N2657" s="1" t="s">
        <v>161</v>
      </c>
      <c r="O2657" s="1" t="s">
        <v>307</v>
      </c>
      <c r="P2657" s="1" t="s">
        <v>10787</v>
      </c>
      <c r="Q2657" s="3">
        <v>41049.0</v>
      </c>
      <c r="R2657" s="1"/>
      <c r="S2657" s="1"/>
      <c r="T2657" s="1" t="s">
        <v>37</v>
      </c>
      <c r="U2657" s="1"/>
      <c r="V2657" s="1" t="s">
        <v>38</v>
      </c>
      <c r="W2657" s="1">
        <v>44.10006</v>
      </c>
      <c r="X2657" s="1">
        <v>-73.089226</v>
      </c>
      <c r="Y2657" s="1" t="s">
        <v>10788</v>
      </c>
      <c r="Z2657" s="1"/>
      <c r="AA2657" s="1" t="s">
        <v>40</v>
      </c>
      <c r="AB2657" s="1" t="s">
        <v>308</v>
      </c>
      <c r="AC2657" s="1">
        <v>5443.0</v>
      </c>
    </row>
    <row r="2658">
      <c r="A2658" s="1" t="str">
        <f t="shared" ref="A2658:A2659" si="207">"00083N"</f>
        <v>00083N</v>
      </c>
      <c r="B2658" s="1" t="s">
        <v>8970</v>
      </c>
      <c r="C2658" s="1" t="s">
        <v>8971</v>
      </c>
      <c r="D2658" s="1" t="str">
        <f t="shared" ref="D2658:D2659" si="208">"8028674293"</f>
        <v>8028674293</v>
      </c>
      <c r="E2658" s="1">
        <v>4594.0</v>
      </c>
      <c r="F2658" s="1" t="s">
        <v>31</v>
      </c>
      <c r="G2658" s="1" t="s">
        <v>10789</v>
      </c>
      <c r="H2658" s="1">
        <v>20.0</v>
      </c>
      <c r="I2658" s="1"/>
      <c r="J2658" s="1"/>
      <c r="K2658" s="1"/>
      <c r="L2658" s="1"/>
      <c r="M2658" s="1" t="s">
        <v>10790</v>
      </c>
      <c r="N2658" s="1" t="s">
        <v>414</v>
      </c>
      <c r="O2658" s="1" t="s">
        <v>415</v>
      </c>
      <c r="P2658" s="1" t="s">
        <v>10791</v>
      </c>
      <c r="Q2658" s="3">
        <v>41519.0</v>
      </c>
      <c r="R2658" s="1"/>
      <c r="S2658" s="1"/>
      <c r="T2658" s="1" t="s">
        <v>37</v>
      </c>
      <c r="U2658" s="1"/>
      <c r="V2658" s="1" t="s">
        <v>38</v>
      </c>
      <c r="W2658" s="1"/>
      <c r="X2658" s="1"/>
      <c r="Y2658" s="1" t="s">
        <v>9285</v>
      </c>
      <c r="Z2658" s="1"/>
      <c r="AA2658" s="1" t="s">
        <v>40</v>
      </c>
      <c r="AB2658" s="1" t="s">
        <v>416</v>
      </c>
      <c r="AC2658" s="1">
        <v>5251.0</v>
      </c>
    </row>
    <row r="2659">
      <c r="A2659" s="1" t="str">
        <f t="shared" si="207"/>
        <v>00083N</v>
      </c>
      <c r="B2659" s="1" t="s">
        <v>8970</v>
      </c>
      <c r="C2659" s="1" t="s">
        <v>8971</v>
      </c>
      <c r="D2659" s="1" t="str">
        <f t="shared" si="208"/>
        <v>8028674293</v>
      </c>
      <c r="E2659" s="1">
        <v>4594.0</v>
      </c>
      <c r="F2659" s="1" t="s">
        <v>31</v>
      </c>
      <c r="G2659" s="1" t="s">
        <v>10792</v>
      </c>
      <c r="H2659" s="1">
        <v>20.0</v>
      </c>
      <c r="I2659" s="1"/>
      <c r="J2659" s="1"/>
      <c r="K2659" s="1"/>
      <c r="L2659" s="1"/>
      <c r="M2659" s="1" t="s">
        <v>9106</v>
      </c>
      <c r="N2659" s="1" t="s">
        <v>414</v>
      </c>
      <c r="O2659" s="1" t="s">
        <v>415</v>
      </c>
      <c r="P2659" s="1" t="s">
        <v>10793</v>
      </c>
      <c r="Q2659" s="3">
        <v>41519.0</v>
      </c>
      <c r="R2659" s="1"/>
      <c r="S2659" s="1"/>
      <c r="T2659" s="1" t="s">
        <v>37</v>
      </c>
      <c r="U2659" s="1"/>
      <c r="V2659" s="1" t="s">
        <v>38</v>
      </c>
      <c r="W2659" s="1"/>
      <c r="X2659" s="1"/>
      <c r="Y2659" s="1" t="s">
        <v>10794</v>
      </c>
      <c r="Z2659" s="1"/>
      <c r="AA2659" s="1" t="s">
        <v>40</v>
      </c>
      <c r="AB2659" s="1" t="s">
        <v>416</v>
      </c>
      <c r="AC2659" s="1">
        <v>5251.0</v>
      </c>
    </row>
    <row r="2660">
      <c r="A2660" s="1" t="str">
        <f>"000M11"</f>
        <v>000M11</v>
      </c>
      <c r="B2660" s="1" t="s">
        <v>10795</v>
      </c>
      <c r="C2660" s="1" t="s">
        <v>10796</v>
      </c>
      <c r="D2660" s="1" t="str">
        <f>"8028225635"</f>
        <v>8028225635</v>
      </c>
      <c r="E2660" s="1">
        <v>4595.0</v>
      </c>
      <c r="F2660" s="1" t="s">
        <v>44</v>
      </c>
      <c r="G2660" s="1" t="s">
        <v>10797</v>
      </c>
      <c r="H2660" s="1">
        <v>3.0</v>
      </c>
      <c r="I2660" s="1"/>
      <c r="J2660" s="1"/>
      <c r="K2660" s="1"/>
      <c r="L2660" s="1"/>
      <c r="M2660" s="1" t="s">
        <v>10798</v>
      </c>
      <c r="N2660" s="1" t="s">
        <v>331</v>
      </c>
      <c r="O2660" s="1" t="s">
        <v>10799</v>
      </c>
      <c r="P2660" s="1" t="s">
        <v>10800</v>
      </c>
      <c r="Q2660" s="3">
        <v>41465.0</v>
      </c>
      <c r="R2660" s="1"/>
      <c r="S2660" s="1"/>
      <c r="T2660" s="1" t="s">
        <v>37</v>
      </c>
      <c r="U2660" s="1"/>
      <c r="V2660" s="1" t="s">
        <v>38</v>
      </c>
      <c r="W2660" s="1"/>
      <c r="X2660" s="1"/>
      <c r="Y2660" s="1" t="s">
        <v>10801</v>
      </c>
      <c r="Z2660" s="1"/>
      <c r="AA2660" s="1" t="s">
        <v>40</v>
      </c>
      <c r="AB2660" s="1" t="s">
        <v>10802</v>
      </c>
      <c r="AC2660" s="1">
        <v>5907.0</v>
      </c>
    </row>
    <row r="2661">
      <c r="A2661" s="1" t="str">
        <f>"000M12"</f>
        <v>000M12</v>
      </c>
      <c r="B2661" s="1" t="s">
        <v>10803</v>
      </c>
      <c r="C2661" s="1" t="s">
        <v>10804</v>
      </c>
      <c r="D2661" s="1" t="str">
        <f>"8027229642"</f>
        <v>8027229642</v>
      </c>
      <c r="E2661" s="1">
        <v>4596.0</v>
      </c>
      <c r="F2661" s="1" t="s">
        <v>44</v>
      </c>
      <c r="G2661" s="1" t="s">
        <v>10805</v>
      </c>
      <c r="H2661" s="1">
        <v>1.0</v>
      </c>
      <c r="I2661" s="2" t="s">
        <v>119</v>
      </c>
      <c r="J2661" s="2" t="s">
        <v>119</v>
      </c>
      <c r="K2661" s="2" t="s">
        <v>119</v>
      </c>
      <c r="L2661" s="1"/>
      <c r="M2661" s="1" t="s">
        <v>10806</v>
      </c>
      <c r="N2661" s="1" t="s">
        <v>66</v>
      </c>
      <c r="O2661" s="1" t="s">
        <v>113</v>
      </c>
      <c r="P2661" s="1" t="s">
        <v>36</v>
      </c>
      <c r="Q2661" s="3">
        <v>41530.0</v>
      </c>
      <c r="R2661" s="1"/>
      <c r="S2661" s="3">
        <v>42640.0</v>
      </c>
      <c r="T2661" s="1" t="s">
        <v>37</v>
      </c>
      <c r="U2661" s="1"/>
      <c r="V2661" s="1" t="s">
        <v>38</v>
      </c>
      <c r="W2661" s="1"/>
      <c r="X2661" s="1"/>
      <c r="Y2661" s="1" t="s">
        <v>10807</v>
      </c>
      <c r="Z2661" s="1"/>
      <c r="AA2661" s="1" t="s">
        <v>40</v>
      </c>
      <c r="AB2661" s="1" t="s">
        <v>594</v>
      </c>
      <c r="AC2661" s="1">
        <v>5346.0</v>
      </c>
    </row>
    <row r="2662">
      <c r="A2662" s="1" t="str">
        <f>"000M13"</f>
        <v>000M13</v>
      </c>
      <c r="B2662" s="1" t="s">
        <v>10808</v>
      </c>
      <c r="C2662" s="1" t="s">
        <v>10809</v>
      </c>
      <c r="D2662" s="1" t="str">
        <f>"6468720383"</f>
        <v>6468720383</v>
      </c>
      <c r="E2662" s="1">
        <v>4597.0</v>
      </c>
      <c r="F2662" s="1" t="s">
        <v>44</v>
      </c>
      <c r="G2662" s="1" t="s">
        <v>10810</v>
      </c>
      <c r="H2662" s="1">
        <v>1.0</v>
      </c>
      <c r="I2662" s="1"/>
      <c r="J2662" s="1"/>
      <c r="K2662" s="1"/>
      <c r="L2662" s="1"/>
      <c r="M2662" s="1" t="s">
        <v>33</v>
      </c>
      <c r="N2662" s="1" t="s">
        <v>78</v>
      </c>
      <c r="O2662" s="1" t="s">
        <v>371</v>
      </c>
      <c r="P2662" s="1" t="s">
        <v>36</v>
      </c>
      <c r="Q2662" s="3">
        <v>41520.0</v>
      </c>
      <c r="R2662" s="1"/>
      <c r="S2662" s="1"/>
      <c r="T2662" s="1" t="s">
        <v>37</v>
      </c>
      <c r="U2662" s="1"/>
      <c r="V2662" s="1" t="s">
        <v>38</v>
      </c>
      <c r="W2662" s="1"/>
      <c r="X2662" s="1"/>
      <c r="Y2662" s="1" t="s">
        <v>10811</v>
      </c>
      <c r="Z2662" s="1"/>
      <c r="AA2662" s="1" t="s">
        <v>40</v>
      </c>
      <c r="AB2662" s="1" t="s">
        <v>374</v>
      </c>
      <c r="AC2662" s="1">
        <v>5774.0</v>
      </c>
    </row>
    <row r="2663">
      <c r="A2663" s="1" t="str">
        <f>"000M14"</f>
        <v>000M14</v>
      </c>
      <c r="B2663" s="1" t="s">
        <v>10812</v>
      </c>
      <c r="C2663" s="1" t="s">
        <v>10813</v>
      </c>
      <c r="D2663" s="1" t="str">
        <f>"8023624326"</f>
        <v>8023624326</v>
      </c>
      <c r="E2663" s="1">
        <v>4598.0</v>
      </c>
      <c r="F2663" s="1" t="s">
        <v>31</v>
      </c>
      <c r="G2663" s="1" t="s">
        <v>10814</v>
      </c>
      <c r="H2663" s="1">
        <v>6.0</v>
      </c>
      <c r="I2663" s="1"/>
      <c r="J2663" s="1"/>
      <c r="K2663" s="1"/>
      <c r="L2663" s="1"/>
      <c r="M2663" s="1" t="s">
        <v>10815</v>
      </c>
      <c r="N2663" s="1" t="s">
        <v>414</v>
      </c>
      <c r="O2663" s="1" t="s">
        <v>2880</v>
      </c>
      <c r="P2663" s="1" t="s">
        <v>36</v>
      </c>
      <c r="Q2663" s="3">
        <v>41534.0</v>
      </c>
      <c r="R2663" s="1"/>
      <c r="S2663" s="1"/>
      <c r="T2663" s="1" t="s">
        <v>37</v>
      </c>
      <c r="U2663" s="1"/>
      <c r="V2663" s="1" t="s">
        <v>38</v>
      </c>
      <c r="W2663" s="1">
        <v>43.14655</v>
      </c>
      <c r="X2663" s="1">
        <v>-73.0652609999999</v>
      </c>
      <c r="Y2663" s="1" t="s">
        <v>10816</v>
      </c>
      <c r="Z2663" s="1"/>
      <c r="AA2663" s="1" t="s">
        <v>40</v>
      </c>
      <c r="AB2663" s="1" t="s">
        <v>2881</v>
      </c>
      <c r="AC2663" s="1">
        <v>5254.0</v>
      </c>
    </row>
    <row r="2664">
      <c r="A2664" s="1" t="str">
        <f>"000M15"</f>
        <v>000M15</v>
      </c>
      <c r="B2664" s="1" t="s">
        <v>10817</v>
      </c>
      <c r="C2664" s="1" t="s">
        <v>10818</v>
      </c>
      <c r="D2664" s="1" t="str">
        <f>"8027234453"</f>
        <v>8027234453</v>
      </c>
      <c r="E2664" s="1">
        <v>4599.0</v>
      </c>
      <c r="F2664" s="1" t="s">
        <v>44</v>
      </c>
      <c r="G2664" s="1" t="s">
        <v>10819</v>
      </c>
      <c r="H2664" s="1">
        <v>6.0</v>
      </c>
      <c r="I2664" s="1"/>
      <c r="J2664" s="1"/>
      <c r="K2664" s="1"/>
      <c r="L2664" s="1"/>
      <c r="M2664" s="1" t="s">
        <v>33</v>
      </c>
      <c r="N2664" s="1" t="s">
        <v>331</v>
      </c>
      <c r="O2664" s="1" t="s">
        <v>332</v>
      </c>
      <c r="P2664" s="1" t="s">
        <v>36</v>
      </c>
      <c r="Q2664" s="3">
        <v>41456.0</v>
      </c>
      <c r="R2664" s="1"/>
      <c r="S2664" s="1"/>
      <c r="T2664" s="1" t="s">
        <v>37</v>
      </c>
      <c r="U2664" s="1"/>
      <c r="V2664" s="1" t="s">
        <v>38</v>
      </c>
      <c r="W2664" s="1"/>
      <c r="X2664" s="1"/>
      <c r="Y2664" s="1" t="s">
        <v>10820</v>
      </c>
      <c r="Z2664" s="1"/>
      <c r="AA2664" s="1" t="s">
        <v>40</v>
      </c>
      <c r="AB2664" s="1" t="s">
        <v>10821</v>
      </c>
      <c r="AC2664" s="1">
        <v>5846.0</v>
      </c>
    </row>
    <row r="2665">
      <c r="A2665" s="1" t="str">
        <f>"000M16"</f>
        <v>000M16</v>
      </c>
      <c r="B2665" s="1" t="s">
        <v>10822</v>
      </c>
      <c r="C2665" s="1" t="s">
        <v>10823</v>
      </c>
      <c r="D2665" s="1"/>
      <c r="E2665" s="1">
        <v>4600.0</v>
      </c>
      <c r="F2665" s="1" t="s">
        <v>44</v>
      </c>
      <c r="G2665" s="1" t="s">
        <v>10824</v>
      </c>
      <c r="H2665" s="1">
        <v>2.0</v>
      </c>
      <c r="I2665" s="2" t="s">
        <v>119</v>
      </c>
      <c r="J2665" s="2" t="s">
        <v>119</v>
      </c>
      <c r="K2665" s="2" t="s">
        <v>119</v>
      </c>
      <c r="L2665" s="1"/>
      <c r="M2665" s="1" t="s">
        <v>33</v>
      </c>
      <c r="N2665" s="1" t="s">
        <v>414</v>
      </c>
      <c r="O2665" s="1" t="s">
        <v>720</v>
      </c>
      <c r="P2665" s="1" t="s">
        <v>10825</v>
      </c>
      <c r="Q2665" s="3">
        <v>41470.0</v>
      </c>
      <c r="R2665" s="1"/>
      <c r="S2665" s="3">
        <v>42550.0</v>
      </c>
      <c r="T2665" s="1" t="s">
        <v>37</v>
      </c>
      <c r="U2665" s="1"/>
      <c r="V2665" s="1" t="s">
        <v>9944</v>
      </c>
      <c r="W2665" s="1">
        <v>42.8894269862306</v>
      </c>
      <c r="X2665" s="1">
        <v>-73.2122777402401</v>
      </c>
      <c r="Y2665" s="1" t="s">
        <v>10826</v>
      </c>
      <c r="Z2665" s="1"/>
      <c r="AA2665" s="1" t="s">
        <v>40</v>
      </c>
      <c r="AB2665" s="1" t="s">
        <v>414</v>
      </c>
      <c r="AC2665" s="1">
        <v>5201.0</v>
      </c>
    </row>
    <row r="2666">
      <c r="A2666" s="1" t="str">
        <f>"000M17"</f>
        <v>000M17</v>
      </c>
      <c r="B2666" s="1" t="s">
        <v>10827</v>
      </c>
      <c r="C2666" s="1" t="s">
        <v>10828</v>
      </c>
      <c r="D2666" s="1" t="str">
        <f>"8022389003"</f>
        <v>8022389003</v>
      </c>
      <c r="E2666" s="1">
        <v>4601.0</v>
      </c>
      <c r="F2666" s="1" t="s">
        <v>44</v>
      </c>
      <c r="G2666" s="1" t="s">
        <v>10829</v>
      </c>
      <c r="H2666" s="1">
        <v>2.0</v>
      </c>
      <c r="I2666" s="1"/>
      <c r="J2666" s="1"/>
      <c r="K2666" s="1"/>
      <c r="L2666" s="1"/>
      <c r="M2666" s="1" t="s">
        <v>33</v>
      </c>
      <c r="N2666" s="1" t="s">
        <v>34</v>
      </c>
      <c r="O2666" s="1" t="s">
        <v>35</v>
      </c>
      <c r="P2666" s="1" t="s">
        <v>36</v>
      </c>
      <c r="Q2666" s="3">
        <v>41484.0</v>
      </c>
      <c r="R2666" s="1"/>
      <c r="S2666" s="1"/>
      <c r="T2666" s="1" t="s">
        <v>37</v>
      </c>
      <c r="U2666" s="1"/>
      <c r="V2666" s="1" t="s">
        <v>38</v>
      </c>
      <c r="W2666" s="1">
        <v>43.809753</v>
      </c>
      <c r="X2666" s="1">
        <v>-72.5451279999999</v>
      </c>
      <c r="Y2666" s="1" t="s">
        <v>10830</v>
      </c>
      <c r="Z2666" s="1"/>
      <c r="AA2666" s="1" t="s">
        <v>40</v>
      </c>
      <c r="AB2666" s="1" t="s">
        <v>345</v>
      </c>
      <c r="AC2666" s="1">
        <v>5068.0</v>
      </c>
    </row>
    <row r="2667">
      <c r="A2667" s="1" t="str">
        <f>"000M18"</f>
        <v>000M18</v>
      </c>
      <c r="B2667" s="1" t="s">
        <v>10831</v>
      </c>
      <c r="C2667" s="1" t="s">
        <v>10832</v>
      </c>
      <c r="D2667" s="1" t="str">
        <f>"8023718092"</f>
        <v>8023718092</v>
      </c>
      <c r="E2667" s="1">
        <v>4602.0</v>
      </c>
      <c r="F2667" s="1" t="s">
        <v>44</v>
      </c>
      <c r="G2667" s="1" t="s">
        <v>10833</v>
      </c>
      <c r="H2667" s="1">
        <v>1.0</v>
      </c>
      <c r="I2667" s="1"/>
      <c r="J2667" s="1"/>
      <c r="K2667" s="1"/>
      <c r="L2667" s="1"/>
      <c r="M2667" s="1" t="s">
        <v>33</v>
      </c>
      <c r="N2667" s="1" t="s">
        <v>213</v>
      </c>
      <c r="O2667" s="1" t="s">
        <v>2562</v>
      </c>
      <c r="P2667" s="1" t="s">
        <v>36</v>
      </c>
      <c r="Q2667" s="3">
        <v>41406.0</v>
      </c>
      <c r="R2667" s="1"/>
      <c r="S2667" s="1"/>
      <c r="T2667" s="1" t="s">
        <v>37</v>
      </c>
      <c r="U2667" s="1"/>
      <c r="V2667" s="1" t="s">
        <v>38</v>
      </c>
      <c r="W2667" s="1"/>
      <c r="X2667" s="1"/>
      <c r="Y2667" s="1" t="s">
        <v>10834</v>
      </c>
      <c r="Z2667" s="1"/>
      <c r="AA2667" s="1" t="s">
        <v>40</v>
      </c>
      <c r="AB2667" s="1" t="s">
        <v>2563</v>
      </c>
      <c r="AC2667" s="1">
        <v>5680.0</v>
      </c>
    </row>
    <row r="2668">
      <c r="A2668" s="1" t="str">
        <f>"000M19"</f>
        <v>000M19</v>
      </c>
      <c r="B2668" s="1" t="s">
        <v>10835</v>
      </c>
      <c r="C2668" s="1" t="s">
        <v>10836</v>
      </c>
      <c r="D2668" s="1" t="str">
        <f>"8024574342"</f>
        <v>8024574342</v>
      </c>
      <c r="E2668" s="1">
        <v>4603.0</v>
      </c>
      <c r="F2668" s="1" t="s">
        <v>117</v>
      </c>
      <c r="G2668" s="1" t="s">
        <v>10837</v>
      </c>
      <c r="H2668" s="1">
        <v>11.0</v>
      </c>
      <c r="I2668" s="2">
        <v>0.0</v>
      </c>
      <c r="J2668" s="2">
        <v>16.0</v>
      </c>
      <c r="K2668" s="2" t="s">
        <v>119</v>
      </c>
      <c r="L2668" s="1"/>
      <c r="M2668" s="1" t="s">
        <v>10838</v>
      </c>
      <c r="N2668" s="1" t="s">
        <v>34</v>
      </c>
      <c r="O2668" s="1" t="s">
        <v>324</v>
      </c>
      <c r="P2668" s="1" t="s">
        <v>10839</v>
      </c>
      <c r="Q2668" s="3">
        <v>41479.0</v>
      </c>
      <c r="R2668" s="1"/>
      <c r="S2668" s="3">
        <v>42909.0</v>
      </c>
      <c r="T2668" s="1" t="s">
        <v>37</v>
      </c>
      <c r="U2668" s="1"/>
      <c r="V2668" s="1" t="s">
        <v>38</v>
      </c>
      <c r="W2668" s="1">
        <v>43.6005753784997</v>
      </c>
      <c r="X2668" s="1">
        <v>-72.4887371063232</v>
      </c>
      <c r="Y2668" s="1" t="s">
        <v>10840</v>
      </c>
      <c r="Z2668" s="1"/>
      <c r="AA2668" s="1" t="s">
        <v>40</v>
      </c>
      <c r="AB2668" s="1" t="s">
        <v>326</v>
      </c>
      <c r="AC2668" s="1">
        <v>5091.0</v>
      </c>
    </row>
    <row r="2669">
      <c r="A2669" s="1" t="str">
        <f>"000M1A"</f>
        <v>000M1A</v>
      </c>
      <c r="B2669" s="1" t="s">
        <v>10841</v>
      </c>
      <c r="C2669" s="1" t="s">
        <v>10842</v>
      </c>
      <c r="D2669" s="1" t="str">
        <f>"8025249954"</f>
        <v>8025249954</v>
      </c>
      <c r="E2669" s="1">
        <v>4604.0</v>
      </c>
      <c r="F2669" s="1" t="s">
        <v>44</v>
      </c>
      <c r="G2669" s="1" t="s">
        <v>10843</v>
      </c>
      <c r="H2669" s="1">
        <v>3.0</v>
      </c>
      <c r="I2669" s="1"/>
      <c r="J2669" s="1"/>
      <c r="K2669" s="1"/>
      <c r="L2669" s="1"/>
      <c r="M2669" s="1" t="s">
        <v>33</v>
      </c>
      <c r="N2669" s="1" t="s">
        <v>47</v>
      </c>
      <c r="O2669" s="1" t="s">
        <v>378</v>
      </c>
      <c r="P2669" s="1" t="s">
        <v>10844</v>
      </c>
      <c r="Q2669" s="3">
        <v>41488.0</v>
      </c>
      <c r="R2669" s="1"/>
      <c r="S2669" s="1"/>
      <c r="T2669" s="1" t="s">
        <v>37</v>
      </c>
      <c r="U2669" s="1"/>
      <c r="V2669" s="1" t="s">
        <v>38</v>
      </c>
      <c r="W2669" s="1">
        <v>44.6994885</v>
      </c>
      <c r="X2669" s="1">
        <v>-72.9628717</v>
      </c>
      <c r="Y2669" s="1" t="s">
        <v>10845</v>
      </c>
      <c r="Z2669" s="1"/>
      <c r="AA2669" s="1" t="s">
        <v>40</v>
      </c>
      <c r="AB2669" s="1" t="s">
        <v>381</v>
      </c>
      <c r="AC2669" s="1">
        <v>5455.0</v>
      </c>
    </row>
    <row r="2670">
      <c r="A2670" s="1" t="str">
        <f>"000M1B"</f>
        <v>000M1B</v>
      </c>
      <c r="B2670" s="1" t="s">
        <v>10846</v>
      </c>
      <c r="C2670" s="1" t="s">
        <v>10847</v>
      </c>
      <c r="D2670" s="1" t="str">
        <f>"8024399191"</f>
        <v>8024399191</v>
      </c>
      <c r="E2670" s="1">
        <v>4605.0</v>
      </c>
      <c r="F2670" s="1" t="s">
        <v>117</v>
      </c>
      <c r="G2670" s="1" t="s">
        <v>10848</v>
      </c>
      <c r="H2670" s="1">
        <v>3.0</v>
      </c>
      <c r="I2670" s="2">
        <v>2.0</v>
      </c>
      <c r="J2670" s="2">
        <v>2.0</v>
      </c>
      <c r="K2670" s="2" t="s">
        <v>829</v>
      </c>
      <c r="L2670" s="1"/>
      <c r="M2670" s="1" t="s">
        <v>10849</v>
      </c>
      <c r="N2670" s="1" t="s">
        <v>142</v>
      </c>
      <c r="O2670" s="1" t="s">
        <v>222</v>
      </c>
      <c r="P2670" s="1" t="s">
        <v>10850</v>
      </c>
      <c r="Q2670" s="3">
        <v>41488.0</v>
      </c>
      <c r="R2670" s="1"/>
      <c r="S2670" s="3">
        <v>42937.0</v>
      </c>
      <c r="T2670" s="1" t="s">
        <v>37</v>
      </c>
      <c r="U2670" s="1"/>
      <c r="V2670" s="1" t="s">
        <v>38</v>
      </c>
      <c r="W2670" s="1">
        <v>43.993179</v>
      </c>
      <c r="X2670" s="1">
        <v>-72.257584</v>
      </c>
      <c r="Y2670" s="1" t="s">
        <v>10851</v>
      </c>
      <c r="Z2670" s="1"/>
      <c r="AA2670" s="1" t="s">
        <v>40</v>
      </c>
      <c r="AB2670" s="1" t="s">
        <v>223</v>
      </c>
      <c r="AC2670" s="1">
        <v>5039.0</v>
      </c>
    </row>
    <row r="2671">
      <c r="A2671" s="1" t="str">
        <f>"00088H"</f>
        <v>00088H</v>
      </c>
      <c r="B2671" s="1" t="s">
        <v>2463</v>
      </c>
      <c r="C2671" s="1" t="s">
        <v>2464</v>
      </c>
      <c r="D2671" s="1" t="str">
        <f>"8027442007"</f>
        <v>8027442007</v>
      </c>
      <c r="E2671" s="1">
        <v>3222.0</v>
      </c>
      <c r="F2671" s="1" t="s">
        <v>117</v>
      </c>
      <c r="G2671" s="1" t="s">
        <v>10852</v>
      </c>
      <c r="H2671" s="1">
        <v>32.0</v>
      </c>
      <c r="I2671" s="1"/>
      <c r="J2671" s="1"/>
      <c r="K2671" s="1"/>
      <c r="L2671" s="1"/>
      <c r="M2671" s="1" t="s">
        <v>8879</v>
      </c>
      <c r="N2671" s="1" t="s">
        <v>107</v>
      </c>
      <c r="O2671" s="1" t="s">
        <v>2016</v>
      </c>
      <c r="P2671" s="1" t="s">
        <v>10853</v>
      </c>
      <c r="Q2671" s="3">
        <v>41556.0</v>
      </c>
      <c r="R2671" s="1"/>
      <c r="S2671" s="3">
        <v>41939.0</v>
      </c>
      <c r="T2671" s="1" t="s">
        <v>164</v>
      </c>
      <c r="U2671" s="1"/>
      <c r="V2671" s="1" t="s">
        <v>38</v>
      </c>
      <c r="W2671" s="1">
        <v>44.89571</v>
      </c>
      <c r="X2671" s="1">
        <v>-73.28088</v>
      </c>
      <c r="Y2671" s="1" t="s">
        <v>10854</v>
      </c>
      <c r="Z2671" s="1"/>
      <c r="AA2671" s="1" t="s">
        <v>40</v>
      </c>
      <c r="AB2671" s="1" t="s">
        <v>2019</v>
      </c>
      <c r="AC2671" s="1">
        <v>0.0</v>
      </c>
    </row>
    <row r="2672">
      <c r="A2672" s="1" t="str">
        <f>"000M23"</f>
        <v>000M23</v>
      </c>
      <c r="B2672" s="1" t="s">
        <v>10855</v>
      </c>
      <c r="C2672" s="1" t="s">
        <v>10856</v>
      </c>
      <c r="D2672" s="1" t="str">
        <f>"9738266287"</f>
        <v>9738266287</v>
      </c>
      <c r="E2672" s="1">
        <v>4606.0</v>
      </c>
      <c r="F2672" s="1" t="s">
        <v>44</v>
      </c>
      <c r="G2672" s="1" t="s">
        <v>10857</v>
      </c>
      <c r="H2672" s="1">
        <v>2.0</v>
      </c>
      <c r="I2672" s="1"/>
      <c r="J2672" s="1"/>
      <c r="K2672" s="1"/>
      <c r="L2672" s="1"/>
      <c r="M2672" s="1" t="s">
        <v>2407</v>
      </c>
      <c r="N2672" s="1" t="s">
        <v>78</v>
      </c>
      <c r="O2672" s="1" t="s">
        <v>2066</v>
      </c>
      <c r="P2672" s="1" t="s">
        <v>36</v>
      </c>
      <c r="Q2672" s="3">
        <v>41569.0</v>
      </c>
      <c r="R2672" s="1"/>
      <c r="S2672" s="1"/>
      <c r="T2672" s="1" t="s">
        <v>37</v>
      </c>
      <c r="U2672" s="1"/>
      <c r="V2672" s="1" t="s">
        <v>38</v>
      </c>
      <c r="W2672" s="1">
        <v>43.655556</v>
      </c>
      <c r="X2672" s="1">
        <v>-73.3438889999999</v>
      </c>
      <c r="Y2672" s="1" t="s">
        <v>10858</v>
      </c>
      <c r="Z2672" s="1"/>
      <c r="AA2672" s="1" t="s">
        <v>40</v>
      </c>
      <c r="AB2672" s="1" t="s">
        <v>2069</v>
      </c>
      <c r="AC2672" s="1">
        <v>7543.0</v>
      </c>
    </row>
    <row r="2673">
      <c r="A2673" s="1" t="str">
        <f>"0007WA"</f>
        <v>0007WA</v>
      </c>
      <c r="B2673" s="1" t="s">
        <v>157</v>
      </c>
      <c r="C2673" s="1" t="s">
        <v>158</v>
      </c>
      <c r="D2673" s="1" t="str">
        <f>"8029482057"</f>
        <v>8029482057</v>
      </c>
      <c r="E2673" s="1">
        <v>1217.0</v>
      </c>
      <c r="F2673" s="1" t="s">
        <v>31</v>
      </c>
      <c r="G2673" s="1" t="s">
        <v>10859</v>
      </c>
      <c r="H2673" s="1">
        <v>2.0</v>
      </c>
      <c r="I2673" s="1"/>
      <c r="J2673" s="1"/>
      <c r="K2673" s="1"/>
      <c r="L2673" s="1"/>
      <c r="M2673" s="1" t="s">
        <v>10860</v>
      </c>
      <c r="N2673" s="1" t="s">
        <v>161</v>
      </c>
      <c r="O2673" s="1" t="s">
        <v>531</v>
      </c>
      <c r="P2673" s="1" t="s">
        <v>10861</v>
      </c>
      <c r="Q2673" s="3">
        <v>40544.0</v>
      </c>
      <c r="R2673" s="1"/>
      <c r="S2673" s="3">
        <v>41551.0</v>
      </c>
      <c r="T2673" s="1" t="s">
        <v>164</v>
      </c>
      <c r="U2673" s="1"/>
      <c r="V2673" s="1" t="s">
        <v>38</v>
      </c>
      <c r="W2673" s="1">
        <v>43.80486</v>
      </c>
      <c r="X2673" s="1">
        <v>-73.2923099999999</v>
      </c>
      <c r="Y2673" s="1" t="s">
        <v>10862</v>
      </c>
      <c r="Z2673" s="1"/>
      <c r="AA2673" s="1" t="s">
        <v>40</v>
      </c>
      <c r="AB2673" s="1" t="s">
        <v>532</v>
      </c>
      <c r="AC2673" s="1">
        <v>5760.0</v>
      </c>
    </row>
    <row r="2674">
      <c r="A2674" s="1" t="str">
        <f>"0007V0"</f>
        <v>0007V0</v>
      </c>
      <c r="B2674" s="1" t="s">
        <v>8109</v>
      </c>
      <c r="C2674" s="1" t="s">
        <v>8110</v>
      </c>
      <c r="D2674" s="1" t="str">
        <f>"8024623722"</f>
        <v>8024623722</v>
      </c>
      <c r="E2674" s="1">
        <v>4027.0</v>
      </c>
      <c r="F2674" s="1" t="s">
        <v>117</v>
      </c>
      <c r="G2674" s="1" t="s">
        <v>10863</v>
      </c>
      <c r="H2674" s="1">
        <v>120.0</v>
      </c>
      <c r="I2674" s="2" t="s">
        <v>119</v>
      </c>
      <c r="J2674" s="2" t="s">
        <v>119</v>
      </c>
      <c r="K2674" s="2" t="s">
        <v>119</v>
      </c>
      <c r="L2674" s="1"/>
      <c r="M2674" s="1" t="s">
        <v>10864</v>
      </c>
      <c r="N2674" s="1" t="s">
        <v>161</v>
      </c>
      <c r="O2674" s="1" t="s">
        <v>3313</v>
      </c>
      <c r="P2674" s="1" t="s">
        <v>10865</v>
      </c>
      <c r="Q2674" s="3">
        <v>41578.0</v>
      </c>
      <c r="R2674" s="1"/>
      <c r="S2674" s="3">
        <v>41943.0</v>
      </c>
      <c r="T2674" s="1" t="s">
        <v>37</v>
      </c>
      <c r="U2674" s="1"/>
      <c r="V2674" s="1" t="s">
        <v>38</v>
      </c>
      <c r="W2674" s="1">
        <v>43.91141</v>
      </c>
      <c r="X2674" s="1">
        <v>-73.12248</v>
      </c>
      <c r="Y2674" s="1" t="s">
        <v>10866</v>
      </c>
      <c r="Z2674" s="1"/>
      <c r="AA2674" s="1" t="s">
        <v>40</v>
      </c>
      <c r="AB2674" s="1" t="s">
        <v>3314</v>
      </c>
      <c r="AC2674" s="1">
        <v>0.0</v>
      </c>
    </row>
    <row r="2675">
      <c r="A2675" s="1" t="str">
        <f>"000M32"</f>
        <v>000M32</v>
      </c>
      <c r="B2675" s="1" t="s">
        <v>10867</v>
      </c>
      <c r="C2675" s="1" t="s">
        <v>10868</v>
      </c>
      <c r="D2675" s="1" t="str">
        <f>"8028230293"</f>
        <v>8028230293</v>
      </c>
      <c r="E2675" s="1">
        <v>4607.0</v>
      </c>
      <c r="F2675" s="1" t="s">
        <v>44</v>
      </c>
      <c r="G2675" s="1" t="s">
        <v>10869</v>
      </c>
      <c r="H2675" s="1">
        <v>1.0</v>
      </c>
      <c r="I2675" s="1"/>
      <c r="J2675" s="1"/>
      <c r="K2675" s="1"/>
      <c r="L2675" s="1"/>
      <c r="M2675" s="1" t="s">
        <v>33</v>
      </c>
      <c r="N2675" s="1" t="s">
        <v>414</v>
      </c>
      <c r="O2675" s="1" t="s">
        <v>720</v>
      </c>
      <c r="P2675" s="1" t="s">
        <v>36</v>
      </c>
      <c r="Q2675" s="3">
        <v>41579.0</v>
      </c>
      <c r="R2675" s="1"/>
      <c r="S2675" s="3">
        <v>41536.0</v>
      </c>
      <c r="T2675" s="1" t="s">
        <v>37</v>
      </c>
      <c r="U2675" s="1"/>
      <c r="V2675" s="1" t="s">
        <v>38</v>
      </c>
      <c r="W2675" s="1">
        <v>42.81036</v>
      </c>
      <c r="X2675" s="1">
        <v>-73.22662</v>
      </c>
      <c r="Y2675" s="1" t="s">
        <v>10870</v>
      </c>
      <c r="Z2675" s="1"/>
      <c r="AA2675" s="1" t="s">
        <v>40</v>
      </c>
      <c r="AB2675" s="1" t="s">
        <v>414</v>
      </c>
      <c r="AC2675" s="1">
        <v>5201.0</v>
      </c>
    </row>
    <row r="2676">
      <c r="A2676" s="1" t="str">
        <f>"000M5C"</f>
        <v>000M5C</v>
      </c>
      <c r="B2676" s="1" t="s">
        <v>10871</v>
      </c>
      <c r="C2676" s="1" t="s">
        <v>10872</v>
      </c>
      <c r="D2676" s="1" t="str">
        <f>"8028692495"</f>
        <v>8028692495</v>
      </c>
      <c r="E2676" s="1">
        <v>4608.0</v>
      </c>
      <c r="F2676" s="1" t="s">
        <v>44</v>
      </c>
      <c r="G2676" s="1" t="s">
        <v>10873</v>
      </c>
      <c r="H2676" s="1">
        <v>0.0</v>
      </c>
      <c r="I2676" s="1"/>
      <c r="J2676" s="1"/>
      <c r="K2676" s="1"/>
      <c r="L2676" s="1"/>
      <c r="M2676" s="1" t="s">
        <v>33</v>
      </c>
      <c r="N2676" s="1" t="s">
        <v>66</v>
      </c>
      <c r="O2676" s="1" t="s">
        <v>1199</v>
      </c>
      <c r="P2676" s="1" t="s">
        <v>36</v>
      </c>
      <c r="Q2676" s="3">
        <v>41590.0</v>
      </c>
      <c r="R2676" s="1"/>
      <c r="S2676" s="3">
        <v>41590.0</v>
      </c>
      <c r="T2676" s="1" t="s">
        <v>37</v>
      </c>
      <c r="U2676" s="1"/>
      <c r="V2676" s="1" t="s">
        <v>38</v>
      </c>
      <c r="W2676" s="1"/>
      <c r="X2676" s="1"/>
      <c r="Y2676" s="1" t="s">
        <v>10874</v>
      </c>
      <c r="Z2676" s="1"/>
      <c r="AA2676" s="1" t="s">
        <v>40</v>
      </c>
      <c r="AB2676" s="1" t="s">
        <v>8423</v>
      </c>
      <c r="AC2676" s="1">
        <v>5194.0</v>
      </c>
    </row>
    <row r="2677">
      <c r="A2677" s="1" t="str">
        <f>"000M5V"</f>
        <v>000M5V</v>
      </c>
      <c r="B2677" s="1" t="s">
        <v>10875</v>
      </c>
      <c r="C2677" s="1" t="s">
        <v>10876</v>
      </c>
      <c r="D2677" s="1" t="str">
        <f>"6178342832"</f>
        <v>6178342832</v>
      </c>
      <c r="E2677" s="1">
        <v>4609.0</v>
      </c>
      <c r="F2677" s="1" t="s">
        <v>117</v>
      </c>
      <c r="G2677" s="1" t="s">
        <v>10877</v>
      </c>
      <c r="H2677" s="1">
        <v>8.0</v>
      </c>
      <c r="I2677" s="2" t="s">
        <v>119</v>
      </c>
      <c r="J2677" s="2" t="s">
        <v>119</v>
      </c>
      <c r="K2677" s="2" t="s">
        <v>119</v>
      </c>
      <c r="L2677" s="1"/>
      <c r="M2677" s="1" t="s">
        <v>10878</v>
      </c>
      <c r="N2677" s="1" t="s">
        <v>414</v>
      </c>
      <c r="O2677" s="1" t="s">
        <v>2880</v>
      </c>
      <c r="P2677" s="1" t="s">
        <v>10879</v>
      </c>
      <c r="Q2677" s="3">
        <v>41586.0</v>
      </c>
      <c r="R2677" s="1"/>
      <c r="S2677" s="1"/>
      <c r="T2677" s="1" t="s">
        <v>37</v>
      </c>
      <c r="U2677" s="1"/>
      <c r="V2677" s="1" t="s">
        <v>38</v>
      </c>
      <c r="W2677" s="1">
        <v>43.159721</v>
      </c>
      <c r="X2677" s="1">
        <v>-73.0310668999999</v>
      </c>
      <c r="Y2677" s="1" t="s">
        <v>10880</v>
      </c>
      <c r="Z2677" s="1"/>
      <c r="AA2677" s="1" t="s">
        <v>40</v>
      </c>
      <c r="AB2677" s="1" t="s">
        <v>9593</v>
      </c>
      <c r="AC2677" s="1">
        <v>5255.0</v>
      </c>
    </row>
    <row r="2678">
      <c r="A2678" s="1" t="str">
        <f>"000M5W"</f>
        <v>000M5W</v>
      </c>
      <c r="B2678" s="1" t="s">
        <v>10881</v>
      </c>
      <c r="C2678" s="1" t="s">
        <v>10882</v>
      </c>
      <c r="D2678" s="1" t="str">
        <f>"6148044524"</f>
        <v>6148044524</v>
      </c>
      <c r="E2678" s="1">
        <v>4610.0</v>
      </c>
      <c r="F2678" s="1" t="s">
        <v>44</v>
      </c>
      <c r="G2678" s="1" t="s">
        <v>10883</v>
      </c>
      <c r="H2678" s="1">
        <v>2.0</v>
      </c>
      <c r="I2678" s="1"/>
      <c r="J2678" s="1"/>
      <c r="K2678" s="1"/>
      <c r="L2678" s="1"/>
      <c r="M2678" s="1" t="s">
        <v>33</v>
      </c>
      <c r="N2678" s="1" t="s">
        <v>34</v>
      </c>
      <c r="O2678" s="1" t="s">
        <v>463</v>
      </c>
      <c r="P2678" s="1" t="s">
        <v>10884</v>
      </c>
      <c r="Q2678" s="3">
        <v>41533.0</v>
      </c>
      <c r="R2678" s="1"/>
      <c r="S2678" s="1"/>
      <c r="T2678" s="1" t="s">
        <v>37</v>
      </c>
      <c r="U2678" s="1"/>
      <c r="V2678" s="1" t="s">
        <v>38</v>
      </c>
      <c r="W2678" s="1">
        <v>43.7548220804212</v>
      </c>
      <c r="X2678" s="1">
        <v>-72.385675907135</v>
      </c>
      <c r="Y2678" s="1" t="s">
        <v>10885</v>
      </c>
      <c r="Z2678" s="1"/>
      <c r="AA2678" s="1" t="s">
        <v>40</v>
      </c>
      <c r="AB2678" s="1" t="s">
        <v>466</v>
      </c>
      <c r="AC2678" s="1">
        <v>5055.0</v>
      </c>
    </row>
    <row r="2679">
      <c r="A2679" s="1" t="str">
        <f>"000M5X"</f>
        <v>000M5X</v>
      </c>
      <c r="B2679" s="1" t="s">
        <v>10886</v>
      </c>
      <c r="C2679" s="1" t="s">
        <v>10887</v>
      </c>
      <c r="D2679" s="1" t="str">
        <f>"8022879393"</f>
        <v>8022879393</v>
      </c>
      <c r="E2679" s="1">
        <v>4611.0</v>
      </c>
      <c r="F2679" s="1" t="s">
        <v>117</v>
      </c>
      <c r="G2679" s="1" t="s">
        <v>10888</v>
      </c>
      <c r="H2679" s="1">
        <v>2.0</v>
      </c>
      <c r="I2679" s="2" t="s">
        <v>119</v>
      </c>
      <c r="J2679" s="2">
        <v>1.0</v>
      </c>
      <c r="K2679" s="2" t="s">
        <v>119</v>
      </c>
      <c r="L2679" s="1"/>
      <c r="M2679" s="1" t="s">
        <v>10889</v>
      </c>
      <c r="N2679" s="1" t="s">
        <v>78</v>
      </c>
      <c r="O2679" s="1" t="s">
        <v>615</v>
      </c>
      <c r="P2679" s="1" t="s">
        <v>10890</v>
      </c>
      <c r="Q2679" s="3">
        <v>41362.0</v>
      </c>
      <c r="R2679" s="1"/>
      <c r="S2679" s="1"/>
      <c r="T2679" s="1" t="s">
        <v>37</v>
      </c>
      <c r="U2679" s="1"/>
      <c r="V2679" s="1" t="s">
        <v>38</v>
      </c>
      <c r="W2679" s="1">
        <v>43.540653</v>
      </c>
      <c r="X2679" s="1">
        <v>-73.211159</v>
      </c>
      <c r="Y2679" s="1" t="s">
        <v>10891</v>
      </c>
      <c r="Z2679" s="1"/>
      <c r="AA2679" s="1" t="s">
        <v>40</v>
      </c>
      <c r="AB2679" s="1" t="s">
        <v>616</v>
      </c>
      <c r="AC2679" s="1">
        <v>5764.0</v>
      </c>
    </row>
    <row r="2680">
      <c r="A2680" s="1" t="str">
        <f>"000M5Y"</f>
        <v>000M5Y</v>
      </c>
      <c r="B2680" s="1" t="s">
        <v>10892</v>
      </c>
      <c r="C2680" s="1" t="s">
        <v>10893</v>
      </c>
      <c r="D2680" s="1" t="str">
        <f>"8023682988"</f>
        <v>8023682988</v>
      </c>
      <c r="E2680" s="1">
        <v>4612.0</v>
      </c>
      <c r="F2680" s="1" t="s">
        <v>44</v>
      </c>
      <c r="G2680" s="1" t="s">
        <v>10894</v>
      </c>
      <c r="H2680" s="1">
        <v>2.0</v>
      </c>
      <c r="I2680" s="1"/>
      <c r="J2680" s="1"/>
      <c r="K2680" s="1"/>
      <c r="L2680" s="1"/>
      <c r="M2680" s="1" t="s">
        <v>33</v>
      </c>
      <c r="N2680" s="1" t="s">
        <v>66</v>
      </c>
      <c r="O2680" s="1" t="s">
        <v>788</v>
      </c>
      <c r="P2680" s="1" t="s">
        <v>36</v>
      </c>
      <c r="Q2680" s="3">
        <v>41421.0</v>
      </c>
      <c r="R2680" s="1"/>
      <c r="S2680" s="1"/>
      <c r="T2680" s="1" t="s">
        <v>37</v>
      </c>
      <c r="U2680" s="1"/>
      <c r="V2680" s="1" t="s">
        <v>38</v>
      </c>
      <c r="W2680" s="1">
        <v>42.798065</v>
      </c>
      <c r="X2680" s="1">
        <v>-72.8668139999999</v>
      </c>
      <c r="Y2680" s="1" t="s">
        <v>10895</v>
      </c>
      <c r="Z2680" s="1"/>
      <c r="AA2680" s="1" t="s">
        <v>40</v>
      </c>
      <c r="AB2680" s="1" t="s">
        <v>789</v>
      </c>
      <c r="AC2680" s="1">
        <v>5361.0</v>
      </c>
    </row>
    <row r="2681">
      <c r="A2681" s="1" t="str">
        <f>"000M5Z"</f>
        <v>000M5Z</v>
      </c>
      <c r="B2681" s="1" t="s">
        <v>10896</v>
      </c>
      <c r="C2681" s="1" t="s">
        <v>10897</v>
      </c>
      <c r="D2681" s="1" t="str">
        <f>"8025787353"</f>
        <v>8025787353</v>
      </c>
      <c r="E2681" s="1">
        <v>4613.0</v>
      </c>
      <c r="F2681" s="1" t="s">
        <v>31</v>
      </c>
      <c r="G2681" s="1" t="s">
        <v>10898</v>
      </c>
      <c r="H2681" s="1">
        <v>1.0</v>
      </c>
      <c r="I2681" s="1"/>
      <c r="J2681" s="1"/>
      <c r="K2681" s="1"/>
      <c r="L2681" s="1"/>
      <c r="M2681" s="1" t="s">
        <v>33</v>
      </c>
      <c r="N2681" s="1" t="s">
        <v>57</v>
      </c>
      <c r="O2681" s="1" t="s">
        <v>509</v>
      </c>
      <c r="P2681" s="1" t="s">
        <v>36</v>
      </c>
      <c r="Q2681" s="3">
        <v>41625.0</v>
      </c>
      <c r="R2681" s="1"/>
      <c r="S2681" s="1"/>
      <c r="T2681" s="1" t="s">
        <v>37</v>
      </c>
      <c r="U2681" s="1"/>
      <c r="V2681" s="1" t="s">
        <v>38</v>
      </c>
      <c r="W2681" s="1">
        <v>44.480194</v>
      </c>
      <c r="X2681" s="1">
        <v>-73.1314959999999</v>
      </c>
      <c r="Y2681" s="1" t="s">
        <v>10899</v>
      </c>
      <c r="Z2681" s="1"/>
      <c r="AA2681" s="1" t="s">
        <v>40</v>
      </c>
      <c r="AB2681" s="1" t="s">
        <v>10900</v>
      </c>
      <c r="AC2681" s="1">
        <v>5444.0</v>
      </c>
    </row>
    <row r="2682">
      <c r="A2682" s="1" t="str">
        <f>"000M60"</f>
        <v>000M60</v>
      </c>
      <c r="B2682" s="1" t="s">
        <v>10901</v>
      </c>
      <c r="C2682" s="1" t="s">
        <v>10902</v>
      </c>
      <c r="D2682" s="1" t="str">
        <f>"8022950920"</f>
        <v>8022950920</v>
      </c>
      <c r="E2682" s="1">
        <v>4614.0</v>
      </c>
      <c r="F2682" s="1" t="s">
        <v>44</v>
      </c>
      <c r="G2682" s="1" t="s">
        <v>10903</v>
      </c>
      <c r="H2682" s="1">
        <v>1.0</v>
      </c>
      <c r="I2682" s="1"/>
      <c r="J2682" s="1"/>
      <c r="K2682" s="1"/>
      <c r="L2682" s="1"/>
      <c r="M2682" s="1" t="s">
        <v>33</v>
      </c>
      <c r="N2682" s="1" t="s">
        <v>34</v>
      </c>
      <c r="O2682" s="1" t="s">
        <v>953</v>
      </c>
      <c r="P2682" s="1" t="s">
        <v>36</v>
      </c>
      <c r="Q2682" s="3">
        <v>41512.0</v>
      </c>
      <c r="R2682" s="1"/>
      <c r="S2682" s="1"/>
      <c r="T2682" s="1" t="s">
        <v>37</v>
      </c>
      <c r="U2682" s="1"/>
      <c r="V2682" s="1" t="s">
        <v>38</v>
      </c>
      <c r="W2682" s="1">
        <v>43.682026</v>
      </c>
      <c r="X2682" s="1">
        <v>-72.347389</v>
      </c>
      <c r="Y2682" s="1" t="s">
        <v>10904</v>
      </c>
      <c r="Z2682" s="1"/>
      <c r="AA2682" s="1" t="s">
        <v>40</v>
      </c>
      <c r="AB2682" s="1" t="s">
        <v>8959</v>
      </c>
      <c r="AC2682" s="1">
        <v>5001.0</v>
      </c>
    </row>
    <row r="2683">
      <c r="A2683" s="1" t="str">
        <f>"000M72"</f>
        <v>000M72</v>
      </c>
      <c r="B2683" s="1" t="s">
        <v>10905</v>
      </c>
      <c r="C2683" s="1" t="s">
        <v>10906</v>
      </c>
      <c r="D2683" s="1" t="str">
        <f>"8028992212"</f>
        <v>8028992212</v>
      </c>
      <c r="E2683" s="1">
        <v>4615.0</v>
      </c>
      <c r="F2683" s="1" t="s">
        <v>44</v>
      </c>
      <c r="G2683" s="1" t="s">
        <v>10907</v>
      </c>
      <c r="H2683" s="1">
        <v>2.0</v>
      </c>
      <c r="I2683" s="1"/>
      <c r="J2683" s="1"/>
      <c r="K2683" s="1"/>
      <c r="L2683" s="1"/>
      <c r="M2683" s="1" t="s">
        <v>33</v>
      </c>
      <c r="N2683" s="1" t="s">
        <v>57</v>
      </c>
      <c r="O2683" s="1" t="s">
        <v>745</v>
      </c>
      <c r="P2683" s="1" t="s">
        <v>36</v>
      </c>
      <c r="Q2683" s="3">
        <v>41470.0</v>
      </c>
      <c r="R2683" s="1"/>
      <c r="S2683" s="3">
        <v>41470.0</v>
      </c>
      <c r="T2683" s="1" t="s">
        <v>37</v>
      </c>
      <c r="U2683" s="1"/>
      <c r="V2683" s="1" t="s">
        <v>38</v>
      </c>
      <c r="W2683" s="1">
        <v>44.49762</v>
      </c>
      <c r="X2683" s="1">
        <v>-73.0005069999999</v>
      </c>
      <c r="Y2683" s="1" t="s">
        <v>10908</v>
      </c>
      <c r="Z2683" s="1"/>
      <c r="AA2683" s="1" t="s">
        <v>40</v>
      </c>
      <c r="AB2683" s="1" t="s">
        <v>746</v>
      </c>
      <c r="AC2683" s="1">
        <v>5465.0</v>
      </c>
    </row>
    <row r="2684">
      <c r="A2684" s="1" t="str">
        <f>"000M73"</f>
        <v>000M73</v>
      </c>
      <c r="B2684" s="1" t="s">
        <v>10909</v>
      </c>
      <c r="C2684" s="1" t="s">
        <v>10910</v>
      </c>
      <c r="D2684" s="1" t="str">
        <f>"6035055603"</f>
        <v>6035055603</v>
      </c>
      <c r="E2684" s="1">
        <v>4616.0</v>
      </c>
      <c r="F2684" s="1" t="s">
        <v>31</v>
      </c>
      <c r="G2684" s="1" t="s">
        <v>10911</v>
      </c>
      <c r="H2684" s="1">
        <v>2.0</v>
      </c>
      <c r="I2684" s="1"/>
      <c r="J2684" s="1"/>
      <c r="K2684" s="1"/>
      <c r="L2684" s="1"/>
      <c r="M2684" s="1" t="s">
        <v>33</v>
      </c>
      <c r="N2684" s="1" t="s">
        <v>128</v>
      </c>
      <c r="O2684" s="1" t="s">
        <v>1707</v>
      </c>
      <c r="P2684" s="1" t="s">
        <v>36</v>
      </c>
      <c r="Q2684" s="3">
        <v>41648.0</v>
      </c>
      <c r="R2684" s="1"/>
      <c r="S2684" s="3">
        <v>41858.0</v>
      </c>
      <c r="T2684" s="1" t="s">
        <v>37</v>
      </c>
      <c r="U2684" s="1"/>
      <c r="V2684" s="1" t="s">
        <v>38</v>
      </c>
      <c r="W2684" s="1">
        <v>44.4193374</v>
      </c>
      <c r="X2684" s="1">
        <v>-72.0155424999999</v>
      </c>
      <c r="Y2684" s="1" t="s">
        <v>10912</v>
      </c>
      <c r="Z2684" s="1"/>
      <c r="AA2684" s="1" t="s">
        <v>40</v>
      </c>
      <c r="AB2684" s="1" t="s">
        <v>1574</v>
      </c>
      <c r="AC2684" s="1">
        <v>5819.0</v>
      </c>
    </row>
    <row r="2685">
      <c r="A2685" s="1" t="str">
        <f>"000J7N"</f>
        <v>000J7N</v>
      </c>
      <c r="B2685" s="1" t="s">
        <v>8769</v>
      </c>
      <c r="C2685" s="1" t="s">
        <v>8770</v>
      </c>
      <c r="D2685" s="1" t="str">
        <f>"8023433306"</f>
        <v>8023433306</v>
      </c>
      <c r="E2685" s="1">
        <v>4398.0</v>
      </c>
      <c r="F2685" s="1" t="s">
        <v>31</v>
      </c>
      <c r="G2685" s="1" t="s">
        <v>10913</v>
      </c>
      <c r="H2685" s="1">
        <v>18.0</v>
      </c>
      <c r="I2685" s="1"/>
      <c r="J2685" s="1"/>
      <c r="K2685" s="1"/>
      <c r="L2685" s="1"/>
      <c r="M2685" s="1" t="s">
        <v>10914</v>
      </c>
      <c r="N2685" s="1" t="s">
        <v>57</v>
      </c>
      <c r="O2685" s="1" t="s">
        <v>745</v>
      </c>
      <c r="P2685" s="1" t="s">
        <v>8773</v>
      </c>
      <c r="Q2685" s="3">
        <v>41359.0</v>
      </c>
      <c r="R2685" s="1"/>
      <c r="S2685" s="1"/>
      <c r="T2685" s="1" t="s">
        <v>37</v>
      </c>
      <c r="U2685" s="1"/>
      <c r="V2685" s="1" t="s">
        <v>38</v>
      </c>
      <c r="W2685" s="1">
        <v>44.458187</v>
      </c>
      <c r="X2685" s="1">
        <v>-73.0179329999999</v>
      </c>
      <c r="Y2685" s="1" t="s">
        <v>10915</v>
      </c>
      <c r="Z2685" s="1"/>
      <c r="AA2685" s="1" t="s">
        <v>40</v>
      </c>
      <c r="AB2685" s="1" t="s">
        <v>746</v>
      </c>
      <c r="AC2685" s="1">
        <v>0.0</v>
      </c>
    </row>
    <row r="2686">
      <c r="A2686" s="1" t="str">
        <f>"000M7C"</f>
        <v>000M7C</v>
      </c>
      <c r="B2686" s="1" t="s">
        <v>10916</v>
      </c>
      <c r="C2686" s="1" t="s">
        <v>10917</v>
      </c>
      <c r="D2686" s="1" t="str">
        <f>"8024799038"</f>
        <v>8024799038</v>
      </c>
      <c r="E2686" s="1">
        <v>4617.0</v>
      </c>
      <c r="F2686" s="1" t="s">
        <v>31</v>
      </c>
      <c r="G2686" s="1" t="s">
        <v>10918</v>
      </c>
      <c r="H2686" s="1">
        <v>2.0</v>
      </c>
      <c r="I2686" s="1"/>
      <c r="J2686" s="1"/>
      <c r="K2686" s="1"/>
      <c r="L2686" s="1"/>
      <c r="M2686" s="1" t="s">
        <v>33</v>
      </c>
      <c r="N2686" s="1" t="s">
        <v>135</v>
      </c>
      <c r="O2686" s="1" t="s">
        <v>343</v>
      </c>
      <c r="P2686" s="1" t="s">
        <v>36</v>
      </c>
      <c r="Q2686" s="3">
        <v>41653.0</v>
      </c>
      <c r="R2686" s="1"/>
      <c r="S2686" s="3">
        <v>41855.0</v>
      </c>
      <c r="T2686" s="1" t="s">
        <v>37</v>
      </c>
      <c r="U2686" s="1"/>
      <c r="V2686" s="1" t="s">
        <v>38</v>
      </c>
      <c r="W2686" s="1">
        <v>44.16159</v>
      </c>
      <c r="X2686" s="1">
        <v>-72.55086</v>
      </c>
      <c r="Y2686" s="1" t="s">
        <v>10919</v>
      </c>
      <c r="Z2686" s="1"/>
      <c r="AA2686" s="1" t="s">
        <v>40</v>
      </c>
      <c r="AB2686" s="1" t="s">
        <v>4019</v>
      </c>
      <c r="AC2686" s="1">
        <v>5641.0</v>
      </c>
    </row>
    <row r="2687">
      <c r="A2687" s="1" t="str">
        <f>"000M7D"</f>
        <v>000M7D</v>
      </c>
      <c r="B2687" s="1" t="s">
        <v>10920</v>
      </c>
      <c r="C2687" s="1" t="s">
        <v>10921</v>
      </c>
      <c r="D2687" s="1" t="str">
        <f>"8027328085"</f>
        <v>8027328085</v>
      </c>
      <c r="E2687" s="1">
        <v>4618.0</v>
      </c>
      <c r="F2687" s="1" t="s">
        <v>44</v>
      </c>
      <c r="G2687" s="1" t="s">
        <v>10922</v>
      </c>
      <c r="H2687" s="1">
        <v>1.0</v>
      </c>
      <c r="I2687" s="1"/>
      <c r="J2687" s="1"/>
      <c r="K2687" s="1"/>
      <c r="L2687" s="1"/>
      <c r="M2687" s="1" t="s">
        <v>33</v>
      </c>
      <c r="N2687" s="1" t="s">
        <v>66</v>
      </c>
      <c r="O2687" s="1" t="s">
        <v>113</v>
      </c>
      <c r="P2687" s="1" t="s">
        <v>36</v>
      </c>
      <c r="Q2687" s="3">
        <v>41548.0</v>
      </c>
      <c r="R2687" s="1"/>
      <c r="S2687" s="1"/>
      <c r="T2687" s="1" t="s">
        <v>37</v>
      </c>
      <c r="U2687" s="1"/>
      <c r="V2687" s="1" t="s">
        <v>38</v>
      </c>
      <c r="W2687" s="1">
        <v>43.0770032</v>
      </c>
      <c r="X2687" s="1">
        <v>-72.448342</v>
      </c>
      <c r="Y2687" s="1" t="s">
        <v>10923</v>
      </c>
      <c r="Z2687" s="1"/>
      <c r="AA2687" s="1" t="s">
        <v>40</v>
      </c>
      <c r="AB2687" s="1" t="s">
        <v>114</v>
      </c>
      <c r="AC2687" s="1">
        <v>5158.0</v>
      </c>
    </row>
    <row r="2688">
      <c r="A2688" s="1" t="str">
        <f>"000M7Q"</f>
        <v>000M7Q</v>
      </c>
      <c r="B2688" s="1" t="s">
        <v>10924</v>
      </c>
      <c r="C2688" s="1" t="s">
        <v>10925</v>
      </c>
      <c r="D2688" s="1" t="str">
        <f>"8025581932"</f>
        <v>8025581932</v>
      </c>
      <c r="E2688" s="1">
        <v>4619.0</v>
      </c>
      <c r="F2688" s="1" t="s">
        <v>44</v>
      </c>
      <c r="G2688" s="1" t="s">
        <v>10926</v>
      </c>
      <c r="H2688" s="1">
        <v>1.0</v>
      </c>
      <c r="I2688" s="1"/>
      <c r="J2688" s="1"/>
      <c r="K2688" s="1"/>
      <c r="L2688" s="1"/>
      <c r="M2688" s="1" t="s">
        <v>10927</v>
      </c>
      <c r="N2688" s="1" t="s">
        <v>78</v>
      </c>
      <c r="O2688" s="1" t="s">
        <v>1303</v>
      </c>
      <c r="P2688" s="1" t="s">
        <v>10928</v>
      </c>
      <c r="Q2688" s="3">
        <v>41656.0</v>
      </c>
      <c r="R2688" s="1"/>
      <c r="S2688" s="1"/>
      <c r="T2688" s="1" t="s">
        <v>37</v>
      </c>
      <c r="U2688" s="1"/>
      <c r="V2688" s="1" t="s">
        <v>38</v>
      </c>
      <c r="W2688" s="1">
        <v>43.51017</v>
      </c>
      <c r="X2688" s="1">
        <v>-72.816727</v>
      </c>
      <c r="Y2688" s="1" t="s">
        <v>10929</v>
      </c>
      <c r="Z2688" s="1"/>
      <c r="AA2688" s="1" t="s">
        <v>40</v>
      </c>
      <c r="AB2688" s="1" t="s">
        <v>1304</v>
      </c>
      <c r="AC2688" s="1">
        <v>5738.0</v>
      </c>
    </row>
    <row r="2689">
      <c r="A2689" s="1" t="str">
        <f>"000M7V"</f>
        <v>000M7V</v>
      </c>
      <c r="B2689" s="1" t="s">
        <v>10930</v>
      </c>
      <c r="C2689" s="1" t="s">
        <v>10931</v>
      </c>
      <c r="D2689" s="1" t="str">
        <f>"8026581406"</f>
        <v>8026581406</v>
      </c>
      <c r="E2689" s="1">
        <v>4620.0</v>
      </c>
      <c r="F2689" s="1" t="s">
        <v>44</v>
      </c>
      <c r="G2689" s="1" t="s">
        <v>10932</v>
      </c>
      <c r="H2689" s="1">
        <v>1.0</v>
      </c>
      <c r="I2689" s="2">
        <v>1.0</v>
      </c>
      <c r="J2689" s="2">
        <v>1.0</v>
      </c>
      <c r="K2689" s="2" t="s">
        <v>119</v>
      </c>
      <c r="L2689" s="1"/>
      <c r="M2689" s="1" t="s">
        <v>33</v>
      </c>
      <c r="N2689" s="1" t="s">
        <v>57</v>
      </c>
      <c r="O2689" s="1" t="s">
        <v>175</v>
      </c>
      <c r="P2689" s="1" t="s">
        <v>36</v>
      </c>
      <c r="Q2689" s="3">
        <v>41555.0</v>
      </c>
      <c r="R2689" s="1"/>
      <c r="S2689" s="1"/>
      <c r="T2689" s="1" t="s">
        <v>37</v>
      </c>
      <c r="U2689" s="1"/>
      <c r="V2689" s="1" t="s">
        <v>38</v>
      </c>
      <c r="W2689" s="1">
        <v>44.469637</v>
      </c>
      <c r="X2689" s="1">
        <v>-73.208709</v>
      </c>
      <c r="Y2689" s="1" t="s">
        <v>10933</v>
      </c>
      <c r="Z2689" s="1"/>
      <c r="AA2689" s="1" t="s">
        <v>40</v>
      </c>
      <c r="AB2689" s="1" t="s">
        <v>176</v>
      </c>
      <c r="AC2689" s="1">
        <v>5401.0</v>
      </c>
    </row>
    <row r="2690">
      <c r="A2690" s="1" t="str">
        <f>"000788"</f>
        <v>000788</v>
      </c>
      <c r="B2690" s="1" t="s">
        <v>10934</v>
      </c>
      <c r="C2690" s="1" t="s">
        <v>10935</v>
      </c>
      <c r="D2690" s="1" t="str">
        <f>"8026491196"</f>
        <v>8026491196</v>
      </c>
      <c r="E2690" s="1">
        <v>3100.0</v>
      </c>
      <c r="F2690" s="1" t="s">
        <v>44</v>
      </c>
      <c r="G2690" s="1" t="s">
        <v>10936</v>
      </c>
      <c r="H2690" s="1">
        <v>0.0</v>
      </c>
      <c r="I2690" s="1"/>
      <c r="J2690" s="1"/>
      <c r="K2690" s="1"/>
      <c r="L2690" s="1"/>
      <c r="M2690" s="1" t="s">
        <v>33</v>
      </c>
      <c r="N2690" s="1" t="s">
        <v>34</v>
      </c>
      <c r="O2690" s="1" t="s">
        <v>463</v>
      </c>
      <c r="P2690" s="1" t="s">
        <v>36</v>
      </c>
      <c r="Q2690" s="3">
        <v>41660.0</v>
      </c>
      <c r="R2690" s="1"/>
      <c r="S2690" s="1"/>
      <c r="T2690" s="1" t="s">
        <v>37</v>
      </c>
      <c r="U2690" s="1"/>
      <c r="V2690" s="1" t="s">
        <v>38</v>
      </c>
      <c r="W2690" s="1">
        <v>43.7853008479663</v>
      </c>
      <c r="X2690" s="1">
        <v>-72.2639894485473</v>
      </c>
      <c r="Y2690" s="1" t="s">
        <v>10937</v>
      </c>
      <c r="Z2690" s="1"/>
      <c r="AA2690" s="1" t="s">
        <v>40</v>
      </c>
      <c r="AB2690" s="1" t="s">
        <v>466</v>
      </c>
      <c r="AC2690" s="1">
        <v>5055.0</v>
      </c>
    </row>
    <row r="2691">
      <c r="A2691" s="1" t="str">
        <f>"0008V1"</f>
        <v>0008V1</v>
      </c>
      <c r="B2691" s="1" t="s">
        <v>10938</v>
      </c>
      <c r="C2691" s="1" t="s">
        <v>10939</v>
      </c>
      <c r="D2691" s="1" t="str">
        <f>"8024792420"</f>
        <v>8024792420</v>
      </c>
      <c r="E2691" s="1">
        <v>3302.0</v>
      </c>
      <c r="F2691" s="1" t="s">
        <v>44</v>
      </c>
      <c r="G2691" s="1" t="s">
        <v>10940</v>
      </c>
      <c r="H2691" s="1">
        <v>0.0</v>
      </c>
      <c r="I2691" s="1"/>
      <c r="J2691" s="1"/>
      <c r="K2691" s="1"/>
      <c r="L2691" s="1"/>
      <c r="M2691" s="1" t="s">
        <v>33</v>
      </c>
      <c r="N2691" s="1" t="s">
        <v>135</v>
      </c>
      <c r="O2691" s="1" t="s">
        <v>9574</v>
      </c>
      <c r="P2691" s="1" t="s">
        <v>36</v>
      </c>
      <c r="Q2691" s="3">
        <v>41660.0</v>
      </c>
      <c r="R2691" s="1"/>
      <c r="S2691" s="1"/>
      <c r="T2691" s="1" t="s">
        <v>37</v>
      </c>
      <c r="U2691" s="1"/>
      <c r="V2691" s="1" t="s">
        <v>38</v>
      </c>
      <c r="W2691" s="1">
        <v>44.206116</v>
      </c>
      <c r="X2691" s="1">
        <v>-72.5142139999999</v>
      </c>
      <c r="Y2691" s="1" t="s">
        <v>10941</v>
      </c>
      <c r="Z2691" s="1"/>
      <c r="AA2691" s="1" t="s">
        <v>40</v>
      </c>
      <c r="AB2691" s="1" t="s">
        <v>4019</v>
      </c>
      <c r="AC2691" s="1">
        <v>5641.0</v>
      </c>
    </row>
    <row r="2692">
      <c r="A2692" s="1" t="str">
        <f>"0008PH"</f>
        <v>0008PH</v>
      </c>
      <c r="B2692" s="1" t="s">
        <v>10942</v>
      </c>
      <c r="C2692" s="1" t="s">
        <v>10943</v>
      </c>
      <c r="D2692" s="1"/>
      <c r="E2692" s="1">
        <v>3243.0</v>
      </c>
      <c r="F2692" s="1" t="s">
        <v>44</v>
      </c>
      <c r="G2692" s="1" t="s">
        <v>10944</v>
      </c>
      <c r="H2692" s="1">
        <v>0.0</v>
      </c>
      <c r="I2692" s="1"/>
      <c r="J2692" s="1"/>
      <c r="K2692" s="1"/>
      <c r="L2692" s="1"/>
      <c r="M2692" s="1" t="s">
        <v>33</v>
      </c>
      <c r="N2692" s="1" t="s">
        <v>135</v>
      </c>
      <c r="O2692" s="1" t="s">
        <v>758</v>
      </c>
      <c r="P2692" s="1" t="s">
        <v>36</v>
      </c>
      <c r="Q2692" s="3">
        <v>36526.0</v>
      </c>
      <c r="R2692" s="1"/>
      <c r="S2692" s="1"/>
      <c r="T2692" s="1" t="s">
        <v>37</v>
      </c>
      <c r="U2692" s="1"/>
      <c r="V2692" s="1" t="s">
        <v>38</v>
      </c>
      <c r="W2692" s="1"/>
      <c r="X2692" s="1"/>
      <c r="Y2692" s="1" t="s">
        <v>10945</v>
      </c>
      <c r="Z2692" s="1"/>
      <c r="AA2692" s="1" t="s">
        <v>40</v>
      </c>
      <c r="AB2692" s="1" t="s">
        <v>759</v>
      </c>
      <c r="AC2692" s="1">
        <v>5667.0</v>
      </c>
    </row>
    <row r="2693">
      <c r="A2693" s="1" t="str">
        <f>"0008QK"</f>
        <v>0008QK</v>
      </c>
      <c r="B2693" s="1" t="s">
        <v>10946</v>
      </c>
      <c r="C2693" s="1" t="s">
        <v>10947</v>
      </c>
      <c r="D2693" s="1" t="str">
        <f>"8028245221"</f>
        <v>8028245221</v>
      </c>
      <c r="E2693" s="1">
        <v>3283.0</v>
      </c>
      <c r="F2693" s="1" t="s">
        <v>44</v>
      </c>
      <c r="G2693" s="1" t="s">
        <v>10948</v>
      </c>
      <c r="H2693" s="1">
        <v>0.0</v>
      </c>
      <c r="I2693" s="1"/>
      <c r="J2693" s="1"/>
      <c r="K2693" s="1"/>
      <c r="L2693" s="1"/>
      <c r="M2693" s="1" t="s">
        <v>33</v>
      </c>
      <c r="N2693" s="1" t="s">
        <v>66</v>
      </c>
      <c r="O2693" s="1" t="s">
        <v>900</v>
      </c>
      <c r="P2693" s="1" t="s">
        <v>36</v>
      </c>
      <c r="Q2693" s="3">
        <v>36526.0</v>
      </c>
      <c r="R2693" s="1"/>
      <c r="S2693" s="1"/>
      <c r="T2693" s="1" t="s">
        <v>37</v>
      </c>
      <c r="U2693" s="1"/>
      <c r="V2693" s="1" t="s">
        <v>38</v>
      </c>
      <c r="W2693" s="1"/>
      <c r="X2693" s="1"/>
      <c r="Y2693" s="1" t="s">
        <v>4561</v>
      </c>
      <c r="Z2693" s="1"/>
      <c r="AA2693" s="1" t="s">
        <v>40</v>
      </c>
      <c r="AB2693" s="1" t="s">
        <v>10949</v>
      </c>
      <c r="AC2693" s="1">
        <v>5155.0</v>
      </c>
    </row>
    <row r="2694">
      <c r="A2694" s="1" t="str">
        <f>"000742"</f>
        <v>000742</v>
      </c>
      <c r="B2694" s="1" t="s">
        <v>10950</v>
      </c>
      <c r="C2694" s="1" t="s">
        <v>10951</v>
      </c>
      <c r="D2694" s="1" t="str">
        <f>"8028496385"</f>
        <v>8028496385</v>
      </c>
      <c r="E2694" s="1">
        <v>3258.0</v>
      </c>
      <c r="F2694" s="1" t="s">
        <v>44</v>
      </c>
      <c r="G2694" s="1" t="s">
        <v>10952</v>
      </c>
      <c r="H2694" s="1">
        <v>0.0</v>
      </c>
      <c r="I2694" s="1"/>
      <c r="J2694" s="1"/>
      <c r="K2694" s="1"/>
      <c r="L2694" s="1"/>
      <c r="M2694" s="1" t="s">
        <v>33</v>
      </c>
      <c r="N2694" s="1" t="s">
        <v>47</v>
      </c>
      <c r="O2694" s="1" t="s">
        <v>378</v>
      </c>
      <c r="P2694" s="1" t="s">
        <v>36</v>
      </c>
      <c r="Q2694" s="3">
        <v>36526.0</v>
      </c>
      <c r="R2694" s="1"/>
      <c r="S2694" s="1"/>
      <c r="T2694" s="1" t="s">
        <v>37</v>
      </c>
      <c r="U2694" s="1"/>
      <c r="V2694" s="1" t="s">
        <v>38</v>
      </c>
      <c r="W2694" s="1">
        <v>44.713016</v>
      </c>
      <c r="X2694" s="1">
        <v>-73.0397519</v>
      </c>
      <c r="Y2694" s="1" t="s">
        <v>10953</v>
      </c>
      <c r="Z2694" s="1"/>
      <c r="AA2694" s="1" t="s">
        <v>40</v>
      </c>
      <c r="AB2694" s="1" t="s">
        <v>381</v>
      </c>
      <c r="AC2694" s="1">
        <v>5454.0</v>
      </c>
    </row>
    <row r="2695">
      <c r="A2695" s="1" t="str">
        <f>"00073H"</f>
        <v>00073H</v>
      </c>
      <c r="B2695" s="1" t="s">
        <v>10954</v>
      </c>
      <c r="C2695" s="1" t="s">
        <v>10955</v>
      </c>
      <c r="D2695" s="1" t="str">
        <f>"8028772348"</f>
        <v>8028772348</v>
      </c>
      <c r="E2695" s="1">
        <v>3213.0</v>
      </c>
      <c r="F2695" s="1" t="s">
        <v>44</v>
      </c>
      <c r="G2695" s="1" t="s">
        <v>10956</v>
      </c>
      <c r="H2695" s="1">
        <v>0.0</v>
      </c>
      <c r="I2695" s="1"/>
      <c r="J2695" s="1"/>
      <c r="K2695" s="1"/>
      <c r="L2695" s="1"/>
      <c r="M2695" s="1" t="s">
        <v>33</v>
      </c>
      <c r="N2695" s="1" t="s">
        <v>161</v>
      </c>
      <c r="O2695" s="1" t="s">
        <v>943</v>
      </c>
      <c r="P2695" s="1" t="s">
        <v>36</v>
      </c>
      <c r="Q2695" s="3">
        <v>36526.0</v>
      </c>
      <c r="R2695" s="1"/>
      <c r="S2695" s="1"/>
      <c r="T2695" s="1" t="s">
        <v>37</v>
      </c>
      <c r="U2695" s="1"/>
      <c r="V2695" s="1" t="s">
        <v>38</v>
      </c>
      <c r="W2695" s="1"/>
      <c r="X2695" s="1"/>
      <c r="Y2695" s="1" t="s">
        <v>10957</v>
      </c>
      <c r="Z2695" s="1"/>
      <c r="AA2695" s="1" t="s">
        <v>40</v>
      </c>
      <c r="AB2695" s="1" t="s">
        <v>945</v>
      </c>
      <c r="AC2695" s="1">
        <v>5753.0</v>
      </c>
    </row>
    <row r="2696">
      <c r="A2696" s="1" t="str">
        <f>"00088M"</f>
        <v>00088M</v>
      </c>
      <c r="B2696" s="1" t="s">
        <v>10958</v>
      </c>
      <c r="C2696" s="1" t="s">
        <v>10959</v>
      </c>
      <c r="D2696" s="1"/>
      <c r="E2696" s="1">
        <v>3289.0</v>
      </c>
      <c r="F2696" s="1" t="s">
        <v>44</v>
      </c>
      <c r="G2696" s="1" t="s">
        <v>10960</v>
      </c>
      <c r="H2696" s="1">
        <v>0.0</v>
      </c>
      <c r="I2696" s="1"/>
      <c r="J2696" s="1"/>
      <c r="K2696" s="1"/>
      <c r="L2696" s="1"/>
      <c r="M2696" s="1" t="s">
        <v>33</v>
      </c>
      <c r="N2696" s="1" t="s">
        <v>34</v>
      </c>
      <c r="O2696" s="1" t="s">
        <v>953</v>
      </c>
      <c r="P2696" s="1" t="s">
        <v>10961</v>
      </c>
      <c r="Q2696" s="3">
        <v>36892.0</v>
      </c>
      <c r="R2696" s="1"/>
      <c r="S2696" s="1"/>
      <c r="T2696" s="1" t="s">
        <v>37</v>
      </c>
      <c r="U2696" s="1"/>
      <c r="V2696" s="1" t="s">
        <v>38</v>
      </c>
      <c r="W2696" s="1">
        <v>43.6489596</v>
      </c>
      <c r="X2696" s="1">
        <v>-72.3192579</v>
      </c>
      <c r="Y2696" s="1" t="s">
        <v>10962</v>
      </c>
      <c r="Z2696" s="1"/>
      <c r="AA2696" s="1" t="s">
        <v>40</v>
      </c>
      <c r="AB2696" s="1" t="s">
        <v>8959</v>
      </c>
      <c r="AC2696" s="1">
        <v>5001.0</v>
      </c>
    </row>
    <row r="2697">
      <c r="A2697" s="1" t="str">
        <f>"000713"</f>
        <v>000713</v>
      </c>
      <c r="B2697" s="1" t="s">
        <v>10963</v>
      </c>
      <c r="C2697" s="1" t="s">
        <v>10964</v>
      </c>
      <c r="D2697" s="1" t="str">
        <f>"8022448792"</f>
        <v>8022448792</v>
      </c>
      <c r="E2697" s="1">
        <v>3094.0</v>
      </c>
      <c r="F2697" s="1" t="s">
        <v>117</v>
      </c>
      <c r="G2697" s="1" t="s">
        <v>10965</v>
      </c>
      <c r="H2697" s="1">
        <v>2.0</v>
      </c>
      <c r="I2697" s="2">
        <v>2.0</v>
      </c>
      <c r="J2697" s="2">
        <v>2.0</v>
      </c>
      <c r="K2697" s="2" t="s">
        <v>119</v>
      </c>
      <c r="L2697" s="1"/>
      <c r="M2697" s="1" t="s">
        <v>10966</v>
      </c>
      <c r="N2697" s="1" t="s">
        <v>135</v>
      </c>
      <c r="O2697" s="1" t="s">
        <v>775</v>
      </c>
      <c r="P2697" s="1" t="s">
        <v>10967</v>
      </c>
      <c r="Q2697" s="3">
        <v>36161.0</v>
      </c>
      <c r="R2697" s="1"/>
      <c r="S2697" s="1"/>
      <c r="T2697" s="1" t="s">
        <v>37</v>
      </c>
      <c r="U2697" s="1"/>
      <c r="V2697" s="1" t="s">
        <v>38</v>
      </c>
      <c r="W2697" s="1">
        <v>44.36937</v>
      </c>
      <c r="X2697" s="1">
        <v>-72.685318</v>
      </c>
      <c r="Y2697" s="1" t="s">
        <v>10968</v>
      </c>
      <c r="Z2697" s="1"/>
      <c r="AA2697" s="1" t="s">
        <v>40</v>
      </c>
      <c r="AB2697" s="1" t="s">
        <v>3755</v>
      </c>
      <c r="AC2697" s="1">
        <v>5677.0</v>
      </c>
    </row>
    <row r="2698">
      <c r="A2698" s="1" t="str">
        <f>"0008YF"</f>
        <v>0008YF</v>
      </c>
      <c r="B2698" s="1" t="s">
        <v>10969</v>
      </c>
      <c r="C2698" s="1" t="s">
        <v>10970</v>
      </c>
      <c r="D2698" s="1"/>
      <c r="E2698" s="1">
        <v>3490.0</v>
      </c>
      <c r="F2698" s="1" t="s">
        <v>44</v>
      </c>
      <c r="G2698" s="1" t="s">
        <v>10971</v>
      </c>
      <c r="H2698" s="1">
        <v>0.0</v>
      </c>
      <c r="I2698" s="1"/>
      <c r="J2698" s="1"/>
      <c r="K2698" s="1"/>
      <c r="L2698" s="1"/>
      <c r="M2698" s="1" t="s">
        <v>33</v>
      </c>
      <c r="N2698" s="1" t="s">
        <v>128</v>
      </c>
      <c r="O2698" s="1" t="s">
        <v>1707</v>
      </c>
      <c r="P2698" s="1" t="s">
        <v>10961</v>
      </c>
      <c r="Q2698" s="3">
        <v>37622.0</v>
      </c>
      <c r="R2698" s="1"/>
      <c r="S2698" s="1"/>
      <c r="T2698" s="1" t="s">
        <v>37</v>
      </c>
      <c r="U2698" s="1"/>
      <c r="V2698" s="1" t="s">
        <v>38</v>
      </c>
      <c r="W2698" s="1">
        <v>44.342857</v>
      </c>
      <c r="X2698" s="1">
        <v>-72.0564269999999</v>
      </c>
      <c r="Y2698" s="1" t="s">
        <v>10972</v>
      </c>
      <c r="Z2698" s="1"/>
      <c r="AA2698" s="1" t="s">
        <v>40</v>
      </c>
      <c r="AB2698" s="1" t="s">
        <v>10410</v>
      </c>
      <c r="AC2698" s="1">
        <v>5819.0</v>
      </c>
    </row>
    <row r="2699">
      <c r="A2699" s="1" t="str">
        <f>"000M7Z"</f>
        <v>000M7Z</v>
      </c>
      <c r="B2699" s="1" t="s">
        <v>10973</v>
      </c>
      <c r="C2699" s="1" t="s">
        <v>10974</v>
      </c>
      <c r="D2699" s="1" t="str">
        <f>"8024859242"</f>
        <v>8024859242</v>
      </c>
      <c r="E2699" s="1">
        <v>4621.0</v>
      </c>
      <c r="F2699" s="1" t="s">
        <v>117</v>
      </c>
      <c r="G2699" s="1" t="s">
        <v>10975</v>
      </c>
      <c r="H2699" s="1">
        <v>5.0</v>
      </c>
      <c r="I2699" s="2">
        <v>8.0</v>
      </c>
      <c r="J2699" s="2">
        <v>8.0</v>
      </c>
      <c r="K2699" s="2" t="s">
        <v>119</v>
      </c>
      <c r="L2699" s="1"/>
      <c r="M2699" s="1" t="s">
        <v>10976</v>
      </c>
      <c r="N2699" s="1" t="s">
        <v>135</v>
      </c>
      <c r="O2699" s="1" t="s">
        <v>136</v>
      </c>
      <c r="P2699" s="1" t="s">
        <v>10977</v>
      </c>
      <c r="Q2699" s="3">
        <v>41660.0</v>
      </c>
      <c r="R2699" s="1"/>
      <c r="S2699" s="3">
        <v>41857.0</v>
      </c>
      <c r="T2699" s="1" t="s">
        <v>37</v>
      </c>
      <c r="U2699" s="1"/>
      <c r="V2699" s="1" t="s">
        <v>38</v>
      </c>
      <c r="W2699" s="1">
        <v>44.15519</v>
      </c>
      <c r="X2699" s="1">
        <v>-72.72888</v>
      </c>
      <c r="Y2699" s="1" t="s">
        <v>10978</v>
      </c>
      <c r="Z2699" s="1"/>
      <c r="AA2699" s="1" t="s">
        <v>40</v>
      </c>
      <c r="AB2699" s="1" t="s">
        <v>137</v>
      </c>
      <c r="AC2699" s="1">
        <v>5663.0</v>
      </c>
    </row>
    <row r="2700">
      <c r="A2700" s="1" t="str">
        <f>"00083Z"</f>
        <v>00083Z</v>
      </c>
      <c r="B2700" s="1" t="s">
        <v>10979</v>
      </c>
      <c r="C2700" s="1" t="s">
        <v>10980</v>
      </c>
      <c r="D2700" s="1"/>
      <c r="E2700" s="1">
        <v>3118.0</v>
      </c>
      <c r="F2700" s="1" t="s">
        <v>44</v>
      </c>
      <c r="G2700" s="1" t="s">
        <v>10981</v>
      </c>
      <c r="H2700" s="1">
        <v>0.0</v>
      </c>
      <c r="I2700" s="1"/>
      <c r="J2700" s="1"/>
      <c r="K2700" s="1"/>
      <c r="L2700" s="1"/>
      <c r="M2700" s="1" t="s">
        <v>33</v>
      </c>
      <c r="N2700" s="1" t="s">
        <v>66</v>
      </c>
      <c r="O2700" s="1" t="s">
        <v>113</v>
      </c>
      <c r="P2700" s="1"/>
      <c r="Q2700" s="3">
        <v>36161.0</v>
      </c>
      <c r="R2700" s="1"/>
      <c r="S2700" s="1"/>
      <c r="T2700" s="1" t="s">
        <v>37</v>
      </c>
      <c r="U2700" s="1"/>
      <c r="V2700" s="1" t="s">
        <v>38</v>
      </c>
      <c r="W2700" s="1"/>
      <c r="X2700" s="1"/>
      <c r="Y2700" s="1" t="s">
        <v>10982</v>
      </c>
      <c r="Z2700" s="1"/>
      <c r="AA2700" s="1" t="s">
        <v>40</v>
      </c>
      <c r="AB2700" s="1" t="s">
        <v>114</v>
      </c>
      <c r="AC2700" s="1">
        <v>5158.0</v>
      </c>
    </row>
    <row r="2701">
      <c r="A2701" s="1" t="str">
        <f>"0008VY"</f>
        <v>0008VY</v>
      </c>
      <c r="B2701" s="1" t="s">
        <v>10983</v>
      </c>
      <c r="C2701" s="1" t="s">
        <v>10984</v>
      </c>
      <c r="D2701" s="1"/>
      <c r="E2701" s="1">
        <v>3335.0</v>
      </c>
      <c r="F2701" s="1" t="s">
        <v>44</v>
      </c>
      <c r="G2701" s="1" t="s">
        <v>10985</v>
      </c>
      <c r="H2701" s="1">
        <v>0.0</v>
      </c>
      <c r="I2701" s="1"/>
      <c r="J2701" s="1"/>
      <c r="K2701" s="1"/>
      <c r="L2701" s="1"/>
      <c r="M2701" s="1"/>
      <c r="N2701" s="1" t="s">
        <v>78</v>
      </c>
      <c r="O2701" s="1" t="s">
        <v>371</v>
      </c>
      <c r="P2701" s="1"/>
      <c r="Q2701" s="3">
        <v>36893.0</v>
      </c>
      <c r="R2701" s="1"/>
      <c r="S2701" s="1"/>
      <c r="T2701" s="1" t="s">
        <v>37</v>
      </c>
      <c r="U2701" s="1"/>
      <c r="V2701" s="1" t="s">
        <v>38</v>
      </c>
      <c r="W2701" s="1"/>
      <c r="X2701" s="1"/>
      <c r="Y2701" s="1" t="s">
        <v>10986</v>
      </c>
      <c r="Z2701" s="1"/>
      <c r="AA2701" s="1" t="s">
        <v>40</v>
      </c>
      <c r="AB2701" s="1" t="s">
        <v>374</v>
      </c>
      <c r="AC2701" s="1">
        <v>5774.0</v>
      </c>
    </row>
    <row r="2702">
      <c r="A2702" s="1" t="str">
        <f>"0008X5"</f>
        <v>0008X5</v>
      </c>
      <c r="B2702" s="1" t="s">
        <v>10987</v>
      </c>
      <c r="C2702" s="1" t="s">
        <v>10988</v>
      </c>
      <c r="D2702" s="1"/>
      <c r="E2702" s="1">
        <v>3421.0</v>
      </c>
      <c r="F2702" s="1" t="s">
        <v>44</v>
      </c>
      <c r="G2702" s="1" t="s">
        <v>10989</v>
      </c>
      <c r="H2702" s="1">
        <v>0.0</v>
      </c>
      <c r="I2702" s="1"/>
      <c r="J2702" s="1"/>
      <c r="K2702" s="1"/>
      <c r="L2702" s="1"/>
      <c r="M2702" s="1"/>
      <c r="N2702" s="1" t="s">
        <v>161</v>
      </c>
      <c r="O2702" s="1" t="s">
        <v>307</v>
      </c>
      <c r="P2702" s="1"/>
      <c r="Q2702" s="3">
        <v>37377.0</v>
      </c>
      <c r="R2702" s="1"/>
      <c r="S2702" s="1"/>
      <c r="T2702" s="1" t="s">
        <v>37</v>
      </c>
      <c r="U2702" s="1"/>
      <c r="V2702" s="1" t="s">
        <v>38</v>
      </c>
      <c r="W2702" s="1"/>
      <c r="X2702" s="1"/>
      <c r="Y2702" s="1" t="s">
        <v>10990</v>
      </c>
      <c r="Z2702" s="1"/>
      <c r="AA2702" s="1" t="s">
        <v>40</v>
      </c>
      <c r="AB2702" s="1" t="s">
        <v>308</v>
      </c>
      <c r="AC2702" s="1">
        <v>5443.0</v>
      </c>
    </row>
    <row r="2703">
      <c r="A2703" s="1" t="str">
        <f>"0008PY"</f>
        <v>0008PY</v>
      </c>
      <c r="B2703" s="1" t="s">
        <v>10991</v>
      </c>
      <c r="C2703" s="1" t="s">
        <v>10992</v>
      </c>
      <c r="D2703" s="1" t="str">
        <f>"8026446782"</f>
        <v>8026446782</v>
      </c>
      <c r="E2703" s="1">
        <v>3254.0</v>
      </c>
      <c r="F2703" s="1" t="s">
        <v>44</v>
      </c>
      <c r="G2703" s="1" t="s">
        <v>10993</v>
      </c>
      <c r="H2703" s="1">
        <v>0.0</v>
      </c>
      <c r="I2703" s="1"/>
      <c r="J2703" s="1"/>
      <c r="K2703" s="1"/>
      <c r="L2703" s="1"/>
      <c r="M2703" s="1"/>
      <c r="N2703" s="1" t="s">
        <v>213</v>
      </c>
      <c r="O2703" s="1" t="s">
        <v>2171</v>
      </c>
      <c r="P2703" s="1"/>
      <c r="Q2703" s="3">
        <v>36647.0</v>
      </c>
      <c r="R2703" s="1"/>
      <c r="S2703" s="1"/>
      <c r="T2703" s="1" t="s">
        <v>37</v>
      </c>
      <c r="U2703" s="1"/>
      <c r="V2703" s="1" t="s">
        <v>38</v>
      </c>
      <c r="W2703" s="1"/>
      <c r="X2703" s="1"/>
      <c r="Y2703" s="1" t="s">
        <v>10994</v>
      </c>
      <c r="Z2703" s="1"/>
      <c r="AA2703" s="1" t="s">
        <v>40</v>
      </c>
      <c r="AB2703" s="1" t="s">
        <v>2173</v>
      </c>
      <c r="AC2703" s="1">
        <v>5492.0</v>
      </c>
    </row>
    <row r="2704">
      <c r="A2704" s="1" t="str">
        <f>"00085H"</f>
        <v>00085H</v>
      </c>
      <c r="B2704" s="1" t="s">
        <v>10995</v>
      </c>
      <c r="C2704" s="1" t="s">
        <v>10996</v>
      </c>
      <c r="D2704" s="1" t="str">
        <f>"8024764274"</f>
        <v>8024764274</v>
      </c>
      <c r="E2704" s="1">
        <v>3206.0</v>
      </c>
      <c r="F2704" s="1" t="s">
        <v>44</v>
      </c>
      <c r="G2704" s="1" t="s">
        <v>10997</v>
      </c>
      <c r="H2704" s="1">
        <v>0.0</v>
      </c>
      <c r="I2704" s="1"/>
      <c r="J2704" s="1"/>
      <c r="K2704" s="1"/>
      <c r="L2704" s="1"/>
      <c r="M2704" s="1"/>
      <c r="N2704" s="1" t="s">
        <v>135</v>
      </c>
      <c r="O2704" s="1" t="s">
        <v>9574</v>
      </c>
      <c r="P2704" s="1"/>
      <c r="Q2704" s="3">
        <v>36495.0</v>
      </c>
      <c r="R2704" s="1"/>
      <c r="S2704" s="1"/>
      <c r="T2704" s="1" t="s">
        <v>37</v>
      </c>
      <c r="U2704" s="1"/>
      <c r="V2704" s="1" t="s">
        <v>38</v>
      </c>
      <c r="W2704" s="1"/>
      <c r="X2704" s="1"/>
      <c r="Y2704" s="1" t="s">
        <v>10998</v>
      </c>
      <c r="Z2704" s="1"/>
      <c r="AA2704" s="1" t="s">
        <v>40</v>
      </c>
      <c r="AB2704" s="1" t="s">
        <v>4019</v>
      </c>
      <c r="AC2704" s="1">
        <v>5641.0</v>
      </c>
    </row>
    <row r="2705">
      <c r="A2705" s="1" t="str">
        <f>"0008BD"</f>
        <v>0008BD</v>
      </c>
      <c r="B2705" s="1" t="s">
        <v>10999</v>
      </c>
      <c r="C2705" s="1" t="s">
        <v>11000</v>
      </c>
      <c r="D2705" s="1" t="str">
        <f>"8025249298"</f>
        <v>8025249298</v>
      </c>
      <c r="E2705" s="1">
        <v>3378.0</v>
      </c>
      <c r="F2705" s="1" t="s">
        <v>44</v>
      </c>
      <c r="G2705" s="1" t="s">
        <v>11001</v>
      </c>
      <c r="H2705" s="1">
        <v>0.0</v>
      </c>
      <c r="I2705" s="1"/>
      <c r="J2705" s="1"/>
      <c r="K2705" s="1"/>
      <c r="L2705" s="1"/>
      <c r="M2705" s="1"/>
      <c r="N2705" s="1" t="s">
        <v>47</v>
      </c>
      <c r="O2705" s="1" t="s">
        <v>2753</v>
      </c>
      <c r="P2705" s="1"/>
      <c r="Q2705" s="3">
        <v>37228.0</v>
      </c>
      <c r="R2705" s="1"/>
      <c r="S2705" s="1"/>
      <c r="T2705" s="1" t="s">
        <v>37</v>
      </c>
      <c r="U2705" s="1"/>
      <c r="V2705" s="1" t="s">
        <v>38</v>
      </c>
      <c r="W2705" s="1"/>
      <c r="X2705" s="1"/>
      <c r="Y2705" s="1" t="s">
        <v>11002</v>
      </c>
      <c r="Z2705" s="1"/>
      <c r="AA2705" s="1" t="s">
        <v>40</v>
      </c>
      <c r="AB2705" s="1" t="s">
        <v>11003</v>
      </c>
      <c r="AC2705" s="1">
        <v>5478.0</v>
      </c>
    </row>
    <row r="2706">
      <c r="A2706" s="1" t="str">
        <f>"0008PF"</f>
        <v>0008PF</v>
      </c>
      <c r="B2706" s="1" t="s">
        <v>11004</v>
      </c>
      <c r="C2706" s="1" t="s">
        <v>11005</v>
      </c>
      <c r="D2706" s="1" t="str">
        <f>"8028887953"</f>
        <v>8028887953</v>
      </c>
      <c r="E2706" s="1">
        <v>3241.0</v>
      </c>
      <c r="F2706" s="1" t="s">
        <v>31</v>
      </c>
      <c r="G2706" s="1" t="s">
        <v>11006</v>
      </c>
      <c r="H2706" s="1">
        <v>1.0</v>
      </c>
      <c r="I2706" s="1"/>
      <c r="J2706" s="1"/>
      <c r="K2706" s="1"/>
      <c r="L2706" s="1"/>
      <c r="M2706" s="1">
        <v>1.0</v>
      </c>
      <c r="N2706" s="1" t="s">
        <v>213</v>
      </c>
      <c r="O2706" s="1" t="s">
        <v>2562</v>
      </c>
      <c r="P2706" s="1" t="s">
        <v>11007</v>
      </c>
      <c r="Q2706" s="3">
        <v>36647.0</v>
      </c>
      <c r="R2706" s="1"/>
      <c r="S2706" s="1"/>
      <c r="T2706" s="1" t="s">
        <v>37</v>
      </c>
      <c r="U2706" s="1"/>
      <c r="V2706" s="1" t="s">
        <v>38</v>
      </c>
      <c r="W2706" s="1">
        <v>44.474857</v>
      </c>
      <c r="X2706" s="1">
        <v>-72.5040659999999</v>
      </c>
      <c r="Y2706" s="1" t="s">
        <v>11008</v>
      </c>
      <c r="Z2706" s="1"/>
      <c r="AA2706" s="1" t="s">
        <v>40</v>
      </c>
      <c r="AB2706" s="1" t="s">
        <v>2563</v>
      </c>
      <c r="AC2706" s="1">
        <v>5680.0</v>
      </c>
    </row>
    <row r="2707">
      <c r="A2707" s="1" t="str">
        <f>"00083G"</f>
        <v>00083G</v>
      </c>
      <c r="B2707" s="1" t="s">
        <v>11009</v>
      </c>
      <c r="C2707" s="1" t="s">
        <v>11010</v>
      </c>
      <c r="D2707" s="1" t="str">
        <f>"8028934728"</f>
        <v>8028934728</v>
      </c>
      <c r="E2707" s="1">
        <v>3139.0</v>
      </c>
      <c r="F2707" s="1" t="s">
        <v>44</v>
      </c>
      <c r="G2707" s="1" t="s">
        <v>11011</v>
      </c>
      <c r="H2707" s="1">
        <v>0.0</v>
      </c>
      <c r="I2707" s="1"/>
      <c r="J2707" s="1"/>
      <c r="K2707" s="1"/>
      <c r="L2707" s="1"/>
      <c r="M2707" s="1"/>
      <c r="N2707" s="1" t="s">
        <v>57</v>
      </c>
      <c r="O2707" s="1" t="s">
        <v>256</v>
      </c>
      <c r="P2707" s="1"/>
      <c r="Q2707" s="3">
        <v>36312.0</v>
      </c>
      <c r="R2707" s="1"/>
      <c r="S2707" s="1"/>
      <c r="T2707" s="1" t="s">
        <v>37</v>
      </c>
      <c r="U2707" s="1"/>
      <c r="V2707" s="1" t="s">
        <v>38</v>
      </c>
      <c r="W2707" s="1"/>
      <c r="X2707" s="1"/>
      <c r="Y2707" s="1" t="s">
        <v>11012</v>
      </c>
      <c r="Z2707" s="1"/>
      <c r="AA2707" s="1" t="s">
        <v>40</v>
      </c>
      <c r="AB2707" s="1" t="s">
        <v>257</v>
      </c>
      <c r="AC2707" s="1">
        <v>5468.0</v>
      </c>
    </row>
    <row r="2708">
      <c r="A2708" s="1" t="str">
        <f>"0007F9"</f>
        <v>0007F9</v>
      </c>
      <c r="B2708" s="1" t="s">
        <v>11013</v>
      </c>
      <c r="C2708" s="1" t="s">
        <v>11014</v>
      </c>
      <c r="D2708" s="1"/>
      <c r="E2708" s="1">
        <v>3365.0</v>
      </c>
      <c r="F2708" s="1" t="s">
        <v>44</v>
      </c>
      <c r="G2708" s="1" t="s">
        <v>11015</v>
      </c>
      <c r="H2708" s="1">
        <v>0.0</v>
      </c>
      <c r="I2708" s="1"/>
      <c r="J2708" s="1"/>
      <c r="K2708" s="1"/>
      <c r="L2708" s="1"/>
      <c r="M2708" s="1"/>
      <c r="N2708" s="1" t="s">
        <v>57</v>
      </c>
      <c r="O2708" s="1" t="s">
        <v>3943</v>
      </c>
      <c r="P2708" s="1"/>
      <c r="Q2708" s="3">
        <v>37104.0</v>
      </c>
      <c r="R2708" s="1"/>
      <c r="S2708" s="1"/>
      <c r="T2708" s="1" t="s">
        <v>37</v>
      </c>
      <c r="U2708" s="1"/>
      <c r="V2708" s="1" t="s">
        <v>38</v>
      </c>
      <c r="W2708" s="1"/>
      <c r="X2708" s="1"/>
      <c r="Y2708" s="1" t="s">
        <v>11016</v>
      </c>
      <c r="Z2708" s="1"/>
      <c r="AA2708" s="1" t="s">
        <v>40</v>
      </c>
      <c r="AB2708" s="1" t="s">
        <v>746</v>
      </c>
      <c r="AC2708" s="1">
        <v>5465.0</v>
      </c>
    </row>
    <row r="2709">
      <c r="A2709" s="1" t="str">
        <f>"000877"</f>
        <v>000877</v>
      </c>
      <c r="B2709" s="1" t="s">
        <v>11017</v>
      </c>
      <c r="C2709" s="1" t="s">
        <v>11018</v>
      </c>
      <c r="D2709" s="1" t="str">
        <f>"8023334762"</f>
        <v>8023334762</v>
      </c>
      <c r="E2709" s="1">
        <v>2902.0</v>
      </c>
      <c r="F2709" s="1" t="s">
        <v>117</v>
      </c>
      <c r="G2709" s="1" t="s">
        <v>11019</v>
      </c>
      <c r="H2709" s="1">
        <v>3.0</v>
      </c>
      <c r="I2709" s="2">
        <v>2.0</v>
      </c>
      <c r="J2709" s="2">
        <v>2.0</v>
      </c>
      <c r="K2709" s="2" t="s">
        <v>119</v>
      </c>
      <c r="L2709" s="1"/>
      <c r="M2709" s="1" t="s">
        <v>11020</v>
      </c>
      <c r="N2709" s="1" t="s">
        <v>142</v>
      </c>
      <c r="O2709" s="1" t="s">
        <v>2474</v>
      </c>
      <c r="P2709" s="1" t="s">
        <v>11021</v>
      </c>
      <c r="Q2709" s="3">
        <v>34834.0</v>
      </c>
      <c r="R2709" s="1"/>
      <c r="S2709" s="1"/>
      <c r="T2709" s="1" t="s">
        <v>37</v>
      </c>
      <c r="U2709" s="1"/>
      <c r="V2709" s="1" t="s">
        <v>38</v>
      </c>
      <c r="W2709" s="1">
        <v>43.896969</v>
      </c>
      <c r="X2709" s="1">
        <v>-72.168381</v>
      </c>
      <c r="Y2709" s="1" t="s">
        <v>11022</v>
      </c>
      <c r="Z2709" s="1"/>
      <c r="AA2709" s="1" t="s">
        <v>40</v>
      </c>
      <c r="AB2709" s="1" t="s">
        <v>2475</v>
      </c>
      <c r="AC2709" s="1">
        <v>5045.0</v>
      </c>
    </row>
    <row r="2710">
      <c r="A2710" s="1" t="str">
        <f>"00090V"</f>
        <v>00090V</v>
      </c>
      <c r="B2710" s="1" t="s">
        <v>11023</v>
      </c>
      <c r="C2710" s="1" t="s">
        <v>11024</v>
      </c>
      <c r="D2710" s="1"/>
      <c r="E2710" s="1">
        <v>3604.0</v>
      </c>
      <c r="F2710" s="1" t="s">
        <v>44</v>
      </c>
      <c r="G2710" s="1" t="s">
        <v>11025</v>
      </c>
      <c r="H2710" s="1">
        <v>0.0</v>
      </c>
      <c r="I2710" s="1"/>
      <c r="J2710" s="1"/>
      <c r="K2710" s="1"/>
      <c r="L2710" s="1"/>
      <c r="M2710" s="1"/>
      <c r="N2710" s="1" t="s">
        <v>135</v>
      </c>
      <c r="O2710" s="1" t="s">
        <v>2713</v>
      </c>
      <c r="P2710" s="1"/>
      <c r="Q2710" s="3">
        <v>38355.0</v>
      </c>
      <c r="R2710" s="1"/>
      <c r="S2710" s="1"/>
      <c r="T2710" s="1" t="s">
        <v>37</v>
      </c>
      <c r="U2710" s="1"/>
      <c r="V2710" s="1" t="s">
        <v>38</v>
      </c>
      <c r="W2710" s="1">
        <v>44.3568056</v>
      </c>
      <c r="X2710" s="1">
        <v>-72.6357325</v>
      </c>
      <c r="Y2710" s="1" t="s">
        <v>11026</v>
      </c>
      <c r="Z2710" s="1"/>
      <c r="AA2710" s="1" t="s">
        <v>40</v>
      </c>
      <c r="AB2710" s="1" t="s">
        <v>2715</v>
      </c>
      <c r="AC2710" s="1">
        <v>5602.0</v>
      </c>
    </row>
    <row r="2711">
      <c r="A2711" s="1" t="str">
        <f>"000M83"</f>
        <v>000M83</v>
      </c>
      <c r="B2711" s="1" t="s">
        <v>1435</v>
      </c>
      <c r="C2711" s="1" t="s">
        <v>1436</v>
      </c>
      <c r="D2711" s="1" t="str">
        <f>"8025373294"</f>
        <v>8025373294</v>
      </c>
      <c r="E2711" s="1">
        <v>4622.0</v>
      </c>
      <c r="F2711" s="1" t="s">
        <v>117</v>
      </c>
      <c r="G2711" s="1" t="s">
        <v>11027</v>
      </c>
      <c r="H2711" s="1">
        <v>50.0</v>
      </c>
      <c r="I2711" s="2">
        <v>5.0</v>
      </c>
      <c r="J2711" s="2">
        <v>5.0</v>
      </c>
      <c r="K2711" s="2" t="s">
        <v>119</v>
      </c>
      <c r="L2711" s="1"/>
      <c r="M2711" s="1" t="s">
        <v>11028</v>
      </c>
      <c r="N2711" s="1" t="s">
        <v>78</v>
      </c>
      <c r="O2711" s="1" t="s">
        <v>426</v>
      </c>
      <c r="P2711" s="1" t="s">
        <v>11029</v>
      </c>
      <c r="Q2711" s="3">
        <v>41661.0</v>
      </c>
      <c r="R2711" s="1"/>
      <c r="S2711" s="3">
        <v>42501.0</v>
      </c>
      <c r="T2711" s="1" t="s">
        <v>37</v>
      </c>
      <c r="U2711" s="1"/>
      <c r="V2711" s="1" t="s">
        <v>38</v>
      </c>
      <c r="W2711" s="1">
        <v>43.6952348</v>
      </c>
      <c r="X2711" s="1">
        <v>-73.3320079999999</v>
      </c>
      <c r="Y2711" s="1" t="s">
        <v>11030</v>
      </c>
      <c r="Z2711" s="1"/>
      <c r="AA2711" s="1" t="s">
        <v>40</v>
      </c>
      <c r="AB2711" s="1" t="s">
        <v>427</v>
      </c>
      <c r="AC2711" s="1">
        <v>5743.0</v>
      </c>
    </row>
    <row r="2712">
      <c r="A2712" s="1" t="str">
        <f>"0008YH"</f>
        <v>0008YH</v>
      </c>
      <c r="B2712" s="1" t="s">
        <v>11031</v>
      </c>
      <c r="C2712" s="1" t="s">
        <v>11032</v>
      </c>
      <c r="D2712" s="1"/>
      <c r="E2712" s="1">
        <v>3492.0</v>
      </c>
      <c r="F2712" s="1" t="s">
        <v>44</v>
      </c>
      <c r="G2712" s="1" t="s">
        <v>11033</v>
      </c>
      <c r="H2712" s="1">
        <v>0.0</v>
      </c>
      <c r="I2712" s="1"/>
      <c r="J2712" s="1"/>
      <c r="K2712" s="1"/>
      <c r="L2712" s="1"/>
      <c r="M2712" s="1"/>
      <c r="N2712" s="1" t="s">
        <v>78</v>
      </c>
      <c r="O2712" s="1" t="s">
        <v>1124</v>
      </c>
      <c r="P2712" s="1"/>
      <c r="Q2712" s="3">
        <v>37683.0</v>
      </c>
      <c r="R2712" s="1"/>
      <c r="S2712" s="1"/>
      <c r="T2712" s="1" t="s">
        <v>37</v>
      </c>
      <c r="U2712" s="1"/>
      <c r="V2712" s="1" t="s">
        <v>38</v>
      </c>
      <c r="W2712" s="1">
        <v>43.4280169</v>
      </c>
      <c r="X2712" s="1">
        <v>-72.890915</v>
      </c>
      <c r="Y2712" s="1" t="s">
        <v>11034</v>
      </c>
      <c r="Z2712" s="1"/>
      <c r="AA2712" s="1" t="s">
        <v>40</v>
      </c>
      <c r="AB2712" s="1" t="s">
        <v>10366</v>
      </c>
      <c r="AC2712" s="1">
        <v>5742.0</v>
      </c>
    </row>
    <row r="2713">
      <c r="A2713" s="1" t="str">
        <f>"0007G6"</f>
        <v>0007G6</v>
      </c>
      <c r="B2713" s="1" t="s">
        <v>11035</v>
      </c>
      <c r="C2713" s="1" t="s">
        <v>11036</v>
      </c>
      <c r="D2713" s="1" t="str">
        <f>"8028684831"</f>
        <v>8028684831</v>
      </c>
      <c r="E2713" s="1">
        <v>3114.0</v>
      </c>
      <c r="F2713" s="1" t="s">
        <v>44</v>
      </c>
      <c r="G2713" s="1" t="s">
        <v>11037</v>
      </c>
      <c r="H2713" s="1">
        <v>0.0</v>
      </c>
      <c r="I2713" s="1"/>
      <c r="J2713" s="1"/>
      <c r="K2713" s="1"/>
      <c r="L2713" s="1"/>
      <c r="M2713" s="1"/>
      <c r="N2713" s="1" t="s">
        <v>47</v>
      </c>
      <c r="O2713" s="1" t="s">
        <v>2889</v>
      </c>
      <c r="P2713" s="1"/>
      <c r="Q2713" s="3">
        <v>36251.0</v>
      </c>
      <c r="R2713" s="1"/>
      <c r="S2713" s="1"/>
      <c r="T2713" s="1" t="s">
        <v>37</v>
      </c>
      <c r="U2713" s="1"/>
      <c r="V2713" s="1" t="s">
        <v>38</v>
      </c>
      <c r="W2713" s="1"/>
      <c r="X2713" s="1"/>
      <c r="Y2713" s="1" t="s">
        <v>11038</v>
      </c>
      <c r="Z2713" s="1"/>
      <c r="AA2713" s="1" t="s">
        <v>40</v>
      </c>
      <c r="AB2713" s="1" t="s">
        <v>11039</v>
      </c>
      <c r="AC2713" s="1">
        <v>5459.0</v>
      </c>
    </row>
    <row r="2714">
      <c r="A2714" s="1" t="str">
        <f>"00089B"</f>
        <v>00089B</v>
      </c>
      <c r="B2714" s="1" t="s">
        <v>11040</v>
      </c>
      <c r="C2714" s="1" t="s">
        <v>11041</v>
      </c>
      <c r="D2714" s="1" t="str">
        <f>"8026726122"</f>
        <v>8026726122</v>
      </c>
      <c r="E2714" s="1">
        <v>3410.0</v>
      </c>
      <c r="F2714" s="1" t="s">
        <v>44</v>
      </c>
      <c r="G2714" s="1" t="s">
        <v>11042</v>
      </c>
      <c r="H2714" s="1">
        <v>0.0</v>
      </c>
      <c r="I2714" s="1"/>
      <c r="J2714" s="1"/>
      <c r="K2714" s="1"/>
      <c r="L2714" s="1"/>
      <c r="M2714" s="1"/>
      <c r="N2714" s="1" t="s">
        <v>34</v>
      </c>
      <c r="O2714" s="1" t="s">
        <v>324</v>
      </c>
      <c r="P2714" s="1"/>
      <c r="Q2714" s="3">
        <v>37347.0</v>
      </c>
      <c r="R2714" s="1"/>
      <c r="S2714" s="1"/>
      <c r="T2714" s="1" t="s">
        <v>37</v>
      </c>
      <c r="U2714" s="1"/>
      <c r="V2714" s="1" t="s">
        <v>38</v>
      </c>
      <c r="W2714" s="1"/>
      <c r="X2714" s="1"/>
      <c r="Y2714" s="1" t="s">
        <v>11043</v>
      </c>
      <c r="Z2714" s="1"/>
      <c r="AA2714" s="1" t="s">
        <v>40</v>
      </c>
      <c r="AB2714" s="1" t="s">
        <v>326</v>
      </c>
      <c r="AC2714" s="1">
        <v>5091.0</v>
      </c>
    </row>
    <row r="2715">
      <c r="A2715" s="1" t="str">
        <f>"0007HX"</f>
        <v>0007HX</v>
      </c>
      <c r="B2715" s="1" t="s">
        <v>11044</v>
      </c>
      <c r="C2715" s="1" t="s">
        <v>11045</v>
      </c>
      <c r="D2715" s="1" t="str">
        <f>"8028733004"</f>
        <v>8028733004</v>
      </c>
      <c r="E2715" s="1">
        <v>3357.0</v>
      </c>
      <c r="F2715" s="1" t="s">
        <v>44</v>
      </c>
      <c r="G2715" s="1" t="s">
        <v>11046</v>
      </c>
      <c r="H2715" s="1">
        <v>0.0</v>
      </c>
      <c r="I2715" s="1"/>
      <c r="J2715" s="1"/>
      <c r="K2715" s="1"/>
      <c r="L2715" s="1"/>
      <c r="M2715" s="1"/>
      <c r="N2715" s="1" t="s">
        <v>94</v>
      </c>
      <c r="O2715" s="1" t="s">
        <v>1019</v>
      </c>
      <c r="P2715" s="1"/>
      <c r="Q2715" s="3">
        <v>37074.0</v>
      </c>
      <c r="R2715" s="1"/>
      <c r="S2715" s="1"/>
      <c r="T2715" s="1" t="s">
        <v>37</v>
      </c>
      <c r="U2715" s="1"/>
      <c r="V2715" s="1" t="s">
        <v>38</v>
      </c>
      <c r="W2715" s="1"/>
      <c r="X2715" s="1"/>
      <c r="Y2715" s="1" t="s">
        <v>11047</v>
      </c>
      <c r="Z2715" s="1"/>
      <c r="AA2715" s="1" t="s">
        <v>40</v>
      </c>
      <c r="AB2715" s="1" t="s">
        <v>11048</v>
      </c>
      <c r="AC2715" s="1">
        <v>5830.0</v>
      </c>
    </row>
    <row r="2716">
      <c r="A2716" s="1" t="str">
        <f>"0008V3"</f>
        <v>0008V3</v>
      </c>
      <c r="B2716" s="1" t="s">
        <v>11049</v>
      </c>
      <c r="C2716" s="1" t="s">
        <v>11050</v>
      </c>
      <c r="D2716" s="1" t="str">
        <f>"8028786149"</f>
        <v>8028786149</v>
      </c>
      <c r="E2716" s="1">
        <v>3304.0</v>
      </c>
      <c r="F2716" s="1" t="s">
        <v>44</v>
      </c>
      <c r="G2716" s="1" t="s">
        <v>11051</v>
      </c>
      <c r="H2716" s="1">
        <v>0.0</v>
      </c>
      <c r="I2716" s="1"/>
      <c r="J2716" s="1"/>
      <c r="K2716" s="1"/>
      <c r="L2716" s="1"/>
      <c r="M2716" s="1"/>
      <c r="N2716" s="1" t="s">
        <v>57</v>
      </c>
      <c r="O2716" s="1" t="s">
        <v>559</v>
      </c>
      <c r="P2716" s="1"/>
      <c r="Q2716" s="3">
        <v>36951.0</v>
      </c>
      <c r="R2716" s="1"/>
      <c r="S2716" s="1"/>
      <c r="T2716" s="1" t="s">
        <v>37</v>
      </c>
      <c r="U2716" s="1"/>
      <c r="V2716" s="1" t="s">
        <v>38</v>
      </c>
      <c r="W2716" s="1">
        <v>44.558316</v>
      </c>
      <c r="X2716" s="1">
        <v>-73.133535</v>
      </c>
      <c r="Y2716" s="1" t="s">
        <v>11052</v>
      </c>
      <c r="Z2716" s="1"/>
      <c r="AA2716" s="1" t="s">
        <v>40</v>
      </c>
      <c r="AB2716" s="1" t="s">
        <v>560</v>
      </c>
      <c r="AC2716" s="1">
        <v>5446.0</v>
      </c>
    </row>
    <row r="2717">
      <c r="A2717" s="1" t="str">
        <f>"0008N8"</f>
        <v>0008N8</v>
      </c>
      <c r="B2717" s="1" t="s">
        <v>11053</v>
      </c>
      <c r="C2717" s="1" t="s">
        <v>11054</v>
      </c>
      <c r="D2717" s="1" t="str">
        <f>"8025633085"</f>
        <v>8025633085</v>
      </c>
      <c r="E2717" s="1">
        <v>3171.0</v>
      </c>
      <c r="F2717" s="1" t="s">
        <v>44</v>
      </c>
      <c r="G2717" s="1" t="s">
        <v>11055</v>
      </c>
      <c r="H2717" s="1">
        <v>0.0</v>
      </c>
      <c r="I2717" s="1"/>
      <c r="J2717" s="1"/>
      <c r="K2717" s="1"/>
      <c r="L2717" s="1"/>
      <c r="M2717" s="1"/>
      <c r="N2717" s="1" t="s">
        <v>135</v>
      </c>
      <c r="O2717" s="1" t="s">
        <v>409</v>
      </c>
      <c r="P2717" s="1"/>
      <c r="Q2717" s="3">
        <v>36342.0</v>
      </c>
      <c r="R2717" s="1"/>
      <c r="S2717" s="1"/>
      <c r="T2717" s="1" t="s">
        <v>37</v>
      </c>
      <c r="U2717" s="1"/>
      <c r="V2717" s="1" t="s">
        <v>38</v>
      </c>
      <c r="W2717" s="1"/>
      <c r="X2717" s="1"/>
      <c r="Y2717" s="1" t="s">
        <v>11056</v>
      </c>
      <c r="Z2717" s="1"/>
      <c r="AA2717" s="1" t="s">
        <v>40</v>
      </c>
      <c r="AB2717" s="1" t="s">
        <v>410</v>
      </c>
      <c r="AC2717" s="1">
        <v>5647.0</v>
      </c>
    </row>
    <row r="2718">
      <c r="A2718" s="1" t="str">
        <f>"000821"</f>
        <v>000821</v>
      </c>
      <c r="B2718" s="1" t="s">
        <v>11057</v>
      </c>
      <c r="C2718" s="1" t="s">
        <v>11058</v>
      </c>
      <c r="D2718" s="1"/>
      <c r="E2718" s="1">
        <v>1530.0</v>
      </c>
      <c r="F2718" s="1" t="s">
        <v>44</v>
      </c>
      <c r="G2718" s="1" t="s">
        <v>11059</v>
      </c>
      <c r="H2718" s="1">
        <v>1.0</v>
      </c>
      <c r="I2718" s="1"/>
      <c r="J2718" s="1"/>
      <c r="K2718" s="1"/>
      <c r="L2718" s="1"/>
      <c r="M2718" s="1"/>
      <c r="N2718" s="1" t="s">
        <v>47</v>
      </c>
      <c r="O2718" s="1" t="s">
        <v>100</v>
      </c>
      <c r="P2718" s="1"/>
      <c r="Q2718" s="3">
        <v>37502.0</v>
      </c>
      <c r="R2718" s="1"/>
      <c r="S2718" s="1"/>
      <c r="T2718" s="1" t="s">
        <v>37</v>
      </c>
      <c r="U2718" s="1"/>
      <c r="V2718" s="1" t="s">
        <v>38</v>
      </c>
      <c r="W2718" s="1">
        <v>44.814529</v>
      </c>
      <c r="X2718" s="1">
        <v>-72.932564</v>
      </c>
      <c r="Y2718" s="1" t="s">
        <v>11060</v>
      </c>
      <c r="Z2718" s="1"/>
      <c r="AA2718" s="1" t="s">
        <v>40</v>
      </c>
      <c r="AB2718" s="1" t="s">
        <v>102</v>
      </c>
      <c r="AC2718" s="1">
        <v>5455.0</v>
      </c>
    </row>
    <row r="2719">
      <c r="A2719" s="1" t="str">
        <f>"0008V8"</f>
        <v>0008V8</v>
      </c>
      <c r="B2719" s="1" t="s">
        <v>11061</v>
      </c>
      <c r="C2719" s="1" t="s">
        <v>11062</v>
      </c>
      <c r="D2719" s="1" t="str">
        <f>"8024793405"</f>
        <v>8024793405</v>
      </c>
      <c r="E2719" s="1">
        <v>3309.0</v>
      </c>
      <c r="F2719" s="1" t="s">
        <v>44</v>
      </c>
      <c r="G2719" s="1" t="s">
        <v>11063</v>
      </c>
      <c r="H2719" s="1">
        <v>0.0</v>
      </c>
      <c r="I2719" s="1"/>
      <c r="J2719" s="1"/>
      <c r="K2719" s="1"/>
      <c r="L2719" s="1"/>
      <c r="M2719" s="1"/>
      <c r="N2719" s="1" t="s">
        <v>135</v>
      </c>
      <c r="O2719" s="1" t="s">
        <v>343</v>
      </c>
      <c r="P2719" s="1"/>
      <c r="Q2719" s="3">
        <v>36983.0</v>
      </c>
      <c r="R2719" s="1"/>
      <c r="S2719" s="1"/>
      <c r="T2719" s="1" t="s">
        <v>37</v>
      </c>
      <c r="U2719" s="1"/>
      <c r="V2719" s="1" t="s">
        <v>38</v>
      </c>
      <c r="W2719" s="1"/>
      <c r="X2719" s="1"/>
      <c r="Y2719" s="1" t="s">
        <v>11064</v>
      </c>
      <c r="Z2719" s="1"/>
      <c r="AA2719" s="1" t="s">
        <v>40</v>
      </c>
      <c r="AB2719" s="1" t="s">
        <v>11065</v>
      </c>
      <c r="AC2719" s="1">
        <v>5649.0</v>
      </c>
    </row>
    <row r="2720">
      <c r="A2720" s="1" t="str">
        <f>"0008PZ"</f>
        <v>0008PZ</v>
      </c>
      <c r="B2720" s="1" t="s">
        <v>11066</v>
      </c>
      <c r="C2720" s="1" t="s">
        <v>2058</v>
      </c>
      <c r="D2720" s="1" t="str">
        <f>"8028773315"</f>
        <v>8028773315</v>
      </c>
      <c r="E2720" s="1">
        <v>3255.0</v>
      </c>
      <c r="F2720" s="1" t="s">
        <v>44</v>
      </c>
      <c r="G2720" s="1" t="s">
        <v>11067</v>
      </c>
      <c r="H2720" s="1">
        <v>0.0</v>
      </c>
      <c r="I2720" s="1"/>
      <c r="J2720" s="1"/>
      <c r="K2720" s="1"/>
      <c r="L2720" s="1"/>
      <c r="M2720" s="1"/>
      <c r="N2720" s="1" t="s">
        <v>161</v>
      </c>
      <c r="O2720" s="1" t="s">
        <v>185</v>
      </c>
      <c r="P2720" s="1"/>
      <c r="Q2720" s="3">
        <v>36647.0</v>
      </c>
      <c r="R2720" s="1"/>
      <c r="S2720" s="1"/>
      <c r="T2720" s="1" t="s">
        <v>37</v>
      </c>
      <c r="U2720" s="1"/>
      <c r="V2720" s="1" t="s">
        <v>38</v>
      </c>
      <c r="W2720" s="1">
        <v>44.208202</v>
      </c>
      <c r="X2720" s="1">
        <v>-73.1629722</v>
      </c>
      <c r="Y2720" s="1" t="s">
        <v>11068</v>
      </c>
      <c r="Z2720" s="1"/>
      <c r="AA2720" s="1" t="s">
        <v>40</v>
      </c>
      <c r="AB2720" s="1" t="s">
        <v>186</v>
      </c>
      <c r="AC2720" s="1">
        <v>5472.0</v>
      </c>
    </row>
    <row r="2721">
      <c r="A2721" s="1" t="str">
        <f>"00080X"</f>
        <v>00080X</v>
      </c>
      <c r="B2721" s="1" t="s">
        <v>11069</v>
      </c>
      <c r="C2721" s="1" t="s">
        <v>11070</v>
      </c>
      <c r="D2721" s="1" t="str">
        <f>"8027754872"</f>
        <v>8027754872</v>
      </c>
      <c r="E2721" s="1">
        <v>3119.0</v>
      </c>
      <c r="F2721" s="1" t="s">
        <v>44</v>
      </c>
      <c r="G2721" s="1" t="s">
        <v>11071</v>
      </c>
      <c r="H2721" s="1">
        <v>0.0</v>
      </c>
      <c r="I2721" s="1"/>
      <c r="J2721" s="1"/>
      <c r="K2721" s="1"/>
      <c r="L2721" s="1"/>
      <c r="M2721" s="1"/>
      <c r="N2721" s="1" t="s">
        <v>78</v>
      </c>
      <c r="O2721" s="1" t="s">
        <v>3828</v>
      </c>
      <c r="P2721" s="1"/>
      <c r="Q2721" s="3">
        <v>36283.0</v>
      </c>
      <c r="R2721" s="1"/>
      <c r="S2721" s="1"/>
      <c r="T2721" s="1" t="s">
        <v>37</v>
      </c>
      <c r="U2721" s="1"/>
      <c r="V2721" s="1" t="s">
        <v>38</v>
      </c>
      <c r="W2721" s="1"/>
      <c r="X2721" s="1"/>
      <c r="Y2721" s="1" t="s">
        <v>11072</v>
      </c>
      <c r="Z2721" s="1"/>
      <c r="AA2721" s="1" t="s">
        <v>40</v>
      </c>
      <c r="AB2721" s="1" t="s">
        <v>11073</v>
      </c>
      <c r="AC2721" s="1">
        <v>5759.0</v>
      </c>
    </row>
    <row r="2722">
      <c r="A2722" s="1" t="str">
        <f>"00081X"</f>
        <v>00081X</v>
      </c>
      <c r="B2722" s="1" t="s">
        <v>11074</v>
      </c>
      <c r="C2722" s="1" t="s">
        <v>11075</v>
      </c>
      <c r="D2722" s="1" t="str">
        <f>"8024965847"</f>
        <v>8024965847</v>
      </c>
      <c r="E2722" s="1">
        <v>3198.0</v>
      </c>
      <c r="F2722" s="1" t="s">
        <v>44</v>
      </c>
      <c r="G2722" s="1" t="s">
        <v>11076</v>
      </c>
      <c r="H2722" s="1">
        <v>0.0</v>
      </c>
      <c r="I2722" s="1"/>
      <c r="J2722" s="1"/>
      <c r="K2722" s="1"/>
      <c r="L2722" s="1"/>
      <c r="M2722" s="1"/>
      <c r="N2722" s="1" t="s">
        <v>135</v>
      </c>
      <c r="O2722" s="1" t="s">
        <v>2331</v>
      </c>
      <c r="P2722" s="1"/>
      <c r="Q2722" s="3">
        <v>36434.0</v>
      </c>
      <c r="R2722" s="1"/>
      <c r="S2722" s="1"/>
      <c r="T2722" s="1" t="s">
        <v>37</v>
      </c>
      <c r="U2722" s="1"/>
      <c r="V2722" s="1" t="s">
        <v>38</v>
      </c>
      <c r="W2722" s="1"/>
      <c r="X2722" s="1"/>
      <c r="Y2722" s="1" t="s">
        <v>11077</v>
      </c>
      <c r="Z2722" s="1"/>
      <c r="AA2722" s="1" t="s">
        <v>40</v>
      </c>
      <c r="AB2722" s="1" t="s">
        <v>2332</v>
      </c>
      <c r="AC2722" s="1">
        <v>5660.0</v>
      </c>
    </row>
    <row r="2723">
      <c r="A2723" s="1" t="str">
        <f>"00090X"</f>
        <v>00090X</v>
      </c>
      <c r="B2723" s="1" t="s">
        <v>11078</v>
      </c>
      <c r="C2723" s="1" t="s">
        <v>11079</v>
      </c>
      <c r="D2723" s="1" t="str">
        <f>"8023756529"</f>
        <v>8023756529</v>
      </c>
      <c r="E2723" s="1">
        <v>3611.0</v>
      </c>
      <c r="F2723" s="1" t="s">
        <v>44</v>
      </c>
      <c r="G2723" s="1" t="s">
        <v>11080</v>
      </c>
      <c r="H2723" s="1">
        <v>0.0</v>
      </c>
      <c r="I2723" s="1"/>
      <c r="J2723" s="1"/>
      <c r="K2723" s="1"/>
      <c r="L2723" s="1"/>
      <c r="M2723" s="1"/>
      <c r="N2723" s="1" t="s">
        <v>414</v>
      </c>
      <c r="O2723" s="1" t="s">
        <v>1390</v>
      </c>
      <c r="P2723" s="1"/>
      <c r="Q2723" s="3">
        <v>38412.0</v>
      </c>
      <c r="R2723" s="1"/>
      <c r="S2723" s="1"/>
      <c r="T2723" s="1" t="s">
        <v>37</v>
      </c>
      <c r="U2723" s="1"/>
      <c r="V2723" s="1" t="s">
        <v>38</v>
      </c>
      <c r="W2723" s="1"/>
      <c r="X2723" s="1"/>
      <c r="Y2723" s="1" t="s">
        <v>11081</v>
      </c>
      <c r="Z2723" s="1"/>
      <c r="AA2723" s="1" t="s">
        <v>40</v>
      </c>
      <c r="AB2723" s="1" t="s">
        <v>1391</v>
      </c>
      <c r="AC2723" s="1">
        <v>5250.0</v>
      </c>
    </row>
    <row r="2724">
      <c r="A2724" s="1" t="str">
        <f>"00075A"</f>
        <v>00075A</v>
      </c>
      <c r="B2724" s="1" t="s">
        <v>11082</v>
      </c>
      <c r="C2724" s="1" t="s">
        <v>11083</v>
      </c>
      <c r="D2724" s="1" t="str">
        <f>"8023334835"</f>
        <v>8023334835</v>
      </c>
      <c r="E2724" s="1">
        <v>3227.0</v>
      </c>
      <c r="F2724" s="1" t="s">
        <v>44</v>
      </c>
      <c r="G2724" s="1" t="s">
        <v>11084</v>
      </c>
      <c r="H2724" s="1">
        <v>0.0</v>
      </c>
      <c r="I2724" s="1"/>
      <c r="J2724" s="1"/>
      <c r="K2724" s="1"/>
      <c r="L2724" s="1"/>
      <c r="M2724" s="1"/>
      <c r="N2724" s="1" t="s">
        <v>142</v>
      </c>
      <c r="O2724" s="1" t="s">
        <v>2474</v>
      </c>
      <c r="P2724" s="1"/>
      <c r="Q2724" s="3">
        <v>36619.0</v>
      </c>
      <c r="R2724" s="1"/>
      <c r="S2724" s="1"/>
      <c r="T2724" s="1" t="s">
        <v>37</v>
      </c>
      <c r="U2724" s="1"/>
      <c r="V2724" s="1" t="s">
        <v>38</v>
      </c>
      <c r="W2724" s="1"/>
      <c r="X2724" s="1"/>
      <c r="Y2724" s="1" t="s">
        <v>11085</v>
      </c>
      <c r="Z2724" s="1"/>
      <c r="AA2724" s="1" t="s">
        <v>40</v>
      </c>
      <c r="AB2724" s="1" t="s">
        <v>2475</v>
      </c>
      <c r="AC2724" s="1">
        <v>5045.0</v>
      </c>
    </row>
    <row r="2725">
      <c r="A2725" s="1" t="str">
        <f>"0008YC"</f>
        <v>0008YC</v>
      </c>
      <c r="B2725" s="1" t="s">
        <v>11086</v>
      </c>
      <c r="C2725" s="1" t="s">
        <v>11087</v>
      </c>
      <c r="D2725" s="1"/>
      <c r="E2725" s="1">
        <v>3488.0</v>
      </c>
      <c r="F2725" s="1" t="s">
        <v>44</v>
      </c>
      <c r="G2725" s="1" t="s">
        <v>11088</v>
      </c>
      <c r="H2725" s="1">
        <v>0.0</v>
      </c>
      <c r="I2725" s="1"/>
      <c r="J2725" s="1"/>
      <c r="K2725" s="1"/>
      <c r="L2725" s="1"/>
      <c r="M2725" s="1"/>
      <c r="N2725" s="1" t="s">
        <v>47</v>
      </c>
      <c r="O2725" s="1" t="s">
        <v>980</v>
      </c>
      <c r="P2725" s="1"/>
      <c r="Q2725" s="3">
        <v>37683.0</v>
      </c>
      <c r="R2725" s="1"/>
      <c r="S2725" s="1"/>
      <c r="T2725" s="1" t="s">
        <v>37</v>
      </c>
      <c r="U2725" s="1"/>
      <c r="V2725" s="1" t="s">
        <v>38</v>
      </c>
      <c r="W2725" s="1"/>
      <c r="X2725" s="1"/>
      <c r="Y2725" s="1" t="s">
        <v>11089</v>
      </c>
      <c r="Z2725" s="1"/>
      <c r="AA2725" s="1" t="s">
        <v>40</v>
      </c>
      <c r="AB2725" s="1" t="s">
        <v>981</v>
      </c>
      <c r="AC2725" s="1">
        <v>5476.0</v>
      </c>
    </row>
    <row r="2726">
      <c r="A2726" s="1" t="str">
        <f>"0008YY"</f>
        <v>0008YY</v>
      </c>
      <c r="B2726" s="1" t="s">
        <v>11090</v>
      </c>
      <c r="C2726" s="1" t="s">
        <v>11091</v>
      </c>
      <c r="D2726" s="1" t="str">
        <f>"8022284912"</f>
        <v>8022284912</v>
      </c>
      <c r="E2726" s="1">
        <v>3512.0</v>
      </c>
      <c r="F2726" s="1" t="s">
        <v>44</v>
      </c>
      <c r="G2726" s="1" t="s">
        <v>11092</v>
      </c>
      <c r="H2726" s="1">
        <v>0.0</v>
      </c>
      <c r="I2726" s="1"/>
      <c r="J2726" s="1"/>
      <c r="K2726" s="1"/>
      <c r="L2726" s="1"/>
      <c r="M2726" s="1"/>
      <c r="N2726" s="1" t="s">
        <v>34</v>
      </c>
      <c r="O2726" s="1" t="s">
        <v>1237</v>
      </c>
      <c r="P2726" s="1"/>
      <c r="Q2726" s="3">
        <v>37774.0</v>
      </c>
      <c r="R2726" s="1"/>
      <c r="S2726" s="1"/>
      <c r="T2726" s="1" t="s">
        <v>37</v>
      </c>
      <c r="U2726" s="1"/>
      <c r="V2726" s="1" t="s">
        <v>38</v>
      </c>
      <c r="W2726" s="1"/>
      <c r="X2726" s="1"/>
      <c r="Y2726" s="1" t="s">
        <v>11093</v>
      </c>
      <c r="Z2726" s="1"/>
      <c r="AA2726" s="1" t="s">
        <v>40</v>
      </c>
      <c r="AB2726" s="1" t="s">
        <v>1238</v>
      </c>
      <c r="AC2726" s="1">
        <v>5149.0</v>
      </c>
    </row>
    <row r="2727">
      <c r="A2727" s="1" t="str">
        <f>"000M8X"</f>
        <v>000M8X</v>
      </c>
      <c r="B2727" s="1" t="s">
        <v>11094</v>
      </c>
      <c r="C2727" s="1" t="s">
        <v>11095</v>
      </c>
      <c r="D2727" s="1" t="str">
        <f>"8609667354"</f>
        <v>8609667354</v>
      </c>
      <c r="E2727" s="1">
        <v>4623.0</v>
      </c>
      <c r="F2727" s="1" t="s">
        <v>31</v>
      </c>
      <c r="G2727" s="1" t="s">
        <v>11096</v>
      </c>
      <c r="H2727" s="1">
        <v>3.0</v>
      </c>
      <c r="I2727" s="1"/>
      <c r="J2727" s="1"/>
      <c r="K2727" s="1"/>
      <c r="L2727" s="1"/>
      <c r="M2727" s="1" t="s">
        <v>3033</v>
      </c>
      <c r="N2727" s="1" t="s">
        <v>34</v>
      </c>
      <c r="O2727" s="1" t="s">
        <v>1469</v>
      </c>
      <c r="P2727" s="1" t="s">
        <v>36</v>
      </c>
      <c r="Q2727" s="3">
        <v>41667.0</v>
      </c>
      <c r="R2727" s="1"/>
      <c r="S2727" s="3">
        <v>42222.0</v>
      </c>
      <c r="T2727" s="1" t="s">
        <v>37</v>
      </c>
      <c r="U2727" s="1"/>
      <c r="V2727" s="1" t="s">
        <v>38</v>
      </c>
      <c r="W2727" s="1">
        <v>43.785969</v>
      </c>
      <c r="X2727" s="1">
        <v>-72.6973459999999</v>
      </c>
      <c r="Y2727" s="1" t="s">
        <v>11097</v>
      </c>
      <c r="Z2727" s="1"/>
      <c r="AA2727" s="1" t="s">
        <v>40</v>
      </c>
      <c r="AB2727" s="1" t="s">
        <v>1471</v>
      </c>
      <c r="AC2727" s="1">
        <v>5746.0</v>
      </c>
    </row>
    <row r="2728">
      <c r="A2728" s="1" t="str">
        <f>"0007Y4"</f>
        <v>0007Y4</v>
      </c>
      <c r="B2728" s="1" t="s">
        <v>11098</v>
      </c>
      <c r="C2728" s="1" t="s">
        <v>11099</v>
      </c>
      <c r="D2728" s="1" t="str">
        <f>"8028744770"</f>
        <v>8028744770</v>
      </c>
      <c r="E2728" s="1">
        <v>3288.0</v>
      </c>
      <c r="F2728" s="1" t="s">
        <v>44</v>
      </c>
      <c r="G2728" s="1" t="s">
        <v>11100</v>
      </c>
      <c r="H2728" s="1">
        <v>0.0</v>
      </c>
      <c r="I2728" s="1"/>
      <c r="J2728" s="1"/>
      <c r="K2728" s="1"/>
      <c r="L2728" s="1"/>
      <c r="M2728" s="1"/>
      <c r="N2728" s="1" t="s">
        <v>66</v>
      </c>
      <c r="O2728" s="1" t="s">
        <v>1944</v>
      </c>
      <c r="P2728" s="1"/>
      <c r="Q2728" s="3">
        <v>41689.0</v>
      </c>
      <c r="R2728" s="1"/>
      <c r="S2728" s="1"/>
      <c r="T2728" s="1" t="s">
        <v>37</v>
      </c>
      <c r="U2728" s="1"/>
      <c r="V2728" s="1" t="s">
        <v>38</v>
      </c>
      <c r="W2728" s="1"/>
      <c r="X2728" s="1"/>
      <c r="Y2728" s="1" t="s">
        <v>11101</v>
      </c>
      <c r="Z2728" s="1"/>
      <c r="AA2728" s="1" t="s">
        <v>40</v>
      </c>
      <c r="AB2728" s="1" t="s">
        <v>11102</v>
      </c>
      <c r="AC2728" s="1">
        <v>5359.0</v>
      </c>
    </row>
    <row r="2729">
      <c r="A2729" s="1" t="str">
        <f>"000908"</f>
        <v>000908</v>
      </c>
      <c r="B2729" s="1" t="s">
        <v>6898</v>
      </c>
      <c r="C2729" s="1" t="s">
        <v>6899</v>
      </c>
      <c r="D2729" s="1" t="str">
        <f>"8025253833"</f>
        <v>8025253833</v>
      </c>
      <c r="E2729" s="1">
        <v>3563.0</v>
      </c>
      <c r="F2729" s="1" t="s">
        <v>44</v>
      </c>
      <c r="G2729" s="1" t="s">
        <v>11103</v>
      </c>
      <c r="H2729" s="1">
        <v>1.0</v>
      </c>
      <c r="I2729" s="1"/>
      <c r="J2729" s="1"/>
      <c r="K2729" s="1"/>
      <c r="L2729" s="1"/>
      <c r="M2729" s="1" t="s">
        <v>33</v>
      </c>
      <c r="N2729" s="1" t="s">
        <v>94</v>
      </c>
      <c r="O2729" s="1" t="s">
        <v>1672</v>
      </c>
      <c r="P2729" s="1" t="s">
        <v>36</v>
      </c>
      <c r="Q2729" s="3">
        <v>41689.0</v>
      </c>
      <c r="R2729" s="1"/>
      <c r="S2729" s="1"/>
      <c r="T2729" s="1" t="s">
        <v>37</v>
      </c>
      <c r="U2729" s="1"/>
      <c r="V2729" s="1" t="s">
        <v>38</v>
      </c>
      <c r="W2729" s="1">
        <v>44.755161</v>
      </c>
      <c r="X2729" s="1">
        <v>-72.0989</v>
      </c>
      <c r="Y2729" s="1" t="s">
        <v>11104</v>
      </c>
      <c r="Z2729" s="1"/>
      <c r="AA2729" s="1" t="s">
        <v>40</v>
      </c>
      <c r="AB2729" s="1" t="s">
        <v>1673</v>
      </c>
      <c r="AC2729" s="1">
        <v>5822.0</v>
      </c>
    </row>
    <row r="2730">
      <c r="A2730" s="1" t="str">
        <f>"0008N5"</f>
        <v>0008N5</v>
      </c>
      <c r="B2730" s="1" t="s">
        <v>11105</v>
      </c>
      <c r="C2730" s="1" t="s">
        <v>11106</v>
      </c>
      <c r="D2730" s="1" t="str">
        <f>"8024792005"</f>
        <v>8024792005</v>
      </c>
      <c r="E2730" s="1">
        <v>3168.0</v>
      </c>
      <c r="F2730" s="1" t="s">
        <v>44</v>
      </c>
      <c r="G2730" s="1" t="s">
        <v>11107</v>
      </c>
      <c r="H2730" s="1">
        <v>0.0</v>
      </c>
      <c r="I2730" s="1"/>
      <c r="J2730" s="1"/>
      <c r="K2730" s="1"/>
      <c r="L2730" s="1"/>
      <c r="M2730" s="1"/>
      <c r="N2730" s="1" t="s">
        <v>135</v>
      </c>
      <c r="O2730" s="1" t="s">
        <v>343</v>
      </c>
      <c r="P2730" s="1"/>
      <c r="Q2730" s="3">
        <v>41689.0</v>
      </c>
      <c r="R2730" s="1"/>
      <c r="S2730" s="1"/>
      <c r="T2730" s="1" t="s">
        <v>37</v>
      </c>
      <c r="U2730" s="1"/>
      <c r="V2730" s="1" t="s">
        <v>38</v>
      </c>
      <c r="W2730" s="1"/>
      <c r="X2730" s="1"/>
      <c r="Y2730" s="1" t="s">
        <v>11108</v>
      </c>
      <c r="Z2730" s="1"/>
      <c r="AA2730" s="1" t="s">
        <v>40</v>
      </c>
      <c r="AB2730" s="1" t="s">
        <v>4019</v>
      </c>
      <c r="AC2730" s="1">
        <v>5641.0</v>
      </c>
    </row>
    <row r="2731">
      <c r="A2731" s="1" t="str">
        <f>"0008PG"</f>
        <v>0008PG</v>
      </c>
      <c r="B2731" s="1" t="s">
        <v>11109</v>
      </c>
      <c r="C2731" s="1" t="s">
        <v>11110</v>
      </c>
      <c r="D2731" s="1" t="str">
        <f>"8022345524"</f>
        <v>8022345524</v>
      </c>
      <c r="E2731" s="1">
        <v>3242.0</v>
      </c>
      <c r="F2731" s="1" t="s">
        <v>44</v>
      </c>
      <c r="G2731" s="1" t="s">
        <v>11111</v>
      </c>
      <c r="H2731" s="1">
        <v>0.0</v>
      </c>
      <c r="I2731" s="1"/>
      <c r="J2731" s="1"/>
      <c r="K2731" s="1"/>
      <c r="L2731" s="1"/>
      <c r="M2731" s="1"/>
      <c r="N2731" s="1" t="s">
        <v>142</v>
      </c>
      <c r="O2731" s="1" t="s">
        <v>474</v>
      </c>
      <c r="P2731" s="1"/>
      <c r="Q2731" s="3">
        <v>41689.0</v>
      </c>
      <c r="R2731" s="1"/>
      <c r="S2731" s="1"/>
      <c r="T2731" s="1" t="s">
        <v>37</v>
      </c>
      <c r="U2731" s="1"/>
      <c r="V2731" s="1" t="s">
        <v>38</v>
      </c>
      <c r="W2731" s="1"/>
      <c r="X2731" s="1"/>
      <c r="Y2731" s="1" t="s">
        <v>11112</v>
      </c>
      <c r="Z2731" s="1"/>
      <c r="AA2731" s="1" t="s">
        <v>40</v>
      </c>
      <c r="AB2731" s="1" t="s">
        <v>475</v>
      </c>
      <c r="AC2731" s="1">
        <v>5060.0</v>
      </c>
    </row>
    <row r="2732">
      <c r="A2732" s="1" t="str">
        <f>"000718"</f>
        <v>000718</v>
      </c>
      <c r="B2732" s="1" t="s">
        <v>11113</v>
      </c>
      <c r="C2732" s="1" t="s">
        <v>11114</v>
      </c>
      <c r="D2732" s="1" t="str">
        <f>"2299375283"</f>
        <v>2299375283</v>
      </c>
      <c r="E2732" s="1">
        <v>3095.0</v>
      </c>
      <c r="F2732" s="1" t="s">
        <v>44</v>
      </c>
      <c r="G2732" s="1" t="s">
        <v>11115</v>
      </c>
      <c r="H2732" s="1">
        <v>0.0</v>
      </c>
      <c r="I2732" s="1"/>
      <c r="J2732" s="1"/>
      <c r="K2732" s="1"/>
      <c r="L2732" s="1"/>
      <c r="M2732" s="1"/>
      <c r="N2732" s="1" t="s">
        <v>135</v>
      </c>
      <c r="O2732" s="1" t="s">
        <v>3116</v>
      </c>
      <c r="P2732" s="1"/>
      <c r="Q2732" s="3">
        <v>41689.0</v>
      </c>
      <c r="R2732" s="1"/>
      <c r="S2732" s="1"/>
      <c r="T2732" s="1" t="s">
        <v>37</v>
      </c>
      <c r="U2732" s="1"/>
      <c r="V2732" s="1" t="s">
        <v>38</v>
      </c>
      <c r="W2732" s="1"/>
      <c r="X2732" s="1"/>
      <c r="Y2732" s="1" t="s">
        <v>11116</v>
      </c>
      <c r="Z2732" s="1"/>
      <c r="AA2732" s="1" t="s">
        <v>40</v>
      </c>
      <c r="AB2732" s="1" t="s">
        <v>9760</v>
      </c>
      <c r="AC2732" s="1">
        <v>5648.0</v>
      </c>
    </row>
    <row r="2733">
      <c r="A2733" s="1" t="str">
        <f>"00086G"</f>
        <v>00086G</v>
      </c>
      <c r="B2733" s="1" t="s">
        <v>11117</v>
      </c>
      <c r="C2733" s="1" t="s">
        <v>11118</v>
      </c>
      <c r="D2733" s="1" t="str">
        <f>"8024533055"</f>
        <v>8024533055</v>
      </c>
      <c r="E2733" s="1">
        <v>3085.0</v>
      </c>
      <c r="F2733" s="1" t="s">
        <v>44</v>
      </c>
      <c r="G2733" s="1" t="s">
        <v>11119</v>
      </c>
      <c r="H2733" s="1">
        <v>0.0</v>
      </c>
      <c r="I2733" s="1"/>
      <c r="J2733" s="1"/>
      <c r="K2733" s="1"/>
      <c r="L2733" s="1"/>
      <c r="M2733" s="1"/>
      <c r="N2733" s="1" t="s">
        <v>161</v>
      </c>
      <c r="O2733" s="1" t="s">
        <v>180</v>
      </c>
      <c r="P2733" s="1"/>
      <c r="Q2733" s="3">
        <v>41689.0</v>
      </c>
      <c r="R2733" s="1"/>
      <c r="S2733" s="1"/>
      <c r="T2733" s="1" t="s">
        <v>37</v>
      </c>
      <c r="U2733" s="1"/>
      <c r="V2733" s="1" t="s">
        <v>38</v>
      </c>
      <c r="W2733" s="1"/>
      <c r="X2733" s="1"/>
      <c r="Y2733" s="1" t="s">
        <v>11120</v>
      </c>
      <c r="Z2733" s="1"/>
      <c r="AA2733" s="1" t="s">
        <v>40</v>
      </c>
      <c r="AB2733" s="1" t="s">
        <v>181</v>
      </c>
      <c r="AC2733" s="1">
        <v>5487.0</v>
      </c>
    </row>
    <row r="2734">
      <c r="A2734" s="1" t="str">
        <f>"0007M6"</f>
        <v>0007M6</v>
      </c>
      <c r="B2734" s="1" t="s">
        <v>11121</v>
      </c>
      <c r="C2734" s="1" t="s">
        <v>11122</v>
      </c>
      <c r="D2734" s="1" t="str">
        <f>"8028795469"</f>
        <v>8028795469</v>
      </c>
      <c r="E2734" s="1">
        <v>3214.0</v>
      </c>
      <c r="F2734" s="1" t="s">
        <v>44</v>
      </c>
      <c r="G2734" s="1" t="s">
        <v>11123</v>
      </c>
      <c r="H2734" s="1">
        <v>0.0</v>
      </c>
      <c r="I2734" s="1"/>
      <c r="J2734" s="1"/>
      <c r="K2734" s="1"/>
      <c r="L2734" s="1"/>
      <c r="M2734" s="1"/>
      <c r="N2734" s="1" t="s">
        <v>57</v>
      </c>
      <c r="O2734" s="1" t="s">
        <v>509</v>
      </c>
      <c r="P2734" s="1"/>
      <c r="Q2734" s="3">
        <v>41689.0</v>
      </c>
      <c r="R2734" s="1"/>
      <c r="S2734" s="1"/>
      <c r="T2734" s="1" t="s">
        <v>37</v>
      </c>
      <c r="U2734" s="1"/>
      <c r="V2734" s="1" t="s">
        <v>38</v>
      </c>
      <c r="W2734" s="1">
        <v>44.56247</v>
      </c>
      <c r="X2734" s="1">
        <v>-73.064006</v>
      </c>
      <c r="Y2734" s="1" t="s">
        <v>11124</v>
      </c>
      <c r="Z2734" s="1"/>
      <c r="AA2734" s="1" t="s">
        <v>40</v>
      </c>
      <c r="AB2734" s="1" t="s">
        <v>3296</v>
      </c>
      <c r="AC2734" s="1">
        <v>5452.0</v>
      </c>
    </row>
    <row r="2735">
      <c r="A2735" s="1" t="str">
        <f>"0008B6"</f>
        <v>0008B6</v>
      </c>
      <c r="B2735" s="1" t="s">
        <v>11125</v>
      </c>
      <c r="C2735" s="1" t="s">
        <v>11126</v>
      </c>
      <c r="D2735" s="1" t="str">
        <f>"8027483351"</f>
        <v>8027483351</v>
      </c>
      <c r="E2735" s="1">
        <v>3484.0</v>
      </c>
      <c r="F2735" s="1" t="s">
        <v>44</v>
      </c>
      <c r="G2735" s="1" t="s">
        <v>11127</v>
      </c>
      <c r="H2735" s="1">
        <v>0.0</v>
      </c>
      <c r="I2735" s="1"/>
      <c r="J2735" s="1"/>
      <c r="K2735" s="1"/>
      <c r="L2735" s="1"/>
      <c r="M2735" s="1"/>
      <c r="N2735" s="1" t="s">
        <v>128</v>
      </c>
      <c r="O2735" s="1" t="s">
        <v>337</v>
      </c>
      <c r="P2735" s="1"/>
      <c r="Q2735" s="3">
        <v>41689.0</v>
      </c>
      <c r="R2735" s="1"/>
      <c r="S2735" s="1"/>
      <c r="T2735" s="1" t="s">
        <v>37</v>
      </c>
      <c r="U2735" s="1"/>
      <c r="V2735" s="1" t="s">
        <v>38</v>
      </c>
      <c r="W2735" s="1">
        <v>44.5012595</v>
      </c>
      <c r="X2735" s="1">
        <v>-71.9887087</v>
      </c>
      <c r="Y2735" s="1" t="s">
        <v>11128</v>
      </c>
      <c r="Z2735" s="1"/>
      <c r="AA2735" s="1" t="s">
        <v>40</v>
      </c>
      <c r="AB2735" s="1" t="s">
        <v>8332</v>
      </c>
      <c r="AC2735" s="1">
        <v>5851.0</v>
      </c>
    </row>
    <row r="2736">
      <c r="A2736" s="1" t="str">
        <f>"00090Y"</f>
        <v>00090Y</v>
      </c>
      <c r="B2736" s="1" t="s">
        <v>11129</v>
      </c>
      <c r="C2736" s="1" t="s">
        <v>11130</v>
      </c>
      <c r="D2736" s="1"/>
      <c r="E2736" s="1">
        <v>3612.0</v>
      </c>
      <c r="F2736" s="1" t="s">
        <v>44</v>
      </c>
      <c r="G2736" s="1" t="s">
        <v>11131</v>
      </c>
      <c r="H2736" s="1">
        <v>0.0</v>
      </c>
      <c r="I2736" s="1"/>
      <c r="J2736" s="1"/>
      <c r="K2736" s="1"/>
      <c r="L2736" s="1"/>
      <c r="M2736" s="1"/>
      <c r="N2736" s="1" t="s">
        <v>135</v>
      </c>
      <c r="O2736" s="1" t="s">
        <v>3300</v>
      </c>
      <c r="P2736" s="1"/>
      <c r="Q2736" s="3">
        <v>41689.0</v>
      </c>
      <c r="R2736" s="1"/>
      <c r="S2736" s="1"/>
      <c r="T2736" s="1" t="s">
        <v>37</v>
      </c>
      <c r="U2736" s="1"/>
      <c r="V2736" s="1" t="s">
        <v>38</v>
      </c>
      <c r="W2736" s="1">
        <v>44.320356</v>
      </c>
      <c r="X2736" s="1">
        <v>-72.7595705</v>
      </c>
      <c r="Y2736" s="1" t="s">
        <v>11132</v>
      </c>
      <c r="Z2736" s="1"/>
      <c r="AA2736" s="1" t="s">
        <v>40</v>
      </c>
      <c r="AB2736" s="1" t="s">
        <v>3301</v>
      </c>
      <c r="AC2736" s="1">
        <v>5676.0</v>
      </c>
    </row>
    <row r="2737">
      <c r="A2737" s="1" t="str">
        <f>"0008WX"</f>
        <v>0008WX</v>
      </c>
      <c r="B2737" s="1" t="s">
        <v>11133</v>
      </c>
      <c r="C2737" s="1" t="s">
        <v>11134</v>
      </c>
      <c r="D2737" s="1" t="str">
        <f>"8028931479"</f>
        <v>8028931479</v>
      </c>
      <c r="E2737" s="1">
        <v>3406.0</v>
      </c>
      <c r="F2737" s="1" t="s">
        <v>44</v>
      </c>
      <c r="G2737" s="1" t="s">
        <v>11135</v>
      </c>
      <c r="H2737" s="1">
        <v>0.0</v>
      </c>
      <c r="I2737" s="1"/>
      <c r="J2737" s="1"/>
      <c r="K2737" s="1"/>
      <c r="L2737" s="1"/>
      <c r="M2737" s="1"/>
      <c r="N2737" s="1" t="s">
        <v>57</v>
      </c>
      <c r="O2737" s="1" t="s">
        <v>256</v>
      </c>
      <c r="P2737" s="1"/>
      <c r="Q2737" s="3">
        <v>41689.0</v>
      </c>
      <c r="R2737" s="1"/>
      <c r="S2737" s="1"/>
      <c r="T2737" s="1" t="s">
        <v>37</v>
      </c>
      <c r="U2737" s="1"/>
      <c r="V2737" s="1" t="s">
        <v>38</v>
      </c>
      <c r="W2737" s="1">
        <v>44.580794</v>
      </c>
      <c r="X2737" s="1">
        <v>-73.096654</v>
      </c>
      <c r="Y2737" s="1" t="s">
        <v>11136</v>
      </c>
      <c r="Z2737" s="1"/>
      <c r="AA2737" s="1" t="s">
        <v>40</v>
      </c>
      <c r="AB2737" s="1" t="s">
        <v>257</v>
      </c>
      <c r="AC2737" s="1">
        <v>5468.0</v>
      </c>
    </row>
    <row r="2738">
      <c r="A2738" s="1" t="str">
        <f>"0008WC"</f>
        <v>0008WC</v>
      </c>
      <c r="B2738" s="1" t="s">
        <v>11137</v>
      </c>
      <c r="C2738" s="1" t="s">
        <v>11138</v>
      </c>
      <c r="D2738" s="1" t="str">
        <f>"8025240732"</f>
        <v>8025240732</v>
      </c>
      <c r="E2738" s="1">
        <v>3388.0</v>
      </c>
      <c r="F2738" s="1" t="s">
        <v>44</v>
      </c>
      <c r="G2738" s="1" t="s">
        <v>11139</v>
      </c>
      <c r="H2738" s="1">
        <v>0.0</v>
      </c>
      <c r="I2738" s="1"/>
      <c r="J2738" s="1"/>
      <c r="K2738" s="1"/>
      <c r="L2738" s="1"/>
      <c r="M2738" s="1"/>
      <c r="N2738" s="1" t="s">
        <v>47</v>
      </c>
      <c r="O2738" s="1" t="s">
        <v>2753</v>
      </c>
      <c r="P2738" s="1"/>
      <c r="Q2738" s="3">
        <v>41689.0</v>
      </c>
      <c r="R2738" s="1"/>
      <c r="S2738" s="1"/>
      <c r="T2738" s="1" t="s">
        <v>37</v>
      </c>
      <c r="U2738" s="1"/>
      <c r="V2738" s="1" t="s">
        <v>38</v>
      </c>
      <c r="W2738" s="1">
        <v>44.801437</v>
      </c>
      <c r="X2738" s="1">
        <v>-73.0596239999999</v>
      </c>
      <c r="Y2738" s="1" t="s">
        <v>11140</v>
      </c>
      <c r="Z2738" s="1"/>
      <c r="AA2738" s="1" t="s">
        <v>40</v>
      </c>
      <c r="AB2738" s="1" t="s">
        <v>5776</v>
      </c>
      <c r="AC2738" s="1">
        <v>5478.0</v>
      </c>
    </row>
    <row r="2739">
      <c r="A2739" s="1" t="str">
        <f>"0008NP"</f>
        <v>0008NP</v>
      </c>
      <c r="B2739" s="1" t="s">
        <v>11141</v>
      </c>
      <c r="C2739" s="1" t="s">
        <v>11142</v>
      </c>
      <c r="D2739" s="1" t="str">
        <f>"8025633083"</f>
        <v>8025633083</v>
      </c>
      <c r="E2739" s="1">
        <v>3191.0</v>
      </c>
      <c r="F2739" s="1" t="s">
        <v>44</v>
      </c>
      <c r="G2739" s="1" t="s">
        <v>11143</v>
      </c>
      <c r="H2739" s="1">
        <v>0.0</v>
      </c>
      <c r="I2739" s="1"/>
      <c r="J2739" s="1"/>
      <c r="K2739" s="1"/>
      <c r="L2739" s="1"/>
      <c r="M2739" s="1"/>
      <c r="N2739" s="1" t="s">
        <v>135</v>
      </c>
      <c r="O2739" s="1" t="s">
        <v>409</v>
      </c>
      <c r="P2739" s="1"/>
      <c r="Q2739" s="3">
        <v>41689.0</v>
      </c>
      <c r="R2739" s="1"/>
      <c r="S2739" s="1"/>
      <c r="T2739" s="1" t="s">
        <v>37</v>
      </c>
      <c r="U2739" s="1"/>
      <c r="V2739" s="1" t="s">
        <v>38</v>
      </c>
      <c r="W2739" s="1"/>
      <c r="X2739" s="1"/>
      <c r="Y2739" s="1" t="s">
        <v>11144</v>
      </c>
      <c r="Z2739" s="1"/>
      <c r="AA2739" s="1" t="s">
        <v>40</v>
      </c>
      <c r="AB2739" s="1" t="s">
        <v>410</v>
      </c>
      <c r="AC2739" s="1">
        <v>5647.0</v>
      </c>
    </row>
    <row r="2740">
      <c r="A2740" s="1" t="str">
        <f>"0007W3"</f>
        <v>0007W3</v>
      </c>
      <c r="B2740" s="1" t="s">
        <v>11145</v>
      </c>
      <c r="C2740" s="1" t="s">
        <v>11146</v>
      </c>
      <c r="D2740" s="1" t="str">
        <f>"8024967830"</f>
        <v>8024967830</v>
      </c>
      <c r="E2740" s="1">
        <v>3232.0</v>
      </c>
      <c r="F2740" s="1" t="s">
        <v>44</v>
      </c>
      <c r="G2740" s="1" t="s">
        <v>11147</v>
      </c>
      <c r="H2740" s="1">
        <v>0.0</v>
      </c>
      <c r="I2740" s="1"/>
      <c r="J2740" s="1"/>
      <c r="K2740" s="1"/>
      <c r="L2740" s="1"/>
      <c r="M2740" s="1"/>
      <c r="N2740" s="1" t="s">
        <v>161</v>
      </c>
      <c r="O2740" s="1" t="s">
        <v>307</v>
      </c>
      <c r="P2740" s="1"/>
      <c r="Q2740" s="3">
        <v>41689.0</v>
      </c>
      <c r="R2740" s="1"/>
      <c r="S2740" s="1"/>
      <c r="T2740" s="1" t="s">
        <v>37</v>
      </c>
      <c r="U2740" s="1"/>
      <c r="V2740" s="1" t="s">
        <v>38</v>
      </c>
      <c r="W2740" s="1">
        <v>44.1691505999999</v>
      </c>
      <c r="X2740" s="1">
        <v>-72.9982663999999</v>
      </c>
      <c r="Y2740" s="1" t="s">
        <v>11148</v>
      </c>
      <c r="Z2740" s="1"/>
      <c r="AA2740" s="1" t="s">
        <v>40</v>
      </c>
      <c r="AB2740" s="1" t="s">
        <v>308</v>
      </c>
      <c r="AC2740" s="1">
        <v>5443.0</v>
      </c>
    </row>
    <row r="2741">
      <c r="A2741" s="1" t="str">
        <f>"0008X3"</f>
        <v>0008X3</v>
      </c>
      <c r="B2741" s="1" t="s">
        <v>11149</v>
      </c>
      <c r="C2741" s="1" t="s">
        <v>11150</v>
      </c>
      <c r="D2741" s="1" t="str">
        <f>"8028273632"</f>
        <v>8028273632</v>
      </c>
      <c r="E2741" s="1">
        <v>3419.0</v>
      </c>
      <c r="F2741" s="1" t="s">
        <v>44</v>
      </c>
      <c r="G2741" s="1" t="s">
        <v>11151</v>
      </c>
      <c r="H2741" s="1">
        <v>0.0</v>
      </c>
      <c r="I2741" s="1"/>
      <c r="J2741" s="1"/>
      <c r="K2741" s="1"/>
      <c r="L2741" s="1"/>
      <c r="M2741" s="1"/>
      <c r="N2741" s="1" t="s">
        <v>47</v>
      </c>
      <c r="O2741" s="1" t="s">
        <v>100</v>
      </c>
      <c r="P2741" s="1"/>
      <c r="Q2741" s="3">
        <v>41689.0</v>
      </c>
      <c r="R2741" s="1"/>
      <c r="S2741" s="1"/>
      <c r="T2741" s="1" t="s">
        <v>37</v>
      </c>
      <c r="U2741" s="1"/>
      <c r="V2741" s="1" t="s">
        <v>38</v>
      </c>
      <c r="W2741" s="1">
        <v>44.744148</v>
      </c>
      <c r="X2741" s="1">
        <v>-72.919212</v>
      </c>
      <c r="Y2741" s="1" t="s">
        <v>11152</v>
      </c>
      <c r="Z2741" s="1"/>
      <c r="AA2741" s="1" t="s">
        <v>40</v>
      </c>
      <c r="AB2741" s="1" t="s">
        <v>11153</v>
      </c>
      <c r="AC2741" s="1">
        <v>5448.0</v>
      </c>
    </row>
    <row r="2742">
      <c r="A2742" s="1" t="str">
        <f>"0008J6"</f>
        <v>0008J6</v>
      </c>
      <c r="B2742" s="1" t="s">
        <v>11154</v>
      </c>
      <c r="C2742" s="1" t="s">
        <v>11155</v>
      </c>
      <c r="D2742" s="1" t="str">
        <f>"8028885272"</f>
        <v>8028885272</v>
      </c>
      <c r="E2742" s="1">
        <v>2778.0</v>
      </c>
      <c r="F2742" s="1" t="s">
        <v>44</v>
      </c>
      <c r="G2742" s="1" t="s">
        <v>11156</v>
      </c>
      <c r="H2742" s="1">
        <v>0.0</v>
      </c>
      <c r="I2742" s="1"/>
      <c r="J2742" s="1"/>
      <c r="K2742" s="1"/>
      <c r="L2742" s="1"/>
      <c r="M2742" s="1"/>
      <c r="N2742" s="1" t="s">
        <v>213</v>
      </c>
      <c r="O2742" s="1" t="s">
        <v>214</v>
      </c>
      <c r="P2742" s="1"/>
      <c r="Q2742" s="3">
        <v>41689.0</v>
      </c>
      <c r="R2742" s="1"/>
      <c r="S2742" s="1"/>
      <c r="T2742" s="1" t="s">
        <v>37</v>
      </c>
      <c r="U2742" s="1"/>
      <c r="V2742" s="1" t="s">
        <v>38</v>
      </c>
      <c r="W2742" s="1">
        <v>44.574233</v>
      </c>
      <c r="X2742" s="1">
        <v>-72.5939149999999</v>
      </c>
      <c r="Y2742" s="1" t="s">
        <v>11157</v>
      </c>
      <c r="Z2742" s="1"/>
      <c r="AA2742" s="1" t="s">
        <v>40</v>
      </c>
      <c r="AB2742" s="1" t="s">
        <v>8450</v>
      </c>
      <c r="AC2742" s="1" t="s">
        <v>11158</v>
      </c>
    </row>
    <row r="2743">
      <c r="A2743" s="1" t="str">
        <f>"0008DA"</f>
        <v>0008DA</v>
      </c>
      <c r="B2743" s="1" t="s">
        <v>11159</v>
      </c>
      <c r="C2743" s="1" t="s">
        <v>11160</v>
      </c>
      <c r="D2743" s="1" t="str">
        <f>"8024763895"</f>
        <v>8024763895</v>
      </c>
      <c r="E2743" s="1">
        <v>3234.0</v>
      </c>
      <c r="F2743" s="1" t="s">
        <v>44</v>
      </c>
      <c r="G2743" s="1" t="s">
        <v>11161</v>
      </c>
      <c r="H2743" s="1">
        <v>0.0</v>
      </c>
      <c r="I2743" s="1"/>
      <c r="J2743" s="1"/>
      <c r="K2743" s="1"/>
      <c r="L2743" s="1"/>
      <c r="M2743" s="1"/>
      <c r="N2743" s="1" t="s">
        <v>135</v>
      </c>
      <c r="O2743" s="1" t="s">
        <v>9574</v>
      </c>
      <c r="P2743" s="1"/>
      <c r="Q2743" s="3">
        <v>41695.0</v>
      </c>
      <c r="R2743" s="1"/>
      <c r="S2743" s="1"/>
      <c r="T2743" s="1" t="s">
        <v>37</v>
      </c>
      <c r="U2743" s="1"/>
      <c r="V2743" s="1" t="s">
        <v>38</v>
      </c>
      <c r="W2743" s="1">
        <v>44.195229</v>
      </c>
      <c r="X2743" s="1">
        <v>-72.517334</v>
      </c>
      <c r="Y2743" s="1" t="s">
        <v>11162</v>
      </c>
      <c r="Z2743" s="1"/>
      <c r="AA2743" s="1" t="s">
        <v>40</v>
      </c>
      <c r="AB2743" s="1" t="s">
        <v>4019</v>
      </c>
      <c r="AC2743" s="1">
        <v>5641.0</v>
      </c>
    </row>
    <row r="2744">
      <c r="A2744" s="1" t="str">
        <f>"00089F"</f>
        <v>00089F</v>
      </c>
      <c r="B2744" s="1" t="s">
        <v>11163</v>
      </c>
      <c r="C2744" s="1" t="s">
        <v>11164</v>
      </c>
      <c r="D2744" s="1" t="str">
        <f>"8028787899"</f>
        <v>8028787899</v>
      </c>
      <c r="E2744" s="1">
        <v>3138.0</v>
      </c>
      <c r="F2744" s="1" t="s">
        <v>44</v>
      </c>
      <c r="G2744" s="1" t="s">
        <v>11165</v>
      </c>
      <c r="H2744" s="1">
        <v>0.0</v>
      </c>
      <c r="I2744" s="1"/>
      <c r="J2744" s="1"/>
      <c r="K2744" s="1"/>
      <c r="L2744" s="1"/>
      <c r="M2744" s="1"/>
      <c r="N2744" s="1" t="s">
        <v>57</v>
      </c>
      <c r="O2744" s="1" t="s">
        <v>509</v>
      </c>
      <c r="P2744" s="1"/>
      <c r="Q2744" s="3">
        <v>41695.0</v>
      </c>
      <c r="R2744" s="1"/>
      <c r="S2744" s="1"/>
      <c r="T2744" s="1" t="s">
        <v>37</v>
      </c>
      <c r="U2744" s="1"/>
      <c r="V2744" s="1" t="s">
        <v>38</v>
      </c>
      <c r="W2744" s="1">
        <v>44.564406</v>
      </c>
      <c r="X2744" s="1">
        <v>-73.063466</v>
      </c>
      <c r="Y2744" s="1" t="s">
        <v>11166</v>
      </c>
      <c r="Z2744" s="1"/>
      <c r="AA2744" s="1" t="s">
        <v>40</v>
      </c>
      <c r="AB2744" s="1" t="s">
        <v>3296</v>
      </c>
      <c r="AC2744" s="1" t="s">
        <v>11167</v>
      </c>
    </row>
    <row r="2745">
      <c r="A2745" s="1" t="str">
        <f>"0008PK"</f>
        <v>0008PK</v>
      </c>
      <c r="B2745" s="1" t="s">
        <v>11168</v>
      </c>
      <c r="C2745" s="1" t="s">
        <v>11169</v>
      </c>
      <c r="D2745" s="1" t="str">
        <f>"8022543540"</f>
        <v>8022543540</v>
      </c>
      <c r="E2745" s="1">
        <v>3246.0</v>
      </c>
      <c r="F2745" s="1" t="s">
        <v>44</v>
      </c>
      <c r="G2745" s="1" t="s">
        <v>11170</v>
      </c>
      <c r="H2745" s="1">
        <v>0.0</v>
      </c>
      <c r="I2745" s="1"/>
      <c r="J2745" s="1"/>
      <c r="K2745" s="1"/>
      <c r="L2745" s="1"/>
      <c r="M2745" s="1"/>
      <c r="N2745" s="1" t="s">
        <v>66</v>
      </c>
      <c r="O2745" s="1" t="s">
        <v>1136</v>
      </c>
      <c r="P2745" s="1"/>
      <c r="Q2745" s="3">
        <v>41695.0</v>
      </c>
      <c r="R2745" s="1"/>
      <c r="S2745" s="1"/>
      <c r="T2745" s="1" t="s">
        <v>37</v>
      </c>
      <c r="U2745" s="1"/>
      <c r="V2745" s="1" t="s">
        <v>38</v>
      </c>
      <c r="W2745" s="1">
        <v>42.813198</v>
      </c>
      <c r="X2745" s="1">
        <v>-72.6602399999999</v>
      </c>
      <c r="Y2745" s="1" t="s">
        <v>11171</v>
      </c>
      <c r="Z2745" s="1"/>
      <c r="AA2745" s="1" t="s">
        <v>40</v>
      </c>
      <c r="AB2745" s="1" t="s">
        <v>11172</v>
      </c>
      <c r="AC2745" s="1" t="s">
        <v>11173</v>
      </c>
    </row>
    <row r="2746">
      <c r="A2746" s="1" t="str">
        <f>"0007ZA"</f>
        <v>0007ZA</v>
      </c>
      <c r="B2746" s="1" t="s">
        <v>11174</v>
      </c>
      <c r="C2746" s="1" t="s">
        <v>11175</v>
      </c>
      <c r="D2746" s="1" t="str">
        <f>"8022654493"</f>
        <v>8022654493</v>
      </c>
      <c r="E2746" s="1">
        <v>3362.0</v>
      </c>
      <c r="F2746" s="1" t="s">
        <v>44</v>
      </c>
      <c r="G2746" s="1" t="s">
        <v>11176</v>
      </c>
      <c r="H2746" s="1">
        <v>0.0</v>
      </c>
      <c r="I2746" s="1"/>
      <c r="J2746" s="1"/>
      <c r="K2746" s="1"/>
      <c r="L2746" s="1"/>
      <c r="M2746" s="1"/>
      <c r="N2746" s="1" t="s">
        <v>78</v>
      </c>
      <c r="O2746" s="1" t="s">
        <v>4032</v>
      </c>
      <c r="P2746" s="1"/>
      <c r="Q2746" s="3">
        <v>41695.0</v>
      </c>
      <c r="R2746" s="1"/>
      <c r="S2746" s="1"/>
      <c r="T2746" s="1" t="s">
        <v>37</v>
      </c>
      <c r="U2746" s="1"/>
      <c r="V2746" s="1" t="s">
        <v>38</v>
      </c>
      <c r="W2746" s="1"/>
      <c r="X2746" s="1"/>
      <c r="Y2746" s="1" t="s">
        <v>11177</v>
      </c>
      <c r="Z2746" s="1"/>
      <c r="AA2746" s="1" t="s">
        <v>40</v>
      </c>
      <c r="AB2746" s="1" t="s">
        <v>4033</v>
      </c>
      <c r="AC2746" s="1" t="s">
        <v>11178</v>
      </c>
    </row>
    <row r="2747">
      <c r="A2747" s="1" t="str">
        <f>"0008P4"</f>
        <v>0008P4</v>
      </c>
      <c r="B2747" s="1" t="s">
        <v>11179</v>
      </c>
      <c r="C2747" s="1" t="s">
        <v>11180</v>
      </c>
      <c r="D2747" s="1" t="str">
        <f>"8022935408"</f>
        <v>8022935408</v>
      </c>
      <c r="E2747" s="1">
        <v>3217.0</v>
      </c>
      <c r="F2747" s="1" t="s">
        <v>44</v>
      </c>
      <c r="G2747" s="1" t="s">
        <v>11181</v>
      </c>
      <c r="H2747" s="1">
        <v>0.0</v>
      </c>
      <c r="I2747" s="1"/>
      <c r="J2747" s="1"/>
      <c r="K2747" s="1"/>
      <c r="L2747" s="1"/>
      <c r="M2747" s="1"/>
      <c r="N2747" s="1" t="s">
        <v>78</v>
      </c>
      <c r="O2747" s="1" t="s">
        <v>251</v>
      </c>
      <c r="P2747" s="1"/>
      <c r="Q2747" s="3">
        <v>41695.0</v>
      </c>
      <c r="R2747" s="1"/>
      <c r="S2747" s="1"/>
      <c r="T2747" s="1" t="s">
        <v>37</v>
      </c>
      <c r="U2747" s="1"/>
      <c r="V2747" s="1" t="s">
        <v>38</v>
      </c>
      <c r="W2747" s="1">
        <v>43.36311</v>
      </c>
      <c r="X2747" s="1">
        <v>-73.032692</v>
      </c>
      <c r="Y2747" s="1" t="s">
        <v>11182</v>
      </c>
      <c r="Z2747" s="1"/>
      <c r="AA2747" s="1" t="s">
        <v>40</v>
      </c>
      <c r="AB2747" s="1" t="s">
        <v>252</v>
      </c>
      <c r="AC2747" s="1" t="s">
        <v>11183</v>
      </c>
    </row>
    <row r="2748">
      <c r="A2748" s="1" t="str">
        <f>"0007GM"</f>
        <v>0007GM</v>
      </c>
      <c r="B2748" s="1" t="s">
        <v>11184</v>
      </c>
      <c r="C2748" s="1" t="s">
        <v>11185</v>
      </c>
      <c r="D2748" s="1" t="str">
        <f>"8022352325"</f>
        <v>8022352325</v>
      </c>
      <c r="E2748" s="1">
        <v>3346.0</v>
      </c>
      <c r="F2748" s="1" t="s">
        <v>44</v>
      </c>
      <c r="G2748" s="1" t="s">
        <v>11186</v>
      </c>
      <c r="H2748" s="1">
        <v>0.0</v>
      </c>
      <c r="I2748" s="1"/>
      <c r="J2748" s="1"/>
      <c r="K2748" s="1"/>
      <c r="L2748" s="1"/>
      <c r="M2748" s="1"/>
      <c r="N2748" s="1" t="s">
        <v>78</v>
      </c>
      <c r="O2748" s="1" t="s">
        <v>420</v>
      </c>
      <c r="P2748" s="1"/>
      <c r="Q2748" s="3">
        <v>41695.0</v>
      </c>
      <c r="R2748" s="1"/>
      <c r="S2748" s="1"/>
      <c r="T2748" s="1" t="s">
        <v>37</v>
      </c>
      <c r="U2748" s="1"/>
      <c r="V2748" s="1" t="s">
        <v>38</v>
      </c>
      <c r="W2748" s="1"/>
      <c r="X2748" s="1"/>
      <c r="Y2748" s="1" t="s">
        <v>11187</v>
      </c>
      <c r="Z2748" s="1"/>
      <c r="AA2748" s="1" t="s">
        <v>40</v>
      </c>
      <c r="AB2748" s="1" t="s">
        <v>7161</v>
      </c>
      <c r="AC2748" s="1" t="s">
        <v>11188</v>
      </c>
    </row>
    <row r="2749">
      <c r="A2749" s="1" t="str">
        <f>"0008VZ"</f>
        <v>0008VZ</v>
      </c>
      <c r="B2749" s="1" t="s">
        <v>11189</v>
      </c>
      <c r="C2749" s="1" t="s">
        <v>11190</v>
      </c>
      <c r="D2749" s="1"/>
      <c r="E2749" s="1">
        <v>3336.0</v>
      </c>
      <c r="F2749" s="1" t="s">
        <v>44</v>
      </c>
      <c r="G2749" s="1" t="s">
        <v>11191</v>
      </c>
      <c r="H2749" s="1">
        <v>0.0</v>
      </c>
      <c r="I2749" s="1"/>
      <c r="J2749" s="1"/>
      <c r="K2749" s="1"/>
      <c r="L2749" s="1"/>
      <c r="M2749" s="1"/>
      <c r="N2749" s="1" t="s">
        <v>34</v>
      </c>
      <c r="O2749" s="1" t="s">
        <v>642</v>
      </c>
      <c r="P2749" s="1"/>
      <c r="Q2749" s="3">
        <v>41695.0</v>
      </c>
      <c r="R2749" s="1"/>
      <c r="S2749" s="1"/>
      <c r="T2749" s="1" t="s">
        <v>37</v>
      </c>
      <c r="U2749" s="1"/>
      <c r="V2749" s="1" t="s">
        <v>38</v>
      </c>
      <c r="W2749" s="1">
        <v>43.315235</v>
      </c>
      <c r="X2749" s="1">
        <v>-72.428467</v>
      </c>
      <c r="Y2749" s="1" t="s">
        <v>11192</v>
      </c>
      <c r="Z2749" s="1"/>
      <c r="AA2749" s="1" t="s">
        <v>40</v>
      </c>
      <c r="AB2749" s="1" t="s">
        <v>643</v>
      </c>
      <c r="AC2749" s="1">
        <v>5156.0</v>
      </c>
    </row>
    <row r="2750">
      <c r="A2750" s="1" t="str">
        <f>"0008NX"</f>
        <v>0008NX</v>
      </c>
      <c r="B2750" s="1" t="s">
        <v>11193</v>
      </c>
      <c r="C2750" s="1" t="s">
        <v>11194</v>
      </c>
      <c r="D2750" s="1" t="str">
        <f>"8027542021"</f>
        <v>8027542021</v>
      </c>
      <c r="E2750" s="1">
        <v>3208.0</v>
      </c>
      <c r="F2750" s="1" t="s">
        <v>44</v>
      </c>
      <c r="G2750" s="1" t="s">
        <v>11195</v>
      </c>
      <c r="H2750" s="1">
        <v>0.0</v>
      </c>
      <c r="I2750" s="1"/>
      <c r="J2750" s="1"/>
      <c r="K2750" s="1"/>
      <c r="L2750" s="1"/>
      <c r="M2750" s="1"/>
      <c r="N2750" s="1" t="s">
        <v>94</v>
      </c>
      <c r="O2750" s="1" t="s">
        <v>3623</v>
      </c>
      <c r="P2750" s="1"/>
      <c r="Q2750" s="3">
        <v>41695.0</v>
      </c>
      <c r="R2750" s="1"/>
      <c r="S2750" s="1"/>
      <c r="T2750" s="1" t="s">
        <v>37</v>
      </c>
      <c r="U2750" s="1"/>
      <c r="V2750" s="1" t="s">
        <v>38</v>
      </c>
      <c r="W2750" s="1">
        <v>44.774467</v>
      </c>
      <c r="X2750" s="1">
        <v>-72.2729719999999</v>
      </c>
      <c r="Y2750" s="1" t="s">
        <v>11196</v>
      </c>
      <c r="Z2750" s="1"/>
      <c r="AA2750" s="1" t="s">
        <v>40</v>
      </c>
      <c r="AB2750" s="1" t="s">
        <v>3624</v>
      </c>
      <c r="AC2750" s="1" t="s">
        <v>11197</v>
      </c>
    </row>
    <row r="2751">
      <c r="A2751" s="1" t="str">
        <f>"00087Y"</f>
        <v>00087Y</v>
      </c>
      <c r="B2751" s="1" t="s">
        <v>11198</v>
      </c>
      <c r="C2751" s="1" t="s">
        <v>11199</v>
      </c>
      <c r="D2751" s="1"/>
      <c r="E2751" s="1">
        <v>3003.0</v>
      </c>
      <c r="F2751" s="1" t="s">
        <v>44</v>
      </c>
      <c r="G2751" s="1" t="s">
        <v>11200</v>
      </c>
      <c r="H2751" s="1">
        <v>0.0</v>
      </c>
      <c r="I2751" s="1"/>
      <c r="J2751" s="1"/>
      <c r="K2751" s="1"/>
      <c r="L2751" s="1"/>
      <c r="M2751" s="1"/>
      <c r="N2751" s="1" t="s">
        <v>142</v>
      </c>
      <c r="O2751" s="1" t="s">
        <v>2376</v>
      </c>
      <c r="P2751" s="1"/>
      <c r="Q2751" s="3">
        <v>41695.0</v>
      </c>
      <c r="R2751" s="1"/>
      <c r="S2751" s="1"/>
      <c r="T2751" s="1" t="s">
        <v>37</v>
      </c>
      <c r="U2751" s="1"/>
      <c r="V2751" s="1" t="s">
        <v>38</v>
      </c>
      <c r="W2751" s="1">
        <v>44.1253307</v>
      </c>
      <c r="X2751" s="1">
        <v>-72.4278163999999</v>
      </c>
      <c r="Y2751" s="1" t="s">
        <v>11201</v>
      </c>
      <c r="Z2751" s="1"/>
      <c r="AA2751" s="1" t="s">
        <v>40</v>
      </c>
      <c r="AB2751" s="1" t="s">
        <v>142</v>
      </c>
      <c r="AC2751" s="1" t="s">
        <v>11202</v>
      </c>
    </row>
    <row r="2752">
      <c r="A2752" s="1" t="str">
        <f>"0008VP"</f>
        <v>0008VP</v>
      </c>
      <c r="B2752" s="1" t="s">
        <v>11203</v>
      </c>
      <c r="C2752" s="1" t="s">
        <v>11204</v>
      </c>
      <c r="D2752" s="1" t="str">
        <f>"8027668085"</f>
        <v>8027668085</v>
      </c>
      <c r="E2752" s="1">
        <v>3329.0</v>
      </c>
      <c r="F2752" s="1" t="s">
        <v>44</v>
      </c>
      <c r="G2752" s="1" t="s">
        <v>11205</v>
      </c>
      <c r="H2752" s="1">
        <v>0.0</v>
      </c>
      <c r="I2752" s="1"/>
      <c r="J2752" s="1"/>
      <c r="K2752" s="1"/>
      <c r="L2752" s="1"/>
      <c r="M2752" s="1"/>
      <c r="N2752" s="1" t="s">
        <v>94</v>
      </c>
      <c r="O2752" s="1" t="s">
        <v>637</v>
      </c>
      <c r="P2752" s="1"/>
      <c r="Q2752" s="3">
        <v>41695.0</v>
      </c>
      <c r="R2752" s="1"/>
      <c r="S2752" s="1"/>
      <c r="T2752" s="1" t="s">
        <v>37</v>
      </c>
      <c r="U2752" s="1"/>
      <c r="V2752" s="1" t="s">
        <v>38</v>
      </c>
      <c r="W2752" s="1">
        <v>44.9213789999999</v>
      </c>
      <c r="X2752" s="1">
        <v>-72.150108</v>
      </c>
      <c r="Y2752" s="1" t="s">
        <v>11206</v>
      </c>
      <c r="Z2752" s="1"/>
      <c r="AA2752" s="1" t="s">
        <v>40</v>
      </c>
      <c r="AB2752" s="1" t="s">
        <v>1022</v>
      </c>
      <c r="AC2752" s="1" t="s">
        <v>11207</v>
      </c>
    </row>
    <row r="2753">
      <c r="A2753" s="1" t="str">
        <f>"0007B6"</f>
        <v>0007B6</v>
      </c>
      <c r="B2753" s="1" t="s">
        <v>11208</v>
      </c>
      <c r="C2753" s="1" t="s">
        <v>11209</v>
      </c>
      <c r="D2753" s="1" t="str">
        <f>"8024572828"</f>
        <v>8024572828</v>
      </c>
      <c r="E2753" s="1">
        <v>2875.0</v>
      </c>
      <c r="F2753" s="1" t="s">
        <v>117</v>
      </c>
      <c r="G2753" s="1" t="s">
        <v>11210</v>
      </c>
      <c r="H2753" s="1">
        <v>2.0</v>
      </c>
      <c r="I2753" s="2" t="s">
        <v>119</v>
      </c>
      <c r="J2753" s="2">
        <v>1.0</v>
      </c>
      <c r="K2753" s="2" t="s">
        <v>119</v>
      </c>
      <c r="L2753" s="1"/>
      <c r="M2753" s="1" t="s">
        <v>11211</v>
      </c>
      <c r="N2753" s="1" t="s">
        <v>34</v>
      </c>
      <c r="O2753" s="1" t="s">
        <v>324</v>
      </c>
      <c r="P2753" s="1" t="s">
        <v>11212</v>
      </c>
      <c r="Q2753" s="3">
        <v>41695.0</v>
      </c>
      <c r="R2753" s="1"/>
      <c r="S2753" s="1"/>
      <c r="T2753" s="1" t="s">
        <v>37</v>
      </c>
      <c r="U2753" s="1"/>
      <c r="V2753" s="1" t="s">
        <v>38</v>
      </c>
      <c r="W2753" s="1">
        <v>43.6021676</v>
      </c>
      <c r="X2753" s="1">
        <v>-72.5419974999999</v>
      </c>
      <c r="Y2753" s="1" t="s">
        <v>11213</v>
      </c>
      <c r="Z2753" s="1"/>
      <c r="AA2753" s="1" t="s">
        <v>40</v>
      </c>
      <c r="AB2753" s="1" t="s">
        <v>326</v>
      </c>
      <c r="AC2753" s="1">
        <v>5091.0</v>
      </c>
    </row>
    <row r="2754">
      <c r="A2754" s="1" t="str">
        <f>"0008VD"</f>
        <v>0008VD</v>
      </c>
      <c r="B2754" s="1" t="s">
        <v>11214</v>
      </c>
      <c r="C2754" s="1" t="s">
        <v>11215</v>
      </c>
      <c r="D2754" s="1" t="str">
        <f>"8024573369"</f>
        <v>8024573369</v>
      </c>
      <c r="E2754" s="1">
        <v>3320.0</v>
      </c>
      <c r="F2754" s="1" t="s">
        <v>44</v>
      </c>
      <c r="G2754" s="1" t="s">
        <v>11216</v>
      </c>
      <c r="H2754" s="1">
        <v>0.0</v>
      </c>
      <c r="I2754" s="1"/>
      <c r="J2754" s="1"/>
      <c r="K2754" s="1"/>
      <c r="L2754" s="1"/>
      <c r="M2754" s="1"/>
      <c r="N2754" s="1" t="s">
        <v>34</v>
      </c>
      <c r="O2754" s="1" t="s">
        <v>1286</v>
      </c>
      <c r="P2754" s="1"/>
      <c r="Q2754" s="3">
        <v>41695.0</v>
      </c>
      <c r="R2754" s="1"/>
      <c r="S2754" s="1"/>
      <c r="T2754" s="1" t="s">
        <v>37</v>
      </c>
      <c r="U2754" s="1"/>
      <c r="V2754" s="1" t="s">
        <v>38</v>
      </c>
      <c r="W2754" s="1">
        <v>43.7045699</v>
      </c>
      <c r="X2754" s="1">
        <v>-72.515523</v>
      </c>
      <c r="Y2754" s="1" t="s">
        <v>11217</v>
      </c>
      <c r="Z2754" s="1"/>
      <c r="AA2754" s="1" t="s">
        <v>40</v>
      </c>
      <c r="AB2754" s="1" t="s">
        <v>11218</v>
      </c>
      <c r="AC2754" s="1" t="s">
        <v>11219</v>
      </c>
    </row>
    <row r="2755">
      <c r="A2755" s="1" t="str">
        <f>"0008YJ"</f>
        <v>0008YJ</v>
      </c>
      <c r="B2755" s="1" t="s">
        <v>11220</v>
      </c>
      <c r="C2755" s="1" t="s">
        <v>11221</v>
      </c>
      <c r="D2755" s="1" t="str">
        <f>"8023264361"</f>
        <v>8023264361</v>
      </c>
      <c r="E2755" s="1">
        <v>3493.0</v>
      </c>
      <c r="F2755" s="1" t="s">
        <v>44</v>
      </c>
      <c r="G2755" s="1" t="s">
        <v>11222</v>
      </c>
      <c r="H2755" s="1">
        <v>0.0</v>
      </c>
      <c r="I2755" s="1"/>
      <c r="J2755" s="1"/>
      <c r="K2755" s="1"/>
      <c r="L2755" s="1"/>
      <c r="M2755" s="1"/>
      <c r="N2755" s="1" t="s">
        <v>47</v>
      </c>
      <c r="O2755" s="1" t="s">
        <v>599</v>
      </c>
      <c r="P2755" s="1"/>
      <c r="Q2755" s="3">
        <v>41695.0</v>
      </c>
      <c r="R2755" s="1"/>
      <c r="S2755" s="1"/>
      <c r="T2755" s="1" t="s">
        <v>37</v>
      </c>
      <c r="U2755" s="1"/>
      <c r="V2755" s="1" t="s">
        <v>38</v>
      </c>
      <c r="W2755" s="1">
        <v>44.8233709999999</v>
      </c>
      <c r="X2755" s="1">
        <v>-72.5784719999999</v>
      </c>
      <c r="Y2755" s="1" t="s">
        <v>11223</v>
      </c>
      <c r="Z2755" s="1"/>
      <c r="AA2755" s="1" t="s">
        <v>40</v>
      </c>
      <c r="AB2755" s="1" t="s">
        <v>11224</v>
      </c>
      <c r="AC2755" s="1" t="s">
        <v>11225</v>
      </c>
    </row>
    <row r="2756">
      <c r="A2756" s="1" t="str">
        <f>"0008ZP"</f>
        <v>0008ZP</v>
      </c>
      <c r="B2756" s="1" t="s">
        <v>11226</v>
      </c>
      <c r="C2756" s="1" t="s">
        <v>11227</v>
      </c>
      <c r="D2756" s="1" t="str">
        <f>"8028620663"</f>
        <v>8028620663</v>
      </c>
      <c r="E2756" s="1">
        <v>3546.0</v>
      </c>
      <c r="F2756" s="1" t="s">
        <v>44</v>
      </c>
      <c r="G2756" s="1" t="s">
        <v>11228</v>
      </c>
      <c r="H2756" s="1">
        <v>0.0</v>
      </c>
      <c r="I2756" s="1"/>
      <c r="J2756" s="1"/>
      <c r="K2756" s="1"/>
      <c r="L2756" s="1"/>
      <c r="M2756" s="1"/>
      <c r="N2756" s="1" t="s">
        <v>57</v>
      </c>
      <c r="O2756" s="1" t="s">
        <v>503</v>
      </c>
      <c r="P2756" s="1"/>
      <c r="Q2756" s="3">
        <v>41695.0</v>
      </c>
      <c r="R2756" s="1"/>
      <c r="S2756" s="1"/>
      <c r="T2756" s="1" t="s">
        <v>37</v>
      </c>
      <c r="U2756" s="1"/>
      <c r="V2756" s="1" t="s">
        <v>38</v>
      </c>
      <c r="W2756" s="1">
        <v>44.475534</v>
      </c>
      <c r="X2756" s="1">
        <v>-73.1715459999999</v>
      </c>
      <c r="Y2756" s="1" t="s">
        <v>11229</v>
      </c>
      <c r="Z2756" s="1"/>
      <c r="AA2756" s="1" t="s">
        <v>40</v>
      </c>
      <c r="AB2756" s="1" t="s">
        <v>5195</v>
      </c>
      <c r="AC2756" s="1" t="s">
        <v>11230</v>
      </c>
    </row>
    <row r="2757">
      <c r="A2757" s="1" t="str">
        <f>"0008WH"</f>
        <v>0008WH</v>
      </c>
      <c r="B2757" s="1" t="s">
        <v>11231</v>
      </c>
      <c r="C2757" s="1" t="s">
        <v>11232</v>
      </c>
      <c r="D2757" s="1" t="str">
        <f>"8028882697"</f>
        <v>8028882697</v>
      </c>
      <c r="E2757" s="1">
        <v>3395.0</v>
      </c>
      <c r="F2757" s="1" t="s">
        <v>44</v>
      </c>
      <c r="G2757" s="1" t="s">
        <v>11233</v>
      </c>
      <c r="H2757" s="1">
        <v>0.0</v>
      </c>
      <c r="I2757" s="1"/>
      <c r="J2757" s="1"/>
      <c r="K2757" s="1"/>
      <c r="L2757" s="1"/>
      <c r="M2757" s="1"/>
      <c r="N2757" s="1" t="s">
        <v>213</v>
      </c>
      <c r="O2757" s="1" t="s">
        <v>625</v>
      </c>
      <c r="P2757" s="1"/>
      <c r="Q2757" s="3">
        <v>41695.0</v>
      </c>
      <c r="R2757" s="1"/>
      <c r="S2757" s="1"/>
      <c r="T2757" s="1" t="s">
        <v>37</v>
      </c>
      <c r="U2757" s="1"/>
      <c r="V2757" s="1" t="s">
        <v>38</v>
      </c>
      <c r="W2757" s="1">
        <v>44.59222</v>
      </c>
      <c r="X2757" s="1">
        <v>-72.594673</v>
      </c>
      <c r="Y2757" s="1" t="s">
        <v>11234</v>
      </c>
      <c r="Z2757" s="1"/>
      <c r="AA2757" s="1" t="s">
        <v>40</v>
      </c>
      <c r="AB2757" s="1" t="s">
        <v>626</v>
      </c>
      <c r="AC2757" s="1" t="s">
        <v>11235</v>
      </c>
    </row>
    <row r="2758">
      <c r="A2758" s="1" t="str">
        <f>"000MBH"</f>
        <v>000MBH</v>
      </c>
      <c r="B2758" s="1" t="s">
        <v>11236</v>
      </c>
      <c r="C2758" s="1" t="s">
        <v>11237</v>
      </c>
      <c r="D2758" s="1" t="str">
        <f>"8028885729"</f>
        <v>8028885729</v>
      </c>
      <c r="E2758" s="1">
        <v>4624.0</v>
      </c>
      <c r="F2758" s="1" t="s">
        <v>117</v>
      </c>
      <c r="G2758" s="1" t="s">
        <v>11238</v>
      </c>
      <c r="H2758" s="1">
        <v>4.0</v>
      </c>
      <c r="I2758" s="2">
        <v>3.0</v>
      </c>
      <c r="J2758" s="2">
        <v>3.0</v>
      </c>
      <c r="K2758" s="2" t="s">
        <v>119</v>
      </c>
      <c r="L2758" s="2" t="s">
        <v>11239</v>
      </c>
      <c r="M2758" s="1" t="s">
        <v>11240</v>
      </c>
      <c r="N2758" s="1" t="s">
        <v>213</v>
      </c>
      <c r="O2758" s="1" t="s">
        <v>625</v>
      </c>
      <c r="P2758" s="1" t="s">
        <v>11241</v>
      </c>
      <c r="Q2758" s="3">
        <v>41734.0</v>
      </c>
      <c r="R2758" s="1"/>
      <c r="S2758" s="1"/>
      <c r="T2758" s="1" t="s">
        <v>37</v>
      </c>
      <c r="U2758" s="1"/>
      <c r="V2758" s="1" t="s">
        <v>38</v>
      </c>
      <c r="W2758" s="1">
        <v>44.602055</v>
      </c>
      <c r="X2758" s="1">
        <v>-72.541939</v>
      </c>
      <c r="Y2758" s="1" t="s">
        <v>11242</v>
      </c>
      <c r="Z2758" s="1"/>
      <c r="AA2758" s="1" t="s">
        <v>40</v>
      </c>
      <c r="AB2758" s="1" t="s">
        <v>626</v>
      </c>
      <c r="AC2758" s="1">
        <v>5655.0</v>
      </c>
    </row>
    <row r="2759">
      <c r="A2759" s="1" t="str">
        <f>"000MKX"</f>
        <v>000MKX</v>
      </c>
      <c r="B2759" s="1" t="s">
        <v>11243</v>
      </c>
      <c r="C2759" s="1" t="s">
        <v>11244</v>
      </c>
      <c r="D2759" s="1" t="str">
        <f>"8028966192"</f>
        <v>8028966192</v>
      </c>
      <c r="E2759" s="1">
        <v>4625.0</v>
      </c>
      <c r="F2759" s="1" t="s">
        <v>31</v>
      </c>
      <c r="G2759" s="1" t="s">
        <v>11245</v>
      </c>
      <c r="H2759" s="1">
        <v>2.0</v>
      </c>
      <c r="I2759" s="1"/>
      <c r="J2759" s="1"/>
      <c r="K2759" s="1"/>
      <c r="L2759" s="1"/>
      <c r="M2759" s="1" t="s">
        <v>33</v>
      </c>
      <c r="N2759" s="1" t="s">
        <v>66</v>
      </c>
      <c r="O2759" s="1" t="s">
        <v>908</v>
      </c>
      <c r="P2759" s="1" t="s">
        <v>36</v>
      </c>
      <c r="Q2759" s="3">
        <v>41717.0</v>
      </c>
      <c r="R2759" s="1"/>
      <c r="S2759" s="1"/>
      <c r="T2759" s="1" t="s">
        <v>37</v>
      </c>
      <c r="U2759" s="1"/>
      <c r="V2759" s="1" t="s">
        <v>38</v>
      </c>
      <c r="W2759" s="1">
        <v>43.020938</v>
      </c>
      <c r="X2759" s="1">
        <v>-72.752961</v>
      </c>
      <c r="Y2759" s="1" t="s">
        <v>11246</v>
      </c>
      <c r="Z2759" s="1"/>
      <c r="AA2759" s="1" t="s">
        <v>40</v>
      </c>
      <c r="AB2759" s="1" t="s">
        <v>11247</v>
      </c>
      <c r="AC2759" s="1">
        <v>5353.0</v>
      </c>
    </row>
    <row r="2760">
      <c r="A2760" s="1" t="str">
        <f>"000MKY"</f>
        <v>000MKY</v>
      </c>
      <c r="B2760" s="1" t="s">
        <v>11248</v>
      </c>
      <c r="C2760" s="1" t="s">
        <v>11249</v>
      </c>
      <c r="D2760" s="1" t="str">
        <f>"8028963426"</f>
        <v>8028963426</v>
      </c>
      <c r="E2760" s="1">
        <v>4626.0</v>
      </c>
      <c r="F2760" s="1" t="s">
        <v>44</v>
      </c>
      <c r="G2760" s="1" t="s">
        <v>11250</v>
      </c>
      <c r="H2760" s="1">
        <v>1.0</v>
      </c>
      <c r="I2760" s="1"/>
      <c r="J2760" s="1"/>
      <c r="K2760" s="1"/>
      <c r="L2760" s="1"/>
      <c r="M2760" s="1" t="s">
        <v>11251</v>
      </c>
      <c r="N2760" s="1" t="s">
        <v>66</v>
      </c>
      <c r="O2760" s="1" t="s">
        <v>908</v>
      </c>
      <c r="P2760" s="1" t="s">
        <v>36</v>
      </c>
      <c r="Q2760" s="3">
        <v>41751.0</v>
      </c>
      <c r="R2760" s="1"/>
      <c r="S2760" s="1"/>
      <c r="T2760" s="1" t="s">
        <v>37</v>
      </c>
      <c r="U2760" s="1"/>
      <c r="V2760" s="1" t="s">
        <v>38</v>
      </c>
      <c r="W2760" s="1">
        <v>43.016445</v>
      </c>
      <c r="X2760" s="1">
        <v>-72.7513119999999</v>
      </c>
      <c r="Y2760" s="1" t="s">
        <v>11252</v>
      </c>
      <c r="Z2760" s="1"/>
      <c r="AA2760" s="1" t="s">
        <v>40</v>
      </c>
      <c r="AB2760" s="1" t="s">
        <v>909</v>
      </c>
      <c r="AC2760" s="1">
        <v>5353.0</v>
      </c>
    </row>
    <row r="2761">
      <c r="A2761" s="1" t="str">
        <f>"00088H"</f>
        <v>00088H</v>
      </c>
      <c r="B2761" s="1" t="s">
        <v>2463</v>
      </c>
      <c r="C2761" s="1" t="s">
        <v>2464</v>
      </c>
      <c r="D2761" s="1" t="str">
        <f>"8027442007"</f>
        <v>8027442007</v>
      </c>
      <c r="E2761" s="1">
        <v>3222.0</v>
      </c>
      <c r="F2761" s="1" t="s">
        <v>117</v>
      </c>
      <c r="G2761" s="1" t="s">
        <v>11253</v>
      </c>
      <c r="H2761" s="1">
        <v>32.0</v>
      </c>
      <c r="I2761" s="1"/>
      <c r="J2761" s="1"/>
      <c r="K2761" s="1"/>
      <c r="L2761" s="1"/>
      <c r="M2761" s="1" t="s">
        <v>11254</v>
      </c>
      <c r="N2761" s="1" t="s">
        <v>107</v>
      </c>
      <c r="O2761" s="1" t="s">
        <v>2016</v>
      </c>
      <c r="P2761" s="1" t="s">
        <v>11255</v>
      </c>
      <c r="Q2761" s="3">
        <v>41365.0</v>
      </c>
      <c r="R2761" s="1"/>
      <c r="S2761" s="1"/>
      <c r="T2761" s="1" t="s">
        <v>164</v>
      </c>
      <c r="U2761" s="1"/>
      <c r="V2761" s="1" t="s">
        <v>38</v>
      </c>
      <c r="W2761" s="1"/>
      <c r="X2761" s="1"/>
      <c r="Y2761" s="1" t="s">
        <v>11256</v>
      </c>
      <c r="Z2761" s="1"/>
      <c r="AA2761" s="1" t="s">
        <v>40</v>
      </c>
      <c r="AB2761" s="1" t="s">
        <v>11257</v>
      </c>
      <c r="AC2761" s="1">
        <v>0.0</v>
      </c>
    </row>
    <row r="2762">
      <c r="A2762" s="1" t="str">
        <f>"000MMF"</f>
        <v>000MMF</v>
      </c>
      <c r="B2762" s="1" t="s">
        <v>11258</v>
      </c>
      <c r="C2762" s="1" t="s">
        <v>11259</v>
      </c>
      <c r="D2762" s="1" t="str">
        <f>"8027519801"</f>
        <v>8027519801</v>
      </c>
      <c r="E2762" s="1">
        <v>4627.0</v>
      </c>
      <c r="F2762" s="1" t="s">
        <v>44</v>
      </c>
      <c r="G2762" s="1" t="s">
        <v>11260</v>
      </c>
      <c r="H2762" s="1">
        <v>2.0</v>
      </c>
      <c r="I2762" s="1"/>
      <c r="J2762" s="1"/>
      <c r="K2762" s="1"/>
      <c r="L2762" s="1"/>
      <c r="M2762" s="1" t="s">
        <v>33</v>
      </c>
      <c r="N2762" s="1" t="s">
        <v>128</v>
      </c>
      <c r="O2762" s="1" t="s">
        <v>525</v>
      </c>
      <c r="P2762" s="1" t="s">
        <v>36</v>
      </c>
      <c r="Q2762" s="3">
        <v>41731.0</v>
      </c>
      <c r="R2762" s="1"/>
      <c r="S2762" s="1"/>
      <c r="T2762" s="1" t="s">
        <v>37</v>
      </c>
      <c r="U2762" s="1"/>
      <c r="V2762" s="1" t="s">
        <v>38</v>
      </c>
      <c r="W2762" s="1">
        <v>44.498093</v>
      </c>
      <c r="X2762" s="1">
        <v>-71.911632</v>
      </c>
      <c r="Y2762" s="1" t="s">
        <v>11261</v>
      </c>
      <c r="Z2762" s="1"/>
      <c r="AA2762" s="1" t="s">
        <v>40</v>
      </c>
      <c r="AB2762" s="1" t="s">
        <v>1574</v>
      </c>
      <c r="AC2762" s="1">
        <v>5824.0</v>
      </c>
    </row>
    <row r="2763">
      <c r="A2763" s="1" t="str">
        <f>"000MMH"</f>
        <v>000MMH</v>
      </c>
      <c r="B2763" s="1" t="s">
        <v>11262</v>
      </c>
      <c r="C2763" s="1" t="s">
        <v>11263</v>
      </c>
      <c r="D2763" s="1" t="str">
        <f>"8028978731"</f>
        <v>8028978731</v>
      </c>
      <c r="E2763" s="1">
        <v>4628.0</v>
      </c>
      <c r="F2763" s="1" t="s">
        <v>117</v>
      </c>
      <c r="G2763" s="1" t="s">
        <v>11264</v>
      </c>
      <c r="H2763" s="1">
        <v>3.0</v>
      </c>
      <c r="I2763" s="2">
        <v>4.0</v>
      </c>
      <c r="J2763" s="2">
        <v>4.0</v>
      </c>
      <c r="K2763" s="2" t="s">
        <v>119</v>
      </c>
      <c r="L2763" s="1"/>
      <c r="M2763" s="1" t="s">
        <v>11265</v>
      </c>
      <c r="N2763" s="1" t="s">
        <v>161</v>
      </c>
      <c r="O2763" s="1" t="s">
        <v>1053</v>
      </c>
      <c r="P2763" s="1" t="s">
        <v>11266</v>
      </c>
      <c r="Q2763" s="3">
        <v>41759.0</v>
      </c>
      <c r="R2763" s="1"/>
      <c r="S2763" s="3">
        <v>42167.0</v>
      </c>
      <c r="T2763" s="1" t="s">
        <v>37</v>
      </c>
      <c r="U2763" s="1"/>
      <c r="V2763" s="1" t="s">
        <v>38</v>
      </c>
      <c r="W2763" s="1">
        <v>43.871887</v>
      </c>
      <c r="X2763" s="1">
        <v>-73.2765349999999</v>
      </c>
      <c r="Y2763" s="1" t="s">
        <v>11267</v>
      </c>
      <c r="Z2763" s="1"/>
      <c r="AA2763" s="1" t="s">
        <v>40</v>
      </c>
      <c r="AB2763" s="1" t="s">
        <v>1054</v>
      </c>
      <c r="AC2763" s="1">
        <v>5770.0</v>
      </c>
    </row>
    <row r="2764">
      <c r="A2764" s="1" t="str">
        <f>"000MMN"</f>
        <v>000MMN</v>
      </c>
      <c r="B2764" s="1" t="s">
        <v>11268</v>
      </c>
      <c r="C2764" s="1" t="s">
        <v>11269</v>
      </c>
      <c r="D2764" s="1" t="str">
        <f>"8027673560"</f>
        <v>8027673560</v>
      </c>
      <c r="E2764" s="1">
        <v>4629.0</v>
      </c>
      <c r="F2764" s="1" t="s">
        <v>31</v>
      </c>
      <c r="G2764" s="1" t="s">
        <v>11270</v>
      </c>
      <c r="H2764" s="1">
        <v>1.0</v>
      </c>
      <c r="I2764" s="1"/>
      <c r="J2764" s="1"/>
      <c r="K2764" s="1"/>
      <c r="L2764" s="1"/>
      <c r="M2764" s="1" t="s">
        <v>11271</v>
      </c>
      <c r="N2764" s="1" t="s">
        <v>34</v>
      </c>
      <c r="O2764" s="1" t="s">
        <v>1277</v>
      </c>
      <c r="P2764" s="1" t="s">
        <v>11272</v>
      </c>
      <c r="Q2764" s="3">
        <v>41737.0</v>
      </c>
      <c r="R2764" s="1"/>
      <c r="S2764" s="1"/>
      <c r="T2764" s="1" t="s">
        <v>37</v>
      </c>
      <c r="U2764" s="1"/>
      <c r="V2764" s="1" t="s">
        <v>38</v>
      </c>
      <c r="W2764" s="1">
        <v>43.8604937875422</v>
      </c>
      <c r="X2764" s="1">
        <v>-72.9167318344116</v>
      </c>
      <c r="Y2764" s="1" t="s">
        <v>11273</v>
      </c>
      <c r="Z2764" s="1"/>
      <c r="AA2764" s="1" t="s">
        <v>40</v>
      </c>
      <c r="AB2764" s="1" t="s">
        <v>1278</v>
      </c>
      <c r="AC2764" s="1">
        <v>5767.0</v>
      </c>
    </row>
    <row r="2765">
      <c r="A2765" s="1" t="str">
        <f>"000MMP"</f>
        <v>000MMP</v>
      </c>
      <c r="B2765" s="1" t="s">
        <v>11274</v>
      </c>
      <c r="C2765" s="1" t="s">
        <v>11275</v>
      </c>
      <c r="D2765" s="1" t="str">
        <f>"8028934224"</f>
        <v>8028934224</v>
      </c>
      <c r="E2765" s="1">
        <v>4630.0</v>
      </c>
      <c r="F2765" s="1" t="s">
        <v>31</v>
      </c>
      <c r="G2765" s="1" t="s">
        <v>11276</v>
      </c>
      <c r="H2765" s="1">
        <v>0.0</v>
      </c>
      <c r="I2765" s="1"/>
      <c r="J2765" s="1"/>
      <c r="K2765" s="1"/>
      <c r="L2765" s="1"/>
      <c r="M2765" s="1" t="s">
        <v>33</v>
      </c>
      <c r="N2765" s="1" t="s">
        <v>57</v>
      </c>
      <c r="O2765" s="1" t="s">
        <v>256</v>
      </c>
      <c r="P2765" s="1" t="s">
        <v>36</v>
      </c>
      <c r="Q2765" s="3">
        <v>41760.0</v>
      </c>
      <c r="R2765" s="1"/>
      <c r="S2765" s="1"/>
      <c r="T2765" s="1" t="s">
        <v>37</v>
      </c>
      <c r="U2765" s="1"/>
      <c r="V2765" s="1" t="s">
        <v>38</v>
      </c>
      <c r="W2765" s="1">
        <v>44.610391</v>
      </c>
      <c r="X2765" s="1">
        <v>-73.1723329999999</v>
      </c>
      <c r="Y2765" s="1" t="s">
        <v>11277</v>
      </c>
      <c r="Z2765" s="1"/>
      <c r="AA2765" s="1" t="s">
        <v>40</v>
      </c>
      <c r="AB2765" s="1" t="s">
        <v>257</v>
      </c>
      <c r="AC2765" s="1">
        <v>5468.0</v>
      </c>
    </row>
    <row r="2766">
      <c r="A2766" s="1" t="str">
        <f>"000MMX"</f>
        <v>000MMX</v>
      </c>
      <c r="B2766" s="1" t="s">
        <v>11278</v>
      </c>
      <c r="C2766" s="1" t="s">
        <v>11279</v>
      </c>
      <c r="D2766" s="1" t="str">
        <f>"8027442444"</f>
        <v>8027442444</v>
      </c>
      <c r="E2766" s="1">
        <v>4631.0</v>
      </c>
      <c r="F2766" s="1" t="s">
        <v>44</v>
      </c>
      <c r="G2766" s="1" t="s">
        <v>11280</v>
      </c>
      <c r="H2766" s="1">
        <v>2.0</v>
      </c>
      <c r="I2766" s="1"/>
      <c r="J2766" s="1"/>
      <c r="K2766" s="1"/>
      <c r="L2766" s="1"/>
      <c r="M2766" s="1" t="s">
        <v>33</v>
      </c>
      <c r="N2766" s="1" t="s">
        <v>94</v>
      </c>
      <c r="O2766" s="1" t="s">
        <v>637</v>
      </c>
      <c r="P2766" s="1" t="s">
        <v>36</v>
      </c>
      <c r="Q2766" s="3">
        <v>41760.0</v>
      </c>
      <c r="R2766" s="1"/>
      <c r="S2766" s="1"/>
      <c r="T2766" s="1" t="s">
        <v>37</v>
      </c>
      <c r="U2766" s="1"/>
      <c r="V2766" s="1" t="s">
        <v>38</v>
      </c>
      <c r="W2766" s="1">
        <v>44.883208</v>
      </c>
      <c r="X2766" s="1">
        <v>-72.3356109999999</v>
      </c>
      <c r="Y2766" s="1" t="s">
        <v>11281</v>
      </c>
      <c r="Z2766" s="1"/>
      <c r="AA2766" s="1" t="s">
        <v>40</v>
      </c>
      <c r="AB2766" s="1" t="s">
        <v>303</v>
      </c>
      <c r="AC2766" s="1">
        <v>5857.0</v>
      </c>
    </row>
    <row r="2767">
      <c r="A2767" s="1" t="str">
        <f>"000MN1"</f>
        <v>000MN1</v>
      </c>
      <c r="B2767" s="1" t="s">
        <v>11282</v>
      </c>
      <c r="C2767" s="1" t="s">
        <v>11283</v>
      </c>
      <c r="D2767" s="1" t="str">
        <f>"8022441297"</f>
        <v>8022441297</v>
      </c>
      <c r="E2767" s="1">
        <v>4632.0</v>
      </c>
      <c r="F2767" s="1" t="s">
        <v>117</v>
      </c>
      <c r="G2767" s="1" t="s">
        <v>11284</v>
      </c>
      <c r="H2767" s="1">
        <v>2.0</v>
      </c>
      <c r="I2767" s="2">
        <v>2.0</v>
      </c>
      <c r="J2767" s="2">
        <v>1.0</v>
      </c>
      <c r="K2767" s="2" t="s">
        <v>119</v>
      </c>
      <c r="L2767" s="1"/>
      <c r="M2767" s="1" t="s">
        <v>11285</v>
      </c>
      <c r="N2767" s="1" t="s">
        <v>135</v>
      </c>
      <c r="O2767" s="1" t="s">
        <v>775</v>
      </c>
      <c r="P2767" s="1" t="s">
        <v>11286</v>
      </c>
      <c r="Q2767" s="3">
        <v>41760.0</v>
      </c>
      <c r="R2767" s="1"/>
      <c r="S2767" s="3">
        <v>42170.0</v>
      </c>
      <c r="T2767" s="1" t="s">
        <v>37</v>
      </c>
      <c r="U2767" s="1"/>
      <c r="V2767" s="1" t="s">
        <v>38</v>
      </c>
      <c r="W2767" s="1">
        <v>44.3599515</v>
      </c>
      <c r="X2767" s="1">
        <v>-72.7175576999999</v>
      </c>
      <c r="Y2767" s="1" t="s">
        <v>11287</v>
      </c>
      <c r="Z2767" s="1"/>
      <c r="AA2767" s="1" t="s">
        <v>40</v>
      </c>
      <c r="AB2767" s="1" t="s">
        <v>3755</v>
      </c>
      <c r="AC2767" s="1">
        <v>5677.0</v>
      </c>
    </row>
    <row r="2768">
      <c r="A2768" s="1" t="str">
        <f>"000MN2"</f>
        <v>000MN2</v>
      </c>
      <c r="B2768" s="1" t="s">
        <v>11288</v>
      </c>
      <c r="C2768" s="1" t="s">
        <v>11289</v>
      </c>
      <c r="D2768" s="1" t="str">
        <f>"8024343059"</f>
        <v>8024343059</v>
      </c>
      <c r="E2768" s="1">
        <v>4633.0</v>
      </c>
      <c r="F2768" s="1" t="s">
        <v>117</v>
      </c>
      <c r="G2768" s="1" t="s">
        <v>11290</v>
      </c>
      <c r="H2768" s="1">
        <v>4.0</v>
      </c>
      <c r="I2768" s="2">
        <v>4.0</v>
      </c>
      <c r="J2768" s="2">
        <v>4.0</v>
      </c>
      <c r="K2768" s="2" t="s">
        <v>119</v>
      </c>
      <c r="L2768" s="2" t="s">
        <v>8935</v>
      </c>
      <c r="M2768" s="1" t="s">
        <v>11291</v>
      </c>
      <c r="N2768" s="1" t="s">
        <v>57</v>
      </c>
      <c r="O2768" s="1" t="s">
        <v>313</v>
      </c>
      <c r="P2768" s="1" t="s">
        <v>11292</v>
      </c>
      <c r="Q2768" s="3">
        <v>41733.0</v>
      </c>
      <c r="R2768" s="1"/>
      <c r="S2768" s="1"/>
      <c r="T2768" s="1" t="s">
        <v>37</v>
      </c>
      <c r="U2768" s="1"/>
      <c r="V2768" s="1" t="s">
        <v>38</v>
      </c>
      <c r="W2768" s="1">
        <v>44.324893</v>
      </c>
      <c r="X2768" s="1">
        <v>-72.9845389999999</v>
      </c>
      <c r="Y2768" s="1" t="s">
        <v>11293</v>
      </c>
      <c r="Z2768" s="1"/>
      <c r="AA2768" s="1" t="s">
        <v>40</v>
      </c>
      <c r="AB2768" s="1" t="s">
        <v>314</v>
      </c>
      <c r="AC2768" s="1">
        <v>5462.0</v>
      </c>
    </row>
    <row r="2769">
      <c r="A2769" s="1" t="str">
        <f>"000MN3"</f>
        <v>000MN3</v>
      </c>
      <c r="B2769" s="1" t="s">
        <v>11294</v>
      </c>
      <c r="C2769" s="1" t="s">
        <v>11295</v>
      </c>
      <c r="D2769" s="1" t="str">
        <f>"8024343264"</f>
        <v>8024343264</v>
      </c>
      <c r="E2769" s="1">
        <v>4634.0</v>
      </c>
      <c r="F2769" s="1" t="s">
        <v>117</v>
      </c>
      <c r="G2769" s="1" t="s">
        <v>11296</v>
      </c>
      <c r="H2769" s="1">
        <v>4.0</v>
      </c>
      <c r="I2769" s="2">
        <v>10.0</v>
      </c>
      <c r="J2769" s="2">
        <v>8.0</v>
      </c>
      <c r="K2769" s="2" t="s">
        <v>119</v>
      </c>
      <c r="L2769" s="1"/>
      <c r="M2769" s="1" t="s">
        <v>10390</v>
      </c>
      <c r="N2769" s="1" t="s">
        <v>57</v>
      </c>
      <c r="O2769" s="1" t="s">
        <v>313</v>
      </c>
      <c r="P2769" s="1" t="s">
        <v>11297</v>
      </c>
      <c r="Q2769" s="3">
        <v>41729.0</v>
      </c>
      <c r="R2769" s="1"/>
      <c r="S2769" s="1"/>
      <c r="T2769" s="1" t="s">
        <v>37</v>
      </c>
      <c r="U2769" s="1"/>
      <c r="V2769" s="1" t="s">
        <v>38</v>
      </c>
      <c r="W2769" s="1">
        <v>44.3232349</v>
      </c>
      <c r="X2769" s="1">
        <v>-72.955369</v>
      </c>
      <c r="Y2769" s="1" t="s">
        <v>11298</v>
      </c>
      <c r="Z2769" s="1"/>
      <c r="AA2769" s="1" t="s">
        <v>40</v>
      </c>
      <c r="AB2769" s="1" t="s">
        <v>314</v>
      </c>
      <c r="AC2769" s="1">
        <v>5462.0</v>
      </c>
    </row>
    <row r="2770">
      <c r="A2770" s="1" t="str">
        <f>"000MN6"</f>
        <v>000MN6</v>
      </c>
      <c r="B2770" s="1" t="s">
        <v>11299</v>
      </c>
      <c r="C2770" s="1" t="s">
        <v>11300</v>
      </c>
      <c r="D2770" s="1" t="str">
        <f>"7813441186"</f>
        <v>7813441186</v>
      </c>
      <c r="E2770" s="1">
        <v>4635.0</v>
      </c>
      <c r="F2770" s="1" t="s">
        <v>117</v>
      </c>
      <c r="G2770" s="1" t="s">
        <v>11301</v>
      </c>
      <c r="H2770" s="1">
        <v>0.0</v>
      </c>
      <c r="I2770" s="2">
        <v>2.0</v>
      </c>
      <c r="J2770" s="2" t="s">
        <v>119</v>
      </c>
      <c r="K2770" s="2" t="s">
        <v>119</v>
      </c>
      <c r="L2770" s="1"/>
      <c r="M2770" s="1" t="s">
        <v>11302</v>
      </c>
      <c r="N2770" s="1" t="s">
        <v>142</v>
      </c>
      <c r="O2770" s="1" t="s">
        <v>227</v>
      </c>
      <c r="P2770" s="1" t="s">
        <v>11303</v>
      </c>
      <c r="Q2770" s="3">
        <v>41760.0</v>
      </c>
      <c r="R2770" s="1"/>
      <c r="S2770" s="3">
        <v>42205.0</v>
      </c>
      <c r="T2770" s="1" t="s">
        <v>37</v>
      </c>
      <c r="U2770" s="1"/>
      <c r="V2770" s="1" t="s">
        <v>38</v>
      </c>
      <c r="W2770" s="1">
        <v>44.005536498871</v>
      </c>
      <c r="X2770" s="1">
        <v>-72.1363463400484</v>
      </c>
      <c r="Y2770" s="1" t="s">
        <v>11304</v>
      </c>
      <c r="Z2770" s="1"/>
      <c r="AA2770" s="1" t="s">
        <v>40</v>
      </c>
      <c r="AB2770" s="1" t="s">
        <v>228</v>
      </c>
      <c r="AC2770" s="1">
        <v>0.0</v>
      </c>
    </row>
    <row r="2771">
      <c r="A2771" s="1" t="str">
        <f>"000MWQ"</f>
        <v>000MWQ</v>
      </c>
      <c r="B2771" s="1" t="s">
        <v>11305</v>
      </c>
      <c r="C2771" s="1" t="s">
        <v>11306</v>
      </c>
      <c r="D2771" s="1" t="str">
        <f>"8022548663"</f>
        <v>8022548663</v>
      </c>
      <c r="E2771" s="1">
        <v>4636.0</v>
      </c>
      <c r="F2771" s="1" t="s">
        <v>117</v>
      </c>
      <c r="G2771" s="1" t="s">
        <v>11307</v>
      </c>
      <c r="H2771" s="1">
        <v>1.0</v>
      </c>
      <c r="I2771" s="2" t="s">
        <v>119</v>
      </c>
      <c r="J2771" s="2" t="s">
        <v>119</v>
      </c>
      <c r="K2771" s="2" t="s">
        <v>119</v>
      </c>
      <c r="L2771" s="2" t="s">
        <v>11308</v>
      </c>
      <c r="M2771" s="1" t="s">
        <v>11309</v>
      </c>
      <c r="N2771" s="1" t="s">
        <v>66</v>
      </c>
      <c r="O2771" s="1" t="s">
        <v>1256</v>
      </c>
      <c r="P2771" s="1" t="s">
        <v>11310</v>
      </c>
      <c r="Q2771" s="3">
        <v>41793.0</v>
      </c>
      <c r="R2771" s="1"/>
      <c r="S2771" s="3">
        <v>41793.0</v>
      </c>
      <c r="T2771" s="1" t="s">
        <v>37</v>
      </c>
      <c r="U2771" s="1"/>
      <c r="V2771" s="1" t="s">
        <v>38</v>
      </c>
      <c r="W2771" s="1">
        <v>42.919472</v>
      </c>
      <c r="X2771" s="1">
        <v>-72.643799</v>
      </c>
      <c r="Y2771" s="1" t="s">
        <v>11311</v>
      </c>
      <c r="Z2771" s="1"/>
      <c r="AA2771" s="1" t="s">
        <v>40</v>
      </c>
      <c r="AB2771" s="1" t="s">
        <v>1257</v>
      </c>
      <c r="AC2771" s="1">
        <v>5301.0</v>
      </c>
    </row>
    <row r="2772">
      <c r="A2772" s="1" t="str">
        <f>"000H3J"</f>
        <v>000H3J</v>
      </c>
      <c r="B2772" s="1" t="s">
        <v>9863</v>
      </c>
      <c r="C2772" s="1" t="s">
        <v>9864</v>
      </c>
      <c r="D2772" s="1" t="str">
        <f>"8029337444"</f>
        <v>8029337444</v>
      </c>
      <c r="E2772" s="1">
        <v>4325.0</v>
      </c>
      <c r="F2772" s="1" t="s">
        <v>44</v>
      </c>
      <c r="G2772" s="1" t="s">
        <v>11312</v>
      </c>
      <c r="H2772" s="1">
        <v>1.0</v>
      </c>
      <c r="I2772" s="1"/>
      <c r="J2772" s="1"/>
      <c r="K2772" s="1"/>
      <c r="L2772" s="1"/>
      <c r="M2772" s="1" t="s">
        <v>11313</v>
      </c>
      <c r="N2772" s="1" t="s">
        <v>47</v>
      </c>
      <c r="O2772" s="1" t="s">
        <v>599</v>
      </c>
      <c r="P2772" s="1" t="s">
        <v>11314</v>
      </c>
      <c r="Q2772" s="3">
        <v>41793.0</v>
      </c>
      <c r="R2772" s="1"/>
      <c r="S2772" s="1"/>
      <c r="T2772" s="1" t="s">
        <v>37</v>
      </c>
      <c r="U2772" s="1"/>
      <c r="V2772" s="1" t="s">
        <v>38</v>
      </c>
      <c r="W2772" s="1"/>
      <c r="X2772" s="1"/>
      <c r="Y2772" s="1" t="s">
        <v>11315</v>
      </c>
      <c r="Z2772" s="1"/>
      <c r="AA2772" s="1" t="s">
        <v>40</v>
      </c>
      <c r="AB2772" s="1" t="s">
        <v>602</v>
      </c>
      <c r="AC2772" s="1">
        <v>0.0</v>
      </c>
    </row>
    <row r="2773">
      <c r="A2773" s="1" t="str">
        <f>"000MX1"</f>
        <v>000MX1</v>
      </c>
      <c r="B2773" s="1" t="s">
        <v>11316</v>
      </c>
      <c r="C2773" s="1" t="s">
        <v>11317</v>
      </c>
      <c r="D2773" s="1" t="str">
        <f>"8029334197"</f>
        <v>8029334197</v>
      </c>
      <c r="E2773" s="1">
        <v>4637.0</v>
      </c>
      <c r="F2773" s="1" t="s">
        <v>31</v>
      </c>
      <c r="G2773" s="1" t="s">
        <v>11318</v>
      </c>
      <c r="H2773" s="1">
        <v>1.0</v>
      </c>
      <c r="I2773" s="1"/>
      <c r="J2773" s="1"/>
      <c r="K2773" s="1"/>
      <c r="L2773" s="1"/>
      <c r="M2773" s="1" t="s">
        <v>11319</v>
      </c>
      <c r="N2773" s="1" t="s">
        <v>47</v>
      </c>
      <c r="O2773" s="1" t="s">
        <v>48</v>
      </c>
      <c r="P2773" s="1" t="s">
        <v>11320</v>
      </c>
      <c r="Q2773" s="3">
        <v>41794.0</v>
      </c>
      <c r="R2773" s="1"/>
      <c r="S2773" s="1"/>
      <c r="T2773" s="1" t="s">
        <v>37</v>
      </c>
      <c r="U2773" s="1"/>
      <c r="V2773" s="1" t="s">
        <v>38</v>
      </c>
      <c r="W2773" s="1">
        <v>44.9074261587982</v>
      </c>
      <c r="X2773" s="1">
        <v>-72.9020762443542</v>
      </c>
      <c r="Y2773" s="1" t="s">
        <v>11321</v>
      </c>
      <c r="Z2773" s="1"/>
      <c r="AA2773" s="1" t="s">
        <v>40</v>
      </c>
      <c r="AB2773" s="1" t="s">
        <v>267</v>
      </c>
      <c r="AC2773" s="1">
        <v>5450.0</v>
      </c>
    </row>
    <row r="2774">
      <c r="A2774" s="1" t="str">
        <f>"000MX2"</f>
        <v>000MX2</v>
      </c>
      <c r="B2774" s="1" t="s">
        <v>11322</v>
      </c>
      <c r="C2774" s="1" t="s">
        <v>11323</v>
      </c>
      <c r="D2774" s="1" t="str">
        <f>"8027770808"</f>
        <v>8027770808</v>
      </c>
      <c r="E2774" s="1">
        <v>4638.0</v>
      </c>
      <c r="F2774" s="1" t="s">
        <v>44</v>
      </c>
      <c r="G2774" s="1" t="s">
        <v>11324</v>
      </c>
      <c r="H2774" s="1">
        <v>1.0</v>
      </c>
      <c r="I2774" s="1"/>
      <c r="J2774" s="1"/>
      <c r="K2774" s="1"/>
      <c r="L2774" s="1"/>
      <c r="M2774" s="1" t="s">
        <v>11325</v>
      </c>
      <c r="N2774" s="1" t="s">
        <v>47</v>
      </c>
      <c r="O2774" s="1" t="s">
        <v>670</v>
      </c>
      <c r="P2774" s="1" t="s">
        <v>36</v>
      </c>
      <c r="Q2774" s="3">
        <v>41794.0</v>
      </c>
      <c r="R2774" s="1"/>
      <c r="S2774" s="1"/>
      <c r="T2774" s="1" t="s">
        <v>37</v>
      </c>
      <c r="U2774" s="1"/>
      <c r="V2774" s="1" t="s">
        <v>38</v>
      </c>
      <c r="W2774" s="1">
        <v>44.867512</v>
      </c>
      <c r="X2774" s="1">
        <v>-72.871505</v>
      </c>
      <c r="Y2774" s="1" t="s">
        <v>11326</v>
      </c>
      <c r="Z2774" s="1"/>
      <c r="AA2774" s="1" t="s">
        <v>40</v>
      </c>
      <c r="AB2774" s="1" t="s">
        <v>267</v>
      </c>
      <c r="AC2774" s="1">
        <v>5450.0</v>
      </c>
    </row>
    <row r="2775">
      <c r="A2775" s="1" t="str">
        <f>"000MXA"</f>
        <v>000MXA</v>
      </c>
      <c r="B2775" s="1" t="s">
        <v>11327</v>
      </c>
      <c r="C2775" s="1" t="s">
        <v>11328</v>
      </c>
      <c r="D2775" s="1" t="str">
        <f>"8026333454"</f>
        <v>8026333454</v>
      </c>
      <c r="E2775" s="1">
        <v>4639.0</v>
      </c>
      <c r="F2775" s="1" t="s">
        <v>117</v>
      </c>
      <c r="G2775" s="1" t="s">
        <v>11329</v>
      </c>
      <c r="H2775" s="1">
        <v>0.0</v>
      </c>
      <c r="I2775" s="2" t="s">
        <v>119</v>
      </c>
      <c r="J2775" s="2">
        <v>1.0</v>
      </c>
      <c r="K2775" s="2" t="s">
        <v>829</v>
      </c>
      <c r="L2775" s="1"/>
      <c r="M2775" s="1" t="s">
        <v>2629</v>
      </c>
      <c r="N2775" s="1" t="s">
        <v>128</v>
      </c>
      <c r="O2775" s="1" t="s">
        <v>194</v>
      </c>
      <c r="P2775" s="1" t="s">
        <v>11330</v>
      </c>
      <c r="Q2775" s="3">
        <v>41743.0</v>
      </c>
      <c r="R2775" s="1"/>
      <c r="S2775" s="1"/>
      <c r="T2775" s="1" t="s">
        <v>37</v>
      </c>
      <c r="U2775" s="1"/>
      <c r="V2775" s="1" t="s">
        <v>38</v>
      </c>
      <c r="W2775" s="1">
        <v>44.31757</v>
      </c>
      <c r="X2775" s="1">
        <v>-72.12149</v>
      </c>
      <c r="Y2775" s="1" t="s">
        <v>11331</v>
      </c>
      <c r="Z2775" s="1"/>
      <c r="AA2775" s="1" t="s">
        <v>40</v>
      </c>
      <c r="AB2775" s="1" t="s">
        <v>11332</v>
      </c>
      <c r="AC2775" s="1">
        <v>5821.0</v>
      </c>
    </row>
    <row r="2776">
      <c r="A2776" s="1" t="str">
        <f>"000MXB"</f>
        <v>000MXB</v>
      </c>
      <c r="B2776" s="1" t="s">
        <v>11333</v>
      </c>
      <c r="C2776" s="1" t="s">
        <v>11334</v>
      </c>
      <c r="D2776" s="1" t="str">
        <f>"8023728264"</f>
        <v>8023728264</v>
      </c>
      <c r="E2776" s="1">
        <v>4640.0</v>
      </c>
      <c r="F2776" s="1" t="s">
        <v>44</v>
      </c>
      <c r="G2776" s="1" t="s">
        <v>11335</v>
      </c>
      <c r="H2776" s="1">
        <v>2.0</v>
      </c>
      <c r="I2776" s="1"/>
      <c r="J2776" s="1"/>
      <c r="K2776" s="1"/>
      <c r="L2776" s="1"/>
      <c r="M2776" s="1" t="s">
        <v>33</v>
      </c>
      <c r="N2776" s="1" t="s">
        <v>107</v>
      </c>
      <c r="O2776" s="1" t="s">
        <v>108</v>
      </c>
      <c r="P2776" s="1" t="s">
        <v>36</v>
      </c>
      <c r="Q2776" s="3">
        <v>41795.0</v>
      </c>
      <c r="R2776" s="1"/>
      <c r="S2776" s="1"/>
      <c r="T2776" s="1" t="s">
        <v>37</v>
      </c>
      <c r="U2776" s="1"/>
      <c r="V2776" s="1" t="s">
        <v>38</v>
      </c>
      <c r="W2776" s="1">
        <v>44.7205682281532</v>
      </c>
      <c r="X2776" s="1">
        <v>-73.3258974552154</v>
      </c>
      <c r="Y2776" s="1" t="s">
        <v>11336</v>
      </c>
      <c r="Z2776" s="1"/>
      <c r="AA2776" s="1" t="s">
        <v>40</v>
      </c>
      <c r="AB2776" s="1" t="s">
        <v>107</v>
      </c>
      <c r="AC2776" s="1">
        <v>5458.0</v>
      </c>
    </row>
    <row r="2777">
      <c r="A2777" s="1" t="str">
        <f>"000MXC"</f>
        <v>000MXC</v>
      </c>
      <c r="B2777" s="1" t="s">
        <v>11337</v>
      </c>
      <c r="C2777" s="1" t="s">
        <v>11338</v>
      </c>
      <c r="D2777" s="1" t="str">
        <f>"8022791673"</f>
        <v>8022791673</v>
      </c>
      <c r="E2777" s="1">
        <v>4641.0</v>
      </c>
      <c r="F2777" s="1" t="s">
        <v>117</v>
      </c>
      <c r="G2777" s="1" t="s">
        <v>11339</v>
      </c>
      <c r="H2777" s="1">
        <v>3.0</v>
      </c>
      <c r="I2777" s="2">
        <v>4.0</v>
      </c>
      <c r="J2777" s="2">
        <v>4.0</v>
      </c>
      <c r="K2777" s="2" t="s">
        <v>119</v>
      </c>
      <c r="L2777" s="2" t="s">
        <v>11340</v>
      </c>
      <c r="M2777" s="1" t="s">
        <v>11341</v>
      </c>
      <c r="N2777" s="1" t="s">
        <v>94</v>
      </c>
      <c r="O2777" s="1" t="s">
        <v>3623</v>
      </c>
      <c r="P2777" s="1" t="s">
        <v>11342</v>
      </c>
      <c r="Q2777" s="3">
        <v>41730.0</v>
      </c>
      <c r="R2777" s="1"/>
      <c r="S2777" s="1"/>
      <c r="T2777" s="1" t="s">
        <v>37</v>
      </c>
      <c r="U2777" s="1"/>
      <c r="V2777" s="1" t="s">
        <v>38</v>
      </c>
      <c r="W2777" s="1">
        <v>44.851723</v>
      </c>
      <c r="X2777" s="1">
        <v>-72.2957</v>
      </c>
      <c r="Y2777" s="1" t="s">
        <v>11343</v>
      </c>
      <c r="Z2777" s="1"/>
      <c r="AA2777" s="1" t="s">
        <v>40</v>
      </c>
      <c r="AB2777" s="1" t="s">
        <v>3624</v>
      </c>
      <c r="AC2777" s="1">
        <v>5845.0</v>
      </c>
    </row>
    <row r="2778">
      <c r="A2778" s="1" t="str">
        <f>"000MXF"</f>
        <v>000MXF</v>
      </c>
      <c r="B2778" s="1" t="s">
        <v>11344</v>
      </c>
      <c r="C2778" s="1" t="s">
        <v>11345</v>
      </c>
      <c r="D2778" s="1" t="str">
        <f>"8024577299"</f>
        <v>8024577299</v>
      </c>
      <c r="E2778" s="1">
        <v>4642.0</v>
      </c>
      <c r="F2778" s="1" t="s">
        <v>44</v>
      </c>
      <c r="G2778" s="1" t="s">
        <v>11346</v>
      </c>
      <c r="H2778" s="1">
        <v>1.0</v>
      </c>
      <c r="I2778" s="1"/>
      <c r="J2778" s="1"/>
      <c r="K2778" s="1"/>
      <c r="L2778" s="1"/>
      <c r="M2778" s="1" t="s">
        <v>2629</v>
      </c>
      <c r="N2778" s="1" t="s">
        <v>34</v>
      </c>
      <c r="O2778" s="1" t="s">
        <v>324</v>
      </c>
      <c r="P2778" s="1" t="s">
        <v>11347</v>
      </c>
      <c r="Q2778" s="3">
        <v>41731.0</v>
      </c>
      <c r="R2778" s="1"/>
      <c r="S2778" s="1"/>
      <c r="T2778" s="1" t="s">
        <v>37</v>
      </c>
      <c r="U2778" s="1"/>
      <c r="V2778" s="1" t="s">
        <v>38</v>
      </c>
      <c r="W2778" s="1">
        <v>43.6022426</v>
      </c>
      <c r="X2778" s="1">
        <v>-72.5740308</v>
      </c>
      <c r="Y2778" s="1" t="s">
        <v>11348</v>
      </c>
      <c r="Z2778" s="1"/>
      <c r="AA2778" s="1" t="s">
        <v>40</v>
      </c>
      <c r="AB2778" s="1" t="s">
        <v>11349</v>
      </c>
      <c r="AC2778" s="1">
        <v>5091.0</v>
      </c>
    </row>
    <row r="2779">
      <c r="A2779" s="1" t="str">
        <f>"000MXH"</f>
        <v>000MXH</v>
      </c>
      <c r="B2779" s="1" t="s">
        <v>11350</v>
      </c>
      <c r="C2779" s="1" t="s">
        <v>11351</v>
      </c>
      <c r="D2779" s="1" t="str">
        <f>"8028496493"</f>
        <v>8028496493</v>
      </c>
      <c r="E2779" s="1">
        <v>4643.0</v>
      </c>
      <c r="F2779" s="1" t="s">
        <v>117</v>
      </c>
      <c r="G2779" s="1" t="s">
        <v>11352</v>
      </c>
      <c r="H2779" s="1">
        <v>0.0</v>
      </c>
      <c r="I2779" s="2">
        <v>1.0</v>
      </c>
      <c r="J2779" s="2">
        <v>1.0</v>
      </c>
      <c r="K2779" s="2" t="s">
        <v>829</v>
      </c>
      <c r="L2779" s="1"/>
      <c r="M2779" s="1" t="s">
        <v>11353</v>
      </c>
      <c r="N2779" s="1" t="s">
        <v>47</v>
      </c>
      <c r="O2779" s="1" t="s">
        <v>378</v>
      </c>
      <c r="P2779" s="1" t="s">
        <v>11354</v>
      </c>
      <c r="Q2779" s="3">
        <v>41795.0</v>
      </c>
      <c r="R2779" s="1"/>
      <c r="S2779" s="1"/>
      <c r="T2779" s="1" t="s">
        <v>37</v>
      </c>
      <c r="U2779" s="1"/>
      <c r="V2779" s="1" t="s">
        <v>38</v>
      </c>
      <c r="W2779" s="1">
        <v>44.6629188</v>
      </c>
      <c r="X2779" s="1">
        <v>-73.0138389</v>
      </c>
      <c r="Y2779" s="1" t="s">
        <v>11355</v>
      </c>
      <c r="Z2779" s="1"/>
      <c r="AA2779" s="1" t="s">
        <v>40</v>
      </c>
      <c r="AB2779" s="1" t="s">
        <v>381</v>
      </c>
      <c r="AC2779" s="1">
        <v>5454.0</v>
      </c>
    </row>
    <row r="2780">
      <c r="A2780" s="1" t="str">
        <f>"000MXJ"</f>
        <v>000MXJ</v>
      </c>
      <c r="B2780" s="1" t="s">
        <v>11356</v>
      </c>
      <c r="C2780" s="1" t="s">
        <v>11357</v>
      </c>
      <c r="D2780" s="1" t="str">
        <f>"8027778235"</f>
        <v>8027778235</v>
      </c>
      <c r="E2780" s="1">
        <v>4644.0</v>
      </c>
      <c r="F2780" s="1" t="s">
        <v>117</v>
      </c>
      <c r="G2780" s="1" t="s">
        <v>11358</v>
      </c>
      <c r="H2780" s="1">
        <v>6.0</v>
      </c>
      <c r="I2780" s="2">
        <v>3.0</v>
      </c>
      <c r="J2780" s="2">
        <v>1.0</v>
      </c>
      <c r="K2780" s="2" t="s">
        <v>119</v>
      </c>
      <c r="L2780" s="2" t="s">
        <v>2923</v>
      </c>
      <c r="M2780" s="1" t="s">
        <v>11359</v>
      </c>
      <c r="N2780" s="1" t="s">
        <v>47</v>
      </c>
      <c r="O2780" s="1" t="s">
        <v>582</v>
      </c>
      <c r="P2780" s="1" t="s">
        <v>11360</v>
      </c>
      <c r="Q2780" s="3">
        <v>41776.0</v>
      </c>
      <c r="R2780" s="1"/>
      <c r="S2780" s="1"/>
      <c r="T2780" s="1" t="s">
        <v>37</v>
      </c>
      <c r="U2780" s="1"/>
      <c r="V2780" s="1" t="s">
        <v>38</v>
      </c>
      <c r="W2780" s="1">
        <v>44.712429</v>
      </c>
      <c r="X2780" s="1">
        <v>-73.1710279999999</v>
      </c>
      <c r="Y2780" s="1" t="s">
        <v>11361</v>
      </c>
      <c r="Z2780" s="1"/>
      <c r="AA2780" s="1" t="s">
        <v>40</v>
      </c>
      <c r="AB2780" s="1" t="s">
        <v>583</v>
      </c>
      <c r="AC2780" s="1">
        <v>5468.0</v>
      </c>
    </row>
    <row r="2781">
      <c r="A2781" s="1" t="str">
        <f>"000MXK"</f>
        <v>000MXK</v>
      </c>
      <c r="B2781" s="1" t="s">
        <v>11362</v>
      </c>
      <c r="C2781" s="1" t="s">
        <v>11363</v>
      </c>
      <c r="D2781" s="1" t="str">
        <f>"8022748500"</f>
        <v>8022748500</v>
      </c>
      <c r="E2781" s="1">
        <v>4645.0</v>
      </c>
      <c r="F2781" s="1" t="s">
        <v>117</v>
      </c>
      <c r="G2781" s="1" t="s">
        <v>11364</v>
      </c>
      <c r="H2781" s="1">
        <v>9.0</v>
      </c>
      <c r="I2781" s="2">
        <v>2.0</v>
      </c>
      <c r="J2781" s="2">
        <v>1.0</v>
      </c>
      <c r="K2781" s="2" t="s">
        <v>119</v>
      </c>
      <c r="L2781" s="1"/>
      <c r="M2781" s="1" t="s">
        <v>1732</v>
      </c>
      <c r="N2781" s="1" t="s">
        <v>128</v>
      </c>
      <c r="O2781" s="1" t="s">
        <v>286</v>
      </c>
      <c r="P2781" s="1" t="s">
        <v>11365</v>
      </c>
      <c r="Q2781" s="3">
        <v>41795.0</v>
      </c>
      <c r="R2781" s="1"/>
      <c r="S2781" s="1"/>
      <c r="T2781" s="1" t="s">
        <v>37</v>
      </c>
      <c r="U2781" s="1"/>
      <c r="V2781" s="1" t="s">
        <v>38</v>
      </c>
      <c r="W2781" s="1">
        <v>44.59269</v>
      </c>
      <c r="X2781" s="1">
        <v>-71.946907</v>
      </c>
      <c r="Y2781" s="1" t="s">
        <v>11366</v>
      </c>
      <c r="Z2781" s="1"/>
      <c r="AA2781" s="1" t="s">
        <v>40</v>
      </c>
      <c r="AB2781" s="1" t="s">
        <v>11367</v>
      </c>
      <c r="AC2781" s="1">
        <v>5832.0</v>
      </c>
    </row>
    <row r="2782">
      <c r="A2782" s="1" t="str">
        <f>"000MXM"</f>
        <v>000MXM</v>
      </c>
      <c r="B2782" s="1" t="s">
        <v>11368</v>
      </c>
      <c r="C2782" s="1" t="s">
        <v>11369</v>
      </c>
      <c r="D2782" s="1" t="str">
        <f>"8022932022"</f>
        <v>8022932022</v>
      </c>
      <c r="E2782" s="1">
        <v>4646.0</v>
      </c>
      <c r="F2782" s="1" t="s">
        <v>117</v>
      </c>
      <c r="G2782" s="1" t="s">
        <v>11370</v>
      </c>
      <c r="H2782" s="1">
        <v>9.0</v>
      </c>
      <c r="I2782" s="2">
        <v>9.0</v>
      </c>
      <c r="J2782" s="2">
        <v>9.0</v>
      </c>
      <c r="K2782" s="2" t="s">
        <v>119</v>
      </c>
      <c r="L2782" s="1"/>
      <c r="M2782" s="1" t="s">
        <v>11371</v>
      </c>
      <c r="N2782" s="1" t="s">
        <v>78</v>
      </c>
      <c r="O2782" s="1" t="s">
        <v>251</v>
      </c>
      <c r="P2782" s="1" t="s">
        <v>11372</v>
      </c>
      <c r="Q2782" s="3">
        <v>41778.0</v>
      </c>
      <c r="R2782" s="1"/>
      <c r="S2782" s="1"/>
      <c r="T2782" s="1" t="s">
        <v>37</v>
      </c>
      <c r="U2782" s="1"/>
      <c r="V2782" s="1" t="s">
        <v>38</v>
      </c>
      <c r="W2782" s="1">
        <v>43.350054</v>
      </c>
      <c r="X2782" s="1">
        <v>-73.0334379999999</v>
      </c>
      <c r="Y2782" s="1" t="s">
        <v>11373</v>
      </c>
      <c r="Z2782" s="1"/>
      <c r="AA2782" s="1" t="s">
        <v>40</v>
      </c>
      <c r="AB2782" s="1" t="s">
        <v>252</v>
      </c>
      <c r="AC2782" s="1">
        <v>5739.0</v>
      </c>
    </row>
    <row r="2783">
      <c r="A2783" s="1" t="str">
        <f t="shared" ref="A2783:A2784" si="209">"0008VM"</f>
        <v>0008VM</v>
      </c>
      <c r="B2783" s="1" t="s">
        <v>6529</v>
      </c>
      <c r="C2783" s="1" t="s">
        <v>6530</v>
      </c>
      <c r="D2783" s="1" t="str">
        <f t="shared" ref="D2783:D2784" si="210">"8024257890"</f>
        <v>8024257890</v>
      </c>
      <c r="E2783" s="1">
        <v>3327.0</v>
      </c>
      <c r="F2783" s="1" t="s">
        <v>117</v>
      </c>
      <c r="G2783" s="1" t="s">
        <v>11374</v>
      </c>
      <c r="H2783" s="1">
        <v>1.0</v>
      </c>
      <c r="I2783" s="2">
        <v>0.0</v>
      </c>
      <c r="J2783" s="2" t="s">
        <v>119</v>
      </c>
      <c r="K2783" s="2" t="s">
        <v>119</v>
      </c>
      <c r="L2783" s="1"/>
      <c r="M2783" s="1" t="s">
        <v>11375</v>
      </c>
      <c r="N2783" s="1" t="s">
        <v>57</v>
      </c>
      <c r="O2783" s="1" t="s">
        <v>1633</v>
      </c>
      <c r="P2783" s="1" t="s">
        <v>11376</v>
      </c>
      <c r="Q2783" s="3">
        <v>41795.0</v>
      </c>
      <c r="R2783" s="1"/>
      <c r="S2783" s="1"/>
      <c r="T2783" s="1" t="s">
        <v>37</v>
      </c>
      <c r="U2783" s="1"/>
      <c r="V2783" s="1" t="s">
        <v>38</v>
      </c>
      <c r="W2783" s="1">
        <v>44.2988515477434</v>
      </c>
      <c r="X2783" s="1">
        <v>-73.1855911016464</v>
      </c>
      <c r="Y2783" s="1" t="s">
        <v>11377</v>
      </c>
      <c r="Z2783" s="1"/>
      <c r="AA2783" s="1" t="s">
        <v>40</v>
      </c>
      <c r="AB2783" s="1" t="s">
        <v>1634</v>
      </c>
      <c r="AC2783" s="1">
        <v>5000.0</v>
      </c>
    </row>
    <row r="2784">
      <c r="A2784" s="1" t="str">
        <f t="shared" si="209"/>
        <v>0008VM</v>
      </c>
      <c r="B2784" s="1" t="s">
        <v>6529</v>
      </c>
      <c r="C2784" s="1" t="s">
        <v>6530</v>
      </c>
      <c r="D2784" s="1" t="str">
        <f t="shared" si="210"/>
        <v>8024257890</v>
      </c>
      <c r="E2784" s="1">
        <v>3327.0</v>
      </c>
      <c r="F2784" s="1" t="s">
        <v>117</v>
      </c>
      <c r="G2784" s="1" t="s">
        <v>11378</v>
      </c>
      <c r="H2784" s="1">
        <v>3.0</v>
      </c>
      <c r="I2784" s="2">
        <v>0.0</v>
      </c>
      <c r="J2784" s="2" t="s">
        <v>119</v>
      </c>
      <c r="K2784" s="2" t="s">
        <v>119</v>
      </c>
      <c r="L2784" s="1"/>
      <c r="M2784" s="1" t="s">
        <v>11379</v>
      </c>
      <c r="N2784" s="1" t="s">
        <v>57</v>
      </c>
      <c r="O2784" s="1" t="s">
        <v>1633</v>
      </c>
      <c r="P2784" s="1" t="s">
        <v>11380</v>
      </c>
      <c r="Q2784" s="3">
        <v>41795.0</v>
      </c>
      <c r="R2784" s="1"/>
      <c r="S2784" s="1"/>
      <c r="T2784" s="1" t="s">
        <v>37</v>
      </c>
      <c r="U2784" s="1"/>
      <c r="V2784" s="1" t="s">
        <v>38</v>
      </c>
      <c r="W2784" s="1">
        <v>44.3224386546554</v>
      </c>
      <c r="X2784" s="1">
        <v>-73.1830886006355</v>
      </c>
      <c r="Y2784" s="1" t="s">
        <v>11381</v>
      </c>
      <c r="Z2784" s="1"/>
      <c r="AA2784" s="1" t="s">
        <v>40</v>
      </c>
      <c r="AB2784" s="1" t="s">
        <v>1634</v>
      </c>
      <c r="AC2784" s="1">
        <v>5000.0</v>
      </c>
    </row>
    <row r="2785">
      <c r="A2785" s="1" t="str">
        <f>"000HA5"</f>
        <v>000HA5</v>
      </c>
      <c r="B2785" s="1" t="s">
        <v>9125</v>
      </c>
      <c r="C2785" s="1" t="s">
        <v>9126</v>
      </c>
      <c r="D2785" s="1" t="str">
        <f>"8022365406"</f>
        <v>8022365406</v>
      </c>
      <c r="E2785" s="1">
        <v>4355.0</v>
      </c>
      <c r="F2785" s="1" t="s">
        <v>31</v>
      </c>
      <c r="G2785" s="1" t="s">
        <v>11382</v>
      </c>
      <c r="H2785" s="1">
        <v>6.0</v>
      </c>
      <c r="I2785" s="1"/>
      <c r="J2785" s="1"/>
      <c r="K2785" s="1"/>
      <c r="L2785" s="1"/>
      <c r="M2785" s="1" t="s">
        <v>11383</v>
      </c>
      <c r="N2785" s="1" t="s">
        <v>78</v>
      </c>
      <c r="O2785" s="1" t="s">
        <v>855</v>
      </c>
      <c r="P2785" s="1" t="s">
        <v>11384</v>
      </c>
      <c r="Q2785" s="3">
        <v>41766.0</v>
      </c>
      <c r="R2785" s="1"/>
      <c r="S2785" s="3">
        <v>41836.0</v>
      </c>
      <c r="T2785" s="1" t="s">
        <v>37</v>
      </c>
      <c r="U2785" s="1"/>
      <c r="V2785" s="1" t="s">
        <v>38</v>
      </c>
      <c r="W2785" s="1">
        <v>43.5999887824008</v>
      </c>
      <c r="X2785" s="1">
        <v>-73.2322347164154</v>
      </c>
      <c r="Y2785" s="1" t="s">
        <v>11385</v>
      </c>
      <c r="Z2785" s="1"/>
      <c r="AA2785" s="1" t="s">
        <v>40</v>
      </c>
      <c r="AB2785" s="1" t="s">
        <v>857</v>
      </c>
      <c r="AC2785" s="1">
        <v>5735.0</v>
      </c>
    </row>
    <row r="2786">
      <c r="A2786" s="1" t="str">
        <f>"000MXN"</f>
        <v>000MXN</v>
      </c>
      <c r="B2786" s="1" t="s">
        <v>11386</v>
      </c>
      <c r="C2786" s="1" t="s">
        <v>11387</v>
      </c>
      <c r="D2786" s="1" t="str">
        <f>"8028752614"</f>
        <v>8028752614</v>
      </c>
      <c r="E2786" s="1">
        <v>4647.0</v>
      </c>
      <c r="F2786" s="1" t="s">
        <v>117</v>
      </c>
      <c r="G2786" s="1" t="s">
        <v>11388</v>
      </c>
      <c r="H2786" s="1">
        <v>1.0</v>
      </c>
      <c r="I2786" s="2">
        <v>3.0</v>
      </c>
      <c r="J2786" s="2">
        <v>1.0</v>
      </c>
      <c r="K2786" s="2" t="s">
        <v>119</v>
      </c>
      <c r="L2786" s="1"/>
      <c r="M2786" s="1" t="s">
        <v>11389</v>
      </c>
      <c r="N2786" s="1" t="s">
        <v>34</v>
      </c>
      <c r="O2786" s="1" t="s">
        <v>565</v>
      </c>
      <c r="P2786" s="1" t="s">
        <v>11390</v>
      </c>
      <c r="Q2786" s="3">
        <v>41767.0</v>
      </c>
      <c r="R2786" s="1"/>
      <c r="S2786" s="1"/>
      <c r="T2786" s="1" t="s">
        <v>37</v>
      </c>
      <c r="U2786" s="1"/>
      <c r="V2786" s="1" t="s">
        <v>38</v>
      </c>
      <c r="W2786" s="1">
        <v>43.278098</v>
      </c>
      <c r="X2786" s="1">
        <v>-72.552493</v>
      </c>
      <c r="Y2786" s="1" t="s">
        <v>11391</v>
      </c>
      <c r="Z2786" s="1"/>
      <c r="AA2786" s="1" t="s">
        <v>40</v>
      </c>
      <c r="AB2786" s="1" t="s">
        <v>566</v>
      </c>
      <c r="AC2786" s="1">
        <v>5143.0</v>
      </c>
    </row>
    <row r="2787">
      <c r="A2787" s="1" t="str">
        <f>"000MXP"</f>
        <v>000MXP</v>
      </c>
      <c r="B2787" s="1" t="s">
        <v>11392</v>
      </c>
      <c r="C2787" s="1" t="s">
        <v>11393</v>
      </c>
      <c r="D2787" s="1" t="str">
        <f>"8027793188"</f>
        <v>8027793188</v>
      </c>
      <c r="E2787" s="1">
        <v>4648.0</v>
      </c>
      <c r="F2787" s="1" t="s">
        <v>31</v>
      </c>
      <c r="G2787" s="1" t="s">
        <v>11394</v>
      </c>
      <c r="H2787" s="1">
        <v>1.0</v>
      </c>
      <c r="I2787" s="1"/>
      <c r="J2787" s="1"/>
      <c r="K2787" s="1"/>
      <c r="L2787" s="1"/>
      <c r="M2787" s="1" t="s">
        <v>33</v>
      </c>
      <c r="N2787" s="1" t="s">
        <v>66</v>
      </c>
      <c r="O2787" s="1" t="s">
        <v>2346</v>
      </c>
      <c r="P2787" s="1" t="s">
        <v>36</v>
      </c>
      <c r="Q2787" s="3">
        <v>41767.0</v>
      </c>
      <c r="R2787" s="1"/>
      <c r="S2787" s="1"/>
      <c r="T2787" s="1" t="s">
        <v>37</v>
      </c>
      <c r="U2787" s="1"/>
      <c r="V2787" s="1" t="s">
        <v>38</v>
      </c>
      <c r="W2787" s="1">
        <v>42.8378172</v>
      </c>
      <c r="X2787" s="1">
        <v>-72.5640725</v>
      </c>
      <c r="Y2787" s="1" t="s">
        <v>11395</v>
      </c>
      <c r="Z2787" s="1"/>
      <c r="AA2787" s="1" t="s">
        <v>40</v>
      </c>
      <c r="AB2787" s="1" t="s">
        <v>2349</v>
      </c>
      <c r="AC2787" s="1">
        <v>5301.0</v>
      </c>
    </row>
    <row r="2788">
      <c r="A2788" s="1" t="str">
        <f>"000MXQ"</f>
        <v>000MXQ</v>
      </c>
      <c r="B2788" s="1" t="s">
        <v>11396</v>
      </c>
      <c r="C2788" s="1" t="s">
        <v>11397</v>
      </c>
      <c r="D2788" s="1" t="str">
        <f>"8025953951"</f>
        <v>8025953951</v>
      </c>
      <c r="E2788" s="1">
        <v>4649.0</v>
      </c>
      <c r="F2788" s="1" t="s">
        <v>44</v>
      </c>
      <c r="G2788" s="1" t="s">
        <v>11398</v>
      </c>
      <c r="H2788" s="1">
        <v>0.0</v>
      </c>
      <c r="I2788" s="1"/>
      <c r="J2788" s="1"/>
      <c r="K2788" s="1"/>
      <c r="L2788" s="1"/>
      <c r="M2788" s="1" t="s">
        <v>33</v>
      </c>
      <c r="N2788" s="1" t="s">
        <v>135</v>
      </c>
      <c r="O2788" s="1" t="s">
        <v>2243</v>
      </c>
      <c r="P2788" s="1" t="s">
        <v>36</v>
      </c>
      <c r="Q2788" s="3">
        <v>41768.0</v>
      </c>
      <c r="R2788" s="1"/>
      <c r="S2788" s="3">
        <v>42151.0</v>
      </c>
      <c r="T2788" s="1" t="s">
        <v>37</v>
      </c>
      <c r="U2788" s="1"/>
      <c r="V2788" s="1" t="s">
        <v>38</v>
      </c>
      <c r="W2788" s="1">
        <v>44.107572</v>
      </c>
      <c r="X2788" s="1">
        <v>-72.7326729999999</v>
      </c>
      <c r="Y2788" s="1" t="s">
        <v>11399</v>
      </c>
      <c r="Z2788" s="1"/>
      <c r="AA2788" s="1" t="s">
        <v>40</v>
      </c>
      <c r="AB2788" s="1" t="s">
        <v>2244</v>
      </c>
      <c r="AC2788" s="1">
        <v>5669.0</v>
      </c>
    </row>
    <row r="2789">
      <c r="A2789" s="1" t="str">
        <f t="shared" ref="A2789:A2790" si="211">"000MXV"</f>
        <v>000MXV</v>
      </c>
      <c r="B2789" s="1" t="s">
        <v>11400</v>
      </c>
      <c r="C2789" s="1" t="s">
        <v>11401</v>
      </c>
      <c r="D2789" s="1" t="str">
        <f t="shared" ref="D2789:D2790" si="212">"8028853836"</f>
        <v>8028853836</v>
      </c>
      <c r="E2789" s="1">
        <v>4650.0</v>
      </c>
      <c r="F2789" s="1" t="s">
        <v>117</v>
      </c>
      <c r="G2789" s="1" t="s">
        <v>11402</v>
      </c>
      <c r="H2789" s="1">
        <v>2.0</v>
      </c>
      <c r="I2789" s="2">
        <v>1.0</v>
      </c>
      <c r="J2789" s="2">
        <v>1.0</v>
      </c>
      <c r="K2789" s="2" t="s">
        <v>119</v>
      </c>
      <c r="L2789" s="2" t="s">
        <v>8935</v>
      </c>
      <c r="M2789" s="1">
        <v>1.0</v>
      </c>
      <c r="N2789" s="1" t="s">
        <v>66</v>
      </c>
      <c r="O2789" s="1" t="s">
        <v>113</v>
      </c>
      <c r="P2789" s="1" t="s">
        <v>11403</v>
      </c>
      <c r="Q2789" s="3">
        <v>41766.0</v>
      </c>
      <c r="R2789" s="1"/>
      <c r="S2789" s="1"/>
      <c r="T2789" s="1" t="s">
        <v>37</v>
      </c>
      <c r="U2789" s="1"/>
      <c r="V2789" s="1" t="s">
        <v>38</v>
      </c>
      <c r="W2789" s="1">
        <v>43.051983</v>
      </c>
      <c r="X2789" s="1">
        <v>-72.4712979999999</v>
      </c>
      <c r="Y2789" s="1" t="s">
        <v>11404</v>
      </c>
      <c r="Z2789" s="1"/>
      <c r="AA2789" s="1" t="s">
        <v>40</v>
      </c>
      <c r="AB2789" s="1" t="s">
        <v>114</v>
      </c>
      <c r="AC2789" s="1">
        <v>5158.0</v>
      </c>
    </row>
    <row r="2790">
      <c r="A2790" s="1" t="str">
        <f t="shared" si="211"/>
        <v>000MXV</v>
      </c>
      <c r="B2790" s="1" t="s">
        <v>11400</v>
      </c>
      <c r="C2790" s="1" t="s">
        <v>11401</v>
      </c>
      <c r="D2790" s="1" t="str">
        <f t="shared" si="212"/>
        <v>8028853836</v>
      </c>
      <c r="E2790" s="1">
        <v>4650.0</v>
      </c>
      <c r="F2790" s="1" t="s">
        <v>117</v>
      </c>
      <c r="G2790" s="1" t="s">
        <v>11405</v>
      </c>
      <c r="H2790" s="1">
        <v>4.0</v>
      </c>
      <c r="I2790" s="2">
        <v>3.0</v>
      </c>
      <c r="J2790" s="2">
        <v>1.0</v>
      </c>
      <c r="K2790" s="2" t="s">
        <v>119</v>
      </c>
      <c r="L2790" s="2" t="s">
        <v>11406</v>
      </c>
      <c r="M2790" s="1" t="s">
        <v>2629</v>
      </c>
      <c r="N2790" s="1" t="s">
        <v>34</v>
      </c>
      <c r="O2790" s="1" t="s">
        <v>1085</v>
      </c>
      <c r="P2790" s="1" t="s">
        <v>11407</v>
      </c>
      <c r="Q2790" s="3">
        <v>41766.0</v>
      </c>
      <c r="R2790" s="1"/>
      <c r="S2790" s="3">
        <v>42689.0</v>
      </c>
      <c r="T2790" s="1" t="s">
        <v>37</v>
      </c>
      <c r="U2790" s="1"/>
      <c r="V2790" s="1" t="s">
        <v>38</v>
      </c>
      <c r="W2790" s="1">
        <v>43.3733194</v>
      </c>
      <c r="X2790" s="1">
        <v>-72.4774438</v>
      </c>
      <c r="Y2790" s="1" t="s">
        <v>11408</v>
      </c>
      <c r="Z2790" s="1"/>
      <c r="AA2790" s="1" t="s">
        <v>40</v>
      </c>
      <c r="AB2790" s="1" t="s">
        <v>5248</v>
      </c>
      <c r="AC2790" s="1">
        <v>5000.0</v>
      </c>
    </row>
    <row r="2791">
      <c r="A2791" s="1" t="str">
        <f>"000MXW"</f>
        <v>000MXW</v>
      </c>
      <c r="B2791" s="1" t="s">
        <v>11409</v>
      </c>
      <c r="C2791" s="1" t="s">
        <v>11410</v>
      </c>
      <c r="D2791" s="1" t="str">
        <f>"9175585817"</f>
        <v>9175585817</v>
      </c>
      <c r="E2791" s="1">
        <v>4651.0</v>
      </c>
      <c r="F2791" s="1" t="s">
        <v>44</v>
      </c>
      <c r="G2791" s="1" t="s">
        <v>11411</v>
      </c>
      <c r="H2791" s="1">
        <v>1.0</v>
      </c>
      <c r="I2791" s="1"/>
      <c r="J2791" s="1"/>
      <c r="K2791" s="1"/>
      <c r="L2791" s="1"/>
      <c r="M2791" s="1" t="s">
        <v>33</v>
      </c>
      <c r="N2791" s="1" t="s">
        <v>57</v>
      </c>
      <c r="O2791" s="1" t="s">
        <v>2092</v>
      </c>
      <c r="P2791" s="1" t="s">
        <v>36</v>
      </c>
      <c r="Q2791" s="3">
        <v>41768.0</v>
      </c>
      <c r="R2791" s="1"/>
      <c r="S2791" s="1"/>
      <c r="T2791" s="1" t="s">
        <v>37</v>
      </c>
      <c r="U2791" s="1"/>
      <c r="V2791" s="1" t="s">
        <v>38</v>
      </c>
      <c r="W2791" s="1">
        <v>44.4629629999999</v>
      </c>
      <c r="X2791" s="1">
        <v>-73.0495829999999</v>
      </c>
      <c r="Y2791" s="1" t="s">
        <v>11412</v>
      </c>
      <c r="Z2791" s="1"/>
      <c r="AA2791" s="1" t="s">
        <v>40</v>
      </c>
      <c r="AB2791" s="1" t="s">
        <v>2093</v>
      </c>
      <c r="AC2791" s="1">
        <v>5495.0</v>
      </c>
    </row>
    <row r="2792">
      <c r="A2792" s="1" t="str">
        <f>"000MXX"</f>
        <v>000MXX</v>
      </c>
      <c r="B2792" s="1" t="s">
        <v>11413</v>
      </c>
      <c r="C2792" s="1" t="s">
        <v>11414</v>
      </c>
      <c r="D2792" s="1" t="str">
        <f>"8022723109"</f>
        <v>8022723109</v>
      </c>
      <c r="E2792" s="1">
        <v>4652.0</v>
      </c>
      <c r="F2792" s="1" t="s">
        <v>44</v>
      </c>
      <c r="G2792" s="1" t="s">
        <v>11415</v>
      </c>
      <c r="H2792" s="1">
        <v>3.0</v>
      </c>
      <c r="I2792" s="1"/>
      <c r="J2792" s="1"/>
      <c r="K2792" s="1"/>
      <c r="L2792" s="1"/>
      <c r="M2792" s="1" t="s">
        <v>11416</v>
      </c>
      <c r="N2792" s="1" t="s">
        <v>135</v>
      </c>
      <c r="O2792" s="1" t="s">
        <v>343</v>
      </c>
      <c r="P2792" s="1" t="s">
        <v>11417</v>
      </c>
      <c r="Q2792" s="3">
        <v>41765.0</v>
      </c>
      <c r="R2792" s="1"/>
      <c r="S2792" s="3">
        <v>41855.0</v>
      </c>
      <c r="T2792" s="1" t="s">
        <v>37</v>
      </c>
      <c r="U2792" s="1"/>
      <c r="V2792" s="1" t="s">
        <v>38</v>
      </c>
      <c r="W2792" s="1">
        <v>44.21314</v>
      </c>
      <c r="X2792" s="1">
        <v>-72.50907</v>
      </c>
      <c r="Y2792" s="1" t="s">
        <v>11418</v>
      </c>
      <c r="Z2792" s="1"/>
      <c r="AA2792" s="1" t="s">
        <v>40</v>
      </c>
      <c r="AB2792" s="1" t="s">
        <v>4019</v>
      </c>
      <c r="AC2792" s="1">
        <v>5641.0</v>
      </c>
    </row>
    <row r="2793">
      <c r="A2793" s="1" t="str">
        <f>"000MXY"</f>
        <v>000MXY</v>
      </c>
      <c r="B2793" s="1" t="s">
        <v>11419</v>
      </c>
      <c r="C2793" s="1" t="s">
        <v>11420</v>
      </c>
      <c r="D2793" s="1" t="str">
        <f>"8023750212"</f>
        <v>8023750212</v>
      </c>
      <c r="E2793" s="1">
        <v>4653.0</v>
      </c>
      <c r="F2793" s="1" t="s">
        <v>117</v>
      </c>
      <c r="G2793" s="1" t="s">
        <v>11421</v>
      </c>
      <c r="H2793" s="1">
        <v>6.0</v>
      </c>
      <c r="I2793" s="2">
        <v>0.0</v>
      </c>
      <c r="J2793" s="2">
        <v>0.0</v>
      </c>
      <c r="K2793" s="2" t="s">
        <v>119</v>
      </c>
      <c r="L2793" s="1"/>
      <c r="M2793" s="1" t="s">
        <v>11422</v>
      </c>
      <c r="N2793" s="1" t="s">
        <v>414</v>
      </c>
      <c r="O2793" s="1" t="s">
        <v>3034</v>
      </c>
      <c r="P2793" s="1" t="s">
        <v>11423</v>
      </c>
      <c r="Q2793" s="3">
        <v>41768.0</v>
      </c>
      <c r="R2793" s="1"/>
      <c r="S2793" s="1"/>
      <c r="T2793" s="1" t="s">
        <v>37</v>
      </c>
      <c r="U2793" s="1"/>
      <c r="V2793" s="1" t="s">
        <v>38</v>
      </c>
      <c r="W2793" s="1">
        <v>43.1477916</v>
      </c>
      <c r="X2793" s="1">
        <v>-73.1994242999999</v>
      </c>
      <c r="Y2793" s="1" t="s">
        <v>11424</v>
      </c>
      <c r="Z2793" s="1"/>
      <c r="AA2793" s="1" t="s">
        <v>40</v>
      </c>
      <c r="AB2793" s="1" t="s">
        <v>3036</v>
      </c>
      <c r="AC2793" s="1">
        <v>5250.0</v>
      </c>
    </row>
    <row r="2794">
      <c r="A2794" s="1" t="str">
        <f>"000MXZ"</f>
        <v>000MXZ</v>
      </c>
      <c r="B2794" s="1" t="s">
        <v>11425</v>
      </c>
      <c r="C2794" s="1" t="s">
        <v>11426</v>
      </c>
      <c r="D2794" s="1" t="str">
        <f>"8022932077"</f>
        <v>8022932077</v>
      </c>
      <c r="E2794" s="1">
        <v>4654.0</v>
      </c>
      <c r="F2794" s="1" t="s">
        <v>117</v>
      </c>
      <c r="G2794" s="1" t="s">
        <v>11427</v>
      </c>
      <c r="H2794" s="1">
        <v>3.0</v>
      </c>
      <c r="I2794" s="2">
        <v>0.0</v>
      </c>
      <c r="J2794" s="2">
        <v>0.0</v>
      </c>
      <c r="K2794" s="2" t="s">
        <v>829</v>
      </c>
      <c r="L2794" s="1"/>
      <c r="M2794" s="1" t="s">
        <v>11428</v>
      </c>
      <c r="N2794" s="1" t="s">
        <v>78</v>
      </c>
      <c r="O2794" s="1" t="s">
        <v>251</v>
      </c>
      <c r="P2794" s="1" t="s">
        <v>11429</v>
      </c>
      <c r="Q2794" s="3">
        <v>41795.0</v>
      </c>
      <c r="R2794" s="1"/>
      <c r="S2794" s="1"/>
      <c r="T2794" s="1" t="s">
        <v>37</v>
      </c>
      <c r="U2794" s="1"/>
      <c r="V2794" s="1" t="s">
        <v>38</v>
      </c>
      <c r="W2794" s="1">
        <v>43.368252</v>
      </c>
      <c r="X2794" s="1">
        <v>-73.0146409999999</v>
      </c>
      <c r="Y2794" s="1" t="s">
        <v>11430</v>
      </c>
      <c r="Z2794" s="1"/>
      <c r="AA2794" s="1" t="s">
        <v>40</v>
      </c>
      <c r="AB2794" s="1" t="s">
        <v>252</v>
      </c>
      <c r="AC2794" s="1">
        <v>5739.0</v>
      </c>
    </row>
    <row r="2795">
      <c r="A2795" s="1" t="str">
        <f>"000MZ3"</f>
        <v>000MZ3</v>
      </c>
      <c r="B2795" s="1" t="s">
        <v>11431</v>
      </c>
      <c r="C2795" s="1" t="s">
        <v>11432</v>
      </c>
      <c r="D2795" s="1" t="str">
        <f>"8022725741"</f>
        <v>8022725741</v>
      </c>
      <c r="E2795" s="1">
        <v>4655.0</v>
      </c>
      <c r="F2795" s="1" t="s">
        <v>44</v>
      </c>
      <c r="G2795" s="1" t="s">
        <v>11433</v>
      </c>
      <c r="H2795" s="1">
        <v>1.0</v>
      </c>
      <c r="I2795" s="1"/>
      <c r="J2795" s="1"/>
      <c r="K2795" s="1"/>
      <c r="L2795" s="1"/>
      <c r="M2795" s="1" t="s">
        <v>33</v>
      </c>
      <c r="N2795" s="1" t="s">
        <v>135</v>
      </c>
      <c r="O2795" s="1" t="s">
        <v>1142</v>
      </c>
      <c r="P2795" s="1" t="s">
        <v>36</v>
      </c>
      <c r="Q2795" s="3">
        <v>41787.0</v>
      </c>
      <c r="R2795" s="1"/>
      <c r="S2795" s="3">
        <v>41799.0</v>
      </c>
      <c r="T2795" s="1" t="s">
        <v>37</v>
      </c>
      <c r="U2795" s="1"/>
      <c r="V2795" s="1" t="s">
        <v>38</v>
      </c>
      <c r="W2795" s="1">
        <v>44.303303</v>
      </c>
      <c r="X2795" s="1">
        <v>-72.5795749999999</v>
      </c>
      <c r="Y2795" s="1" t="s">
        <v>11434</v>
      </c>
      <c r="Z2795" s="1"/>
      <c r="AA2795" s="1" t="s">
        <v>40</v>
      </c>
      <c r="AB2795" s="1" t="s">
        <v>1145</v>
      </c>
      <c r="AC2795" s="1">
        <v>5602.0</v>
      </c>
    </row>
    <row r="2796">
      <c r="A2796" s="1" t="str">
        <f>"000MZV"</f>
        <v>000MZV</v>
      </c>
      <c r="B2796" s="1" t="s">
        <v>11435</v>
      </c>
      <c r="C2796" s="1" t="s">
        <v>11436</v>
      </c>
      <c r="D2796" s="1" t="str">
        <f>"5617168112"</f>
        <v>5617168112</v>
      </c>
      <c r="E2796" s="1">
        <v>4656.0</v>
      </c>
      <c r="F2796" s="1" t="s">
        <v>117</v>
      </c>
      <c r="G2796" s="1" t="s">
        <v>11437</v>
      </c>
      <c r="H2796" s="1">
        <v>2.0</v>
      </c>
      <c r="I2796" s="2" t="s">
        <v>119</v>
      </c>
      <c r="J2796" s="2">
        <v>3.0</v>
      </c>
      <c r="K2796" s="2" t="s">
        <v>119</v>
      </c>
      <c r="L2796" s="1"/>
      <c r="M2796" s="1" t="s">
        <v>11438</v>
      </c>
      <c r="N2796" s="1" t="s">
        <v>128</v>
      </c>
      <c r="O2796" s="1" t="s">
        <v>129</v>
      </c>
      <c r="P2796" s="1" t="s">
        <v>11439</v>
      </c>
      <c r="Q2796" s="3">
        <v>41803.0</v>
      </c>
      <c r="R2796" s="1"/>
      <c r="S2796" s="3">
        <v>42220.0</v>
      </c>
      <c r="T2796" s="1" t="s">
        <v>37</v>
      </c>
      <c r="U2796" s="1"/>
      <c r="V2796" s="1" t="s">
        <v>38</v>
      </c>
      <c r="W2796" s="1">
        <v>44.3950021608641</v>
      </c>
      <c r="X2796" s="1">
        <v>-72.067254781723</v>
      </c>
      <c r="Y2796" s="1" t="s">
        <v>11440</v>
      </c>
      <c r="Z2796" s="1"/>
      <c r="AA2796" s="1" t="s">
        <v>40</v>
      </c>
      <c r="AB2796" s="1" t="s">
        <v>130</v>
      </c>
      <c r="AC2796" s="1">
        <v>5828.0</v>
      </c>
    </row>
    <row r="2797">
      <c r="A2797" s="1" t="str">
        <f>"000MZW"</f>
        <v>000MZW</v>
      </c>
      <c r="B2797" s="1" t="s">
        <v>11441</v>
      </c>
      <c r="C2797" s="1" t="s">
        <v>11442</v>
      </c>
      <c r="D2797" s="1" t="str">
        <f>"8026448332"</f>
        <v>8026448332</v>
      </c>
      <c r="E2797" s="1">
        <v>4657.0</v>
      </c>
      <c r="F2797" s="1" t="s">
        <v>117</v>
      </c>
      <c r="G2797" s="1" t="s">
        <v>11443</v>
      </c>
      <c r="H2797" s="1">
        <v>8.0</v>
      </c>
      <c r="I2797" s="2" t="s">
        <v>119</v>
      </c>
      <c r="J2797" s="2">
        <v>3.0</v>
      </c>
      <c r="K2797" s="2" t="s">
        <v>119</v>
      </c>
      <c r="L2797" s="1"/>
      <c r="M2797" s="1" t="s">
        <v>11444</v>
      </c>
      <c r="N2797" s="1" t="s">
        <v>213</v>
      </c>
      <c r="O2797" s="1" t="s">
        <v>620</v>
      </c>
      <c r="P2797" s="1" t="s">
        <v>11445</v>
      </c>
      <c r="Q2797" s="3">
        <v>41788.0</v>
      </c>
      <c r="R2797" s="1"/>
      <c r="S2797" s="1"/>
      <c r="T2797" s="1" t="s">
        <v>37</v>
      </c>
      <c r="U2797" s="1"/>
      <c r="V2797" s="1" t="s">
        <v>38</v>
      </c>
      <c r="W2797" s="1">
        <v>44.645134</v>
      </c>
      <c r="X2797" s="1">
        <v>-72.855095</v>
      </c>
      <c r="Y2797" s="1" t="s">
        <v>11446</v>
      </c>
      <c r="Z2797" s="1"/>
      <c r="AA2797" s="1" t="s">
        <v>40</v>
      </c>
      <c r="AB2797" s="1" t="s">
        <v>8822</v>
      </c>
      <c r="AC2797" s="1">
        <v>5464.0</v>
      </c>
    </row>
    <row r="2798">
      <c r="A2798" s="1" t="str">
        <f>"000MZX"</f>
        <v>000MZX</v>
      </c>
      <c r="B2798" s="1" t="s">
        <v>11447</v>
      </c>
      <c r="C2798" s="1" t="s">
        <v>11448</v>
      </c>
      <c r="D2798" s="1" t="str">
        <f>"8023248275"</f>
        <v>8023248275</v>
      </c>
      <c r="E2798" s="1">
        <v>4658.0</v>
      </c>
      <c r="F2798" s="1" t="s">
        <v>44</v>
      </c>
      <c r="G2798" s="1" t="s">
        <v>11449</v>
      </c>
      <c r="H2798" s="1">
        <v>2.0</v>
      </c>
      <c r="I2798" s="1"/>
      <c r="J2798" s="1"/>
      <c r="K2798" s="1"/>
      <c r="L2798" s="1"/>
      <c r="M2798" s="1" t="s">
        <v>11450</v>
      </c>
      <c r="N2798" s="1" t="s">
        <v>57</v>
      </c>
      <c r="O2798" s="1" t="s">
        <v>256</v>
      </c>
      <c r="P2798" s="1" t="s">
        <v>11451</v>
      </c>
      <c r="Q2798" s="3">
        <v>41753.0</v>
      </c>
      <c r="R2798" s="1"/>
      <c r="S2798" s="1"/>
      <c r="T2798" s="1" t="s">
        <v>37</v>
      </c>
      <c r="U2798" s="1"/>
      <c r="V2798" s="1" t="s">
        <v>38</v>
      </c>
      <c r="W2798" s="1">
        <v>44.6598775025686</v>
      </c>
      <c r="X2798" s="1">
        <v>-73.1477665901184</v>
      </c>
      <c r="Y2798" s="1" t="s">
        <v>11452</v>
      </c>
      <c r="Z2798" s="1"/>
      <c r="AA2798" s="1" t="s">
        <v>40</v>
      </c>
      <c r="AB2798" s="1" t="s">
        <v>257</v>
      </c>
      <c r="AC2798" s="1">
        <v>5468.0</v>
      </c>
    </row>
    <row r="2799">
      <c r="A2799" s="1" t="str">
        <f t="shared" ref="A2799:A2801" si="213">"000MZY"</f>
        <v>000MZY</v>
      </c>
      <c r="B2799" s="1" t="s">
        <v>11453</v>
      </c>
      <c r="C2799" s="1" t="s">
        <v>11454</v>
      </c>
      <c r="D2799" s="1" t="str">
        <f t="shared" ref="D2799:D2801" si="214">"8026853015"</f>
        <v>8026853015</v>
      </c>
      <c r="E2799" s="1">
        <v>4659.0</v>
      </c>
      <c r="F2799" s="1" t="s">
        <v>44</v>
      </c>
      <c r="G2799" s="1" t="s">
        <v>11455</v>
      </c>
      <c r="H2799" s="1">
        <v>9.0</v>
      </c>
      <c r="I2799" s="1"/>
      <c r="J2799" s="1"/>
      <c r="K2799" s="1"/>
      <c r="L2799" s="1"/>
      <c r="M2799" s="1" t="s">
        <v>33</v>
      </c>
      <c r="N2799" s="1" t="s">
        <v>142</v>
      </c>
      <c r="O2799" s="1" t="s">
        <v>844</v>
      </c>
      <c r="P2799" s="1" t="s">
        <v>36</v>
      </c>
      <c r="Q2799" s="3">
        <v>41754.0</v>
      </c>
      <c r="R2799" s="1"/>
      <c r="S2799" s="3">
        <v>41754.0</v>
      </c>
      <c r="T2799" s="1" t="s">
        <v>37</v>
      </c>
      <c r="U2799" s="1"/>
      <c r="V2799" s="1" t="s">
        <v>38</v>
      </c>
      <c r="W2799" s="1">
        <v>43.984663085009</v>
      </c>
      <c r="X2799" s="1">
        <v>-72.5091192126274</v>
      </c>
      <c r="Y2799" s="1" t="s">
        <v>11456</v>
      </c>
      <c r="Z2799" s="1"/>
      <c r="AA2799" s="1" t="s">
        <v>40</v>
      </c>
      <c r="AB2799" s="1" t="s">
        <v>847</v>
      </c>
      <c r="AC2799" s="1">
        <v>5038.0</v>
      </c>
    </row>
    <row r="2800">
      <c r="A2800" s="1" t="str">
        <f t="shared" si="213"/>
        <v>000MZY</v>
      </c>
      <c r="B2800" s="1" t="s">
        <v>11453</v>
      </c>
      <c r="C2800" s="1" t="s">
        <v>11454</v>
      </c>
      <c r="D2800" s="1" t="str">
        <f t="shared" si="214"/>
        <v>8026853015</v>
      </c>
      <c r="E2800" s="1">
        <v>4659.0</v>
      </c>
      <c r="F2800" s="1" t="s">
        <v>44</v>
      </c>
      <c r="G2800" s="1" t="s">
        <v>11457</v>
      </c>
      <c r="H2800" s="1">
        <v>3.0</v>
      </c>
      <c r="I2800" s="1"/>
      <c r="J2800" s="1"/>
      <c r="K2800" s="1"/>
      <c r="L2800" s="1"/>
      <c r="M2800" s="1" t="s">
        <v>11458</v>
      </c>
      <c r="N2800" s="1" t="s">
        <v>142</v>
      </c>
      <c r="O2800" s="1" t="s">
        <v>844</v>
      </c>
      <c r="P2800" s="1" t="s">
        <v>11459</v>
      </c>
      <c r="Q2800" s="3">
        <v>41803.0</v>
      </c>
      <c r="R2800" s="1"/>
      <c r="S2800" s="1"/>
      <c r="T2800" s="1" t="s">
        <v>37</v>
      </c>
      <c r="U2800" s="1"/>
      <c r="V2800" s="1" t="s">
        <v>38</v>
      </c>
      <c r="W2800" s="1"/>
      <c r="X2800" s="1"/>
      <c r="Y2800" s="1" t="s">
        <v>11460</v>
      </c>
      <c r="Z2800" s="1"/>
      <c r="AA2800" s="1" t="s">
        <v>40</v>
      </c>
      <c r="AB2800" s="1" t="s">
        <v>847</v>
      </c>
      <c r="AC2800" s="1">
        <v>5038.0</v>
      </c>
    </row>
    <row r="2801">
      <c r="A2801" s="1" t="str">
        <f t="shared" si="213"/>
        <v>000MZY</v>
      </c>
      <c r="B2801" s="1" t="s">
        <v>11453</v>
      </c>
      <c r="C2801" s="1" t="s">
        <v>11454</v>
      </c>
      <c r="D2801" s="1" t="str">
        <f t="shared" si="214"/>
        <v>8026853015</v>
      </c>
      <c r="E2801" s="1">
        <v>4659.0</v>
      </c>
      <c r="F2801" s="1" t="s">
        <v>44</v>
      </c>
      <c r="G2801" s="1" t="s">
        <v>11461</v>
      </c>
      <c r="H2801" s="1">
        <v>3.0</v>
      </c>
      <c r="I2801" s="1"/>
      <c r="J2801" s="1"/>
      <c r="K2801" s="1"/>
      <c r="L2801" s="1"/>
      <c r="M2801" s="1" t="s">
        <v>11462</v>
      </c>
      <c r="N2801" s="1" t="s">
        <v>142</v>
      </c>
      <c r="O2801" s="1" t="s">
        <v>648</v>
      </c>
      <c r="P2801" s="1" t="s">
        <v>11463</v>
      </c>
      <c r="Q2801" s="3">
        <v>41803.0</v>
      </c>
      <c r="R2801" s="1"/>
      <c r="S2801" s="1"/>
      <c r="T2801" s="1" t="s">
        <v>37</v>
      </c>
      <c r="U2801" s="1"/>
      <c r="V2801" s="1" t="s">
        <v>38</v>
      </c>
      <c r="W2801" s="1">
        <v>43.912308</v>
      </c>
      <c r="X2801" s="1">
        <v>-72.481758</v>
      </c>
      <c r="Y2801" s="1" t="s">
        <v>11464</v>
      </c>
      <c r="Z2801" s="1"/>
      <c r="AA2801" s="1" t="s">
        <v>40</v>
      </c>
      <c r="AB2801" s="1" t="s">
        <v>11465</v>
      </c>
      <c r="AC2801" s="1">
        <v>5000.0</v>
      </c>
    </row>
    <row r="2802">
      <c r="A2802" s="1" t="str">
        <f>"000MZZ"</f>
        <v>000MZZ</v>
      </c>
      <c r="B2802" s="1" t="s">
        <v>11466</v>
      </c>
      <c r="C2802" s="2" t="s">
        <v>11467</v>
      </c>
      <c r="D2802" s="1" t="str">
        <f>"8023240027"</f>
        <v>8023240027</v>
      </c>
      <c r="E2802" s="1">
        <v>4660.0</v>
      </c>
      <c r="F2802" s="1" t="s">
        <v>117</v>
      </c>
      <c r="G2802" s="1" t="s">
        <v>11468</v>
      </c>
      <c r="H2802" s="1">
        <v>2.0</v>
      </c>
      <c r="I2802" s="2">
        <v>1.0</v>
      </c>
      <c r="J2802" s="2">
        <v>1.0</v>
      </c>
      <c r="K2802" s="2" t="s">
        <v>829</v>
      </c>
      <c r="L2802" s="1"/>
      <c r="M2802" s="1" t="s">
        <v>11469</v>
      </c>
      <c r="N2802" s="1" t="s">
        <v>161</v>
      </c>
      <c r="O2802" s="1" t="s">
        <v>3407</v>
      </c>
      <c r="P2802" s="1" t="s">
        <v>11470</v>
      </c>
      <c r="Q2802" s="3">
        <v>41803.0</v>
      </c>
      <c r="R2802" s="1"/>
      <c r="S2802" s="1"/>
      <c r="T2802" s="1" t="s">
        <v>37</v>
      </c>
      <c r="U2802" s="1"/>
      <c r="V2802" s="1" t="s">
        <v>38</v>
      </c>
      <c r="W2802" s="1">
        <v>44.142738</v>
      </c>
      <c r="X2802" s="1">
        <v>-73.2187809999999</v>
      </c>
      <c r="Y2802" s="1" t="s">
        <v>11471</v>
      </c>
      <c r="Z2802" s="1"/>
      <c r="AA2802" s="1" t="s">
        <v>40</v>
      </c>
      <c r="AB2802" s="1" t="s">
        <v>3410</v>
      </c>
      <c r="AC2802" s="1">
        <v>5491.0</v>
      </c>
    </row>
    <row r="2803">
      <c r="A2803" s="1" t="str">
        <f>"000N01"</f>
        <v>000N01</v>
      </c>
      <c r="B2803" s="1" t="s">
        <v>11472</v>
      </c>
      <c r="C2803" s="1" t="s">
        <v>11473</v>
      </c>
      <c r="D2803" s="1" t="str">
        <f>"8024854278"</f>
        <v>8024854278</v>
      </c>
      <c r="E2803" s="1">
        <v>4661.0</v>
      </c>
      <c r="F2803" s="1" t="s">
        <v>117</v>
      </c>
      <c r="G2803" s="1" t="s">
        <v>11474</v>
      </c>
      <c r="H2803" s="1">
        <v>3.0</v>
      </c>
      <c r="I2803" s="2">
        <v>0.0</v>
      </c>
      <c r="J2803" s="2">
        <v>0.0</v>
      </c>
      <c r="K2803" s="2" t="s">
        <v>119</v>
      </c>
      <c r="L2803" s="1"/>
      <c r="M2803" s="1" t="s">
        <v>11475</v>
      </c>
      <c r="N2803" s="1" t="s">
        <v>135</v>
      </c>
      <c r="O2803" s="1" t="s">
        <v>2243</v>
      </c>
      <c r="P2803" s="1" t="s">
        <v>11476</v>
      </c>
      <c r="Q2803" s="3">
        <v>41767.0</v>
      </c>
      <c r="R2803" s="1"/>
      <c r="S2803" s="3">
        <v>42985.0</v>
      </c>
      <c r="T2803" s="1" t="s">
        <v>37</v>
      </c>
      <c r="U2803" s="1"/>
      <c r="V2803" s="1" t="s">
        <v>38</v>
      </c>
      <c r="W2803" s="1">
        <v>44.051418</v>
      </c>
      <c r="X2803" s="1">
        <v>-72.7400129999999</v>
      </c>
      <c r="Y2803" s="1" t="s">
        <v>11477</v>
      </c>
      <c r="Z2803" s="1"/>
      <c r="AA2803" s="1" t="s">
        <v>40</v>
      </c>
      <c r="AB2803" s="1" t="s">
        <v>2244</v>
      </c>
      <c r="AC2803" s="1">
        <v>5669.0</v>
      </c>
    </row>
    <row r="2804">
      <c r="A2804" s="1" t="str">
        <f>"000N02"</f>
        <v>000N02</v>
      </c>
      <c r="B2804" s="1" t="s">
        <v>11478</v>
      </c>
      <c r="C2804" s="1" t="s">
        <v>11479</v>
      </c>
      <c r="D2804" s="1" t="str">
        <f>"8028273099"</f>
        <v>8028273099</v>
      </c>
      <c r="E2804" s="1">
        <v>4662.0</v>
      </c>
      <c r="F2804" s="1" t="s">
        <v>44</v>
      </c>
      <c r="G2804" s="1" t="s">
        <v>11480</v>
      </c>
      <c r="H2804" s="1">
        <v>1.0</v>
      </c>
      <c r="I2804" s="1"/>
      <c r="J2804" s="1"/>
      <c r="K2804" s="1"/>
      <c r="L2804" s="1"/>
      <c r="M2804" s="1" t="s">
        <v>33</v>
      </c>
      <c r="N2804" s="1" t="s">
        <v>47</v>
      </c>
      <c r="O2804" s="1" t="s">
        <v>928</v>
      </c>
      <c r="P2804" s="1" t="s">
        <v>36</v>
      </c>
      <c r="Q2804" s="3">
        <v>41768.0</v>
      </c>
      <c r="R2804" s="1"/>
      <c r="S2804" s="1"/>
      <c r="T2804" s="1" t="s">
        <v>37</v>
      </c>
      <c r="U2804" s="1"/>
      <c r="V2804" s="1" t="s">
        <v>38</v>
      </c>
      <c r="W2804" s="1">
        <v>44.786733</v>
      </c>
      <c r="X2804" s="1">
        <v>-72.7899969999999</v>
      </c>
      <c r="Y2804" s="1" t="s">
        <v>11481</v>
      </c>
      <c r="Z2804" s="1"/>
      <c r="AA2804" s="1" t="s">
        <v>40</v>
      </c>
      <c r="AB2804" s="1" t="s">
        <v>929</v>
      </c>
      <c r="AC2804" s="1">
        <v>5441.0</v>
      </c>
    </row>
    <row r="2805">
      <c r="A2805" s="1" t="str">
        <f>"000N4W"</f>
        <v>000N4W</v>
      </c>
      <c r="B2805" s="1" t="s">
        <v>11482</v>
      </c>
      <c r="C2805" s="1" t="s">
        <v>11483</v>
      </c>
      <c r="D2805" s="1" t="str">
        <f>"8024752699"</f>
        <v>8024752699</v>
      </c>
      <c r="E2805" s="1">
        <v>4663.0</v>
      </c>
      <c r="F2805" s="1" t="s">
        <v>117</v>
      </c>
      <c r="G2805" s="1" t="s">
        <v>11484</v>
      </c>
      <c r="H2805" s="1">
        <v>10.0</v>
      </c>
      <c r="I2805" s="2">
        <v>5.0</v>
      </c>
      <c r="J2805" s="2">
        <v>2.0</v>
      </c>
      <c r="K2805" s="2" t="s">
        <v>119</v>
      </c>
      <c r="L2805" s="1"/>
      <c r="M2805" s="1" t="s">
        <v>11485</v>
      </c>
      <c r="N2805" s="1" t="s">
        <v>161</v>
      </c>
      <c r="O2805" s="1" t="s">
        <v>3504</v>
      </c>
      <c r="P2805" s="1" t="s">
        <v>11486</v>
      </c>
      <c r="Q2805" s="3">
        <v>41792.0</v>
      </c>
      <c r="R2805" s="1"/>
      <c r="S2805" s="3">
        <v>42160.0</v>
      </c>
      <c r="T2805" s="1" t="s">
        <v>37</v>
      </c>
      <c r="U2805" s="1"/>
      <c r="V2805" s="1" t="s">
        <v>38</v>
      </c>
      <c r="W2805" s="1">
        <v>44.135184</v>
      </c>
      <c r="X2805" s="1">
        <v>-73.3552639999999</v>
      </c>
      <c r="Y2805" s="1" t="s">
        <v>11487</v>
      </c>
      <c r="Z2805" s="1"/>
      <c r="AA2805" s="1" t="s">
        <v>40</v>
      </c>
      <c r="AB2805" s="1" t="s">
        <v>3507</v>
      </c>
      <c r="AC2805" s="1" t="s">
        <v>11488</v>
      </c>
    </row>
    <row r="2806">
      <c r="A2806" s="1" t="str">
        <f>"0007PK"</f>
        <v>0007PK</v>
      </c>
      <c r="B2806" s="1" t="s">
        <v>4248</v>
      </c>
      <c r="C2806" s="1" t="s">
        <v>4249</v>
      </c>
      <c r="D2806" s="1" t="str">
        <f>"8022447534"</f>
        <v>8022447534</v>
      </c>
      <c r="E2806" s="1">
        <v>1045.0</v>
      </c>
      <c r="F2806" s="1" t="s">
        <v>117</v>
      </c>
      <c r="G2806" s="1" t="s">
        <v>11489</v>
      </c>
      <c r="H2806" s="1">
        <v>18.0</v>
      </c>
      <c r="I2806" s="2" t="s">
        <v>119</v>
      </c>
      <c r="J2806" s="2" t="s">
        <v>119</v>
      </c>
      <c r="K2806" s="2" t="s">
        <v>119</v>
      </c>
      <c r="L2806" s="1"/>
      <c r="M2806" s="1" t="s">
        <v>11490</v>
      </c>
      <c r="N2806" s="1" t="s">
        <v>57</v>
      </c>
      <c r="O2806" s="1" t="s">
        <v>559</v>
      </c>
      <c r="P2806" s="1" t="s">
        <v>11491</v>
      </c>
      <c r="Q2806" s="3">
        <v>41762.0</v>
      </c>
      <c r="R2806" s="1"/>
      <c r="S2806" s="1"/>
      <c r="T2806" s="1" t="s">
        <v>37</v>
      </c>
      <c r="U2806" s="1"/>
      <c r="V2806" s="1" t="s">
        <v>38</v>
      </c>
      <c r="W2806" s="1">
        <v>44.5278716569288</v>
      </c>
      <c r="X2806" s="1">
        <v>-73.2003861665725</v>
      </c>
      <c r="Y2806" s="1" t="s">
        <v>11492</v>
      </c>
      <c r="Z2806" s="1"/>
      <c r="AA2806" s="1" t="s">
        <v>40</v>
      </c>
      <c r="AB2806" s="1" t="s">
        <v>560</v>
      </c>
      <c r="AC2806" s="1">
        <v>5444.0</v>
      </c>
    </row>
    <row r="2807">
      <c r="A2807" s="1" t="str">
        <f>"000N51"</f>
        <v>000N51</v>
      </c>
      <c r="B2807" s="1" t="s">
        <v>11493</v>
      </c>
      <c r="C2807" s="1" t="s">
        <v>11494</v>
      </c>
      <c r="D2807" s="1" t="str">
        <f>"8022256348"</f>
        <v>8022256348</v>
      </c>
      <c r="E2807" s="1">
        <v>4664.0</v>
      </c>
      <c r="F2807" s="1" t="s">
        <v>117</v>
      </c>
      <c r="G2807" s="1" t="s">
        <v>11495</v>
      </c>
      <c r="H2807" s="1">
        <v>3.0</v>
      </c>
      <c r="I2807" s="2">
        <v>2.0</v>
      </c>
      <c r="J2807" s="2">
        <v>2.0</v>
      </c>
      <c r="K2807" s="2" t="s">
        <v>119</v>
      </c>
      <c r="L2807" s="1"/>
      <c r="M2807" s="1" t="s">
        <v>11496</v>
      </c>
      <c r="N2807" s="1" t="s">
        <v>135</v>
      </c>
      <c r="O2807" s="1" t="s">
        <v>1142</v>
      </c>
      <c r="P2807" s="1" t="s">
        <v>11497</v>
      </c>
      <c r="Q2807" s="3">
        <v>41767.0</v>
      </c>
      <c r="R2807" s="1"/>
      <c r="S2807" s="1"/>
      <c r="T2807" s="1" t="s">
        <v>37</v>
      </c>
      <c r="U2807" s="1"/>
      <c r="V2807" s="1" t="s">
        <v>38</v>
      </c>
      <c r="W2807" s="1">
        <v>44.265793</v>
      </c>
      <c r="X2807" s="1">
        <v>-72.5594249999999</v>
      </c>
      <c r="Y2807" s="1" t="s">
        <v>11498</v>
      </c>
      <c r="Z2807" s="1"/>
      <c r="AA2807" s="1" t="s">
        <v>40</v>
      </c>
      <c r="AB2807" s="1" t="s">
        <v>1145</v>
      </c>
      <c r="AC2807" s="1">
        <v>5602.0</v>
      </c>
    </row>
    <row r="2808">
      <c r="A2808" s="1" t="str">
        <f>"000N53"</f>
        <v>000N53</v>
      </c>
      <c r="B2808" s="1" t="s">
        <v>11499</v>
      </c>
      <c r="C2808" s="1" t="s">
        <v>11500</v>
      </c>
      <c r="D2808" s="1" t="str">
        <f>"8022447001"</f>
        <v>8022447001</v>
      </c>
      <c r="E2808" s="1">
        <v>4665.0</v>
      </c>
      <c r="F2808" s="1" t="s">
        <v>31</v>
      </c>
      <c r="G2808" s="1" t="s">
        <v>11501</v>
      </c>
      <c r="H2808" s="1">
        <v>3.0</v>
      </c>
      <c r="I2808" s="1"/>
      <c r="J2808" s="1"/>
      <c r="K2808" s="1"/>
      <c r="L2808" s="1"/>
      <c r="M2808" s="1" t="s">
        <v>33</v>
      </c>
      <c r="N2808" s="1" t="s">
        <v>135</v>
      </c>
      <c r="O2808" s="1" t="s">
        <v>3300</v>
      </c>
      <c r="P2808" s="1" t="s">
        <v>36</v>
      </c>
      <c r="Q2808" s="3">
        <v>41768.0</v>
      </c>
      <c r="R2808" s="1"/>
      <c r="S2808" s="3">
        <v>42095.0</v>
      </c>
      <c r="T2808" s="1" t="s">
        <v>37</v>
      </c>
      <c r="U2808" s="1"/>
      <c r="V2808" s="1" t="s">
        <v>38</v>
      </c>
      <c r="W2808" s="1">
        <v>44.306885</v>
      </c>
      <c r="X2808" s="1">
        <v>-72.7682949999999</v>
      </c>
      <c r="Y2808" s="1" t="s">
        <v>11502</v>
      </c>
      <c r="Z2808" s="1"/>
      <c r="AA2808" s="1" t="s">
        <v>40</v>
      </c>
      <c r="AB2808" s="1" t="s">
        <v>3301</v>
      </c>
      <c r="AC2808" s="1">
        <v>5676.0</v>
      </c>
    </row>
    <row r="2809">
      <c r="A2809" s="1" t="str">
        <f>"000N54"</f>
        <v>000N54</v>
      </c>
      <c r="B2809" s="1" t="s">
        <v>11503</v>
      </c>
      <c r="C2809" s="1" t="s">
        <v>11504</v>
      </c>
      <c r="D2809" s="1" t="str">
        <f>"8022816484"</f>
        <v>8022816484</v>
      </c>
      <c r="E2809" s="1">
        <v>4666.0</v>
      </c>
      <c r="F2809" s="1" t="s">
        <v>44</v>
      </c>
      <c r="G2809" s="1" t="s">
        <v>11505</v>
      </c>
      <c r="H2809" s="1">
        <v>1.0</v>
      </c>
      <c r="I2809" s="1"/>
      <c r="J2809" s="1"/>
      <c r="K2809" s="1"/>
      <c r="L2809" s="1"/>
      <c r="M2809" s="1" t="s">
        <v>33</v>
      </c>
      <c r="N2809" s="1" t="s">
        <v>34</v>
      </c>
      <c r="O2809" s="1" t="s">
        <v>85</v>
      </c>
      <c r="P2809" s="1" t="s">
        <v>36</v>
      </c>
      <c r="Q2809" s="3">
        <v>41770.0</v>
      </c>
      <c r="R2809" s="1"/>
      <c r="S2809" s="1"/>
      <c r="T2809" s="1" t="s">
        <v>37</v>
      </c>
      <c r="U2809" s="1"/>
      <c r="V2809" s="1" t="s">
        <v>38</v>
      </c>
      <c r="W2809" s="1">
        <v>43.659332</v>
      </c>
      <c r="X2809" s="1">
        <v>-72.381729</v>
      </c>
      <c r="Y2809" s="1" t="s">
        <v>11506</v>
      </c>
      <c r="Z2809" s="1"/>
      <c r="AA2809" s="1" t="s">
        <v>40</v>
      </c>
      <c r="AB2809" s="1" t="s">
        <v>8959</v>
      </c>
      <c r="AC2809" s="1">
        <v>5001.0</v>
      </c>
    </row>
    <row r="2810">
      <c r="A2810" s="1" t="str">
        <f>"000N57"</f>
        <v>000N57</v>
      </c>
      <c r="B2810" s="1" t="s">
        <v>11507</v>
      </c>
      <c r="C2810" s="1" t="s">
        <v>11508</v>
      </c>
      <c r="D2810" s="1" t="str">
        <f>"8123066595"</f>
        <v>8123066595</v>
      </c>
      <c r="E2810" s="1">
        <v>4667.0</v>
      </c>
      <c r="F2810" s="1" t="s">
        <v>117</v>
      </c>
      <c r="G2810" s="1" t="s">
        <v>11509</v>
      </c>
      <c r="H2810" s="1">
        <v>2.0</v>
      </c>
      <c r="I2810" s="2">
        <v>2.0</v>
      </c>
      <c r="J2810" s="2">
        <v>2.0</v>
      </c>
      <c r="K2810" s="2" t="s">
        <v>119</v>
      </c>
      <c r="L2810" s="2" t="s">
        <v>4799</v>
      </c>
      <c r="M2810" s="1" t="s">
        <v>11510</v>
      </c>
      <c r="N2810" s="1" t="s">
        <v>34</v>
      </c>
      <c r="O2810" s="1" t="s">
        <v>642</v>
      </c>
      <c r="P2810" s="1" t="s">
        <v>11511</v>
      </c>
      <c r="Q2810" s="3">
        <v>41768.0</v>
      </c>
      <c r="R2810" s="1"/>
      <c r="S2810" s="1"/>
      <c r="T2810" s="1" t="s">
        <v>37</v>
      </c>
      <c r="U2810" s="1"/>
      <c r="V2810" s="1" t="s">
        <v>38</v>
      </c>
      <c r="W2810" s="1">
        <v>43.2451344</v>
      </c>
      <c r="X2810" s="1">
        <v>-72.4946587</v>
      </c>
      <c r="Y2810" s="1" t="s">
        <v>11512</v>
      </c>
      <c r="Z2810" s="1"/>
      <c r="AA2810" s="1" t="s">
        <v>40</v>
      </c>
      <c r="AB2810" s="1" t="s">
        <v>643</v>
      </c>
      <c r="AC2810" s="1">
        <v>5156.0</v>
      </c>
    </row>
    <row r="2811">
      <c r="A2811" s="1" t="str">
        <f>"000N58"</f>
        <v>000N58</v>
      </c>
      <c r="B2811" s="1" t="s">
        <v>11513</v>
      </c>
      <c r="C2811" s="1" t="s">
        <v>11514</v>
      </c>
      <c r="D2811" s="1" t="str">
        <f>"8028816829"</f>
        <v>8028816829</v>
      </c>
      <c r="E2811" s="1">
        <v>4668.0</v>
      </c>
      <c r="F2811" s="1" t="s">
        <v>117</v>
      </c>
      <c r="G2811" s="1" t="s">
        <v>11515</v>
      </c>
      <c r="H2811" s="1">
        <v>1.0</v>
      </c>
      <c r="I2811" s="2" t="s">
        <v>119</v>
      </c>
      <c r="J2811" s="2">
        <v>1.0</v>
      </c>
      <c r="K2811" s="2" t="s">
        <v>119</v>
      </c>
      <c r="L2811" s="2" t="s">
        <v>11516</v>
      </c>
      <c r="M2811" s="1" t="s">
        <v>11517</v>
      </c>
      <c r="N2811" s="1" t="s">
        <v>57</v>
      </c>
      <c r="O2811" s="1" t="s">
        <v>175</v>
      </c>
      <c r="P2811" s="1" t="s">
        <v>11518</v>
      </c>
      <c r="Q2811" s="3">
        <v>41764.0</v>
      </c>
      <c r="R2811" s="1"/>
      <c r="S2811" s="1"/>
      <c r="T2811" s="1" t="s">
        <v>37</v>
      </c>
      <c r="U2811" s="1"/>
      <c r="V2811" s="1" t="s">
        <v>38</v>
      </c>
      <c r="W2811" s="1">
        <v>44.5141117783913</v>
      </c>
      <c r="X2811" s="1">
        <v>-73.2691740989685</v>
      </c>
      <c r="Y2811" s="1" t="s">
        <v>11519</v>
      </c>
      <c r="Z2811" s="1"/>
      <c r="AA2811" s="1" t="s">
        <v>40</v>
      </c>
      <c r="AB2811" s="1" t="s">
        <v>176</v>
      </c>
      <c r="AC2811" s="1">
        <v>5408.0</v>
      </c>
    </row>
    <row r="2812">
      <c r="A2812" s="1" t="str">
        <f>"000N59"</f>
        <v>000N59</v>
      </c>
      <c r="B2812" s="1" t="s">
        <v>11520</v>
      </c>
      <c r="C2812" s="1" t="s">
        <v>11521</v>
      </c>
      <c r="D2812" s="1" t="str">
        <f>"8023094474"</f>
        <v>8023094474</v>
      </c>
      <c r="E2812" s="1">
        <v>4669.0</v>
      </c>
      <c r="F2812" s="1" t="s">
        <v>44</v>
      </c>
      <c r="G2812" s="1" t="s">
        <v>11522</v>
      </c>
      <c r="H2812" s="1">
        <v>1.0</v>
      </c>
      <c r="I2812" s="1"/>
      <c r="J2812" s="1"/>
      <c r="K2812" s="1"/>
      <c r="L2812" s="1"/>
      <c r="M2812" s="1" t="s">
        <v>33</v>
      </c>
      <c r="N2812" s="1" t="s">
        <v>135</v>
      </c>
      <c r="O2812" s="1" t="s">
        <v>343</v>
      </c>
      <c r="P2812" s="1" t="s">
        <v>11523</v>
      </c>
      <c r="Q2812" s="3">
        <v>41749.0</v>
      </c>
      <c r="R2812" s="1"/>
      <c r="S2812" s="1"/>
      <c r="T2812" s="1" t="s">
        <v>37</v>
      </c>
      <c r="U2812" s="1"/>
      <c r="V2812" s="1" t="s">
        <v>38</v>
      </c>
      <c r="W2812" s="1">
        <v>44.1732692</v>
      </c>
      <c r="X2812" s="1">
        <v>-72.4987687</v>
      </c>
      <c r="Y2812" s="1" t="s">
        <v>11524</v>
      </c>
      <c r="Z2812" s="1"/>
      <c r="AA2812" s="1" t="s">
        <v>40</v>
      </c>
      <c r="AB2812" s="1" t="s">
        <v>11525</v>
      </c>
      <c r="AC2812" s="1">
        <v>5670.0</v>
      </c>
    </row>
    <row r="2813">
      <c r="A2813" s="1" t="str">
        <f>"000N5A"</f>
        <v>000N5A</v>
      </c>
      <c r="B2813" s="1" t="s">
        <v>11526</v>
      </c>
      <c r="C2813" s="1" t="s">
        <v>11527</v>
      </c>
      <c r="D2813" s="1" t="str">
        <f>"8023187004"</f>
        <v>8023187004</v>
      </c>
      <c r="E2813" s="1">
        <v>4670.0</v>
      </c>
      <c r="F2813" s="1" t="s">
        <v>117</v>
      </c>
      <c r="G2813" s="1" t="s">
        <v>11528</v>
      </c>
      <c r="H2813" s="1">
        <v>2.0</v>
      </c>
      <c r="I2813" s="1"/>
      <c r="J2813" s="1"/>
      <c r="K2813" s="1"/>
      <c r="L2813" s="1"/>
      <c r="M2813" s="1" t="s">
        <v>11529</v>
      </c>
      <c r="N2813" s="1" t="s">
        <v>57</v>
      </c>
      <c r="O2813" s="1" t="s">
        <v>175</v>
      </c>
      <c r="P2813" s="1" t="s">
        <v>11530</v>
      </c>
      <c r="Q2813" s="3">
        <v>41730.0</v>
      </c>
      <c r="R2813" s="1"/>
      <c r="S2813" s="1"/>
      <c r="T2813" s="1" t="s">
        <v>37</v>
      </c>
      <c r="U2813" s="1"/>
      <c r="V2813" s="1" t="s">
        <v>38</v>
      </c>
      <c r="W2813" s="1">
        <v>44.461327</v>
      </c>
      <c r="X2813" s="1">
        <v>-73.2117099999999</v>
      </c>
      <c r="Y2813" s="1" t="s">
        <v>11531</v>
      </c>
      <c r="Z2813" s="1"/>
      <c r="AA2813" s="1" t="s">
        <v>40</v>
      </c>
      <c r="AB2813" s="1" t="s">
        <v>176</v>
      </c>
      <c r="AC2813" s="1">
        <v>5401.0</v>
      </c>
    </row>
    <row r="2814">
      <c r="A2814" s="1" t="str">
        <f>"000N5B"</f>
        <v>000N5B</v>
      </c>
      <c r="B2814" s="1" t="s">
        <v>11532</v>
      </c>
      <c r="C2814" s="1" t="s">
        <v>11533</v>
      </c>
      <c r="D2814" s="1" t="str">
        <f>"8027556114"</f>
        <v>8027556114</v>
      </c>
      <c r="E2814" s="1">
        <v>4671.0</v>
      </c>
      <c r="F2814" s="1" t="s">
        <v>44</v>
      </c>
      <c r="G2814" s="1" t="s">
        <v>11534</v>
      </c>
      <c r="H2814" s="1">
        <v>1.0</v>
      </c>
      <c r="I2814" s="1"/>
      <c r="J2814" s="1"/>
      <c r="K2814" s="1"/>
      <c r="L2814" s="1"/>
      <c r="M2814" s="1" t="s">
        <v>33</v>
      </c>
      <c r="N2814" s="1" t="s">
        <v>94</v>
      </c>
      <c r="O2814" s="1" t="s">
        <v>1688</v>
      </c>
      <c r="P2814" s="1" t="s">
        <v>36</v>
      </c>
      <c r="Q2814" s="3">
        <v>41735.0</v>
      </c>
      <c r="R2814" s="1"/>
      <c r="S2814" s="1"/>
      <c r="T2814" s="1" t="s">
        <v>37</v>
      </c>
      <c r="U2814" s="1"/>
      <c r="V2814" s="1" t="s">
        <v>38</v>
      </c>
      <c r="W2814" s="1">
        <v>44.7111169999999</v>
      </c>
      <c r="X2814" s="1">
        <v>-72.347801</v>
      </c>
      <c r="Y2814" s="1" t="s">
        <v>11535</v>
      </c>
      <c r="Z2814" s="1"/>
      <c r="AA2814" s="1" t="s">
        <v>40</v>
      </c>
      <c r="AB2814" s="1" t="s">
        <v>1690</v>
      </c>
      <c r="AC2814" s="1">
        <v>5845.0</v>
      </c>
    </row>
    <row r="2815">
      <c r="A2815" s="1" t="str">
        <f>"000N5C"</f>
        <v>000N5C</v>
      </c>
      <c r="B2815" s="1" t="s">
        <v>11536</v>
      </c>
      <c r="C2815" s="1" t="s">
        <v>11537</v>
      </c>
      <c r="D2815" s="1" t="str">
        <f>"8025632175"</f>
        <v>8025632175</v>
      </c>
      <c r="E2815" s="1">
        <v>4672.0</v>
      </c>
      <c r="F2815" s="1" t="s">
        <v>44</v>
      </c>
      <c r="G2815" s="1" t="s">
        <v>11538</v>
      </c>
      <c r="H2815" s="1">
        <v>1.0</v>
      </c>
      <c r="I2815" s="1"/>
      <c r="J2815" s="1"/>
      <c r="K2815" s="1"/>
      <c r="L2815" s="1"/>
      <c r="M2815" s="1" t="s">
        <v>33</v>
      </c>
      <c r="N2815" s="1" t="s">
        <v>135</v>
      </c>
      <c r="O2815" s="1" t="s">
        <v>409</v>
      </c>
      <c r="P2815" s="1" t="s">
        <v>36</v>
      </c>
      <c r="Q2815" s="3">
        <v>41790.0</v>
      </c>
      <c r="R2815" s="1"/>
      <c r="S2815" s="1"/>
      <c r="T2815" s="1" t="s">
        <v>37</v>
      </c>
      <c r="U2815" s="1"/>
      <c r="V2815" s="1" t="s">
        <v>38</v>
      </c>
      <c r="W2815" s="1">
        <v>44.398758</v>
      </c>
      <c r="X2815" s="1">
        <v>-72.3194659999999</v>
      </c>
      <c r="Y2815" s="1" t="s">
        <v>11539</v>
      </c>
      <c r="Z2815" s="1"/>
      <c r="AA2815" s="1" t="s">
        <v>40</v>
      </c>
      <c r="AB2815" s="1" t="s">
        <v>410</v>
      </c>
      <c r="AC2815" s="1">
        <v>5647.0</v>
      </c>
    </row>
    <row r="2816">
      <c r="A2816" s="1" t="str">
        <f>"000N5D"</f>
        <v>000N5D</v>
      </c>
      <c r="B2816" s="1" t="s">
        <v>11540</v>
      </c>
      <c r="C2816" s="1" t="s">
        <v>11541</v>
      </c>
      <c r="D2816" s="1"/>
      <c r="E2816" s="1">
        <v>4673.0</v>
      </c>
      <c r="F2816" s="1" t="s">
        <v>31</v>
      </c>
      <c r="G2816" s="1" t="s">
        <v>11542</v>
      </c>
      <c r="H2816" s="1">
        <v>3.0</v>
      </c>
      <c r="I2816" s="1"/>
      <c r="J2816" s="1"/>
      <c r="K2816" s="1"/>
      <c r="L2816" s="1"/>
      <c r="M2816" s="1" t="s">
        <v>2629</v>
      </c>
      <c r="N2816" s="1" t="s">
        <v>94</v>
      </c>
      <c r="O2816" s="1" t="s">
        <v>1688</v>
      </c>
      <c r="P2816" s="1" t="s">
        <v>11543</v>
      </c>
      <c r="Q2816" s="3">
        <v>41781.0</v>
      </c>
      <c r="R2816" s="1"/>
      <c r="S2816" s="1"/>
      <c r="T2816" s="1" t="s">
        <v>37</v>
      </c>
      <c r="U2816" s="1"/>
      <c r="V2816" s="1" t="s">
        <v>38</v>
      </c>
      <c r="W2816" s="1">
        <v>44.68034</v>
      </c>
      <c r="X2816" s="1">
        <v>-72.3721689999999</v>
      </c>
      <c r="Y2816" s="1" t="s">
        <v>11544</v>
      </c>
      <c r="Z2816" s="1"/>
      <c r="AA2816" s="1" t="s">
        <v>40</v>
      </c>
      <c r="AB2816" s="1" t="s">
        <v>234</v>
      </c>
      <c r="AC2816" s="1">
        <v>5827.0</v>
      </c>
    </row>
    <row r="2817">
      <c r="A2817" s="1" t="str">
        <f>"000N5F"</f>
        <v>000N5F</v>
      </c>
      <c r="B2817" s="1" t="s">
        <v>11545</v>
      </c>
      <c r="C2817" s="1" t="s">
        <v>11546</v>
      </c>
      <c r="D2817" s="1" t="str">
        <f>"8023738378"</f>
        <v>8023738378</v>
      </c>
      <c r="E2817" s="1">
        <v>4674.0</v>
      </c>
      <c r="F2817" s="1" t="s">
        <v>117</v>
      </c>
      <c r="G2817" s="1" t="s">
        <v>11547</v>
      </c>
      <c r="H2817" s="1">
        <v>0.0</v>
      </c>
      <c r="I2817" s="2" t="s">
        <v>119</v>
      </c>
      <c r="J2817" s="2" t="s">
        <v>119</v>
      </c>
      <c r="K2817" s="2" t="s">
        <v>119</v>
      </c>
      <c r="L2817" s="1"/>
      <c r="M2817" s="1" t="s">
        <v>33</v>
      </c>
      <c r="N2817" s="1" t="s">
        <v>142</v>
      </c>
      <c r="O2817" s="1" t="s">
        <v>227</v>
      </c>
      <c r="P2817" s="1" t="s">
        <v>36</v>
      </c>
      <c r="Q2817" s="3">
        <v>41766.0</v>
      </c>
      <c r="R2817" s="3">
        <v>42689.0</v>
      </c>
      <c r="S2817" s="3">
        <v>42185.0</v>
      </c>
      <c r="T2817" s="1" t="s">
        <v>37</v>
      </c>
      <c r="U2817" s="1"/>
      <c r="V2817" s="1" t="s">
        <v>38</v>
      </c>
      <c r="W2817" s="1">
        <v>44.037144</v>
      </c>
      <c r="X2817" s="1">
        <v>-72.1549929999999</v>
      </c>
      <c r="Y2817" s="1" t="s">
        <v>11548</v>
      </c>
      <c r="Z2817" s="1"/>
      <c r="AA2817" s="1" t="s">
        <v>40</v>
      </c>
      <c r="AB2817" s="1" t="s">
        <v>228</v>
      </c>
      <c r="AC2817" s="1">
        <v>5033.0</v>
      </c>
    </row>
    <row r="2818">
      <c r="A2818" s="1" t="str">
        <f>"000N5G"</f>
        <v>000N5G</v>
      </c>
      <c r="B2818" s="1" t="s">
        <v>11549</v>
      </c>
      <c r="C2818" s="1" t="s">
        <v>11550</v>
      </c>
      <c r="D2818" s="1" t="str">
        <f>"8023654767"</f>
        <v>8023654767</v>
      </c>
      <c r="E2818" s="1">
        <v>4675.0</v>
      </c>
      <c r="F2818" s="1" t="s">
        <v>117</v>
      </c>
      <c r="G2818" s="1" t="s">
        <v>11551</v>
      </c>
      <c r="H2818" s="1">
        <v>2.0</v>
      </c>
      <c r="I2818" s="2">
        <v>0.0</v>
      </c>
      <c r="J2818" s="2">
        <v>0.0</v>
      </c>
      <c r="K2818" s="2" t="s">
        <v>119</v>
      </c>
      <c r="L2818" s="1"/>
      <c r="M2818" s="1" t="s">
        <v>11552</v>
      </c>
      <c r="N2818" s="1" t="s">
        <v>66</v>
      </c>
      <c r="O2818" s="1" t="s">
        <v>1742</v>
      </c>
      <c r="P2818" s="1" t="s">
        <v>11553</v>
      </c>
      <c r="Q2818" s="3">
        <v>41639.0</v>
      </c>
      <c r="R2818" s="1"/>
      <c r="S2818" s="1"/>
      <c r="T2818" s="1" t="s">
        <v>37</v>
      </c>
      <c r="U2818" s="1"/>
      <c r="V2818" s="1" t="s">
        <v>38</v>
      </c>
      <c r="W2818" s="1">
        <v>43.046932</v>
      </c>
      <c r="X2818" s="1">
        <v>-72.596313</v>
      </c>
      <c r="Y2818" s="1" t="s">
        <v>11554</v>
      </c>
      <c r="Z2818" s="1"/>
      <c r="AA2818" s="1" t="s">
        <v>40</v>
      </c>
      <c r="AB2818" s="1" t="s">
        <v>1743</v>
      </c>
      <c r="AC2818" s="1">
        <v>5345.0</v>
      </c>
    </row>
    <row r="2819">
      <c r="A2819" s="1" t="str">
        <f>"000N5H"</f>
        <v>000N5H</v>
      </c>
      <c r="B2819" s="1" t="s">
        <v>11555</v>
      </c>
      <c r="C2819" s="1" t="s">
        <v>11556</v>
      </c>
      <c r="D2819" s="1" t="str">
        <f>"8023237474"</f>
        <v>8023237474</v>
      </c>
      <c r="E2819" s="1">
        <v>4676.0</v>
      </c>
      <c r="F2819" s="1" t="s">
        <v>117</v>
      </c>
      <c r="G2819" s="1" t="s">
        <v>11557</v>
      </c>
      <c r="H2819" s="1">
        <v>2.0</v>
      </c>
      <c r="I2819" s="2">
        <v>3.0</v>
      </c>
      <c r="J2819" s="2">
        <v>2.0</v>
      </c>
      <c r="K2819" s="2" t="s">
        <v>119</v>
      </c>
      <c r="L2819" s="2" t="s">
        <v>2482</v>
      </c>
      <c r="M2819" s="1" t="s">
        <v>33</v>
      </c>
      <c r="N2819" s="1" t="s">
        <v>94</v>
      </c>
      <c r="O2819" s="1" t="s">
        <v>637</v>
      </c>
      <c r="P2819" s="1" t="s">
        <v>11558</v>
      </c>
      <c r="Q2819" s="3">
        <v>41850.0</v>
      </c>
      <c r="R2819" s="1"/>
      <c r="S2819" s="1"/>
      <c r="T2819" s="1" t="s">
        <v>37</v>
      </c>
      <c r="U2819" s="1"/>
      <c r="V2819" s="1" t="s">
        <v>38</v>
      </c>
      <c r="W2819" s="1">
        <v>44.8850659999999</v>
      </c>
      <c r="X2819" s="1">
        <v>-72.1801416999999</v>
      </c>
      <c r="Y2819" s="1" t="s">
        <v>11559</v>
      </c>
      <c r="Z2819" s="1"/>
      <c r="AA2819" s="1" t="s">
        <v>40</v>
      </c>
      <c r="AB2819" s="1" t="s">
        <v>1583</v>
      </c>
      <c r="AC2819" s="1">
        <v>5825.0</v>
      </c>
    </row>
    <row r="2820">
      <c r="A2820" s="1" t="str">
        <f>"000N72"</f>
        <v>000N72</v>
      </c>
      <c r="B2820" s="1" t="s">
        <v>11560</v>
      </c>
      <c r="C2820" s="1" t="s">
        <v>11561</v>
      </c>
      <c r="D2820" s="1" t="str">
        <f>"8025352583"</f>
        <v>8025352583</v>
      </c>
      <c r="E2820" s="1">
        <v>4677.0</v>
      </c>
      <c r="F2820" s="1" t="s">
        <v>117</v>
      </c>
      <c r="G2820" s="1" t="s">
        <v>11562</v>
      </c>
      <c r="H2820" s="1">
        <v>4.0</v>
      </c>
      <c r="I2820" s="2" t="s">
        <v>119</v>
      </c>
      <c r="J2820" s="2" t="s">
        <v>119</v>
      </c>
      <c r="K2820" s="2" t="s">
        <v>119</v>
      </c>
      <c r="L2820" s="1"/>
      <c r="M2820" s="1" t="s">
        <v>11563</v>
      </c>
      <c r="N2820" s="1" t="s">
        <v>128</v>
      </c>
      <c r="O2820" s="1" t="s">
        <v>1707</v>
      </c>
      <c r="P2820" s="1" t="s">
        <v>11564</v>
      </c>
      <c r="Q2820" s="3">
        <v>41853.0</v>
      </c>
      <c r="R2820" s="1"/>
      <c r="S2820" s="3">
        <v>41858.0</v>
      </c>
      <c r="T2820" s="1" t="s">
        <v>37</v>
      </c>
      <c r="U2820" s="1"/>
      <c r="V2820" s="1" t="s">
        <v>38</v>
      </c>
      <c r="W2820" s="1">
        <v>44.436735</v>
      </c>
      <c r="X2820" s="1">
        <v>-71.9800655999999</v>
      </c>
      <c r="Y2820" s="1" t="s">
        <v>11565</v>
      </c>
      <c r="Z2820" s="1"/>
      <c r="AA2820" s="1" t="s">
        <v>40</v>
      </c>
      <c r="AB2820" s="1" t="s">
        <v>10410</v>
      </c>
      <c r="AC2820" s="1">
        <v>5819.0</v>
      </c>
    </row>
    <row r="2821">
      <c r="A2821" s="1" t="str">
        <f t="shared" ref="A2821:A2824" si="215">"0008NN"</f>
        <v>0008NN</v>
      </c>
      <c r="B2821" s="1" t="s">
        <v>2433</v>
      </c>
      <c r="C2821" s="1" t="s">
        <v>2434</v>
      </c>
      <c r="D2821" s="1" t="str">
        <f t="shared" ref="D2821:D2824" si="216">"8027334761"</f>
        <v>8027334761</v>
      </c>
      <c r="E2821" s="1">
        <v>3190.0</v>
      </c>
      <c r="F2821" s="1" t="s">
        <v>117</v>
      </c>
      <c r="G2821" s="1" t="s">
        <v>11566</v>
      </c>
      <c r="H2821" s="1">
        <v>48.0</v>
      </c>
      <c r="I2821" s="2" t="s">
        <v>119</v>
      </c>
      <c r="J2821" s="2" t="s">
        <v>119</v>
      </c>
      <c r="K2821" s="2" t="s">
        <v>119</v>
      </c>
      <c r="L2821" s="1"/>
      <c r="M2821" s="1" t="s">
        <v>11567</v>
      </c>
      <c r="N2821" s="1" t="s">
        <v>66</v>
      </c>
      <c r="O2821" s="1" t="s">
        <v>1877</v>
      </c>
      <c r="P2821" s="1"/>
      <c r="Q2821" s="3">
        <v>41791.0</v>
      </c>
      <c r="R2821" s="1"/>
      <c r="S2821" s="3">
        <v>41862.0</v>
      </c>
      <c r="T2821" s="1" t="s">
        <v>164</v>
      </c>
      <c r="U2821" s="1"/>
      <c r="V2821" s="1" t="s">
        <v>38</v>
      </c>
      <c r="W2821" s="1">
        <v>42.763808</v>
      </c>
      <c r="X2821" s="1">
        <v>-72.482731</v>
      </c>
      <c r="Y2821" s="1" t="s">
        <v>11567</v>
      </c>
      <c r="Z2821" s="1"/>
      <c r="AA2821" s="1" t="s">
        <v>40</v>
      </c>
      <c r="AB2821" s="1"/>
      <c r="AC2821" s="1">
        <v>0.0</v>
      </c>
    </row>
    <row r="2822">
      <c r="A2822" s="1" t="str">
        <f t="shared" si="215"/>
        <v>0008NN</v>
      </c>
      <c r="B2822" s="1" t="s">
        <v>2433</v>
      </c>
      <c r="C2822" s="1" t="s">
        <v>2434</v>
      </c>
      <c r="D2822" s="1" t="str">
        <f t="shared" si="216"/>
        <v>8027334761</v>
      </c>
      <c r="E2822" s="1">
        <v>3190.0</v>
      </c>
      <c r="F2822" s="1" t="s">
        <v>117</v>
      </c>
      <c r="G2822" s="1" t="s">
        <v>11568</v>
      </c>
      <c r="H2822" s="1">
        <v>48.0</v>
      </c>
      <c r="I2822" s="2" t="s">
        <v>119</v>
      </c>
      <c r="J2822" s="2" t="s">
        <v>119</v>
      </c>
      <c r="K2822" s="2" t="s">
        <v>119</v>
      </c>
      <c r="L2822" s="1"/>
      <c r="M2822" s="1" t="s">
        <v>11569</v>
      </c>
      <c r="N2822" s="1" t="s">
        <v>66</v>
      </c>
      <c r="O2822" s="1" t="s">
        <v>1877</v>
      </c>
      <c r="P2822" s="1"/>
      <c r="Q2822" s="3">
        <v>41791.0</v>
      </c>
      <c r="R2822" s="1"/>
      <c r="S2822" s="3">
        <v>41862.0</v>
      </c>
      <c r="T2822" s="1" t="s">
        <v>164</v>
      </c>
      <c r="U2822" s="1"/>
      <c r="V2822" s="1" t="s">
        <v>38</v>
      </c>
      <c r="W2822" s="1">
        <v>42.7870235837937</v>
      </c>
      <c r="X2822" s="1">
        <v>-72.5199365615844</v>
      </c>
      <c r="Y2822" s="1" t="s">
        <v>11570</v>
      </c>
      <c r="Z2822" s="1"/>
      <c r="AA2822" s="1" t="s">
        <v>40</v>
      </c>
      <c r="AB2822" s="1" t="s">
        <v>1878</v>
      </c>
      <c r="AC2822" s="1">
        <v>5354.0</v>
      </c>
    </row>
    <row r="2823">
      <c r="A2823" s="1" t="str">
        <f t="shared" si="215"/>
        <v>0008NN</v>
      </c>
      <c r="B2823" s="1" t="s">
        <v>2433</v>
      </c>
      <c r="C2823" s="1" t="s">
        <v>2434</v>
      </c>
      <c r="D2823" s="1" t="str">
        <f t="shared" si="216"/>
        <v>8027334761</v>
      </c>
      <c r="E2823" s="1">
        <v>3190.0</v>
      </c>
      <c r="F2823" s="1" t="s">
        <v>117</v>
      </c>
      <c r="G2823" s="1" t="s">
        <v>11571</v>
      </c>
      <c r="H2823" s="1">
        <v>48.0</v>
      </c>
      <c r="I2823" s="2" t="s">
        <v>119</v>
      </c>
      <c r="J2823" s="2" t="s">
        <v>119</v>
      </c>
      <c r="K2823" s="2" t="s">
        <v>119</v>
      </c>
      <c r="L2823" s="1"/>
      <c r="M2823" s="1">
        <v>5.0</v>
      </c>
      <c r="N2823" s="1" t="s">
        <v>66</v>
      </c>
      <c r="O2823" s="1" t="s">
        <v>1877</v>
      </c>
      <c r="P2823" s="1" t="s">
        <v>2083</v>
      </c>
      <c r="Q2823" s="3">
        <v>41791.0</v>
      </c>
      <c r="R2823" s="1"/>
      <c r="S2823" s="3">
        <v>41862.0</v>
      </c>
      <c r="T2823" s="1" t="s">
        <v>164</v>
      </c>
      <c r="U2823" s="1"/>
      <c r="V2823" s="1" t="s">
        <v>38</v>
      </c>
      <c r="W2823" s="1">
        <v>42.799554</v>
      </c>
      <c r="X2823" s="1">
        <v>-72.557722</v>
      </c>
      <c r="Y2823" s="1" t="s">
        <v>11572</v>
      </c>
      <c r="Z2823" s="1"/>
      <c r="AA2823" s="1" t="s">
        <v>40</v>
      </c>
      <c r="AB2823" s="1" t="s">
        <v>1878</v>
      </c>
      <c r="AC2823" s="1">
        <v>5354.0</v>
      </c>
    </row>
    <row r="2824">
      <c r="A2824" s="1" t="str">
        <f t="shared" si="215"/>
        <v>0008NN</v>
      </c>
      <c r="B2824" s="1" t="s">
        <v>2433</v>
      </c>
      <c r="C2824" s="1" t="s">
        <v>2434</v>
      </c>
      <c r="D2824" s="1" t="str">
        <f t="shared" si="216"/>
        <v>8027334761</v>
      </c>
      <c r="E2824" s="1">
        <v>3190.0</v>
      </c>
      <c r="F2824" s="1" t="s">
        <v>117</v>
      </c>
      <c r="G2824" s="1" t="s">
        <v>11573</v>
      </c>
      <c r="H2824" s="1">
        <v>48.0</v>
      </c>
      <c r="I2824" s="2" t="s">
        <v>119</v>
      </c>
      <c r="J2824" s="2" t="s">
        <v>119</v>
      </c>
      <c r="K2824" s="2" t="s">
        <v>119</v>
      </c>
      <c r="L2824" s="1"/>
      <c r="M2824" s="1">
        <v>6.0</v>
      </c>
      <c r="N2824" s="1" t="s">
        <v>66</v>
      </c>
      <c r="O2824" s="1"/>
      <c r="P2824" s="1" t="s">
        <v>2083</v>
      </c>
      <c r="Q2824" s="3">
        <v>41791.0</v>
      </c>
      <c r="R2824" s="1"/>
      <c r="S2824" s="3">
        <v>41863.0</v>
      </c>
      <c r="T2824" s="1" t="s">
        <v>164</v>
      </c>
      <c r="U2824" s="1"/>
      <c r="V2824" s="1" t="s">
        <v>38</v>
      </c>
      <c r="W2824" s="1">
        <v>42.901767</v>
      </c>
      <c r="X2824" s="1">
        <v>-72.5326589999999</v>
      </c>
      <c r="Y2824" s="1" t="s">
        <v>11574</v>
      </c>
      <c r="Z2824" s="1"/>
      <c r="AA2824" s="1" t="s">
        <v>40</v>
      </c>
      <c r="AB2824" s="1" t="s">
        <v>1257</v>
      </c>
      <c r="AC2824" s="1">
        <v>5301.0</v>
      </c>
    </row>
    <row r="2825">
      <c r="A2825" s="1" t="str">
        <f>"000N77"</f>
        <v>000N77</v>
      </c>
      <c r="B2825" s="1" t="s">
        <v>11575</v>
      </c>
      <c r="C2825" s="1" t="s">
        <v>11576</v>
      </c>
      <c r="D2825" s="1" t="str">
        <f>"8023715098"</f>
        <v>8023715098</v>
      </c>
      <c r="E2825" s="1">
        <v>4678.0</v>
      </c>
      <c r="F2825" s="1" t="s">
        <v>44</v>
      </c>
      <c r="G2825" s="1" t="s">
        <v>11577</v>
      </c>
      <c r="H2825" s="1">
        <v>1.0</v>
      </c>
      <c r="I2825" s="1"/>
      <c r="J2825" s="1"/>
      <c r="K2825" s="1"/>
      <c r="L2825" s="1"/>
      <c r="M2825" s="1" t="s">
        <v>33</v>
      </c>
      <c r="N2825" s="1" t="s">
        <v>135</v>
      </c>
      <c r="O2825" s="1" t="s">
        <v>279</v>
      </c>
      <c r="P2825" s="1" t="s">
        <v>11578</v>
      </c>
      <c r="Q2825" s="3">
        <v>41792.0</v>
      </c>
      <c r="R2825" s="1"/>
      <c r="S2825" s="1"/>
      <c r="T2825" s="1" t="s">
        <v>37</v>
      </c>
      <c r="U2825" s="1"/>
      <c r="V2825" s="1" t="s">
        <v>38</v>
      </c>
      <c r="W2825" s="1">
        <v>44.221199</v>
      </c>
      <c r="X2825" s="1">
        <v>-72.6209109999999</v>
      </c>
      <c r="Y2825" s="1" t="s">
        <v>11579</v>
      </c>
      <c r="Z2825" s="1"/>
      <c r="AA2825" s="1" t="s">
        <v>40</v>
      </c>
      <c r="AB2825" s="1" t="s">
        <v>281</v>
      </c>
      <c r="AC2825" s="1">
        <v>5602.0</v>
      </c>
    </row>
    <row r="2826">
      <c r="A2826" s="1" t="str">
        <f>"000N78"</f>
        <v>000N78</v>
      </c>
      <c r="B2826" s="1" t="s">
        <v>11580</v>
      </c>
      <c r="C2826" s="1" t="s">
        <v>11581</v>
      </c>
      <c r="D2826" s="1" t="str">
        <f>"8027934954"</f>
        <v>8027934954</v>
      </c>
      <c r="E2826" s="1">
        <v>4679.0</v>
      </c>
      <c r="F2826" s="1" t="s">
        <v>117</v>
      </c>
      <c r="G2826" s="1" t="s">
        <v>11582</v>
      </c>
      <c r="H2826" s="1">
        <v>2.0</v>
      </c>
      <c r="I2826" s="2">
        <v>3.0</v>
      </c>
      <c r="J2826" s="2">
        <v>3.0</v>
      </c>
      <c r="K2826" s="2" t="s">
        <v>119</v>
      </c>
      <c r="L2826" s="1"/>
      <c r="M2826" s="1" t="s">
        <v>11583</v>
      </c>
      <c r="N2826" s="1" t="s">
        <v>135</v>
      </c>
      <c r="O2826" s="1" t="s">
        <v>136</v>
      </c>
      <c r="P2826" s="1" t="s">
        <v>11584</v>
      </c>
      <c r="Q2826" s="3">
        <v>41830.0</v>
      </c>
      <c r="R2826" s="1"/>
      <c r="S2826" s="1"/>
      <c r="T2826" s="1" t="s">
        <v>37</v>
      </c>
      <c r="U2826" s="1"/>
      <c r="V2826" s="1" t="s">
        <v>38</v>
      </c>
      <c r="W2826" s="1">
        <v>44.121738</v>
      </c>
      <c r="X2826" s="1">
        <v>-72.6606449999999</v>
      </c>
      <c r="Y2826" s="1" t="s">
        <v>11585</v>
      </c>
      <c r="Z2826" s="1"/>
      <c r="AA2826" s="1" t="s">
        <v>40</v>
      </c>
      <c r="AB2826" s="1" t="s">
        <v>137</v>
      </c>
      <c r="AC2826" s="1">
        <v>5663.0</v>
      </c>
    </row>
    <row r="2827">
      <c r="A2827" s="1" t="str">
        <f>"000N7A"</f>
        <v>000N7A</v>
      </c>
      <c r="B2827" s="1" t="s">
        <v>11586</v>
      </c>
      <c r="C2827" s="1" t="s">
        <v>11587</v>
      </c>
      <c r="D2827" s="1" t="str">
        <f>"8022233005"</f>
        <v>8022233005</v>
      </c>
      <c r="E2827" s="1">
        <v>4680.0</v>
      </c>
      <c r="F2827" s="1" t="s">
        <v>44</v>
      </c>
      <c r="G2827" s="1" t="s">
        <v>11588</v>
      </c>
      <c r="H2827" s="1">
        <v>0.0</v>
      </c>
      <c r="I2827" s="1"/>
      <c r="J2827" s="1"/>
      <c r="K2827" s="1"/>
      <c r="L2827" s="1"/>
      <c r="M2827" s="1" t="s">
        <v>33</v>
      </c>
      <c r="N2827" s="1" t="s">
        <v>135</v>
      </c>
      <c r="O2827" s="1" t="s">
        <v>1142</v>
      </c>
      <c r="P2827" s="1" t="s">
        <v>36</v>
      </c>
      <c r="Q2827" s="3">
        <v>41797.0</v>
      </c>
      <c r="R2827" s="3">
        <v>42155.0</v>
      </c>
      <c r="S2827" s="1"/>
      <c r="T2827" s="1" t="s">
        <v>37</v>
      </c>
      <c r="U2827" s="1"/>
      <c r="V2827" s="1" t="s">
        <v>38</v>
      </c>
      <c r="W2827" s="1">
        <v>44.2611783</v>
      </c>
      <c r="X2827" s="1">
        <v>-72.5658761999999</v>
      </c>
      <c r="Y2827" s="1" t="s">
        <v>11589</v>
      </c>
      <c r="Z2827" s="1"/>
      <c r="AA2827" s="1" t="s">
        <v>40</v>
      </c>
      <c r="AB2827" s="1" t="s">
        <v>1145</v>
      </c>
      <c r="AC2827" s="1">
        <v>5602.0</v>
      </c>
    </row>
    <row r="2828">
      <c r="A2828" s="1" t="str">
        <f>"000N7B"</f>
        <v>000N7B</v>
      </c>
      <c r="B2828" s="1" t="s">
        <v>11590</v>
      </c>
      <c r="C2828" s="1" t="s">
        <v>11591</v>
      </c>
      <c r="D2828" s="1" t="str">
        <f>"8025053067"</f>
        <v>8025053067</v>
      </c>
      <c r="E2828" s="1">
        <v>4681.0</v>
      </c>
      <c r="F2828" s="1" t="s">
        <v>44</v>
      </c>
      <c r="G2828" s="1" t="s">
        <v>11592</v>
      </c>
      <c r="H2828" s="1">
        <v>1.0</v>
      </c>
      <c r="I2828" s="1"/>
      <c r="J2828" s="1"/>
      <c r="K2828" s="1"/>
      <c r="L2828" s="1"/>
      <c r="M2828" s="1" t="s">
        <v>11593</v>
      </c>
      <c r="N2828" s="1" t="s">
        <v>135</v>
      </c>
      <c r="O2828" s="1" t="s">
        <v>1142</v>
      </c>
      <c r="P2828" s="1" t="s">
        <v>11594</v>
      </c>
      <c r="Q2828" s="3">
        <v>41833.0</v>
      </c>
      <c r="R2828" s="1"/>
      <c r="S2828" s="1"/>
      <c r="T2828" s="1" t="s">
        <v>37</v>
      </c>
      <c r="U2828" s="1"/>
      <c r="V2828" s="1" t="s">
        <v>38</v>
      </c>
      <c r="W2828" s="1">
        <v>44.2572531</v>
      </c>
      <c r="X2828" s="1">
        <v>-72.561575</v>
      </c>
      <c r="Y2828" s="1" t="s">
        <v>11595</v>
      </c>
      <c r="Z2828" s="1"/>
      <c r="AA2828" s="1" t="s">
        <v>40</v>
      </c>
      <c r="AB2828" s="1" t="s">
        <v>1145</v>
      </c>
      <c r="AC2828" s="1">
        <v>5602.0</v>
      </c>
    </row>
    <row r="2829">
      <c r="A2829" s="1" t="str">
        <f>"000N7D"</f>
        <v>000N7D</v>
      </c>
      <c r="B2829" s="1" t="s">
        <v>11596</v>
      </c>
      <c r="C2829" s="1" t="s">
        <v>11597</v>
      </c>
      <c r="D2829" s="1" t="str">
        <f>"6177845456"</f>
        <v>6177845456</v>
      </c>
      <c r="E2829" s="1">
        <v>4682.0</v>
      </c>
      <c r="F2829" s="1" t="s">
        <v>117</v>
      </c>
      <c r="G2829" s="1" t="s">
        <v>11598</v>
      </c>
      <c r="H2829" s="1">
        <v>1.0</v>
      </c>
      <c r="I2829" s="2" t="s">
        <v>119</v>
      </c>
      <c r="J2829" s="2">
        <v>1.0</v>
      </c>
      <c r="K2829" s="2" t="s">
        <v>119</v>
      </c>
      <c r="L2829" s="1"/>
      <c r="M2829" s="1" t="s">
        <v>3033</v>
      </c>
      <c r="N2829" s="1" t="s">
        <v>34</v>
      </c>
      <c r="O2829" s="1" t="s">
        <v>1286</v>
      </c>
      <c r="P2829" s="1" t="s">
        <v>11599</v>
      </c>
      <c r="Q2829" s="3">
        <v>41807.0</v>
      </c>
      <c r="R2829" s="1"/>
      <c r="S2829" s="1"/>
      <c r="T2829" s="1" t="s">
        <v>37</v>
      </c>
      <c r="U2829" s="1"/>
      <c r="V2829" s="1" t="s">
        <v>38</v>
      </c>
      <c r="W2829" s="1">
        <v>43.709322</v>
      </c>
      <c r="X2829" s="1">
        <v>-72.487903</v>
      </c>
      <c r="Y2829" s="1" t="s">
        <v>11600</v>
      </c>
      <c r="Z2829" s="1"/>
      <c r="AA2829" s="1" t="s">
        <v>40</v>
      </c>
      <c r="AB2829" s="1" t="s">
        <v>11601</v>
      </c>
      <c r="AC2829" s="1">
        <v>5053.0</v>
      </c>
    </row>
    <row r="2830">
      <c r="A2830" s="1" t="str">
        <f>"000N7F"</f>
        <v>000N7F</v>
      </c>
      <c r="B2830" s="1" t="s">
        <v>11602</v>
      </c>
      <c r="C2830" s="1" t="s">
        <v>11603</v>
      </c>
      <c r="D2830" s="1" t="str">
        <f>"8022539698"</f>
        <v>8022539698</v>
      </c>
      <c r="E2830" s="1">
        <v>4683.0</v>
      </c>
      <c r="F2830" s="1" t="s">
        <v>117</v>
      </c>
      <c r="G2830" s="1" t="s">
        <v>11604</v>
      </c>
      <c r="H2830" s="1">
        <v>10.0</v>
      </c>
      <c r="I2830" s="2">
        <v>10.0</v>
      </c>
      <c r="J2830" s="2">
        <v>9.0</v>
      </c>
      <c r="K2830" s="2" t="s">
        <v>119</v>
      </c>
      <c r="L2830" s="1"/>
      <c r="M2830" s="1" t="s">
        <v>11605</v>
      </c>
      <c r="N2830" s="1" t="s">
        <v>213</v>
      </c>
      <c r="O2830" s="1" t="s">
        <v>365</v>
      </c>
      <c r="P2830" s="1" t="s">
        <v>11605</v>
      </c>
      <c r="Q2830" s="3">
        <v>41803.0</v>
      </c>
      <c r="R2830" s="1"/>
      <c r="S2830" s="1"/>
      <c r="T2830" s="1" t="s">
        <v>37</v>
      </c>
      <c r="U2830" s="1"/>
      <c r="V2830" s="1" t="s">
        <v>38</v>
      </c>
      <c r="W2830" s="1">
        <v>44.45105</v>
      </c>
      <c r="X2830" s="1">
        <v>-72.726677</v>
      </c>
      <c r="Y2830" s="1" t="s">
        <v>11606</v>
      </c>
      <c r="Z2830" s="1"/>
      <c r="AA2830" s="1" t="s">
        <v>40</v>
      </c>
      <c r="AB2830" s="1" t="s">
        <v>10075</v>
      </c>
      <c r="AC2830" s="1">
        <v>5672.0</v>
      </c>
    </row>
    <row r="2831">
      <c r="A2831" s="1" t="str">
        <f>"000MN3"</f>
        <v>000MN3</v>
      </c>
      <c r="B2831" s="1" t="s">
        <v>11294</v>
      </c>
      <c r="C2831" s="1" t="s">
        <v>11295</v>
      </c>
      <c r="D2831" s="1" t="str">
        <f>"8024343264"</f>
        <v>8024343264</v>
      </c>
      <c r="E2831" s="1">
        <v>4634.0</v>
      </c>
      <c r="F2831" s="1" t="s">
        <v>117</v>
      </c>
      <c r="G2831" s="1" t="s">
        <v>11607</v>
      </c>
      <c r="H2831" s="1">
        <v>12.0</v>
      </c>
      <c r="I2831" s="2">
        <v>7.0</v>
      </c>
      <c r="J2831" s="2">
        <v>6.0</v>
      </c>
      <c r="K2831" s="2" t="s">
        <v>119</v>
      </c>
      <c r="L2831" s="1"/>
      <c r="M2831" s="1" t="s">
        <v>11608</v>
      </c>
      <c r="N2831" s="1" t="s">
        <v>57</v>
      </c>
      <c r="O2831" s="1" t="s">
        <v>201</v>
      </c>
      <c r="P2831" s="1" t="s">
        <v>11609</v>
      </c>
      <c r="Q2831" s="3">
        <v>41802.0</v>
      </c>
      <c r="R2831" s="1"/>
      <c r="S2831" s="1"/>
      <c r="T2831" s="1" t="s">
        <v>37</v>
      </c>
      <c r="U2831" s="1"/>
      <c r="V2831" s="1" t="s">
        <v>38</v>
      </c>
      <c r="W2831" s="1">
        <v>44.4016942965697</v>
      </c>
      <c r="X2831" s="1">
        <v>-73.0418193340301</v>
      </c>
      <c r="Y2831" s="1" t="s">
        <v>11610</v>
      </c>
      <c r="Z2831" s="1"/>
      <c r="AA2831" s="1" t="s">
        <v>40</v>
      </c>
      <c r="AB2831" s="1" t="s">
        <v>202</v>
      </c>
      <c r="AC2831" s="1">
        <v>5477.0</v>
      </c>
    </row>
    <row r="2832">
      <c r="A2832" s="1" t="str">
        <f>"000N7G"</f>
        <v>000N7G</v>
      </c>
      <c r="B2832" s="1" t="s">
        <v>11611</v>
      </c>
      <c r="C2832" s="1" t="s">
        <v>11612</v>
      </c>
      <c r="D2832" s="1" t="str">
        <f>"8027933398"</f>
        <v>8027933398</v>
      </c>
      <c r="E2832" s="1">
        <v>4684.0</v>
      </c>
      <c r="F2832" s="1" t="s">
        <v>117</v>
      </c>
      <c r="G2832" s="1" t="s">
        <v>11613</v>
      </c>
      <c r="H2832" s="1">
        <v>2.0</v>
      </c>
      <c r="I2832" s="2">
        <v>0.0</v>
      </c>
      <c r="J2832" s="2">
        <v>0.0</v>
      </c>
      <c r="K2832" s="2" t="s">
        <v>119</v>
      </c>
      <c r="L2832" s="1"/>
      <c r="M2832" s="1" t="s">
        <v>11614</v>
      </c>
      <c r="N2832" s="1" t="s">
        <v>57</v>
      </c>
      <c r="O2832" s="1" t="s">
        <v>238</v>
      </c>
      <c r="P2832" s="1" t="s">
        <v>11615</v>
      </c>
      <c r="Q2832" s="3">
        <v>41806.0</v>
      </c>
      <c r="R2832" s="1"/>
      <c r="S2832" s="3">
        <v>42542.0</v>
      </c>
      <c r="T2832" s="1" t="s">
        <v>37</v>
      </c>
      <c r="U2832" s="1"/>
      <c r="V2832" s="1" t="s">
        <v>38</v>
      </c>
      <c r="W2832" s="1">
        <v>44.4166089486574</v>
      </c>
      <c r="X2832" s="1">
        <v>-73.2527643442154</v>
      </c>
      <c r="Y2832" s="1" t="s">
        <v>11616</v>
      </c>
      <c r="Z2832" s="1"/>
      <c r="AA2832" s="1" t="s">
        <v>40</v>
      </c>
      <c r="AB2832" s="1" t="s">
        <v>239</v>
      </c>
      <c r="AC2832" s="1">
        <v>5482.0</v>
      </c>
    </row>
    <row r="2833">
      <c r="A2833" s="1" t="str">
        <f>"000N7H"</f>
        <v>000N7H</v>
      </c>
      <c r="B2833" s="1" t="s">
        <v>11617</v>
      </c>
      <c r="C2833" s="1" t="s">
        <v>11618</v>
      </c>
      <c r="D2833" s="1" t="str">
        <f>"8023245769"</f>
        <v>8023245769</v>
      </c>
      <c r="E2833" s="1">
        <v>4685.0</v>
      </c>
      <c r="F2833" s="1" t="s">
        <v>44</v>
      </c>
      <c r="G2833" s="1" t="s">
        <v>11619</v>
      </c>
      <c r="H2833" s="1">
        <v>12.0</v>
      </c>
      <c r="I2833" s="1"/>
      <c r="J2833" s="1"/>
      <c r="K2833" s="1"/>
      <c r="L2833" s="1"/>
      <c r="M2833" s="1" t="s">
        <v>11620</v>
      </c>
      <c r="N2833" s="1" t="s">
        <v>213</v>
      </c>
      <c r="O2833" s="1" t="s">
        <v>214</v>
      </c>
      <c r="P2833" s="1" t="s">
        <v>11621</v>
      </c>
      <c r="Q2833" s="3">
        <v>41803.0</v>
      </c>
      <c r="R2833" s="1"/>
      <c r="S2833" s="1"/>
      <c r="T2833" s="1" t="s">
        <v>37</v>
      </c>
      <c r="U2833" s="1"/>
      <c r="V2833" s="1" t="s">
        <v>38</v>
      </c>
      <c r="W2833" s="1">
        <v>44.5388026</v>
      </c>
      <c r="X2833" s="1">
        <v>-72.666406</v>
      </c>
      <c r="Y2833" s="1" t="s">
        <v>11622</v>
      </c>
      <c r="Z2833" s="1"/>
      <c r="AA2833" s="1" t="s">
        <v>40</v>
      </c>
      <c r="AB2833" s="1" t="s">
        <v>8450</v>
      </c>
      <c r="AC2833" s="1">
        <v>5661.0</v>
      </c>
    </row>
    <row r="2834">
      <c r="A2834" s="1" t="str">
        <f>"000N7J"</f>
        <v>000N7J</v>
      </c>
      <c r="B2834" s="1" t="s">
        <v>11623</v>
      </c>
      <c r="C2834" s="1" t="s">
        <v>11624</v>
      </c>
      <c r="D2834" s="1" t="str">
        <f>"8023423211"</f>
        <v>8023423211</v>
      </c>
      <c r="E2834" s="1">
        <v>4686.0</v>
      </c>
      <c r="F2834" s="1" t="s">
        <v>44</v>
      </c>
      <c r="G2834" s="1" t="s">
        <v>11625</v>
      </c>
      <c r="H2834" s="1">
        <v>1.0</v>
      </c>
      <c r="I2834" s="1"/>
      <c r="J2834" s="1"/>
      <c r="K2834" s="1"/>
      <c r="L2834" s="1"/>
      <c r="M2834" s="1" t="s">
        <v>33</v>
      </c>
      <c r="N2834" s="1" t="s">
        <v>78</v>
      </c>
      <c r="O2834" s="1" t="s">
        <v>2493</v>
      </c>
      <c r="P2834" s="1" t="s">
        <v>36</v>
      </c>
      <c r="Q2834" s="3">
        <v>41779.0</v>
      </c>
      <c r="R2834" s="1"/>
      <c r="S2834" s="1"/>
      <c r="T2834" s="1" t="s">
        <v>37</v>
      </c>
      <c r="U2834" s="1"/>
      <c r="V2834" s="1" t="s">
        <v>38</v>
      </c>
      <c r="W2834" s="1">
        <v>43.6570674</v>
      </c>
      <c r="X2834" s="1">
        <v>-72.922056</v>
      </c>
      <c r="Y2834" s="1" t="s">
        <v>11626</v>
      </c>
      <c r="Z2834" s="1"/>
      <c r="AA2834" s="1" t="s">
        <v>40</v>
      </c>
      <c r="AB2834" s="1" t="s">
        <v>2494</v>
      </c>
      <c r="AC2834" s="1">
        <v>5701.0</v>
      </c>
    </row>
    <row r="2835">
      <c r="A2835" s="1" t="str">
        <f>"000N7K"</f>
        <v>000N7K</v>
      </c>
      <c r="B2835" s="1" t="s">
        <v>11627</v>
      </c>
      <c r="C2835" s="1" t="s">
        <v>11628</v>
      </c>
      <c r="D2835" s="1" t="str">
        <f>"8028995444"</f>
        <v>8028995444</v>
      </c>
      <c r="E2835" s="1">
        <v>4687.0</v>
      </c>
      <c r="F2835" s="1" t="s">
        <v>117</v>
      </c>
      <c r="G2835" s="1" t="s">
        <v>11629</v>
      </c>
      <c r="H2835" s="1">
        <v>1.0</v>
      </c>
      <c r="I2835" s="2">
        <v>1.0</v>
      </c>
      <c r="J2835" s="2" t="s">
        <v>119</v>
      </c>
      <c r="K2835" s="2" t="s">
        <v>119</v>
      </c>
      <c r="L2835" s="1"/>
      <c r="M2835" s="1" t="s">
        <v>11630</v>
      </c>
      <c r="N2835" s="1" t="s">
        <v>57</v>
      </c>
      <c r="O2835" s="1" t="s">
        <v>745</v>
      </c>
      <c r="P2835" s="1" t="s">
        <v>11631</v>
      </c>
      <c r="Q2835" s="3">
        <v>41817.0</v>
      </c>
      <c r="R2835" s="1"/>
      <c r="S2835" s="3">
        <v>42562.0</v>
      </c>
      <c r="T2835" s="1" t="s">
        <v>37</v>
      </c>
      <c r="U2835" s="1"/>
      <c r="V2835" s="1" t="s">
        <v>38</v>
      </c>
      <c r="W2835" s="1">
        <v>44.471013</v>
      </c>
      <c r="X2835" s="1">
        <v>-72.980817</v>
      </c>
      <c r="Y2835" s="1" t="s">
        <v>11632</v>
      </c>
      <c r="Z2835" s="1"/>
      <c r="AA2835" s="1" t="s">
        <v>40</v>
      </c>
      <c r="AB2835" s="1" t="s">
        <v>746</v>
      </c>
      <c r="AC2835" s="1">
        <v>5465.0</v>
      </c>
    </row>
    <row r="2836">
      <c r="A2836" s="1" t="str">
        <f>"000N89"</f>
        <v>000N89</v>
      </c>
      <c r="B2836" s="1" t="s">
        <v>11633</v>
      </c>
      <c r="C2836" s="1" t="s">
        <v>11634</v>
      </c>
      <c r="D2836" s="1" t="str">
        <f>"8022283031"</f>
        <v>8022283031</v>
      </c>
      <c r="E2836" s="1">
        <v>4688.0</v>
      </c>
      <c r="F2836" s="1" t="s">
        <v>117</v>
      </c>
      <c r="G2836" s="1" t="s">
        <v>11635</v>
      </c>
      <c r="H2836" s="1">
        <v>2.0</v>
      </c>
      <c r="I2836" s="2">
        <v>1.0</v>
      </c>
      <c r="J2836" s="2">
        <v>1.0</v>
      </c>
      <c r="K2836" s="2">
        <v>0.0</v>
      </c>
      <c r="L2836" s="1"/>
      <c r="M2836" s="1" t="s">
        <v>11636</v>
      </c>
      <c r="N2836" s="1" t="s">
        <v>34</v>
      </c>
      <c r="O2836" s="1" t="s">
        <v>1237</v>
      </c>
      <c r="P2836" s="1" t="s">
        <v>11637</v>
      </c>
      <c r="Q2836" s="3">
        <v>41821.0</v>
      </c>
      <c r="R2836" s="1"/>
      <c r="S2836" s="1"/>
      <c r="T2836" s="1" t="s">
        <v>37</v>
      </c>
      <c r="U2836" s="1"/>
      <c r="V2836" s="1" t="s">
        <v>38</v>
      </c>
      <c r="W2836" s="1">
        <v>43.343366</v>
      </c>
      <c r="X2836" s="1">
        <v>-72.7075429999999</v>
      </c>
      <c r="Y2836" s="1" t="s">
        <v>11638</v>
      </c>
      <c r="Z2836" s="1"/>
      <c r="AA2836" s="1" t="s">
        <v>40</v>
      </c>
      <c r="AB2836" s="1" t="s">
        <v>1238</v>
      </c>
      <c r="AC2836" s="1">
        <v>5149.0</v>
      </c>
    </row>
    <row r="2837">
      <c r="A2837" s="1" t="str">
        <f>"000JQX"</f>
        <v>000JQX</v>
      </c>
      <c r="B2837" s="1" t="s">
        <v>8816</v>
      </c>
      <c r="C2837" s="1" t="s">
        <v>8817</v>
      </c>
      <c r="D2837" s="1" t="str">
        <f>"8028299597"</f>
        <v>8028299597</v>
      </c>
      <c r="E2837" s="1">
        <v>4433.0</v>
      </c>
      <c r="F2837" s="1" t="s">
        <v>44</v>
      </c>
      <c r="G2837" s="1" t="s">
        <v>11639</v>
      </c>
      <c r="H2837" s="1">
        <v>4.0</v>
      </c>
      <c r="I2837" s="1"/>
      <c r="J2837" s="1"/>
      <c r="K2837" s="1"/>
      <c r="L2837" s="1"/>
      <c r="M2837" s="1" t="s">
        <v>8489</v>
      </c>
      <c r="N2837" s="1" t="s">
        <v>47</v>
      </c>
      <c r="O2837" s="1" t="s">
        <v>763</v>
      </c>
      <c r="P2837" s="1" t="s">
        <v>36</v>
      </c>
      <c r="Q2837" s="3">
        <v>41808.0</v>
      </c>
      <c r="R2837" s="1"/>
      <c r="S2837" s="1"/>
      <c r="T2837" s="1" t="s">
        <v>37</v>
      </c>
      <c r="U2837" s="1"/>
      <c r="V2837" s="1" t="s">
        <v>38</v>
      </c>
      <c r="W2837" s="1">
        <v>44.7111759999999</v>
      </c>
      <c r="X2837" s="1">
        <v>-72.8720879999999</v>
      </c>
      <c r="Y2837" s="1" t="s">
        <v>11640</v>
      </c>
      <c r="Z2837" s="1"/>
      <c r="AA2837" s="1" t="s">
        <v>40</v>
      </c>
      <c r="AB2837" s="1" t="s">
        <v>764</v>
      </c>
      <c r="AC2837" s="1">
        <v>5464.0</v>
      </c>
    </row>
    <row r="2838">
      <c r="A2838" s="1" t="str">
        <f>"0008B2"</f>
        <v>0008B2</v>
      </c>
      <c r="B2838" s="1" t="s">
        <v>2013</v>
      </c>
      <c r="C2838" s="1" t="s">
        <v>2014</v>
      </c>
      <c r="D2838" s="1" t="str">
        <f>"8027963015"</f>
        <v>8027963015</v>
      </c>
      <c r="E2838" s="1">
        <v>3846.0</v>
      </c>
      <c r="F2838" s="1" t="s">
        <v>117</v>
      </c>
      <c r="G2838" s="1" t="s">
        <v>11641</v>
      </c>
      <c r="H2838" s="1">
        <v>28.0</v>
      </c>
      <c r="I2838" s="2">
        <v>27.0</v>
      </c>
      <c r="J2838" s="2" t="s">
        <v>119</v>
      </c>
      <c r="K2838" s="2" t="s">
        <v>119</v>
      </c>
      <c r="L2838" s="2" t="s">
        <v>8697</v>
      </c>
      <c r="M2838" s="1" t="s">
        <v>11642</v>
      </c>
      <c r="N2838" s="1" t="s">
        <v>107</v>
      </c>
      <c r="O2838" s="1" t="s">
        <v>2665</v>
      </c>
      <c r="P2838" s="1" t="s">
        <v>11643</v>
      </c>
      <c r="Q2838" s="3">
        <v>41815.0</v>
      </c>
      <c r="R2838" s="1"/>
      <c r="S2838" s="1"/>
      <c r="T2838" s="1" t="s">
        <v>37</v>
      </c>
      <c r="U2838" s="1"/>
      <c r="V2838" s="1" t="s">
        <v>38</v>
      </c>
      <c r="W2838" s="1">
        <v>44.886525989535</v>
      </c>
      <c r="X2838" s="1">
        <v>-73.348159790039</v>
      </c>
      <c r="Y2838" s="1" t="s">
        <v>11644</v>
      </c>
      <c r="Z2838" s="1"/>
      <c r="AA2838" s="1" t="s">
        <v>40</v>
      </c>
      <c r="AB2838" s="1" t="s">
        <v>9690</v>
      </c>
      <c r="AC2838" s="1">
        <v>5440.0</v>
      </c>
    </row>
    <row r="2839">
      <c r="A2839" s="1" t="str">
        <f>"000N8A"</f>
        <v>000N8A</v>
      </c>
      <c r="B2839" s="1" t="s">
        <v>11645</v>
      </c>
      <c r="C2839" s="1" t="s">
        <v>11646</v>
      </c>
      <c r="D2839" s="1"/>
      <c r="E2839" s="1">
        <v>4689.0</v>
      </c>
      <c r="F2839" s="1" t="s">
        <v>117</v>
      </c>
      <c r="G2839" s="1" t="s">
        <v>11647</v>
      </c>
      <c r="H2839" s="1">
        <v>5.0</v>
      </c>
      <c r="I2839" s="2">
        <v>4.0</v>
      </c>
      <c r="J2839" s="2">
        <v>3.0</v>
      </c>
      <c r="K2839" s="2" t="s">
        <v>119</v>
      </c>
      <c r="L2839" s="2" t="s">
        <v>11648</v>
      </c>
      <c r="M2839" s="1" t="s">
        <v>11649</v>
      </c>
      <c r="N2839" s="1" t="s">
        <v>213</v>
      </c>
      <c r="O2839" s="1" t="s">
        <v>2156</v>
      </c>
      <c r="P2839" s="1" t="s">
        <v>11650</v>
      </c>
      <c r="Q2839" s="3">
        <v>41778.0</v>
      </c>
      <c r="R2839" s="1"/>
      <c r="S2839" s="1"/>
      <c r="T2839" s="1" t="s">
        <v>37</v>
      </c>
      <c r="U2839" s="1"/>
      <c r="V2839" s="1" t="s">
        <v>38</v>
      </c>
      <c r="W2839" s="1">
        <v>44.544357</v>
      </c>
      <c r="X2839" s="1">
        <v>-72.5182419999999</v>
      </c>
      <c r="Y2839" s="1" t="s">
        <v>11651</v>
      </c>
      <c r="Z2839" s="1"/>
      <c r="AA2839" s="1" t="s">
        <v>40</v>
      </c>
      <c r="AB2839" s="1" t="s">
        <v>2157</v>
      </c>
      <c r="AC2839" s="1">
        <v>5657.0</v>
      </c>
    </row>
    <row r="2840">
      <c r="A2840" s="1" t="str">
        <f>"000N8B"</f>
        <v>000N8B</v>
      </c>
      <c r="B2840" s="1" t="s">
        <v>11652</v>
      </c>
      <c r="C2840" s="1" t="s">
        <v>11653</v>
      </c>
      <c r="D2840" s="1" t="str">
        <f>"8024541222"</f>
        <v>8024541222</v>
      </c>
      <c r="E2840" s="1">
        <v>4690.0</v>
      </c>
      <c r="F2840" s="1" t="s">
        <v>31</v>
      </c>
      <c r="G2840" s="1" t="s">
        <v>11654</v>
      </c>
      <c r="H2840" s="1">
        <v>1.0</v>
      </c>
      <c r="I2840" s="2">
        <v>1.0</v>
      </c>
      <c r="J2840" s="2">
        <v>1.0</v>
      </c>
      <c r="K2840" s="2" t="s">
        <v>119</v>
      </c>
      <c r="L2840" s="2" t="s">
        <v>11655</v>
      </c>
      <c r="M2840" s="1" t="s">
        <v>33</v>
      </c>
      <c r="N2840" s="1" t="s">
        <v>135</v>
      </c>
      <c r="O2840" s="1" t="s">
        <v>758</v>
      </c>
      <c r="P2840" s="1" t="s">
        <v>36</v>
      </c>
      <c r="Q2840" s="3">
        <v>41777.0</v>
      </c>
      <c r="R2840" s="1"/>
      <c r="S2840" s="1"/>
      <c r="T2840" s="1" t="s">
        <v>37</v>
      </c>
      <c r="U2840" s="1"/>
      <c r="V2840" s="1" t="s">
        <v>38</v>
      </c>
      <c r="W2840" s="1">
        <v>44.2774460128784</v>
      </c>
      <c r="X2840" s="1">
        <v>-72.4201614515186</v>
      </c>
      <c r="Y2840" s="1" t="s">
        <v>11656</v>
      </c>
      <c r="Z2840" s="1"/>
      <c r="AA2840" s="1" t="s">
        <v>40</v>
      </c>
      <c r="AB2840" s="1" t="s">
        <v>759</v>
      </c>
      <c r="AC2840" s="1">
        <v>5667.0</v>
      </c>
    </row>
    <row r="2841">
      <c r="A2841" s="1" t="str">
        <f>"000N8C"</f>
        <v>000N8C</v>
      </c>
      <c r="B2841" s="1" t="s">
        <v>11657</v>
      </c>
      <c r="C2841" s="1" t="s">
        <v>11658</v>
      </c>
      <c r="D2841" s="1" t="str">
        <f>"7036151859"</f>
        <v>7036151859</v>
      </c>
      <c r="E2841" s="1">
        <v>4691.0</v>
      </c>
      <c r="F2841" s="1" t="s">
        <v>117</v>
      </c>
      <c r="G2841" s="1" t="s">
        <v>11659</v>
      </c>
      <c r="H2841" s="1">
        <v>3.0</v>
      </c>
      <c r="I2841" s="2">
        <v>1.0</v>
      </c>
      <c r="J2841" s="2">
        <v>1.0</v>
      </c>
      <c r="K2841" s="2" t="s">
        <v>829</v>
      </c>
      <c r="L2841" s="1"/>
      <c r="M2841" s="1" t="s">
        <v>11660</v>
      </c>
      <c r="N2841" s="1" t="s">
        <v>414</v>
      </c>
      <c r="O2841" s="1" t="s">
        <v>794</v>
      </c>
      <c r="P2841" s="1" t="s">
        <v>11661</v>
      </c>
      <c r="Q2841" s="3">
        <v>41757.0</v>
      </c>
      <c r="R2841" s="1"/>
      <c r="S2841" s="1"/>
      <c r="T2841" s="1" t="s">
        <v>37</v>
      </c>
      <c r="U2841" s="1"/>
      <c r="V2841" s="1" t="s">
        <v>38</v>
      </c>
      <c r="W2841" s="1">
        <v>42.827011</v>
      </c>
      <c r="X2841" s="1">
        <v>-73.2590329999999</v>
      </c>
      <c r="Y2841" s="1" t="s">
        <v>11662</v>
      </c>
      <c r="Z2841" s="1"/>
      <c r="AA2841" s="1" t="s">
        <v>40</v>
      </c>
      <c r="AB2841" s="1" t="s">
        <v>11663</v>
      </c>
      <c r="AC2841" s="1">
        <v>5260.0</v>
      </c>
    </row>
    <row r="2842">
      <c r="A2842" s="1" t="str">
        <f>"000N8D"</f>
        <v>000N8D</v>
      </c>
      <c r="B2842" s="1" t="s">
        <v>11664</v>
      </c>
      <c r="C2842" s="1" t="s">
        <v>11665</v>
      </c>
      <c r="D2842" s="1" t="str">
        <f>"8022295613"</f>
        <v>8022295613</v>
      </c>
      <c r="E2842" s="1">
        <v>4692.0</v>
      </c>
      <c r="F2842" s="1" t="s">
        <v>117</v>
      </c>
      <c r="G2842" s="1" t="s">
        <v>11666</v>
      </c>
      <c r="H2842" s="1">
        <v>4.0</v>
      </c>
      <c r="I2842" s="2">
        <v>4.0</v>
      </c>
      <c r="J2842" s="2">
        <v>4.0</v>
      </c>
      <c r="K2842" s="2" t="s">
        <v>119</v>
      </c>
      <c r="L2842" s="1"/>
      <c r="M2842" s="1" t="s">
        <v>11667</v>
      </c>
      <c r="N2842" s="1" t="s">
        <v>135</v>
      </c>
      <c r="O2842" s="1" t="s">
        <v>2713</v>
      </c>
      <c r="P2842" s="1" t="s">
        <v>11668</v>
      </c>
      <c r="Q2842" s="3">
        <v>41854.0</v>
      </c>
      <c r="R2842" s="1"/>
      <c r="S2842" s="3">
        <v>42146.0</v>
      </c>
      <c r="T2842" s="1" t="s">
        <v>37</v>
      </c>
      <c r="U2842" s="1"/>
      <c r="V2842" s="1" t="s">
        <v>38</v>
      </c>
      <c r="W2842" s="1">
        <v>44.321335</v>
      </c>
      <c r="X2842" s="1">
        <v>-72.6264949999999</v>
      </c>
      <c r="Y2842" s="1" t="s">
        <v>11669</v>
      </c>
      <c r="Z2842" s="1"/>
      <c r="AA2842" s="1" t="s">
        <v>40</v>
      </c>
      <c r="AB2842" s="1" t="s">
        <v>2715</v>
      </c>
      <c r="AC2842" s="1">
        <v>5602.0</v>
      </c>
    </row>
    <row r="2843">
      <c r="A2843" s="1" t="str">
        <f>"000N8G"</f>
        <v>000N8G</v>
      </c>
      <c r="B2843" s="1" t="s">
        <v>11670</v>
      </c>
      <c r="C2843" s="1" t="s">
        <v>11671</v>
      </c>
      <c r="D2843" s="1" t="str">
        <f>"8028518357"</f>
        <v>8028518357</v>
      </c>
      <c r="E2843" s="1">
        <v>4693.0</v>
      </c>
      <c r="F2843" s="1" t="s">
        <v>44</v>
      </c>
      <c r="G2843" s="1" t="s">
        <v>11672</v>
      </c>
      <c r="H2843" s="1">
        <v>0.0</v>
      </c>
      <c r="I2843" s="1"/>
      <c r="J2843" s="1"/>
      <c r="K2843" s="1"/>
      <c r="L2843" s="1"/>
      <c r="M2843" s="1" t="s">
        <v>33</v>
      </c>
      <c r="N2843" s="1" t="s">
        <v>213</v>
      </c>
      <c r="O2843" s="1" t="s">
        <v>214</v>
      </c>
      <c r="P2843" s="1" t="s">
        <v>36</v>
      </c>
      <c r="Q2843" s="3">
        <v>41876.0</v>
      </c>
      <c r="R2843" s="1"/>
      <c r="S2843" s="1"/>
      <c r="T2843" s="1" t="s">
        <v>37</v>
      </c>
      <c r="U2843" s="1"/>
      <c r="V2843" s="1" t="s">
        <v>38</v>
      </c>
      <c r="W2843" s="1">
        <v>44.509682</v>
      </c>
      <c r="X2843" s="1">
        <v>-72.6362839999999</v>
      </c>
      <c r="Y2843" s="1" t="s">
        <v>11673</v>
      </c>
      <c r="Z2843" s="1"/>
      <c r="AA2843" s="1" t="s">
        <v>40</v>
      </c>
      <c r="AB2843" s="1" t="s">
        <v>8450</v>
      </c>
      <c r="AC2843" s="1">
        <v>5661.0</v>
      </c>
    </row>
    <row r="2844">
      <c r="A2844" s="1" t="str">
        <f>"000N8H"</f>
        <v>000N8H</v>
      </c>
      <c r="B2844" s="1" t="s">
        <v>11674</v>
      </c>
      <c r="C2844" s="1" t="s">
        <v>11675</v>
      </c>
      <c r="D2844" s="1"/>
      <c r="E2844" s="1">
        <v>4694.0</v>
      </c>
      <c r="F2844" s="1" t="s">
        <v>117</v>
      </c>
      <c r="G2844" s="1" t="s">
        <v>11676</v>
      </c>
      <c r="H2844" s="1">
        <v>6.0</v>
      </c>
      <c r="I2844" s="2">
        <v>1.0</v>
      </c>
      <c r="J2844" s="2">
        <v>1.0</v>
      </c>
      <c r="K2844" s="2" t="s">
        <v>119</v>
      </c>
      <c r="L2844" s="2" t="s">
        <v>8935</v>
      </c>
      <c r="M2844" s="1" t="s">
        <v>11677</v>
      </c>
      <c r="N2844" s="1" t="s">
        <v>414</v>
      </c>
      <c r="O2844" s="1" t="s">
        <v>1390</v>
      </c>
      <c r="P2844" s="1" t="s">
        <v>11678</v>
      </c>
      <c r="Q2844" s="3">
        <v>41745.0</v>
      </c>
      <c r="R2844" s="1"/>
      <c r="S2844" s="3">
        <v>42962.0</v>
      </c>
      <c r="T2844" s="1" t="s">
        <v>37</v>
      </c>
      <c r="U2844" s="1"/>
      <c r="V2844" s="1" t="s">
        <v>38</v>
      </c>
      <c r="W2844" s="1">
        <v>43.0965018554935</v>
      </c>
      <c r="X2844" s="1">
        <v>-73.204436302185</v>
      </c>
      <c r="Y2844" s="1" t="s">
        <v>11679</v>
      </c>
      <c r="Z2844" s="1"/>
      <c r="AA2844" s="1" t="s">
        <v>40</v>
      </c>
      <c r="AB2844" s="1" t="s">
        <v>11680</v>
      </c>
      <c r="AC2844" s="1">
        <v>5000.0</v>
      </c>
    </row>
    <row r="2845">
      <c r="A2845" s="1" t="str">
        <f>"000N8J"</f>
        <v>000N8J</v>
      </c>
      <c r="B2845" s="1" t="s">
        <v>11681</v>
      </c>
      <c r="C2845" s="1" t="s">
        <v>11682</v>
      </c>
      <c r="D2845" s="1" t="str">
        <f>"8029497080"</f>
        <v>8029497080</v>
      </c>
      <c r="E2845" s="1">
        <v>4695.0</v>
      </c>
      <c r="F2845" s="1" t="s">
        <v>31</v>
      </c>
      <c r="G2845" s="1" t="s">
        <v>11683</v>
      </c>
      <c r="H2845" s="1">
        <v>4.0</v>
      </c>
      <c r="I2845" s="1"/>
      <c r="J2845" s="1"/>
      <c r="K2845" s="1"/>
      <c r="L2845" s="1"/>
      <c r="M2845" s="1" t="s">
        <v>33</v>
      </c>
      <c r="N2845" s="1" t="s">
        <v>414</v>
      </c>
      <c r="O2845" s="1" t="s">
        <v>794</v>
      </c>
      <c r="P2845" s="1" t="s">
        <v>36</v>
      </c>
      <c r="Q2845" s="3">
        <v>41774.0</v>
      </c>
      <c r="R2845" s="1"/>
      <c r="S2845" s="1"/>
      <c r="T2845" s="1" t="s">
        <v>37</v>
      </c>
      <c r="U2845" s="1"/>
      <c r="V2845" s="1" t="s">
        <v>38</v>
      </c>
      <c r="W2845" s="1">
        <v>42.7967519</v>
      </c>
      <c r="X2845" s="1">
        <v>-73.2272365</v>
      </c>
      <c r="Y2845" s="1" t="s">
        <v>11684</v>
      </c>
      <c r="Z2845" s="1"/>
      <c r="AA2845" s="1" t="s">
        <v>40</v>
      </c>
      <c r="AB2845" s="1" t="s">
        <v>797</v>
      </c>
      <c r="AC2845" s="1" t="s">
        <v>11685</v>
      </c>
    </row>
    <row r="2846">
      <c r="A2846" s="1" t="str">
        <f>"000N8K"</f>
        <v>000N8K</v>
      </c>
      <c r="B2846" s="1" t="s">
        <v>11686</v>
      </c>
      <c r="C2846" s="1" t="s">
        <v>11687</v>
      </c>
      <c r="D2846" s="1" t="str">
        <f>"8024568868"</f>
        <v>8024568868</v>
      </c>
      <c r="E2846" s="1">
        <v>4696.0</v>
      </c>
      <c r="F2846" s="1" t="s">
        <v>44</v>
      </c>
      <c r="G2846" s="1" t="s">
        <v>11688</v>
      </c>
      <c r="H2846" s="1">
        <v>2.0</v>
      </c>
      <c r="I2846" s="1"/>
      <c r="J2846" s="1"/>
      <c r="K2846" s="1"/>
      <c r="L2846" s="1"/>
      <c r="M2846" s="1" t="s">
        <v>11689</v>
      </c>
      <c r="N2846" s="1" t="s">
        <v>135</v>
      </c>
      <c r="O2846" s="1" t="s">
        <v>3116</v>
      </c>
      <c r="P2846" s="1"/>
      <c r="Q2846" s="3">
        <v>41775.0</v>
      </c>
      <c r="R2846" s="1"/>
      <c r="S2846" s="3">
        <v>42163.0</v>
      </c>
      <c r="T2846" s="1" t="s">
        <v>37</v>
      </c>
      <c r="U2846" s="1"/>
      <c r="V2846" s="1" t="s">
        <v>38</v>
      </c>
      <c r="W2846" s="1">
        <v>44.4005889</v>
      </c>
      <c r="X2846" s="1">
        <v>-72.434593</v>
      </c>
      <c r="Y2846" s="1" t="s">
        <v>11690</v>
      </c>
      <c r="Z2846" s="1"/>
      <c r="AA2846" s="1" t="s">
        <v>40</v>
      </c>
      <c r="AB2846" s="1" t="s">
        <v>8853</v>
      </c>
      <c r="AC2846" s="1">
        <v>5650.0</v>
      </c>
    </row>
    <row r="2847">
      <c r="A2847" s="1" t="str">
        <f>"000N8M"</f>
        <v>000N8M</v>
      </c>
      <c r="B2847" s="1" t="s">
        <v>11691</v>
      </c>
      <c r="C2847" s="1" t="s">
        <v>11692</v>
      </c>
      <c r="D2847" s="1" t="str">
        <f>"8022725883"</f>
        <v>8022725883</v>
      </c>
      <c r="E2847" s="1">
        <v>4697.0</v>
      </c>
      <c r="F2847" s="1" t="s">
        <v>117</v>
      </c>
      <c r="G2847" s="1" t="s">
        <v>11693</v>
      </c>
      <c r="H2847" s="1">
        <v>2.0</v>
      </c>
      <c r="I2847" s="2">
        <v>3.0</v>
      </c>
      <c r="J2847" s="2">
        <v>3.0</v>
      </c>
      <c r="K2847" s="2" t="s">
        <v>119</v>
      </c>
      <c r="L2847" s="1"/>
      <c r="M2847" s="1" t="s">
        <v>11694</v>
      </c>
      <c r="N2847" s="1" t="s">
        <v>57</v>
      </c>
      <c r="O2847" s="1" t="s">
        <v>3943</v>
      </c>
      <c r="P2847" s="1" t="s">
        <v>11695</v>
      </c>
      <c r="Q2847" s="3">
        <v>41811.0</v>
      </c>
      <c r="R2847" s="1"/>
      <c r="S2847" s="1"/>
      <c r="T2847" s="1" t="s">
        <v>37</v>
      </c>
      <c r="U2847" s="1"/>
      <c r="V2847" s="1" t="s">
        <v>38</v>
      </c>
      <c r="W2847" s="1">
        <v>44.4186473466487</v>
      </c>
      <c r="X2847" s="1">
        <v>-72.8512591123581</v>
      </c>
      <c r="Y2847" s="1" t="s">
        <v>11696</v>
      </c>
      <c r="Z2847" s="1"/>
      <c r="AA2847" s="1" t="s">
        <v>40</v>
      </c>
      <c r="AB2847" s="1" t="s">
        <v>11697</v>
      </c>
      <c r="AC2847" s="1">
        <v>5477.0</v>
      </c>
    </row>
    <row r="2848">
      <c r="A2848" s="1" t="str">
        <f>"000N9J"</f>
        <v>000N9J</v>
      </c>
      <c r="B2848" s="1" t="s">
        <v>11698</v>
      </c>
      <c r="C2848" s="1" t="s">
        <v>11699</v>
      </c>
      <c r="D2848" s="1" t="str">
        <f>"8024252609"</f>
        <v>8024252609</v>
      </c>
      <c r="E2848" s="1">
        <v>4698.0</v>
      </c>
      <c r="F2848" s="1" t="s">
        <v>117</v>
      </c>
      <c r="G2848" s="1" t="s">
        <v>11700</v>
      </c>
      <c r="H2848" s="1">
        <v>3.0</v>
      </c>
      <c r="I2848" s="2">
        <v>2.0</v>
      </c>
      <c r="J2848" s="2">
        <v>1.0</v>
      </c>
      <c r="K2848" s="2" t="s">
        <v>829</v>
      </c>
      <c r="L2848" s="1"/>
      <c r="M2848" s="1" t="s">
        <v>11701</v>
      </c>
      <c r="N2848" s="1" t="s">
        <v>57</v>
      </c>
      <c r="O2848" s="1" t="s">
        <v>1633</v>
      </c>
      <c r="P2848" s="1" t="s">
        <v>11702</v>
      </c>
      <c r="Q2848" s="3">
        <v>41878.0</v>
      </c>
      <c r="R2848" s="1"/>
      <c r="S2848" s="3">
        <v>42947.0</v>
      </c>
      <c r="T2848" s="1" t="s">
        <v>37</v>
      </c>
      <c r="U2848" s="1"/>
      <c r="V2848" s="1" t="s">
        <v>38</v>
      </c>
      <c r="W2848" s="1">
        <v>44.3248174024086</v>
      </c>
      <c r="X2848" s="1">
        <v>-73.2207313925027</v>
      </c>
      <c r="Y2848" s="1" t="s">
        <v>11703</v>
      </c>
      <c r="Z2848" s="1"/>
      <c r="AA2848" s="1" t="s">
        <v>40</v>
      </c>
      <c r="AB2848" s="1" t="s">
        <v>1634</v>
      </c>
      <c r="AC2848" s="1">
        <v>5445.0</v>
      </c>
    </row>
    <row r="2849">
      <c r="A2849" s="1" t="str">
        <f>"000N9K"</f>
        <v>000N9K</v>
      </c>
      <c r="B2849" s="1" t="s">
        <v>11704</v>
      </c>
      <c r="C2849" s="1" t="s">
        <v>11705</v>
      </c>
      <c r="D2849" s="1" t="str">
        <f>"8028624418"</f>
        <v>8028624418</v>
      </c>
      <c r="E2849" s="1">
        <v>4699.0</v>
      </c>
      <c r="F2849" s="1" t="s">
        <v>44</v>
      </c>
      <c r="G2849" s="1" t="s">
        <v>11706</v>
      </c>
      <c r="H2849" s="1">
        <v>1.0</v>
      </c>
      <c r="I2849" s="1"/>
      <c r="J2849" s="1"/>
      <c r="K2849" s="1"/>
      <c r="L2849" s="1"/>
      <c r="M2849" s="1" t="s">
        <v>33</v>
      </c>
      <c r="N2849" s="1" t="s">
        <v>57</v>
      </c>
      <c r="O2849" s="1" t="s">
        <v>175</v>
      </c>
      <c r="P2849" s="1" t="s">
        <v>36</v>
      </c>
      <c r="Q2849" s="3">
        <v>41802.0</v>
      </c>
      <c r="R2849" s="1"/>
      <c r="S2849" s="1"/>
      <c r="T2849" s="1" t="s">
        <v>37</v>
      </c>
      <c r="U2849" s="1"/>
      <c r="V2849" s="1" t="s">
        <v>38</v>
      </c>
      <c r="W2849" s="1">
        <v>44.455889</v>
      </c>
      <c r="X2849" s="1">
        <v>-73.21572</v>
      </c>
      <c r="Y2849" s="1" t="s">
        <v>11707</v>
      </c>
      <c r="Z2849" s="1"/>
      <c r="AA2849" s="1" t="s">
        <v>40</v>
      </c>
      <c r="AB2849" s="1" t="s">
        <v>176</v>
      </c>
      <c r="AC2849" s="1" t="s">
        <v>11708</v>
      </c>
    </row>
    <row r="2850">
      <c r="A2850" s="1" t="str">
        <f>"000N9M"</f>
        <v>000N9M</v>
      </c>
      <c r="B2850" s="1" t="s">
        <v>11709</v>
      </c>
      <c r="C2850" s="1" t="s">
        <v>11710</v>
      </c>
      <c r="D2850" s="1" t="str">
        <f>"8022352734"</f>
        <v>8022352734</v>
      </c>
      <c r="E2850" s="1">
        <v>4700.0</v>
      </c>
      <c r="F2850" s="1" t="s">
        <v>31</v>
      </c>
      <c r="G2850" s="1" t="s">
        <v>11711</v>
      </c>
      <c r="H2850" s="1">
        <v>1.0</v>
      </c>
      <c r="I2850" s="1"/>
      <c r="J2850" s="1"/>
      <c r="K2850" s="1"/>
      <c r="L2850" s="1"/>
      <c r="M2850" s="1" t="s">
        <v>33</v>
      </c>
      <c r="N2850" s="1" t="s">
        <v>78</v>
      </c>
      <c r="O2850" s="1" t="s">
        <v>420</v>
      </c>
      <c r="P2850" s="1" t="s">
        <v>36</v>
      </c>
      <c r="Q2850" s="3">
        <v>41795.0</v>
      </c>
      <c r="R2850" s="1"/>
      <c r="S2850" s="1"/>
      <c r="T2850" s="1" t="s">
        <v>37</v>
      </c>
      <c r="U2850" s="1"/>
      <c r="V2850" s="1" t="s">
        <v>38</v>
      </c>
      <c r="W2850" s="1">
        <v>43.477021</v>
      </c>
      <c r="X2850" s="1">
        <v>-73.121028</v>
      </c>
      <c r="Y2850" s="1" t="s">
        <v>11712</v>
      </c>
      <c r="Z2850" s="1"/>
      <c r="AA2850" s="1" t="s">
        <v>40</v>
      </c>
      <c r="AB2850" s="1" t="s">
        <v>7161</v>
      </c>
      <c r="AC2850" s="1">
        <v>5757.0</v>
      </c>
    </row>
    <row r="2851">
      <c r="A2851" s="1" t="str">
        <f>"000N9W"</f>
        <v>000N9W</v>
      </c>
      <c r="B2851" s="1" t="s">
        <v>11713</v>
      </c>
      <c r="C2851" s="1" t="s">
        <v>11714</v>
      </c>
      <c r="D2851" s="1"/>
      <c r="E2851" s="1">
        <v>4701.0</v>
      </c>
      <c r="F2851" s="1" t="s">
        <v>44</v>
      </c>
      <c r="G2851" s="1" t="s">
        <v>11715</v>
      </c>
      <c r="H2851" s="1">
        <v>1.0</v>
      </c>
      <c r="I2851" s="1"/>
      <c r="J2851" s="1"/>
      <c r="K2851" s="1"/>
      <c r="L2851" s="1"/>
      <c r="M2851" s="1"/>
      <c r="N2851" s="1" t="s">
        <v>57</v>
      </c>
      <c r="O2851" s="1" t="s">
        <v>559</v>
      </c>
      <c r="P2851" s="1"/>
      <c r="Q2851" s="3">
        <v>41640.0</v>
      </c>
      <c r="R2851" s="1"/>
      <c r="S2851" s="1"/>
      <c r="T2851" s="1" t="s">
        <v>37</v>
      </c>
      <c r="U2851" s="1"/>
      <c r="V2851" s="1" t="s">
        <v>38</v>
      </c>
      <c r="W2851" s="1"/>
      <c r="X2851" s="1"/>
      <c r="Y2851" s="1" t="s">
        <v>11716</v>
      </c>
      <c r="Z2851" s="1"/>
      <c r="AA2851" s="1" t="s">
        <v>40</v>
      </c>
      <c r="AB2851" s="1" t="s">
        <v>560</v>
      </c>
      <c r="AC2851" s="1">
        <v>5446.0</v>
      </c>
    </row>
    <row r="2852">
      <c r="A2852" s="1" t="str">
        <f>"000NC3"</f>
        <v>000NC3</v>
      </c>
      <c r="B2852" s="1" t="s">
        <v>11717</v>
      </c>
      <c r="C2852" s="1" t="s">
        <v>11718</v>
      </c>
      <c r="D2852" s="1" t="str">
        <f>"8029996091"</f>
        <v>8029996091</v>
      </c>
      <c r="E2852" s="1">
        <v>4702.0</v>
      </c>
      <c r="F2852" s="1" t="s">
        <v>117</v>
      </c>
      <c r="G2852" s="1" t="s">
        <v>11719</v>
      </c>
      <c r="H2852" s="1">
        <v>1.0</v>
      </c>
      <c r="I2852" s="2">
        <v>6.0</v>
      </c>
      <c r="J2852" s="2">
        <v>3.0</v>
      </c>
      <c r="K2852" s="2" t="s">
        <v>119</v>
      </c>
      <c r="L2852" s="2" t="s">
        <v>11720</v>
      </c>
      <c r="M2852" s="1" t="s">
        <v>11721</v>
      </c>
      <c r="N2852" s="1" t="s">
        <v>94</v>
      </c>
      <c r="O2852" s="1" t="s">
        <v>1688</v>
      </c>
      <c r="P2852" s="1" t="s">
        <v>11722</v>
      </c>
      <c r="Q2852" s="3">
        <v>41890.0</v>
      </c>
      <c r="R2852" s="1"/>
      <c r="S2852" s="1"/>
      <c r="T2852" s="1" t="s">
        <v>37</v>
      </c>
      <c r="U2852" s="1"/>
      <c r="V2852" s="1" t="s">
        <v>38</v>
      </c>
      <c r="W2852" s="1">
        <v>44.679008</v>
      </c>
      <c r="X2852" s="1">
        <v>-72.384399</v>
      </c>
      <c r="Y2852" s="1" t="s">
        <v>11723</v>
      </c>
      <c r="Z2852" s="1"/>
      <c r="AA2852" s="1" t="s">
        <v>40</v>
      </c>
      <c r="AB2852" s="1" t="s">
        <v>1690</v>
      </c>
      <c r="AC2852" s="1">
        <v>5827.0</v>
      </c>
    </row>
    <row r="2853">
      <c r="A2853" s="1" t="str">
        <f>"000NC4"</f>
        <v>000NC4</v>
      </c>
      <c r="B2853" s="1" t="s">
        <v>11724</v>
      </c>
      <c r="C2853" s="1" t="s">
        <v>11725</v>
      </c>
      <c r="D2853" s="1" t="str">
        <f>"8023592970"</f>
        <v>8023592970</v>
      </c>
      <c r="E2853" s="1">
        <v>4703.0</v>
      </c>
      <c r="F2853" s="1" t="s">
        <v>44</v>
      </c>
      <c r="G2853" s="1" t="s">
        <v>11726</v>
      </c>
      <c r="H2853" s="1">
        <v>1.0</v>
      </c>
      <c r="I2853" s="1"/>
      <c r="J2853" s="1"/>
      <c r="K2853" s="1"/>
      <c r="L2853" s="1"/>
      <c r="M2853" s="1" t="s">
        <v>33</v>
      </c>
      <c r="N2853" s="1" t="s">
        <v>34</v>
      </c>
      <c r="O2853" s="1" t="s">
        <v>35</v>
      </c>
      <c r="P2853" s="1" t="s">
        <v>11727</v>
      </c>
      <c r="Q2853" s="3">
        <v>41782.0</v>
      </c>
      <c r="R2853" s="1"/>
      <c r="S2853" s="1"/>
      <c r="T2853" s="1" t="s">
        <v>37</v>
      </c>
      <c r="U2853" s="1"/>
      <c r="V2853" s="1" t="s">
        <v>38</v>
      </c>
      <c r="W2853" s="1">
        <v>43.831107</v>
      </c>
      <c r="X2853" s="1">
        <v>-72.514747</v>
      </c>
      <c r="Y2853" s="1" t="s">
        <v>11728</v>
      </c>
      <c r="Z2853" s="1"/>
      <c r="AA2853" s="1" t="s">
        <v>40</v>
      </c>
      <c r="AB2853" s="1" t="s">
        <v>41</v>
      </c>
      <c r="AC2853" s="1">
        <v>5068.0</v>
      </c>
    </row>
    <row r="2854">
      <c r="A2854" s="1" t="str">
        <f>"000NC5"</f>
        <v>000NC5</v>
      </c>
      <c r="B2854" s="1" t="s">
        <v>11729</v>
      </c>
      <c r="C2854" s="1" t="s">
        <v>11730</v>
      </c>
      <c r="D2854" s="1" t="str">
        <f>"5083305472"</f>
        <v>5083305472</v>
      </c>
      <c r="E2854" s="1">
        <v>4704.0</v>
      </c>
      <c r="F2854" s="1" t="s">
        <v>117</v>
      </c>
      <c r="G2854" s="1" t="s">
        <v>11731</v>
      </c>
      <c r="H2854" s="1">
        <v>1.0</v>
      </c>
      <c r="I2854" s="2" t="s">
        <v>119</v>
      </c>
      <c r="J2854" s="2">
        <v>2.0</v>
      </c>
      <c r="K2854" s="2" t="s">
        <v>119</v>
      </c>
      <c r="L2854" s="2" t="s">
        <v>11732</v>
      </c>
      <c r="M2854" s="1" t="s">
        <v>11733</v>
      </c>
      <c r="N2854" s="1" t="s">
        <v>414</v>
      </c>
      <c r="O2854" s="1" t="s">
        <v>1160</v>
      </c>
      <c r="P2854" s="1" t="s">
        <v>11734</v>
      </c>
      <c r="Q2854" s="3">
        <v>41788.0</v>
      </c>
      <c r="R2854" s="1"/>
      <c r="S2854" s="1"/>
      <c r="T2854" s="1" t="s">
        <v>37</v>
      </c>
      <c r="U2854" s="1"/>
      <c r="V2854" s="1" t="s">
        <v>38</v>
      </c>
      <c r="W2854" s="1">
        <v>42.956722</v>
      </c>
      <c r="X2854" s="1">
        <v>-73.2157639</v>
      </c>
      <c r="Y2854" s="1" t="s">
        <v>11735</v>
      </c>
      <c r="Z2854" s="1"/>
      <c r="AA2854" s="1" t="s">
        <v>40</v>
      </c>
      <c r="AB2854" s="1" t="s">
        <v>1161</v>
      </c>
      <c r="AC2854" s="1">
        <v>5262.0</v>
      </c>
    </row>
    <row r="2855">
      <c r="A2855" s="1" t="str">
        <f>"000NC6"</f>
        <v>000NC6</v>
      </c>
      <c r="B2855" s="1" t="s">
        <v>11736</v>
      </c>
      <c r="C2855" s="1" t="s">
        <v>11737</v>
      </c>
      <c r="D2855" s="1" t="str">
        <f>"8026586304"</f>
        <v>8026586304</v>
      </c>
      <c r="E2855" s="1">
        <v>4705.0</v>
      </c>
      <c r="F2855" s="1" t="s">
        <v>44</v>
      </c>
      <c r="G2855" s="1" t="s">
        <v>11738</v>
      </c>
      <c r="H2855" s="1">
        <v>1.0</v>
      </c>
      <c r="I2855" s="1"/>
      <c r="J2855" s="1"/>
      <c r="K2855" s="1"/>
      <c r="L2855" s="1"/>
      <c r="M2855" s="1" t="s">
        <v>33</v>
      </c>
      <c r="N2855" s="1" t="s">
        <v>57</v>
      </c>
      <c r="O2855" s="1" t="s">
        <v>175</v>
      </c>
      <c r="P2855" s="1" t="s">
        <v>36</v>
      </c>
      <c r="Q2855" s="3">
        <v>41774.0</v>
      </c>
      <c r="R2855" s="1"/>
      <c r="S2855" s="1"/>
      <c r="T2855" s="1" t="s">
        <v>37</v>
      </c>
      <c r="U2855" s="1"/>
      <c r="V2855" s="1" t="s">
        <v>38</v>
      </c>
      <c r="W2855" s="1">
        <v>44.4858339</v>
      </c>
      <c r="X2855" s="1">
        <v>-73.206743</v>
      </c>
      <c r="Y2855" s="1" t="s">
        <v>11739</v>
      </c>
      <c r="Z2855" s="1"/>
      <c r="AA2855" s="1" t="s">
        <v>40</v>
      </c>
      <c r="AB2855" s="1" t="s">
        <v>176</v>
      </c>
      <c r="AC2855" s="1">
        <v>5401.0</v>
      </c>
    </row>
    <row r="2856">
      <c r="A2856" s="1" t="str">
        <f>"000NC7"</f>
        <v>000NC7</v>
      </c>
      <c r="B2856" s="1" t="s">
        <v>11740</v>
      </c>
      <c r="C2856" s="1" t="s">
        <v>11741</v>
      </c>
      <c r="D2856" s="1" t="str">
        <f>"8026449099"</f>
        <v>8026449099</v>
      </c>
      <c r="E2856" s="1">
        <v>4706.0</v>
      </c>
      <c r="F2856" s="1" t="s">
        <v>31</v>
      </c>
      <c r="G2856" s="1" t="s">
        <v>11742</v>
      </c>
      <c r="H2856" s="1">
        <v>1.0</v>
      </c>
      <c r="I2856" s="1"/>
      <c r="J2856" s="1"/>
      <c r="K2856" s="1"/>
      <c r="L2856" s="1"/>
      <c r="M2856" s="1" t="s">
        <v>72</v>
      </c>
      <c r="N2856" s="1" t="s">
        <v>213</v>
      </c>
      <c r="O2856" s="1" t="s">
        <v>2171</v>
      </c>
      <c r="P2856" s="1" t="s">
        <v>11743</v>
      </c>
      <c r="Q2856" s="3">
        <v>41791.0</v>
      </c>
      <c r="R2856" s="1"/>
      <c r="S2856" s="1"/>
      <c r="T2856" s="1" t="s">
        <v>37</v>
      </c>
      <c r="U2856" s="1"/>
      <c r="V2856" s="1" t="s">
        <v>38</v>
      </c>
      <c r="W2856" s="1">
        <v>44.712613</v>
      </c>
      <c r="X2856" s="1">
        <v>-72.756801</v>
      </c>
      <c r="Y2856" s="1" t="s">
        <v>11744</v>
      </c>
      <c r="Z2856" s="1"/>
      <c r="AA2856" s="1" t="s">
        <v>40</v>
      </c>
      <c r="AB2856" s="1" t="s">
        <v>2173</v>
      </c>
      <c r="AC2856" s="1">
        <v>5492.0</v>
      </c>
    </row>
    <row r="2857">
      <c r="A2857" s="1" t="str">
        <f>"000NC8"</f>
        <v>000NC8</v>
      </c>
      <c r="B2857" s="1" t="s">
        <v>11745</v>
      </c>
      <c r="C2857" s="1" t="s">
        <v>11746</v>
      </c>
      <c r="D2857" s="1" t="str">
        <f>"8022733873"</f>
        <v>8022733873</v>
      </c>
      <c r="E2857" s="1">
        <v>4707.0</v>
      </c>
      <c r="F2857" s="1" t="s">
        <v>117</v>
      </c>
      <c r="G2857" s="1" t="s">
        <v>11747</v>
      </c>
      <c r="H2857" s="1">
        <v>17.0</v>
      </c>
      <c r="I2857" s="2">
        <v>7.0</v>
      </c>
      <c r="J2857" s="2" t="s">
        <v>119</v>
      </c>
      <c r="K2857" s="2" t="s">
        <v>119</v>
      </c>
      <c r="L2857" s="1"/>
      <c r="M2857" s="1" t="s">
        <v>11748</v>
      </c>
      <c r="N2857" s="1" t="s">
        <v>78</v>
      </c>
      <c r="O2857" s="1" t="s">
        <v>4889</v>
      </c>
      <c r="P2857" s="1" t="s">
        <v>11749</v>
      </c>
      <c r="Q2857" s="3">
        <v>41887.0</v>
      </c>
      <c r="R2857" s="1"/>
      <c r="S2857" s="1"/>
      <c r="T2857" s="1" t="s">
        <v>37</v>
      </c>
      <c r="U2857" s="1"/>
      <c r="V2857" s="1" t="s">
        <v>38</v>
      </c>
      <c r="W2857" s="1">
        <v>43.7207921048463</v>
      </c>
      <c r="X2857" s="1">
        <v>-73.2269668579101</v>
      </c>
      <c r="Y2857" s="1" t="s">
        <v>11750</v>
      </c>
      <c r="Z2857" s="1"/>
      <c r="AA2857" s="1" t="s">
        <v>40</v>
      </c>
      <c r="AB2857" s="1" t="s">
        <v>11751</v>
      </c>
      <c r="AC2857" s="1">
        <v>5732.0</v>
      </c>
    </row>
    <row r="2858">
      <c r="A2858" s="1" t="str">
        <f>"000NC9"</f>
        <v>000NC9</v>
      </c>
      <c r="B2858" s="1" t="s">
        <v>11752</v>
      </c>
      <c r="C2858" s="1" t="s">
        <v>11753</v>
      </c>
      <c r="D2858" s="1" t="str">
        <f>"8028744013"</f>
        <v>8028744013</v>
      </c>
      <c r="E2858" s="1">
        <v>4708.0</v>
      </c>
      <c r="F2858" s="1" t="s">
        <v>44</v>
      </c>
      <c r="G2858" s="1" t="s">
        <v>11754</v>
      </c>
      <c r="H2858" s="1">
        <v>1.0</v>
      </c>
      <c r="I2858" s="1"/>
      <c r="J2858" s="1"/>
      <c r="K2858" s="1"/>
      <c r="L2858" s="1"/>
      <c r="M2858" s="1" t="s">
        <v>11755</v>
      </c>
      <c r="N2858" s="1" t="s">
        <v>66</v>
      </c>
      <c r="O2858" s="1" t="s">
        <v>1944</v>
      </c>
      <c r="P2858" s="1" t="s">
        <v>36</v>
      </c>
      <c r="Q2858" s="3">
        <v>41874.0</v>
      </c>
      <c r="R2858" s="1"/>
      <c r="S2858" s="1"/>
      <c r="T2858" s="1" t="s">
        <v>37</v>
      </c>
      <c r="U2858" s="1"/>
      <c r="V2858" s="1" t="s">
        <v>38</v>
      </c>
      <c r="W2858" s="1">
        <v>43.12212</v>
      </c>
      <c r="X2858" s="1">
        <v>-72.7107849999999</v>
      </c>
      <c r="Y2858" s="1" t="s">
        <v>11756</v>
      </c>
      <c r="Z2858" s="1"/>
      <c r="AA2858" s="1" t="s">
        <v>40</v>
      </c>
      <c r="AB2858" s="1" t="s">
        <v>11102</v>
      </c>
      <c r="AC2858" s="1">
        <v>5359.0</v>
      </c>
    </row>
    <row r="2859">
      <c r="A2859" s="1" t="str">
        <f>"000NCA"</f>
        <v>000NCA</v>
      </c>
      <c r="B2859" s="1" t="s">
        <v>11757</v>
      </c>
      <c r="C2859" s="1" t="s">
        <v>11758</v>
      </c>
      <c r="D2859" s="1" t="str">
        <f>"6169298798"</f>
        <v>6169298798</v>
      </c>
      <c r="E2859" s="1">
        <v>4709.0</v>
      </c>
      <c r="F2859" s="1" t="s">
        <v>44</v>
      </c>
      <c r="G2859" s="1" t="s">
        <v>11759</v>
      </c>
      <c r="H2859" s="1">
        <v>3.0</v>
      </c>
      <c r="I2859" s="1"/>
      <c r="J2859" s="1"/>
      <c r="K2859" s="1"/>
      <c r="L2859" s="1"/>
      <c r="M2859" s="1" t="s">
        <v>33</v>
      </c>
      <c r="N2859" s="1" t="s">
        <v>135</v>
      </c>
      <c r="O2859" s="1" t="s">
        <v>136</v>
      </c>
      <c r="P2859" s="1" t="s">
        <v>36</v>
      </c>
      <c r="Q2859" s="3">
        <v>41799.0</v>
      </c>
      <c r="R2859" s="1"/>
      <c r="S2859" s="3">
        <v>41835.0</v>
      </c>
      <c r="T2859" s="1" t="s">
        <v>37</v>
      </c>
      <c r="U2859" s="1"/>
      <c r="V2859" s="1" t="s">
        <v>38</v>
      </c>
      <c r="W2859" s="1">
        <v>44.1441611</v>
      </c>
      <c r="X2859" s="1">
        <v>-72.7119010999999</v>
      </c>
      <c r="Y2859" s="1" t="s">
        <v>11760</v>
      </c>
      <c r="Z2859" s="1"/>
      <c r="AA2859" s="1" t="s">
        <v>40</v>
      </c>
      <c r="AB2859" s="1" t="s">
        <v>137</v>
      </c>
      <c r="AC2859" s="1">
        <v>5663.0</v>
      </c>
    </row>
    <row r="2860">
      <c r="A2860" s="1" t="str">
        <f>"000NCB"</f>
        <v>000NCB</v>
      </c>
      <c r="B2860" s="1" t="s">
        <v>11761</v>
      </c>
      <c r="C2860" s="1" t="s">
        <v>11762</v>
      </c>
      <c r="D2860" s="1" t="str">
        <f>"4082340037"</f>
        <v>4082340037</v>
      </c>
      <c r="E2860" s="1">
        <v>4710.0</v>
      </c>
      <c r="F2860" s="1" t="s">
        <v>117</v>
      </c>
      <c r="G2860" s="1" t="s">
        <v>11763</v>
      </c>
      <c r="H2860" s="1">
        <v>1.0</v>
      </c>
      <c r="I2860" s="2">
        <v>0.0</v>
      </c>
      <c r="J2860" s="2">
        <v>0.0</v>
      </c>
      <c r="K2860" s="2" t="s">
        <v>119</v>
      </c>
      <c r="L2860" s="1"/>
      <c r="M2860" s="1" t="s">
        <v>11764</v>
      </c>
      <c r="N2860" s="1" t="s">
        <v>107</v>
      </c>
      <c r="O2860" s="1" t="s">
        <v>724</v>
      </c>
      <c r="P2860" s="1" t="s">
        <v>11765</v>
      </c>
      <c r="Q2860" s="3">
        <v>41751.0</v>
      </c>
      <c r="R2860" s="1"/>
      <c r="S2860" s="3">
        <v>42564.0</v>
      </c>
      <c r="T2860" s="1" t="s">
        <v>37</v>
      </c>
      <c r="U2860" s="1"/>
      <c r="V2860" s="1" t="s">
        <v>38</v>
      </c>
      <c r="W2860" s="1">
        <v>44.788677</v>
      </c>
      <c r="X2860" s="1">
        <v>-73.2915189</v>
      </c>
      <c r="Y2860" s="1" t="s">
        <v>11766</v>
      </c>
      <c r="Z2860" s="1"/>
      <c r="AA2860" s="1" t="s">
        <v>40</v>
      </c>
      <c r="AB2860" s="1" t="s">
        <v>725</v>
      </c>
      <c r="AC2860" s="1">
        <v>5474.0</v>
      </c>
    </row>
    <row r="2861">
      <c r="A2861" s="1" t="str">
        <f>"000NCC"</f>
        <v>000NCC</v>
      </c>
      <c r="B2861" s="1" t="s">
        <v>11767</v>
      </c>
      <c r="C2861" s="1" t="s">
        <v>11768</v>
      </c>
      <c r="D2861" s="1" t="str">
        <f>"8023160549"</f>
        <v>8023160549</v>
      </c>
      <c r="E2861" s="1">
        <v>4711.0</v>
      </c>
      <c r="F2861" s="1" t="s">
        <v>117</v>
      </c>
      <c r="G2861" s="1" t="s">
        <v>11769</v>
      </c>
      <c r="H2861" s="1">
        <v>2.0</v>
      </c>
      <c r="I2861" s="2">
        <v>3.0</v>
      </c>
      <c r="J2861" s="2">
        <v>2.0</v>
      </c>
      <c r="K2861" s="2" t="s">
        <v>119</v>
      </c>
      <c r="L2861" s="2" t="s">
        <v>11770</v>
      </c>
      <c r="M2861" s="1" t="s">
        <v>11771</v>
      </c>
      <c r="N2861" s="1" t="s">
        <v>57</v>
      </c>
      <c r="O2861" s="1" t="s">
        <v>559</v>
      </c>
      <c r="P2861" s="1" t="s">
        <v>11772</v>
      </c>
      <c r="Q2861" s="3">
        <v>41806.0</v>
      </c>
      <c r="R2861" s="1"/>
      <c r="S2861" s="1"/>
      <c r="T2861" s="1" t="s">
        <v>37</v>
      </c>
      <c r="U2861" s="1"/>
      <c r="V2861" s="1" t="s">
        <v>38</v>
      </c>
      <c r="W2861" s="1">
        <v>44.553883</v>
      </c>
      <c r="X2861" s="1">
        <v>-73.172931</v>
      </c>
      <c r="Y2861" s="1" t="s">
        <v>11773</v>
      </c>
      <c r="Z2861" s="1"/>
      <c r="AA2861" s="1" t="s">
        <v>40</v>
      </c>
      <c r="AB2861" s="1" t="s">
        <v>560</v>
      </c>
      <c r="AC2861" s="1">
        <v>5446.0</v>
      </c>
    </row>
    <row r="2862">
      <c r="A2862" s="1" t="str">
        <f>"000NCG"</f>
        <v>000NCG</v>
      </c>
      <c r="B2862" s="1" t="s">
        <v>11774</v>
      </c>
      <c r="C2862" s="1" t="s">
        <v>11775</v>
      </c>
      <c r="D2862" s="1" t="str">
        <f>"8027347238"</f>
        <v>8027347238</v>
      </c>
      <c r="E2862" s="1">
        <v>4712.0</v>
      </c>
      <c r="F2862" s="1" t="s">
        <v>31</v>
      </c>
      <c r="G2862" s="1" t="s">
        <v>11776</v>
      </c>
      <c r="H2862" s="1">
        <v>2.0</v>
      </c>
      <c r="I2862" s="1"/>
      <c r="J2862" s="1"/>
      <c r="K2862" s="1"/>
      <c r="L2862" s="1"/>
      <c r="M2862" s="1" t="s">
        <v>33</v>
      </c>
      <c r="N2862" s="1" t="s">
        <v>57</v>
      </c>
      <c r="O2862" s="1" t="s">
        <v>2092</v>
      </c>
      <c r="P2862" s="1" t="s">
        <v>36</v>
      </c>
      <c r="Q2862" s="3">
        <v>41814.0</v>
      </c>
      <c r="R2862" s="1"/>
      <c r="S2862" s="1"/>
      <c r="T2862" s="1" t="s">
        <v>37</v>
      </c>
      <c r="U2862" s="1"/>
      <c r="V2862" s="1" t="s">
        <v>38</v>
      </c>
      <c r="W2862" s="1">
        <v>44.454758</v>
      </c>
      <c r="X2862" s="1">
        <v>-73.0636058999999</v>
      </c>
      <c r="Y2862" s="1" t="s">
        <v>11777</v>
      </c>
      <c r="Z2862" s="1"/>
      <c r="AA2862" s="1" t="s">
        <v>40</v>
      </c>
      <c r="AB2862" s="1" t="s">
        <v>2093</v>
      </c>
      <c r="AC2862" s="1">
        <v>5495.0</v>
      </c>
    </row>
    <row r="2863">
      <c r="A2863" s="1" t="str">
        <f>"000NCH"</f>
        <v>000NCH</v>
      </c>
      <c r="B2863" s="1" t="s">
        <v>11778</v>
      </c>
      <c r="C2863" s="1" t="s">
        <v>11779</v>
      </c>
      <c r="D2863" s="1" t="str">
        <f>"8027592840"</f>
        <v>8027592840</v>
      </c>
      <c r="E2863" s="1">
        <v>4713.0</v>
      </c>
      <c r="F2863" s="1" t="s">
        <v>117</v>
      </c>
      <c r="G2863" s="1" t="s">
        <v>11780</v>
      </c>
      <c r="H2863" s="2">
        <v>2.0</v>
      </c>
      <c r="I2863" s="2">
        <v>0.0</v>
      </c>
      <c r="J2863" s="2">
        <v>0.0</v>
      </c>
      <c r="K2863" s="2" t="s">
        <v>119</v>
      </c>
      <c r="L2863" s="1"/>
      <c r="M2863" s="1" t="s">
        <v>11781</v>
      </c>
      <c r="N2863" s="1" t="s">
        <v>161</v>
      </c>
      <c r="O2863" s="1" t="s">
        <v>576</v>
      </c>
      <c r="P2863" s="1" t="s">
        <v>11782</v>
      </c>
      <c r="Q2863" s="3">
        <v>41815.0</v>
      </c>
      <c r="R2863" s="1"/>
      <c r="S2863" s="1"/>
      <c r="T2863" s="1" t="s">
        <v>37</v>
      </c>
      <c r="U2863" s="1"/>
      <c r="V2863" s="1" t="s">
        <v>38</v>
      </c>
      <c r="W2863" s="1">
        <v>44.02999</v>
      </c>
      <c r="X2863" s="1">
        <v>-73.4033658999999</v>
      </c>
      <c r="Y2863" s="1" t="s">
        <v>11783</v>
      </c>
      <c r="Z2863" s="1"/>
      <c r="AA2863" s="1" t="s">
        <v>40</v>
      </c>
      <c r="AB2863" s="1" t="s">
        <v>161</v>
      </c>
      <c r="AC2863" s="1">
        <v>5491.0</v>
      </c>
    </row>
    <row r="2864">
      <c r="A2864" s="1" t="str">
        <f t="shared" ref="A2864:A2865" si="217">"0008W6"</f>
        <v>0008W6</v>
      </c>
      <c r="B2864" s="1" t="s">
        <v>6906</v>
      </c>
      <c r="C2864" s="1" t="s">
        <v>6907</v>
      </c>
      <c r="D2864" s="1" t="str">
        <f t="shared" ref="D2864:D2865" si="218">"8024853901"</f>
        <v>8024853901</v>
      </c>
      <c r="E2864" s="1">
        <v>3377.0</v>
      </c>
      <c r="F2864" s="1" t="s">
        <v>31</v>
      </c>
      <c r="G2864" s="1" t="s">
        <v>11784</v>
      </c>
      <c r="H2864" s="1">
        <v>4.0</v>
      </c>
      <c r="I2864" s="1"/>
      <c r="J2864" s="1"/>
      <c r="K2864" s="1"/>
      <c r="L2864" s="1"/>
      <c r="M2864" s="1" t="s">
        <v>11785</v>
      </c>
      <c r="N2864" s="1" t="s">
        <v>135</v>
      </c>
      <c r="O2864" s="1" t="s">
        <v>136</v>
      </c>
      <c r="P2864" s="1" t="s">
        <v>11786</v>
      </c>
      <c r="Q2864" s="3">
        <v>41760.0</v>
      </c>
      <c r="R2864" s="1"/>
      <c r="S2864" s="3">
        <v>42208.0</v>
      </c>
      <c r="T2864" s="1" t="s">
        <v>37</v>
      </c>
      <c r="U2864" s="1"/>
      <c r="V2864" s="1" t="s">
        <v>38</v>
      </c>
      <c r="W2864" s="1">
        <v>44.144379</v>
      </c>
      <c r="X2864" s="1">
        <v>-72.656723</v>
      </c>
      <c r="Y2864" s="1" t="s">
        <v>11787</v>
      </c>
      <c r="Z2864" s="1"/>
      <c r="AA2864" s="1" t="s">
        <v>40</v>
      </c>
      <c r="AB2864" s="1" t="s">
        <v>137</v>
      </c>
      <c r="AC2864" s="1">
        <v>5663.0</v>
      </c>
    </row>
    <row r="2865">
      <c r="A2865" s="1" t="str">
        <f t="shared" si="217"/>
        <v>0008W6</v>
      </c>
      <c r="B2865" s="1" t="s">
        <v>6906</v>
      </c>
      <c r="C2865" s="1" t="s">
        <v>6907</v>
      </c>
      <c r="D2865" s="1" t="str">
        <f t="shared" si="218"/>
        <v>8024853901</v>
      </c>
      <c r="E2865" s="1">
        <v>3377.0</v>
      </c>
      <c r="F2865" s="1" t="s">
        <v>31</v>
      </c>
      <c r="G2865" s="1" t="s">
        <v>11788</v>
      </c>
      <c r="H2865" s="1">
        <v>8.0</v>
      </c>
      <c r="I2865" s="1"/>
      <c r="J2865" s="1"/>
      <c r="K2865" s="1"/>
      <c r="L2865" s="1"/>
      <c r="M2865" s="1" t="s">
        <v>11789</v>
      </c>
      <c r="N2865" s="1" t="s">
        <v>135</v>
      </c>
      <c r="O2865" s="1" t="s">
        <v>136</v>
      </c>
      <c r="P2865" s="1" t="s">
        <v>11790</v>
      </c>
      <c r="Q2865" s="3">
        <v>41760.0</v>
      </c>
      <c r="R2865" s="1"/>
      <c r="S2865" s="3">
        <v>42208.0</v>
      </c>
      <c r="T2865" s="1" t="s">
        <v>37</v>
      </c>
      <c r="U2865" s="1"/>
      <c r="V2865" s="1" t="s">
        <v>38</v>
      </c>
      <c r="W2865" s="1">
        <v>44.1791878563943</v>
      </c>
      <c r="X2865" s="1">
        <v>-72.718688249588</v>
      </c>
      <c r="Y2865" s="1" t="s">
        <v>11791</v>
      </c>
      <c r="Z2865" s="1"/>
      <c r="AA2865" s="1" t="s">
        <v>40</v>
      </c>
      <c r="AB2865" s="1" t="s">
        <v>137</v>
      </c>
      <c r="AC2865" s="1">
        <v>5663.0</v>
      </c>
    </row>
    <row r="2866">
      <c r="A2866" s="1" t="str">
        <f>"000NCJ"</f>
        <v>000NCJ</v>
      </c>
      <c r="B2866" s="1" t="s">
        <v>11792</v>
      </c>
      <c r="C2866" s="1" t="s">
        <v>11793</v>
      </c>
      <c r="D2866" s="1" t="str">
        <f>"4063700792"</f>
        <v>4063700792</v>
      </c>
      <c r="E2866" s="1">
        <v>4714.0</v>
      </c>
      <c r="F2866" s="1" t="s">
        <v>44</v>
      </c>
      <c r="G2866" s="1" t="s">
        <v>11794</v>
      </c>
      <c r="H2866" s="1">
        <v>2.0</v>
      </c>
      <c r="I2866" s="1"/>
      <c r="J2866" s="1"/>
      <c r="K2866" s="1"/>
      <c r="L2866" s="1"/>
      <c r="M2866" s="1" t="s">
        <v>33</v>
      </c>
      <c r="N2866" s="1" t="s">
        <v>57</v>
      </c>
      <c r="O2866" s="1" t="s">
        <v>204</v>
      </c>
      <c r="P2866" s="1" t="s">
        <v>36</v>
      </c>
      <c r="Q2866" s="3">
        <v>41774.0</v>
      </c>
      <c r="R2866" s="1"/>
      <c r="S2866" s="1"/>
      <c r="T2866" s="1" t="s">
        <v>37</v>
      </c>
      <c r="U2866" s="1"/>
      <c r="V2866" s="1" t="s">
        <v>38</v>
      </c>
      <c r="W2866" s="1">
        <v>44.368168</v>
      </c>
      <c r="X2866" s="1">
        <v>-73.066765</v>
      </c>
      <c r="Y2866" s="1" t="s">
        <v>11795</v>
      </c>
      <c r="Z2866" s="1"/>
      <c r="AA2866" s="1" t="s">
        <v>40</v>
      </c>
      <c r="AB2866" s="1" t="s">
        <v>205</v>
      </c>
      <c r="AC2866" s="1">
        <v>5461.0</v>
      </c>
    </row>
    <row r="2867">
      <c r="A2867" s="1" t="str">
        <f>"000NCK"</f>
        <v>000NCK</v>
      </c>
      <c r="B2867" s="1" t="s">
        <v>11796</v>
      </c>
      <c r="C2867" s="1" t="s">
        <v>11797</v>
      </c>
      <c r="D2867" s="1" t="str">
        <f>"8023657246"</f>
        <v>8023657246</v>
      </c>
      <c r="E2867" s="1">
        <v>4715.0</v>
      </c>
      <c r="F2867" s="1" t="s">
        <v>117</v>
      </c>
      <c r="G2867" s="1" t="s">
        <v>11798</v>
      </c>
      <c r="H2867" s="1">
        <v>3.0</v>
      </c>
      <c r="I2867" s="2">
        <v>0.0</v>
      </c>
      <c r="J2867" s="2">
        <v>0.0</v>
      </c>
      <c r="K2867" s="2" t="s">
        <v>119</v>
      </c>
      <c r="L2867" s="1"/>
      <c r="M2867" s="1" t="s">
        <v>11799</v>
      </c>
      <c r="N2867" s="1" t="s">
        <v>66</v>
      </c>
      <c r="O2867" s="1" t="s">
        <v>389</v>
      </c>
      <c r="P2867" s="1" t="s">
        <v>11800</v>
      </c>
      <c r="Q2867" s="3">
        <v>41810.0</v>
      </c>
      <c r="R2867" s="1"/>
      <c r="S2867" s="1"/>
      <c r="T2867" s="1" t="s">
        <v>37</v>
      </c>
      <c r="U2867" s="1"/>
      <c r="V2867" s="1" t="s">
        <v>38</v>
      </c>
      <c r="W2867" s="1">
        <v>42.9512398825423</v>
      </c>
      <c r="X2867" s="1">
        <v>-72.6478028297424</v>
      </c>
      <c r="Y2867" s="1" t="s">
        <v>11801</v>
      </c>
      <c r="Z2867" s="1"/>
      <c r="AA2867" s="1" t="s">
        <v>40</v>
      </c>
      <c r="AB2867" s="1" t="s">
        <v>390</v>
      </c>
      <c r="AC2867" s="1">
        <v>5345.0</v>
      </c>
    </row>
    <row r="2868">
      <c r="A2868" s="1" t="str">
        <f>"000NCM"</f>
        <v>000NCM</v>
      </c>
      <c r="B2868" s="1" t="s">
        <v>11802</v>
      </c>
      <c r="C2868" s="1" t="s">
        <v>11803</v>
      </c>
      <c r="D2868" s="1" t="str">
        <f>"8022539430"</f>
        <v>8022539430</v>
      </c>
      <c r="E2868" s="1">
        <v>4716.0</v>
      </c>
      <c r="F2868" s="1" t="s">
        <v>117</v>
      </c>
      <c r="G2868" s="1" t="s">
        <v>11804</v>
      </c>
      <c r="H2868" s="1">
        <v>3.0</v>
      </c>
      <c r="I2868" s="2">
        <v>2.0</v>
      </c>
      <c r="J2868" s="2">
        <v>2.0</v>
      </c>
      <c r="K2868" s="2" t="s">
        <v>119</v>
      </c>
      <c r="L2868" s="2" t="s">
        <v>11805</v>
      </c>
      <c r="M2868" s="1" t="s">
        <v>11806</v>
      </c>
      <c r="N2868" s="1" t="s">
        <v>213</v>
      </c>
      <c r="O2868" s="1" t="s">
        <v>365</v>
      </c>
      <c r="P2868" s="1" t="s">
        <v>11807</v>
      </c>
      <c r="Q2868" s="3">
        <v>41762.0</v>
      </c>
      <c r="R2868" s="1"/>
      <c r="S2868" s="1"/>
      <c r="T2868" s="1" t="s">
        <v>37</v>
      </c>
      <c r="U2868" s="1"/>
      <c r="V2868" s="1" t="s">
        <v>38</v>
      </c>
      <c r="W2868" s="1">
        <v>44.446252</v>
      </c>
      <c r="X2868" s="1">
        <v>-72.687028</v>
      </c>
      <c r="Y2868" s="1" t="s">
        <v>11808</v>
      </c>
      <c r="Z2868" s="1"/>
      <c r="AA2868" s="1" t="s">
        <v>40</v>
      </c>
      <c r="AB2868" s="1" t="s">
        <v>10075</v>
      </c>
      <c r="AC2868" s="1">
        <v>5672.0</v>
      </c>
    </row>
    <row r="2869">
      <c r="A2869" s="1" t="str">
        <f>"000NCN"</f>
        <v>000NCN</v>
      </c>
      <c r="B2869" s="1" t="s">
        <v>11809</v>
      </c>
      <c r="C2869" s="1" t="s">
        <v>11810</v>
      </c>
      <c r="D2869" s="1" t="str">
        <f>"8028819816"</f>
        <v>8028819816</v>
      </c>
      <c r="E2869" s="1">
        <v>4717.0</v>
      </c>
      <c r="F2869" s="1" t="s">
        <v>117</v>
      </c>
      <c r="G2869" s="1" t="s">
        <v>11811</v>
      </c>
      <c r="H2869" s="1">
        <v>1.0</v>
      </c>
      <c r="I2869" s="2">
        <v>1.0</v>
      </c>
      <c r="J2869" s="2">
        <v>1.0</v>
      </c>
      <c r="K2869" s="2" t="s">
        <v>119</v>
      </c>
      <c r="L2869" s="1"/>
      <c r="M2869" s="1" t="s">
        <v>11812</v>
      </c>
      <c r="N2869" s="1" t="s">
        <v>78</v>
      </c>
      <c r="O2869" s="1" t="s">
        <v>6059</v>
      </c>
      <c r="P2869" s="1" t="s">
        <v>11813</v>
      </c>
      <c r="Q2869" s="3">
        <v>41730.0</v>
      </c>
      <c r="R2869" s="1"/>
      <c r="S2869" s="1"/>
      <c r="T2869" s="1" t="s">
        <v>37</v>
      </c>
      <c r="U2869" s="1"/>
      <c r="V2869" s="1" t="s">
        <v>38</v>
      </c>
      <c r="W2869" s="1">
        <v>43.8290979999999</v>
      </c>
      <c r="X2869" s="1">
        <v>-73.2013779999999</v>
      </c>
      <c r="Y2869" s="1" t="s">
        <v>11814</v>
      </c>
      <c r="Z2869" s="1"/>
      <c r="AA2869" s="1" t="s">
        <v>40</v>
      </c>
      <c r="AB2869" s="1" t="s">
        <v>6062</v>
      </c>
      <c r="AC2869" s="1">
        <v>5778.0</v>
      </c>
    </row>
    <row r="2870">
      <c r="A2870" s="1" t="str">
        <f>"000NCP"</f>
        <v>000NCP</v>
      </c>
      <c r="B2870" s="1" t="s">
        <v>11815</v>
      </c>
      <c r="C2870" s="1" t="s">
        <v>11816</v>
      </c>
      <c r="D2870" s="1" t="str">
        <f>"8027285183"</f>
        <v>8027285183</v>
      </c>
      <c r="E2870" s="1">
        <v>4718.0</v>
      </c>
      <c r="F2870" s="1" t="s">
        <v>44</v>
      </c>
      <c r="G2870" s="1" t="s">
        <v>11817</v>
      </c>
      <c r="H2870" s="1">
        <v>2.0</v>
      </c>
      <c r="I2870" s="1"/>
      <c r="J2870" s="1"/>
      <c r="K2870" s="1"/>
      <c r="L2870" s="1"/>
      <c r="M2870" s="1" t="s">
        <v>33</v>
      </c>
      <c r="N2870" s="1" t="s">
        <v>142</v>
      </c>
      <c r="O2870" s="1" t="s">
        <v>359</v>
      </c>
      <c r="P2870" s="1" t="s">
        <v>36</v>
      </c>
      <c r="Q2870" s="3">
        <v>41640.0</v>
      </c>
      <c r="R2870" s="1"/>
      <c r="S2870" s="1"/>
      <c r="T2870" s="1" t="s">
        <v>37</v>
      </c>
      <c r="U2870" s="1"/>
      <c r="V2870" s="1" t="s">
        <v>38</v>
      </c>
      <c r="W2870" s="1">
        <v>44.004852</v>
      </c>
      <c r="X2870" s="1">
        <v>-72.654381</v>
      </c>
      <c r="Y2870" s="1" t="s">
        <v>11818</v>
      </c>
      <c r="Z2870" s="1"/>
      <c r="AA2870" s="1" t="s">
        <v>40</v>
      </c>
      <c r="AB2870" s="1" t="s">
        <v>361</v>
      </c>
      <c r="AC2870" s="1">
        <v>5060.0</v>
      </c>
    </row>
    <row r="2871">
      <c r="A2871" s="1" t="str">
        <f>"000NCQ"</f>
        <v>000NCQ</v>
      </c>
      <c r="B2871" s="1" t="s">
        <v>11819</v>
      </c>
      <c r="C2871" s="1" t="s">
        <v>11820</v>
      </c>
      <c r="D2871" s="1" t="str">
        <f>"8026736844"</f>
        <v>8026736844</v>
      </c>
      <c r="E2871" s="1">
        <v>4719.0</v>
      </c>
      <c r="F2871" s="1" t="s">
        <v>44</v>
      </c>
      <c r="G2871" s="1" t="s">
        <v>11821</v>
      </c>
      <c r="H2871" s="1">
        <v>2.0</v>
      </c>
      <c r="I2871" s="1"/>
      <c r="J2871" s="1"/>
      <c r="K2871" s="1"/>
      <c r="L2871" s="1"/>
      <c r="M2871" s="1" t="s">
        <v>33</v>
      </c>
      <c r="N2871" s="1" t="s">
        <v>94</v>
      </c>
      <c r="O2871" s="1" t="s">
        <v>637</v>
      </c>
      <c r="P2871" s="1" t="s">
        <v>36</v>
      </c>
      <c r="Q2871" s="3">
        <v>41640.0</v>
      </c>
      <c r="R2871" s="1"/>
      <c r="S2871" s="1"/>
      <c r="T2871" s="1" t="s">
        <v>37</v>
      </c>
      <c r="U2871" s="1"/>
      <c r="V2871" s="1" t="s">
        <v>38</v>
      </c>
      <c r="W2871" s="1">
        <v>44.8823269</v>
      </c>
      <c r="X2871" s="1">
        <v>-72.3463684999999</v>
      </c>
      <c r="Y2871" s="1" t="s">
        <v>11822</v>
      </c>
      <c r="Z2871" s="1"/>
      <c r="AA2871" s="1" t="s">
        <v>40</v>
      </c>
      <c r="AB2871" s="1" t="s">
        <v>303</v>
      </c>
      <c r="AC2871" s="1">
        <v>5857.0</v>
      </c>
    </row>
    <row r="2872">
      <c r="A2872" s="1" t="str">
        <f>"000NCV"</f>
        <v>000NCV</v>
      </c>
      <c r="B2872" s="1" t="s">
        <v>11823</v>
      </c>
      <c r="C2872" s="1" t="s">
        <v>11824</v>
      </c>
      <c r="D2872" s="1" t="str">
        <f>"8025987702"</f>
        <v>8025987702</v>
      </c>
      <c r="E2872" s="1">
        <v>4720.0</v>
      </c>
      <c r="F2872" s="1" t="s">
        <v>117</v>
      </c>
      <c r="G2872" s="1" t="s">
        <v>11825</v>
      </c>
      <c r="H2872" s="1">
        <v>1.0</v>
      </c>
      <c r="I2872" s="2" t="s">
        <v>119</v>
      </c>
      <c r="J2872" s="2">
        <v>1.0</v>
      </c>
      <c r="K2872" s="2" t="s">
        <v>119</v>
      </c>
      <c r="L2872" s="1"/>
      <c r="M2872" s="1" t="s">
        <v>11826</v>
      </c>
      <c r="N2872" s="1" t="s">
        <v>57</v>
      </c>
      <c r="O2872" s="1" t="s">
        <v>175</v>
      </c>
      <c r="P2872" s="1" t="s">
        <v>11827</v>
      </c>
      <c r="Q2872" s="3">
        <v>41844.0</v>
      </c>
      <c r="R2872" s="1"/>
      <c r="S2872" s="1"/>
      <c r="T2872" s="1" t="s">
        <v>37</v>
      </c>
      <c r="U2872" s="1"/>
      <c r="V2872" s="1" t="s">
        <v>38</v>
      </c>
      <c r="W2872" s="1">
        <v>44.488228</v>
      </c>
      <c r="X2872" s="1">
        <v>-73.2240269999999</v>
      </c>
      <c r="Y2872" s="1" t="s">
        <v>9197</v>
      </c>
      <c r="Z2872" s="1"/>
      <c r="AA2872" s="1" t="s">
        <v>40</v>
      </c>
      <c r="AB2872" s="1" t="s">
        <v>176</v>
      </c>
      <c r="AC2872" s="1">
        <v>5401.0</v>
      </c>
    </row>
    <row r="2873">
      <c r="A2873" s="1" t="str">
        <f>"000NCW"</f>
        <v>000NCW</v>
      </c>
      <c r="B2873" s="1" t="s">
        <v>11828</v>
      </c>
      <c r="C2873" s="1" t="s">
        <v>11829</v>
      </c>
      <c r="D2873" s="1" t="str">
        <f>"8029881141"</f>
        <v>8029881141</v>
      </c>
      <c r="E2873" s="1">
        <v>4721.0</v>
      </c>
      <c r="F2873" s="1" t="s">
        <v>44</v>
      </c>
      <c r="G2873" s="1" t="s">
        <v>11830</v>
      </c>
      <c r="H2873" s="1">
        <v>1.0</v>
      </c>
      <c r="I2873" s="1"/>
      <c r="J2873" s="1"/>
      <c r="K2873" s="1"/>
      <c r="L2873" s="1"/>
      <c r="M2873" s="1" t="s">
        <v>33</v>
      </c>
      <c r="N2873" s="1" t="s">
        <v>94</v>
      </c>
      <c r="O2873" s="1" t="s">
        <v>489</v>
      </c>
      <c r="P2873" s="1" t="s">
        <v>36</v>
      </c>
      <c r="Q2873" s="3">
        <v>41872.0</v>
      </c>
      <c r="R2873" s="1"/>
      <c r="S2873" s="1"/>
      <c r="T2873" s="1" t="s">
        <v>37</v>
      </c>
      <c r="U2873" s="1"/>
      <c r="V2873" s="1" t="s">
        <v>38</v>
      </c>
      <c r="W2873" s="1">
        <v>44.9916229</v>
      </c>
      <c r="X2873" s="1">
        <v>-72.3837558</v>
      </c>
      <c r="Y2873" s="1" t="s">
        <v>11831</v>
      </c>
      <c r="Z2873" s="1"/>
      <c r="AA2873" s="1" t="s">
        <v>40</v>
      </c>
      <c r="AB2873" s="1" t="s">
        <v>8012</v>
      </c>
      <c r="AC2873" s="1">
        <v>5859.0</v>
      </c>
    </row>
    <row r="2874">
      <c r="A2874" s="1" t="str">
        <f>"000NCX"</f>
        <v>000NCX</v>
      </c>
      <c r="B2874" s="1" t="s">
        <v>11832</v>
      </c>
      <c r="C2874" s="1" t="s">
        <v>11833</v>
      </c>
      <c r="D2874" s="1" t="str">
        <f>"8027632548"</f>
        <v>8027632548</v>
      </c>
      <c r="E2874" s="1">
        <v>4722.0</v>
      </c>
      <c r="F2874" s="1" t="s">
        <v>117</v>
      </c>
      <c r="G2874" s="1" t="s">
        <v>11834</v>
      </c>
      <c r="H2874" s="1">
        <v>1.0</v>
      </c>
      <c r="I2874" s="2" t="s">
        <v>119</v>
      </c>
      <c r="J2874" s="2">
        <v>2.0</v>
      </c>
      <c r="K2874" s="2" t="s">
        <v>119</v>
      </c>
      <c r="L2874" s="1"/>
      <c r="M2874" s="1" t="s">
        <v>11835</v>
      </c>
      <c r="N2874" s="1" t="s">
        <v>34</v>
      </c>
      <c r="O2874" s="1" t="s">
        <v>35</v>
      </c>
      <c r="P2874" s="1" t="s">
        <v>11836</v>
      </c>
      <c r="Q2874" s="3">
        <v>41750.0</v>
      </c>
      <c r="R2874" s="1"/>
      <c r="S2874" s="3">
        <v>42916.0</v>
      </c>
      <c r="T2874" s="1" t="s">
        <v>37</v>
      </c>
      <c r="U2874" s="1"/>
      <c r="V2874" s="1" t="s">
        <v>38</v>
      </c>
      <c r="W2874" s="1">
        <v>43.8482594</v>
      </c>
      <c r="X2874" s="1">
        <v>-72.4993614999999</v>
      </c>
      <c r="Y2874" s="1" t="s">
        <v>11837</v>
      </c>
      <c r="Z2874" s="1"/>
      <c r="AA2874" s="1" t="s">
        <v>40</v>
      </c>
      <c r="AB2874" s="1" t="s">
        <v>41</v>
      </c>
      <c r="AC2874" s="1">
        <v>5068.0</v>
      </c>
    </row>
    <row r="2875">
      <c r="A2875" s="1" t="str">
        <f>"000NCY"</f>
        <v>000NCY</v>
      </c>
      <c r="B2875" s="1" t="s">
        <v>11838</v>
      </c>
      <c r="C2875" s="1" t="s">
        <v>11839</v>
      </c>
      <c r="D2875" s="1" t="str">
        <f>"9072097860"</f>
        <v>9072097860</v>
      </c>
      <c r="E2875" s="1">
        <v>4723.0</v>
      </c>
      <c r="F2875" s="1" t="s">
        <v>44</v>
      </c>
      <c r="G2875" s="1" t="s">
        <v>11840</v>
      </c>
      <c r="H2875" s="1">
        <v>2.0</v>
      </c>
      <c r="I2875" s="1"/>
      <c r="J2875" s="1"/>
      <c r="K2875" s="1"/>
      <c r="L2875" s="1"/>
      <c r="M2875" s="1"/>
      <c r="N2875" s="1"/>
      <c r="O2875" s="1"/>
      <c r="P2875" s="1" t="s">
        <v>11841</v>
      </c>
      <c r="Q2875" s="3">
        <v>41914.0</v>
      </c>
      <c r="R2875" s="1"/>
      <c r="S2875" s="1"/>
      <c r="T2875" s="1" t="s">
        <v>37</v>
      </c>
      <c r="U2875" s="1"/>
      <c r="V2875" s="1" t="s">
        <v>38</v>
      </c>
      <c r="W2875" s="1">
        <v>42.9551935</v>
      </c>
      <c r="X2875" s="1">
        <v>-73.2736669999999</v>
      </c>
      <c r="Y2875" s="1" t="s">
        <v>11842</v>
      </c>
      <c r="Z2875" s="1"/>
      <c r="AA2875" s="1" t="s">
        <v>10613</v>
      </c>
      <c r="AB2875" s="1" t="s">
        <v>1374</v>
      </c>
      <c r="AC2875" s="1">
        <v>5257.0</v>
      </c>
    </row>
    <row r="2876">
      <c r="A2876" s="1" t="str">
        <f>"000NCZ"</f>
        <v>000NCZ</v>
      </c>
      <c r="B2876" s="1" t="s">
        <v>11843</v>
      </c>
      <c r="C2876" s="1" t="s">
        <v>11844</v>
      </c>
      <c r="D2876" s="1" t="str">
        <f>"8028633860"</f>
        <v>8028633860</v>
      </c>
      <c r="E2876" s="1">
        <v>4724.0</v>
      </c>
      <c r="F2876" s="1" t="s">
        <v>117</v>
      </c>
      <c r="G2876" s="1" t="s">
        <v>11845</v>
      </c>
      <c r="H2876" s="1">
        <v>4.0</v>
      </c>
      <c r="I2876" s="2" t="s">
        <v>119</v>
      </c>
      <c r="J2876" s="2">
        <v>1.0</v>
      </c>
      <c r="K2876" s="2" t="s">
        <v>119</v>
      </c>
      <c r="L2876" s="1"/>
      <c r="M2876" s="1" t="s">
        <v>11846</v>
      </c>
      <c r="N2876" s="1" t="s">
        <v>57</v>
      </c>
      <c r="O2876" s="1" t="s">
        <v>175</v>
      </c>
      <c r="P2876" s="1" t="s">
        <v>11847</v>
      </c>
      <c r="Q2876" s="3">
        <v>41828.0</v>
      </c>
      <c r="R2876" s="1"/>
      <c r="S2876" s="3">
        <v>42541.0</v>
      </c>
      <c r="T2876" s="1" t="s">
        <v>37</v>
      </c>
      <c r="U2876" s="1"/>
      <c r="V2876" s="1" t="s">
        <v>38</v>
      </c>
      <c r="W2876" s="1">
        <v>44.477630458216</v>
      </c>
      <c r="X2876" s="1">
        <v>-73.1893730163574</v>
      </c>
      <c r="Y2876" s="1" t="s">
        <v>11848</v>
      </c>
      <c r="Z2876" s="1"/>
      <c r="AA2876" s="1" t="s">
        <v>40</v>
      </c>
      <c r="AB2876" s="1" t="s">
        <v>176</v>
      </c>
      <c r="AC2876" s="1">
        <v>5401.0</v>
      </c>
    </row>
    <row r="2877">
      <c r="A2877" s="1" t="str">
        <f>"000ND0"</f>
        <v>000ND0</v>
      </c>
      <c r="B2877" s="1" t="s">
        <v>11849</v>
      </c>
      <c r="C2877" s="1" t="s">
        <v>11850</v>
      </c>
      <c r="D2877" s="1" t="str">
        <f>"8022273132"</f>
        <v>8022273132</v>
      </c>
      <c r="E2877" s="1">
        <v>4725.0</v>
      </c>
      <c r="F2877" s="1" t="s">
        <v>44</v>
      </c>
      <c r="G2877" s="1" t="s">
        <v>11851</v>
      </c>
      <c r="H2877" s="1">
        <v>1.0</v>
      </c>
      <c r="I2877" s="1"/>
      <c r="J2877" s="1"/>
      <c r="K2877" s="1"/>
      <c r="L2877" s="1"/>
      <c r="M2877" s="1" t="s">
        <v>33</v>
      </c>
      <c r="N2877" s="1" t="s">
        <v>128</v>
      </c>
      <c r="O2877" s="1" t="s">
        <v>1695</v>
      </c>
      <c r="P2877" s="1" t="s">
        <v>36</v>
      </c>
      <c r="Q2877" s="3">
        <v>41849.0</v>
      </c>
      <c r="R2877" s="1"/>
      <c r="S2877" s="1"/>
      <c r="T2877" s="1" t="s">
        <v>37</v>
      </c>
      <c r="U2877" s="1"/>
      <c r="V2877" s="1" t="s">
        <v>38</v>
      </c>
      <c r="W2877" s="1">
        <v>44.359795</v>
      </c>
      <c r="X2877" s="1">
        <v>-72.1713179999999</v>
      </c>
      <c r="Y2877" s="1" t="s">
        <v>11852</v>
      </c>
      <c r="Z2877" s="1"/>
      <c r="AA2877" s="1" t="s">
        <v>40</v>
      </c>
      <c r="AB2877" s="1" t="s">
        <v>1696</v>
      </c>
      <c r="AC2877" s="1">
        <v>5821.0</v>
      </c>
    </row>
    <row r="2878">
      <c r="A2878" s="1" t="str">
        <f>"000ND1"</f>
        <v>000ND1</v>
      </c>
      <c r="B2878" s="1" t="s">
        <v>11853</v>
      </c>
      <c r="C2878" s="1" t="s">
        <v>11854</v>
      </c>
      <c r="D2878" s="1" t="str">
        <f>"8029223613"</f>
        <v>8029223613</v>
      </c>
      <c r="E2878" s="1">
        <v>4726.0</v>
      </c>
      <c r="F2878" s="1" t="s">
        <v>117</v>
      </c>
      <c r="G2878" s="1" t="s">
        <v>11855</v>
      </c>
      <c r="H2878" s="1">
        <v>2.0</v>
      </c>
      <c r="I2878" s="2">
        <v>1.0</v>
      </c>
      <c r="J2878" s="2">
        <v>1.0</v>
      </c>
      <c r="K2878" s="2"/>
      <c r="L2878" s="2"/>
      <c r="M2878" s="1" t="s">
        <v>11856</v>
      </c>
      <c r="N2878" s="1" t="s">
        <v>57</v>
      </c>
      <c r="O2878" s="1" t="s">
        <v>745</v>
      </c>
      <c r="P2878" s="1" t="s">
        <v>11857</v>
      </c>
      <c r="Q2878" s="3">
        <v>41787.0</v>
      </c>
      <c r="R2878" s="1"/>
      <c r="S2878" s="3">
        <v>42576.0</v>
      </c>
      <c r="T2878" s="1" t="s">
        <v>37</v>
      </c>
      <c r="U2878" s="1"/>
      <c r="V2878" s="1" t="s">
        <v>38</v>
      </c>
      <c r="W2878" s="1">
        <v>44.487098</v>
      </c>
      <c r="X2878" s="1">
        <v>-72.989889</v>
      </c>
      <c r="Y2878" s="1" t="s">
        <v>11858</v>
      </c>
      <c r="Z2878" s="1"/>
      <c r="AA2878" s="1" t="s">
        <v>40</v>
      </c>
      <c r="AB2878" s="1" t="s">
        <v>746</v>
      </c>
      <c r="AC2878" s="1">
        <v>5464.0</v>
      </c>
    </row>
    <row r="2879">
      <c r="A2879" s="1" t="str">
        <f>"000ND2"</f>
        <v>000ND2</v>
      </c>
      <c r="B2879" s="1" t="s">
        <v>11859</v>
      </c>
      <c r="C2879" s="1" t="s">
        <v>11860</v>
      </c>
      <c r="D2879" s="1" t="str">
        <f>"8025843585"</f>
        <v>8025843585</v>
      </c>
      <c r="E2879" s="1">
        <v>4727.0</v>
      </c>
      <c r="F2879" s="1" t="s">
        <v>44</v>
      </c>
      <c r="G2879" s="1" t="s">
        <v>11861</v>
      </c>
      <c r="H2879" s="1">
        <v>1.0</v>
      </c>
      <c r="I2879" s="1"/>
      <c r="J2879" s="1"/>
      <c r="K2879" s="1"/>
      <c r="L2879" s="1"/>
      <c r="M2879" s="1" t="s">
        <v>33</v>
      </c>
      <c r="N2879" s="1" t="s">
        <v>128</v>
      </c>
      <c r="O2879" s="1" t="s">
        <v>1048</v>
      </c>
      <c r="P2879" s="1" t="s">
        <v>11862</v>
      </c>
      <c r="Q2879" s="3">
        <v>41920.0</v>
      </c>
      <c r="R2879" s="1"/>
      <c r="S2879" s="1"/>
      <c r="T2879" s="1" t="s">
        <v>37</v>
      </c>
      <c r="U2879" s="1"/>
      <c r="V2879" s="1" t="s">
        <v>38</v>
      </c>
      <c r="W2879" s="1">
        <v>44.186892</v>
      </c>
      <c r="X2879" s="1">
        <v>-72.1380719</v>
      </c>
      <c r="Y2879" s="1" t="s">
        <v>11863</v>
      </c>
      <c r="Z2879" s="1"/>
      <c r="AA2879" s="1" t="s">
        <v>40</v>
      </c>
      <c r="AB2879" s="1" t="s">
        <v>2218</v>
      </c>
      <c r="AC2879" s="1">
        <v>5000.0</v>
      </c>
    </row>
    <row r="2880">
      <c r="A2880" s="1" t="str">
        <f>"000ND3"</f>
        <v>000ND3</v>
      </c>
      <c r="B2880" s="1" t="s">
        <v>11864</v>
      </c>
      <c r="C2880" s="1" t="s">
        <v>11865</v>
      </c>
      <c r="D2880" s="1" t="str">
        <f>"8027485461"</f>
        <v>8027485461</v>
      </c>
      <c r="E2880" s="1">
        <v>4728.0</v>
      </c>
      <c r="F2880" s="1" t="s">
        <v>117</v>
      </c>
      <c r="G2880" s="1" t="s">
        <v>11866</v>
      </c>
      <c r="H2880" s="1">
        <v>2.0</v>
      </c>
      <c r="I2880" s="2">
        <v>6.0</v>
      </c>
      <c r="J2880" s="2">
        <v>6.0</v>
      </c>
      <c r="K2880" s="2" t="s">
        <v>119</v>
      </c>
      <c r="L2880" s="2" t="s">
        <v>1261</v>
      </c>
      <c r="M2880" s="1" t="s">
        <v>11867</v>
      </c>
      <c r="N2880" s="1" t="s">
        <v>128</v>
      </c>
      <c r="O2880" s="1" t="s">
        <v>6806</v>
      </c>
      <c r="P2880" s="1" t="s">
        <v>11868</v>
      </c>
      <c r="Q2880" s="3">
        <v>41831.0</v>
      </c>
      <c r="R2880" s="1"/>
      <c r="S2880" s="1"/>
      <c r="T2880" s="1" t="s">
        <v>37</v>
      </c>
      <c r="U2880" s="1"/>
      <c r="V2880" s="1" t="s">
        <v>38</v>
      </c>
      <c r="W2880" s="1">
        <v>44.362404</v>
      </c>
      <c r="X2880" s="1">
        <v>-71.890671</v>
      </c>
      <c r="Y2880" s="1" t="s">
        <v>11869</v>
      </c>
      <c r="Z2880" s="1"/>
      <c r="AA2880" s="1" t="s">
        <v>40</v>
      </c>
      <c r="AB2880" s="1" t="s">
        <v>6808</v>
      </c>
      <c r="AC2880" s="1">
        <v>5819.0</v>
      </c>
    </row>
    <row r="2881">
      <c r="A2881" s="1" t="str">
        <f>"000ND4"</f>
        <v>000ND4</v>
      </c>
      <c r="B2881" s="1" t="s">
        <v>11870</v>
      </c>
      <c r="C2881" s="1" t="s">
        <v>11871</v>
      </c>
      <c r="D2881" s="1" t="str">
        <f>"8025272862"</f>
        <v>8025272862</v>
      </c>
      <c r="E2881" s="1">
        <v>4729.0</v>
      </c>
      <c r="F2881" s="1" t="s">
        <v>117</v>
      </c>
      <c r="G2881" s="1" t="s">
        <v>11872</v>
      </c>
      <c r="H2881" s="1">
        <v>1.0</v>
      </c>
      <c r="I2881" s="2">
        <v>2.0</v>
      </c>
      <c r="J2881" s="2">
        <v>2.0</v>
      </c>
      <c r="K2881" s="2" t="s">
        <v>119</v>
      </c>
      <c r="L2881" s="2" t="s">
        <v>11873</v>
      </c>
      <c r="M2881" s="1" t="s">
        <v>11874</v>
      </c>
      <c r="N2881" s="1" t="s">
        <v>47</v>
      </c>
      <c r="O2881" s="1" t="s">
        <v>670</v>
      </c>
      <c r="P2881" s="1" t="s">
        <v>11875</v>
      </c>
      <c r="Q2881" s="3">
        <v>41824.0</v>
      </c>
      <c r="R2881" s="1"/>
      <c r="S2881" s="1"/>
      <c r="T2881" s="1" t="s">
        <v>37</v>
      </c>
      <c r="U2881" s="1"/>
      <c r="V2881" s="1" t="s">
        <v>38</v>
      </c>
      <c r="W2881" s="1">
        <v>44.885952</v>
      </c>
      <c r="X2881" s="1">
        <v>-72.999161</v>
      </c>
      <c r="Y2881" s="1" t="s">
        <v>11876</v>
      </c>
      <c r="Z2881" s="1"/>
      <c r="AA2881" s="1" t="s">
        <v>40</v>
      </c>
      <c r="AB2881" s="1" t="s">
        <v>11877</v>
      </c>
      <c r="AC2881" s="1">
        <v>5485.0</v>
      </c>
    </row>
    <row r="2882">
      <c r="A2882" s="1" t="str">
        <f>"000ND5"</f>
        <v>000ND5</v>
      </c>
      <c r="B2882" s="1" t="s">
        <v>11878</v>
      </c>
      <c r="C2882" s="1" t="s">
        <v>11879</v>
      </c>
      <c r="D2882" s="1" t="str">
        <f>"8022570117"</f>
        <v>8022570117</v>
      </c>
      <c r="E2882" s="1">
        <v>4730.0</v>
      </c>
      <c r="F2882" s="1" t="s">
        <v>44</v>
      </c>
      <c r="G2882" s="1" t="s">
        <v>11880</v>
      </c>
      <c r="H2882" s="1">
        <v>1.0</v>
      </c>
      <c r="I2882" s="1"/>
      <c r="J2882" s="1"/>
      <c r="K2882" s="1"/>
      <c r="L2882" s="1"/>
      <c r="M2882" s="1" t="s">
        <v>33</v>
      </c>
      <c r="N2882" s="1" t="s">
        <v>66</v>
      </c>
      <c r="O2882" s="1" t="s">
        <v>1136</v>
      </c>
      <c r="P2882" s="1" t="s">
        <v>36</v>
      </c>
      <c r="Q2882" s="3">
        <v>41812.0</v>
      </c>
      <c r="R2882" s="1"/>
      <c r="S2882" s="1"/>
      <c r="T2882" s="1" t="s">
        <v>37</v>
      </c>
      <c r="U2882" s="1"/>
      <c r="V2882" s="1" t="s">
        <v>38</v>
      </c>
      <c r="W2882" s="1">
        <v>42.750332</v>
      </c>
      <c r="X2882" s="1">
        <v>-72.6355509999999</v>
      </c>
      <c r="Y2882" s="1" t="s">
        <v>11881</v>
      </c>
      <c r="Z2882" s="1"/>
      <c r="AA2882" s="1" t="s">
        <v>40</v>
      </c>
      <c r="AB2882" s="1" t="s">
        <v>1137</v>
      </c>
      <c r="AC2882" s="1">
        <v>5301.0</v>
      </c>
    </row>
    <row r="2883">
      <c r="A2883" s="1" t="str">
        <f>"000ND6"</f>
        <v>000ND6</v>
      </c>
      <c r="B2883" s="1" t="s">
        <v>11882</v>
      </c>
      <c r="C2883" s="1" t="s">
        <v>11883</v>
      </c>
      <c r="D2883" s="1" t="str">
        <f>"8023098325"</f>
        <v>8023098325</v>
      </c>
      <c r="E2883" s="1">
        <v>4731.0</v>
      </c>
      <c r="F2883" s="1" t="s">
        <v>117</v>
      </c>
      <c r="G2883" s="1" t="s">
        <v>11884</v>
      </c>
      <c r="H2883" s="1">
        <v>2.0</v>
      </c>
      <c r="I2883" s="2">
        <v>6.0</v>
      </c>
      <c r="J2883" s="2">
        <v>6.0</v>
      </c>
      <c r="K2883" s="2" t="s">
        <v>119</v>
      </c>
      <c r="L2883" s="2"/>
      <c r="M2883" s="1" t="s">
        <v>11885</v>
      </c>
      <c r="N2883" s="1" t="s">
        <v>47</v>
      </c>
      <c r="O2883" s="1" t="s">
        <v>378</v>
      </c>
      <c r="P2883" s="1" t="s">
        <v>11886</v>
      </c>
      <c r="Q2883" s="3">
        <v>41873.0</v>
      </c>
      <c r="R2883" s="1"/>
      <c r="S2883" s="1"/>
      <c r="T2883" s="1" t="s">
        <v>37</v>
      </c>
      <c r="U2883" s="1"/>
      <c r="V2883" s="1" t="s">
        <v>38</v>
      </c>
      <c r="W2883" s="1">
        <v>44.6672998</v>
      </c>
      <c r="X2883" s="1">
        <v>-73.0237631</v>
      </c>
      <c r="Y2883" s="1" t="s">
        <v>11887</v>
      </c>
      <c r="Z2883" s="1"/>
      <c r="AA2883" s="1" t="s">
        <v>40</v>
      </c>
      <c r="AB2883" s="1" t="s">
        <v>381</v>
      </c>
      <c r="AC2883" s="1">
        <v>5454.0</v>
      </c>
    </row>
    <row r="2884">
      <c r="A2884" s="1" t="str">
        <f>"000NDB"</f>
        <v>000NDB</v>
      </c>
      <c r="B2884" s="1" t="s">
        <v>11888</v>
      </c>
      <c r="C2884" s="1" t="s">
        <v>11889</v>
      </c>
      <c r="D2884" s="1" t="str">
        <f>"8027345489"</f>
        <v>8027345489</v>
      </c>
      <c r="E2884" s="1">
        <v>4732.0</v>
      </c>
      <c r="F2884" s="1" t="s">
        <v>44</v>
      </c>
      <c r="G2884" s="1" t="s">
        <v>11890</v>
      </c>
      <c r="H2884" s="1">
        <v>2.0</v>
      </c>
      <c r="I2884" s="1"/>
      <c r="J2884" s="1"/>
      <c r="K2884" s="1"/>
      <c r="L2884" s="1"/>
      <c r="M2884" s="1" t="s">
        <v>11891</v>
      </c>
      <c r="N2884" s="1" t="s">
        <v>57</v>
      </c>
      <c r="O2884" s="1" t="s">
        <v>238</v>
      </c>
      <c r="P2884" s="1" t="s">
        <v>11892</v>
      </c>
      <c r="Q2884" s="3">
        <v>41760.0</v>
      </c>
      <c r="R2884" s="1"/>
      <c r="S2884" s="3">
        <v>41844.0</v>
      </c>
      <c r="T2884" s="1" t="s">
        <v>37</v>
      </c>
      <c r="U2884" s="1"/>
      <c r="V2884" s="1" t="s">
        <v>38</v>
      </c>
      <c r="W2884" s="1">
        <v>44.3935302482715</v>
      </c>
      <c r="X2884" s="1">
        <v>-73.2704830169677</v>
      </c>
      <c r="Y2884" s="1" t="s">
        <v>5957</v>
      </c>
      <c r="Z2884" s="1"/>
      <c r="AA2884" s="1" t="s">
        <v>40</v>
      </c>
      <c r="AB2884" s="1" t="s">
        <v>239</v>
      </c>
      <c r="AC2884" s="1">
        <v>5482.0</v>
      </c>
    </row>
    <row r="2885">
      <c r="A2885" s="1" t="str">
        <f>"000NDC"</f>
        <v>000NDC</v>
      </c>
      <c r="B2885" s="1" t="s">
        <v>11893</v>
      </c>
      <c r="C2885" s="1" t="s">
        <v>11894</v>
      </c>
      <c r="D2885" s="1" t="str">
        <f>"8028887880"</f>
        <v>8028887880</v>
      </c>
      <c r="E2885" s="1">
        <v>4733.0</v>
      </c>
      <c r="F2885" s="1" t="s">
        <v>44</v>
      </c>
      <c r="G2885" s="1" t="s">
        <v>11895</v>
      </c>
      <c r="H2885" s="1">
        <v>1.0</v>
      </c>
      <c r="I2885" s="1"/>
      <c r="J2885" s="1"/>
      <c r="K2885" s="1"/>
      <c r="L2885" s="1"/>
      <c r="M2885" s="1" t="s">
        <v>33</v>
      </c>
      <c r="N2885" s="1" t="s">
        <v>213</v>
      </c>
      <c r="O2885" s="1" t="s">
        <v>214</v>
      </c>
      <c r="P2885" s="1" t="s">
        <v>36</v>
      </c>
      <c r="Q2885" s="3">
        <v>41760.0</v>
      </c>
      <c r="R2885" s="1"/>
      <c r="S2885" s="1"/>
      <c r="T2885" s="1" t="s">
        <v>37</v>
      </c>
      <c r="U2885" s="1"/>
      <c r="V2885" s="1" t="s">
        <v>38</v>
      </c>
      <c r="W2885" s="1">
        <v>44.5651654</v>
      </c>
      <c r="X2885" s="1">
        <v>-72.6728496</v>
      </c>
      <c r="Y2885" s="1" t="s">
        <v>11896</v>
      </c>
      <c r="Z2885" s="1"/>
      <c r="AA2885" s="1" t="s">
        <v>40</v>
      </c>
      <c r="AB2885" s="1" t="s">
        <v>8450</v>
      </c>
      <c r="AC2885" s="1">
        <v>5661.0</v>
      </c>
    </row>
    <row r="2886">
      <c r="A2886" s="1" t="str">
        <f>"000NDD"</f>
        <v>000NDD</v>
      </c>
      <c r="B2886" s="1" t="s">
        <v>11897</v>
      </c>
      <c r="C2886" s="1" t="s">
        <v>11898</v>
      </c>
      <c r="D2886" s="1" t="str">
        <f>"8028675979"</f>
        <v>8028675979</v>
      </c>
      <c r="E2886" s="1">
        <v>4734.0</v>
      </c>
      <c r="F2886" s="1" t="s">
        <v>44</v>
      </c>
      <c r="G2886" s="1" t="s">
        <v>11899</v>
      </c>
      <c r="H2886" s="1">
        <v>2.0</v>
      </c>
      <c r="I2886" s="2" t="s">
        <v>119</v>
      </c>
      <c r="J2886" s="2">
        <v>2.0</v>
      </c>
      <c r="K2886" s="2" t="s">
        <v>119</v>
      </c>
      <c r="L2886" s="1"/>
      <c r="M2886" s="1" t="s">
        <v>33</v>
      </c>
      <c r="N2886" s="1" t="s">
        <v>414</v>
      </c>
      <c r="O2886" s="1" t="s">
        <v>415</v>
      </c>
      <c r="P2886" s="1" t="s">
        <v>11900</v>
      </c>
      <c r="Q2886" s="3">
        <v>41819.0</v>
      </c>
      <c r="R2886" s="1"/>
      <c r="S2886" s="1"/>
      <c r="T2886" s="1" t="s">
        <v>37</v>
      </c>
      <c r="U2886" s="1"/>
      <c r="V2886" s="1" t="s">
        <v>38</v>
      </c>
      <c r="W2886" s="1">
        <v>43.2684011</v>
      </c>
      <c r="X2886" s="1">
        <v>-73.0942974</v>
      </c>
      <c r="Y2886" s="1" t="s">
        <v>11901</v>
      </c>
      <c r="Z2886" s="1"/>
      <c r="AA2886" s="1" t="s">
        <v>40</v>
      </c>
      <c r="AB2886" s="1" t="s">
        <v>416</v>
      </c>
      <c r="AC2886" s="1">
        <v>5251.0</v>
      </c>
    </row>
    <row r="2887">
      <c r="A2887" s="1" t="str">
        <f>"000NDF"</f>
        <v>000NDF</v>
      </c>
      <c r="B2887" s="1" t="s">
        <v>11902</v>
      </c>
      <c r="C2887" s="1" t="s">
        <v>11903</v>
      </c>
      <c r="D2887" s="1" t="str">
        <f>"8028993578"</f>
        <v>8028993578</v>
      </c>
      <c r="E2887" s="1">
        <v>4735.0</v>
      </c>
      <c r="F2887" s="1" t="s">
        <v>44</v>
      </c>
      <c r="G2887" s="1" t="s">
        <v>11904</v>
      </c>
      <c r="H2887" s="1">
        <v>3.0</v>
      </c>
      <c r="I2887" s="1"/>
      <c r="J2887" s="1"/>
      <c r="K2887" s="1"/>
      <c r="L2887" s="1"/>
      <c r="M2887" s="1" t="s">
        <v>33</v>
      </c>
      <c r="N2887" s="1" t="s">
        <v>142</v>
      </c>
      <c r="O2887" s="1" t="s">
        <v>648</v>
      </c>
      <c r="P2887" s="1" t="s">
        <v>36</v>
      </c>
      <c r="Q2887" s="3">
        <v>41826.0</v>
      </c>
      <c r="R2887" s="1"/>
      <c r="S2887" s="3">
        <v>42220.0</v>
      </c>
      <c r="T2887" s="1" t="s">
        <v>37</v>
      </c>
      <c r="U2887" s="1"/>
      <c r="V2887" s="1" t="s">
        <v>38</v>
      </c>
      <c r="W2887" s="1">
        <v>43.871464</v>
      </c>
      <c r="X2887" s="1">
        <v>-72.465233</v>
      </c>
      <c r="Y2887" s="1" t="s">
        <v>11905</v>
      </c>
      <c r="Z2887" s="1"/>
      <c r="AA2887" s="1" t="s">
        <v>40</v>
      </c>
      <c r="AB2887" s="1" t="s">
        <v>650</v>
      </c>
      <c r="AC2887" s="1">
        <v>5077.0</v>
      </c>
    </row>
    <row r="2888">
      <c r="A2888" s="1" t="str">
        <f>"000NDG"</f>
        <v>000NDG</v>
      </c>
      <c r="B2888" s="1" t="s">
        <v>11906</v>
      </c>
      <c r="C2888" s="1" t="s">
        <v>11907</v>
      </c>
      <c r="D2888" s="1" t="str">
        <f>"6032754469"</f>
        <v>6032754469</v>
      </c>
      <c r="E2888" s="1">
        <v>4736.0</v>
      </c>
      <c r="F2888" s="1" t="s">
        <v>44</v>
      </c>
      <c r="G2888" s="1" t="s">
        <v>11908</v>
      </c>
      <c r="H2888" s="1">
        <v>1.0</v>
      </c>
      <c r="I2888" s="1"/>
      <c r="J2888" s="1"/>
      <c r="K2888" s="1"/>
      <c r="L2888" s="1"/>
      <c r="M2888" s="1" t="s">
        <v>33</v>
      </c>
      <c r="N2888" s="1" t="s">
        <v>142</v>
      </c>
      <c r="O2888" s="1" t="s">
        <v>353</v>
      </c>
      <c r="P2888" s="1" t="s">
        <v>36</v>
      </c>
      <c r="Q2888" s="3">
        <v>41820.0</v>
      </c>
      <c r="R2888" s="1"/>
      <c r="S2888" s="1"/>
      <c r="T2888" s="1" t="s">
        <v>37</v>
      </c>
      <c r="U2888" s="1"/>
      <c r="V2888" s="1" t="s">
        <v>38</v>
      </c>
      <c r="W2888" s="1">
        <v>43.9982909999999</v>
      </c>
      <c r="X2888" s="1">
        <v>-72.6134409999999</v>
      </c>
      <c r="Y2888" s="1" t="s">
        <v>11909</v>
      </c>
      <c r="Z2888" s="1"/>
      <c r="AA2888" s="1" t="s">
        <v>40</v>
      </c>
      <c r="AB2888" s="1" t="s">
        <v>355</v>
      </c>
      <c r="AC2888" s="1">
        <v>5036.0</v>
      </c>
    </row>
    <row r="2889">
      <c r="A2889" s="1" t="str">
        <f>"000NDH"</f>
        <v>000NDH</v>
      </c>
      <c r="B2889" s="1" t="s">
        <v>11910</v>
      </c>
      <c r="C2889" s="1" t="s">
        <v>11911</v>
      </c>
      <c r="D2889" s="1" t="str">
        <f>"8023809330"</f>
        <v>8023809330</v>
      </c>
      <c r="E2889" s="1">
        <v>4737.0</v>
      </c>
      <c r="F2889" s="1" t="s">
        <v>117</v>
      </c>
      <c r="G2889" s="1" t="s">
        <v>11912</v>
      </c>
      <c r="H2889" s="1">
        <v>8.0</v>
      </c>
      <c r="I2889" s="2">
        <v>5.0</v>
      </c>
      <c r="J2889" s="2">
        <v>5.0</v>
      </c>
      <c r="K2889" s="2" t="s">
        <v>119</v>
      </c>
      <c r="L2889" s="2" t="s">
        <v>11913</v>
      </c>
      <c r="M2889" s="1" t="s">
        <v>11914</v>
      </c>
      <c r="N2889" s="1" t="s">
        <v>66</v>
      </c>
      <c r="O2889" s="1" t="s">
        <v>2346</v>
      </c>
      <c r="P2889" s="1" t="s">
        <v>11915</v>
      </c>
      <c r="Q2889" s="3">
        <v>41760.0</v>
      </c>
      <c r="R2889" s="1"/>
      <c r="S2889" s="1"/>
      <c r="T2889" s="1" t="s">
        <v>37</v>
      </c>
      <c r="U2889" s="1"/>
      <c r="V2889" s="1" t="s">
        <v>38</v>
      </c>
      <c r="W2889" s="1">
        <v>42.8584324</v>
      </c>
      <c r="X2889" s="1">
        <v>-72.5670308</v>
      </c>
      <c r="Y2889" s="1" t="s">
        <v>11916</v>
      </c>
      <c r="Z2889" s="1"/>
      <c r="AA2889" s="1" t="s">
        <v>40</v>
      </c>
      <c r="AB2889" s="1" t="s">
        <v>2349</v>
      </c>
      <c r="AC2889" s="1">
        <v>5301.0</v>
      </c>
    </row>
    <row r="2890">
      <c r="A2890" s="1" t="str">
        <f>"000NDJ"</f>
        <v>000NDJ</v>
      </c>
      <c r="B2890" s="1" t="s">
        <v>11917</v>
      </c>
      <c r="C2890" s="1" t="s">
        <v>11918</v>
      </c>
      <c r="D2890" s="1" t="str">
        <f>"8027596868"</f>
        <v>8027596868</v>
      </c>
      <c r="E2890" s="1">
        <v>4738.0</v>
      </c>
      <c r="F2890" s="1" t="s">
        <v>44</v>
      </c>
      <c r="G2890" s="1" t="s">
        <v>11919</v>
      </c>
      <c r="H2890" s="1">
        <v>2.0</v>
      </c>
      <c r="I2890" s="1"/>
      <c r="J2890" s="1"/>
      <c r="K2890" s="1"/>
      <c r="L2890" s="1"/>
      <c r="M2890" s="1" t="s">
        <v>33</v>
      </c>
      <c r="N2890" s="1" t="s">
        <v>161</v>
      </c>
      <c r="O2890" s="1" t="s">
        <v>576</v>
      </c>
      <c r="P2890" s="1" t="s">
        <v>36</v>
      </c>
      <c r="Q2890" s="3">
        <v>41896.0</v>
      </c>
      <c r="R2890" s="1"/>
      <c r="S2890" s="1"/>
      <c r="T2890" s="1" t="s">
        <v>37</v>
      </c>
      <c r="U2890" s="1"/>
      <c r="V2890" s="1" t="s">
        <v>38</v>
      </c>
      <c r="W2890" s="1">
        <v>44.046357</v>
      </c>
      <c r="X2890" s="1">
        <v>-73.4221549999999</v>
      </c>
      <c r="Y2890" s="1" t="s">
        <v>11920</v>
      </c>
      <c r="Z2890" s="1"/>
      <c r="AA2890" s="1" t="s">
        <v>40</v>
      </c>
      <c r="AB2890" s="1" t="s">
        <v>161</v>
      </c>
      <c r="AC2890" s="1" t="s">
        <v>11921</v>
      </c>
    </row>
    <row r="2891">
      <c r="A2891" s="1" t="str">
        <f>"000NDK"</f>
        <v>000NDK</v>
      </c>
      <c r="B2891" s="1" t="s">
        <v>11922</v>
      </c>
      <c r="C2891" s="1" t="s">
        <v>11923</v>
      </c>
      <c r="D2891" s="1" t="str">
        <f>"8022267352"</f>
        <v>8022267352</v>
      </c>
      <c r="E2891" s="1">
        <v>4739.0</v>
      </c>
      <c r="F2891" s="1" t="s">
        <v>44</v>
      </c>
      <c r="G2891" s="1" t="s">
        <v>11924</v>
      </c>
      <c r="H2891" s="1">
        <v>3.0</v>
      </c>
      <c r="I2891" s="2">
        <v>5.0</v>
      </c>
      <c r="J2891" s="2">
        <v>3.0</v>
      </c>
      <c r="K2891" s="2" t="s">
        <v>119</v>
      </c>
      <c r="L2891" s="1"/>
      <c r="M2891" s="1" t="s">
        <v>33</v>
      </c>
      <c r="N2891" s="1" t="s">
        <v>34</v>
      </c>
      <c r="O2891" s="1" t="s">
        <v>457</v>
      </c>
      <c r="P2891" s="1" t="s">
        <v>11925</v>
      </c>
      <c r="Q2891" s="3">
        <v>41887.0</v>
      </c>
      <c r="R2891" s="1"/>
      <c r="S2891" s="1"/>
      <c r="T2891" s="1" t="s">
        <v>37</v>
      </c>
      <c r="U2891" s="1"/>
      <c r="V2891" s="1" t="s">
        <v>38</v>
      </c>
      <c r="W2891" s="1">
        <v>43.425842</v>
      </c>
      <c r="X2891" s="1">
        <v>-72.622513</v>
      </c>
      <c r="Y2891" s="1" t="s">
        <v>11926</v>
      </c>
      <c r="Z2891" s="1"/>
      <c r="AA2891" s="1" t="s">
        <v>40</v>
      </c>
      <c r="AB2891" s="1" t="s">
        <v>10736</v>
      </c>
      <c r="AC2891" s="1">
        <v>5149.0</v>
      </c>
    </row>
    <row r="2892">
      <c r="A2892" s="1" t="str">
        <f>"000NF9"</f>
        <v>000NF9</v>
      </c>
      <c r="B2892" s="1" t="s">
        <v>11927</v>
      </c>
      <c r="C2892" s="1" t="s">
        <v>11928</v>
      </c>
      <c r="D2892" s="1" t="str">
        <f>"8023754375"</f>
        <v>8023754375</v>
      </c>
      <c r="E2892" s="1">
        <v>4740.0</v>
      </c>
      <c r="F2892" s="1" t="s">
        <v>44</v>
      </c>
      <c r="G2892" s="1" t="s">
        <v>11929</v>
      </c>
      <c r="H2892" s="1">
        <v>2.0</v>
      </c>
      <c r="I2892" s="2">
        <v>2.0</v>
      </c>
      <c r="J2892" s="2" t="s">
        <v>119</v>
      </c>
      <c r="K2892" s="2" t="s">
        <v>119</v>
      </c>
      <c r="L2892" s="1"/>
      <c r="M2892" s="1" t="s">
        <v>33</v>
      </c>
      <c r="N2892" s="1" t="s">
        <v>414</v>
      </c>
      <c r="O2892" s="1" t="s">
        <v>720</v>
      </c>
      <c r="P2892" s="1" t="s">
        <v>11930</v>
      </c>
      <c r="Q2892" s="3">
        <v>41923.0</v>
      </c>
      <c r="R2892" s="1"/>
      <c r="S2892" s="1"/>
      <c r="T2892" s="1" t="s">
        <v>37</v>
      </c>
      <c r="U2892" s="1"/>
      <c r="V2892" s="1" t="s">
        <v>38</v>
      </c>
      <c r="W2892" s="1">
        <v>42.879902</v>
      </c>
      <c r="X2892" s="1">
        <v>-73.236465</v>
      </c>
      <c r="Y2892" s="1" t="s">
        <v>11931</v>
      </c>
      <c r="Z2892" s="1"/>
      <c r="AA2892" s="1" t="s">
        <v>40</v>
      </c>
      <c r="AB2892" s="1" t="s">
        <v>414</v>
      </c>
      <c r="AC2892" s="1">
        <v>5201.0</v>
      </c>
    </row>
    <row r="2893">
      <c r="A2893" s="1" t="str">
        <f>"000NFN"</f>
        <v>000NFN</v>
      </c>
      <c r="B2893" s="1" t="s">
        <v>11932</v>
      </c>
      <c r="C2893" s="1" t="s">
        <v>11933</v>
      </c>
      <c r="D2893" s="1" t="str">
        <f>"8028818011"</f>
        <v>8028818011</v>
      </c>
      <c r="E2893" s="1">
        <v>4741.0</v>
      </c>
      <c r="F2893" s="1" t="s">
        <v>31</v>
      </c>
      <c r="G2893" s="1" t="s">
        <v>11934</v>
      </c>
      <c r="H2893" s="1">
        <v>2.0</v>
      </c>
      <c r="I2893" s="1"/>
      <c r="J2893" s="1"/>
      <c r="K2893" s="1"/>
      <c r="L2893" s="1"/>
      <c r="M2893" s="1" t="s">
        <v>2629</v>
      </c>
      <c r="N2893" s="1" t="s">
        <v>57</v>
      </c>
      <c r="O2893" s="1" t="s">
        <v>2092</v>
      </c>
      <c r="P2893" s="1" t="s">
        <v>11935</v>
      </c>
      <c r="Q2893" s="3">
        <v>41942.0</v>
      </c>
      <c r="R2893" s="1"/>
      <c r="S2893" s="1"/>
      <c r="T2893" s="1" t="s">
        <v>37</v>
      </c>
      <c r="U2893" s="1"/>
      <c r="V2893" s="1" t="s">
        <v>38</v>
      </c>
      <c r="W2893" s="1">
        <v>44.4548209151766</v>
      </c>
      <c r="X2893" s="1">
        <v>-73.0654549598693</v>
      </c>
      <c r="Y2893" s="1" t="s">
        <v>11936</v>
      </c>
      <c r="Z2893" s="1"/>
      <c r="AA2893" s="1" t="s">
        <v>40</v>
      </c>
      <c r="AB2893" s="1" t="s">
        <v>2093</v>
      </c>
      <c r="AC2893" s="1">
        <v>5495.0</v>
      </c>
    </row>
    <row r="2894">
      <c r="A2894" s="1" t="str">
        <f>"00088H"</f>
        <v>00088H</v>
      </c>
      <c r="B2894" s="1" t="s">
        <v>2463</v>
      </c>
      <c r="C2894" s="1" t="s">
        <v>2464</v>
      </c>
      <c r="D2894" s="1" t="str">
        <f>"8027442007"</f>
        <v>8027442007</v>
      </c>
      <c r="E2894" s="1">
        <v>3222.0</v>
      </c>
      <c r="F2894" s="1" t="s">
        <v>117</v>
      </c>
      <c r="G2894" s="1" t="s">
        <v>11937</v>
      </c>
      <c r="H2894" s="1">
        <v>32.0</v>
      </c>
      <c r="I2894" s="1"/>
      <c r="J2894" s="1"/>
      <c r="K2894" s="1"/>
      <c r="L2894" s="1"/>
      <c r="M2894" s="1" t="s">
        <v>11938</v>
      </c>
      <c r="N2894" s="1" t="s">
        <v>107</v>
      </c>
      <c r="O2894" s="1" t="s">
        <v>108</v>
      </c>
      <c r="P2894" s="1" t="s">
        <v>11939</v>
      </c>
      <c r="Q2894" s="3">
        <v>41760.0</v>
      </c>
      <c r="R2894" s="1"/>
      <c r="S2894" s="3">
        <v>41939.0</v>
      </c>
      <c r="T2894" s="1" t="s">
        <v>164</v>
      </c>
      <c r="U2894" s="1"/>
      <c r="V2894" s="1" t="s">
        <v>38</v>
      </c>
      <c r="W2894" s="1">
        <v>44.713</v>
      </c>
      <c r="X2894" s="1">
        <v>-73.3327899999999</v>
      </c>
      <c r="Y2894" s="1" t="s">
        <v>11940</v>
      </c>
      <c r="Z2894" s="1"/>
      <c r="AA2894" s="1" t="s">
        <v>40</v>
      </c>
      <c r="AB2894" s="1" t="s">
        <v>107</v>
      </c>
      <c r="AC2894" s="1">
        <v>5000.0</v>
      </c>
    </row>
    <row r="2895">
      <c r="A2895" s="1" t="str">
        <f>"000NHD"</f>
        <v>000NHD</v>
      </c>
      <c r="B2895" s="1" t="s">
        <v>11941</v>
      </c>
      <c r="C2895" s="1" t="s">
        <v>11942</v>
      </c>
      <c r="D2895" s="1" t="str">
        <f>"8026817663"</f>
        <v>8026817663</v>
      </c>
      <c r="E2895" s="1">
        <v>4742.0</v>
      </c>
      <c r="F2895" s="1" t="s">
        <v>31</v>
      </c>
      <c r="G2895" s="1" t="s">
        <v>11943</v>
      </c>
      <c r="H2895" s="1">
        <v>1.0</v>
      </c>
      <c r="I2895" s="1"/>
      <c r="J2895" s="1"/>
      <c r="K2895" s="1"/>
      <c r="L2895" s="1"/>
      <c r="M2895" s="1" t="s">
        <v>33</v>
      </c>
      <c r="N2895" s="1" t="s">
        <v>414</v>
      </c>
      <c r="O2895" s="1" t="s">
        <v>720</v>
      </c>
      <c r="P2895" s="1" t="s">
        <v>36</v>
      </c>
      <c r="Q2895" s="3">
        <v>41815.0</v>
      </c>
      <c r="R2895" s="1"/>
      <c r="S2895" s="3">
        <v>42627.0</v>
      </c>
      <c r="T2895" s="1" t="s">
        <v>37</v>
      </c>
      <c r="U2895" s="1"/>
      <c r="V2895" s="1" t="s">
        <v>38</v>
      </c>
      <c r="W2895" s="1">
        <v>42.927788</v>
      </c>
      <c r="X2895" s="1">
        <v>-73.22271</v>
      </c>
      <c r="Y2895" s="1" t="s">
        <v>11944</v>
      </c>
      <c r="Z2895" s="1"/>
      <c r="AA2895" s="1" t="s">
        <v>40</v>
      </c>
      <c r="AB2895" s="1" t="s">
        <v>11945</v>
      </c>
      <c r="AC2895" s="1">
        <v>5257.0</v>
      </c>
    </row>
    <row r="2896">
      <c r="A2896" s="1" t="str">
        <f t="shared" ref="A2896:A2899" si="219">"000NHW"</f>
        <v>000NHW</v>
      </c>
      <c r="B2896" s="1" t="s">
        <v>11946</v>
      </c>
      <c r="C2896" s="1" t="s">
        <v>11947</v>
      </c>
      <c r="D2896" s="1" t="str">
        <f t="shared" ref="D2896:D2899" si="220">"8023535324"</f>
        <v>8023535324</v>
      </c>
      <c r="E2896" s="1">
        <v>4743.0</v>
      </c>
      <c r="F2896" s="1" t="s">
        <v>31</v>
      </c>
      <c r="G2896" s="1" t="s">
        <v>11948</v>
      </c>
      <c r="H2896" s="1">
        <v>1.0</v>
      </c>
      <c r="I2896" s="1"/>
      <c r="J2896" s="1"/>
      <c r="K2896" s="1"/>
      <c r="L2896" s="1"/>
      <c r="M2896" s="1" t="s">
        <v>33</v>
      </c>
      <c r="N2896" s="1" t="s">
        <v>78</v>
      </c>
      <c r="O2896" s="1" t="s">
        <v>420</v>
      </c>
      <c r="P2896" s="1" t="s">
        <v>36</v>
      </c>
      <c r="Q2896" s="3">
        <v>41774.0</v>
      </c>
      <c r="R2896" s="1"/>
      <c r="S2896" s="3">
        <v>41838.0</v>
      </c>
      <c r="T2896" s="1" t="s">
        <v>37</v>
      </c>
      <c r="U2896" s="1"/>
      <c r="V2896" s="1" t="s">
        <v>38</v>
      </c>
      <c r="W2896" s="1">
        <v>43.478593</v>
      </c>
      <c r="X2896" s="1">
        <v>-73.1229333</v>
      </c>
      <c r="Y2896" s="1" t="s">
        <v>7160</v>
      </c>
      <c r="Z2896" s="1"/>
      <c r="AA2896" s="1" t="s">
        <v>40</v>
      </c>
      <c r="AB2896" s="1" t="s">
        <v>7161</v>
      </c>
      <c r="AC2896" s="1">
        <v>5757.0</v>
      </c>
    </row>
    <row r="2897">
      <c r="A2897" s="1" t="str">
        <f t="shared" si="219"/>
        <v>000NHW</v>
      </c>
      <c r="B2897" s="1" t="s">
        <v>11946</v>
      </c>
      <c r="C2897" s="1" t="s">
        <v>11947</v>
      </c>
      <c r="D2897" s="1" t="str">
        <f t="shared" si="220"/>
        <v>8023535324</v>
      </c>
      <c r="E2897" s="1">
        <v>4743.0</v>
      </c>
      <c r="F2897" s="1" t="s">
        <v>31</v>
      </c>
      <c r="G2897" s="1" t="s">
        <v>11949</v>
      </c>
      <c r="H2897" s="1">
        <v>2.0</v>
      </c>
      <c r="I2897" s="1"/>
      <c r="J2897" s="1"/>
      <c r="K2897" s="1"/>
      <c r="L2897" s="1"/>
      <c r="M2897" s="1" t="s">
        <v>2629</v>
      </c>
      <c r="N2897" s="1" t="s">
        <v>78</v>
      </c>
      <c r="O2897" s="1" t="s">
        <v>420</v>
      </c>
      <c r="P2897" s="1"/>
      <c r="Q2897" s="3">
        <v>41825.0</v>
      </c>
      <c r="R2897" s="1"/>
      <c r="S2897" s="3">
        <v>41838.0</v>
      </c>
      <c r="T2897" s="1" t="s">
        <v>37</v>
      </c>
      <c r="U2897" s="1"/>
      <c r="V2897" s="1" t="s">
        <v>38</v>
      </c>
      <c r="W2897" s="1">
        <v>43.4759781577719</v>
      </c>
      <c r="X2897" s="1">
        <v>-73.120689690113</v>
      </c>
      <c r="Y2897" s="1" t="s">
        <v>11950</v>
      </c>
      <c r="Z2897" s="1"/>
      <c r="AA2897" s="1" t="s">
        <v>40</v>
      </c>
      <c r="AB2897" s="1" t="s">
        <v>7161</v>
      </c>
      <c r="AC2897" s="1">
        <v>5757.0</v>
      </c>
    </row>
    <row r="2898">
      <c r="A2898" s="1" t="str">
        <f t="shared" si="219"/>
        <v>000NHW</v>
      </c>
      <c r="B2898" s="1" t="s">
        <v>11946</v>
      </c>
      <c r="C2898" s="1" t="s">
        <v>11947</v>
      </c>
      <c r="D2898" s="1" t="str">
        <f t="shared" si="220"/>
        <v>8023535324</v>
      </c>
      <c r="E2898" s="1">
        <v>4743.0</v>
      </c>
      <c r="F2898" s="1" t="s">
        <v>31</v>
      </c>
      <c r="G2898" s="1" t="s">
        <v>11951</v>
      </c>
      <c r="H2898" s="1">
        <v>4.0</v>
      </c>
      <c r="I2898" s="1"/>
      <c r="J2898" s="1"/>
      <c r="K2898" s="1"/>
      <c r="L2898" s="1"/>
      <c r="M2898" s="1" t="s">
        <v>2629</v>
      </c>
      <c r="N2898" s="1" t="s">
        <v>78</v>
      </c>
      <c r="O2898" s="1" t="s">
        <v>420</v>
      </c>
      <c r="P2898" s="1" t="s">
        <v>11952</v>
      </c>
      <c r="Q2898" s="3">
        <v>41774.0</v>
      </c>
      <c r="R2898" s="1"/>
      <c r="S2898" s="3">
        <v>41838.0</v>
      </c>
      <c r="T2898" s="1" t="s">
        <v>37</v>
      </c>
      <c r="U2898" s="1"/>
      <c r="V2898" s="1" t="s">
        <v>38</v>
      </c>
      <c r="W2898" s="1">
        <v>43.487873</v>
      </c>
      <c r="X2898" s="1">
        <v>-73.142446</v>
      </c>
      <c r="Y2898" s="1" t="s">
        <v>11953</v>
      </c>
      <c r="Z2898" s="1"/>
      <c r="AA2898" s="1" t="s">
        <v>40</v>
      </c>
      <c r="AB2898" s="1" t="s">
        <v>7161</v>
      </c>
      <c r="AC2898" s="1">
        <v>5757.0</v>
      </c>
    </row>
    <row r="2899">
      <c r="A2899" s="1" t="str">
        <f t="shared" si="219"/>
        <v>000NHW</v>
      </c>
      <c r="B2899" s="1" t="s">
        <v>11946</v>
      </c>
      <c r="C2899" s="1" t="s">
        <v>11947</v>
      </c>
      <c r="D2899" s="1" t="str">
        <f t="shared" si="220"/>
        <v>8023535324</v>
      </c>
      <c r="E2899" s="1">
        <v>4743.0</v>
      </c>
      <c r="F2899" s="1" t="s">
        <v>31</v>
      </c>
      <c r="G2899" s="1" t="s">
        <v>11954</v>
      </c>
      <c r="H2899" s="1">
        <v>5.0</v>
      </c>
      <c r="I2899" s="1"/>
      <c r="J2899" s="1"/>
      <c r="K2899" s="1"/>
      <c r="L2899" s="1"/>
      <c r="M2899" s="1" t="s">
        <v>11955</v>
      </c>
      <c r="N2899" s="1" t="s">
        <v>78</v>
      </c>
      <c r="O2899" s="1" t="s">
        <v>855</v>
      </c>
      <c r="P2899" s="1" t="s">
        <v>11956</v>
      </c>
      <c r="Q2899" s="3">
        <v>41760.0</v>
      </c>
      <c r="R2899" s="1"/>
      <c r="S2899" s="3">
        <v>41838.0</v>
      </c>
      <c r="T2899" s="1" t="s">
        <v>37</v>
      </c>
      <c r="U2899" s="1"/>
      <c r="V2899" s="1" t="s">
        <v>38</v>
      </c>
      <c r="W2899" s="1">
        <v>43.6208463340841</v>
      </c>
      <c r="X2899" s="1">
        <v>-73.1804251670837</v>
      </c>
      <c r="Y2899" s="1" t="s">
        <v>9229</v>
      </c>
      <c r="Z2899" s="1"/>
      <c r="AA2899" s="1" t="s">
        <v>40</v>
      </c>
      <c r="AB2899" s="1" t="s">
        <v>857</v>
      </c>
      <c r="AC2899" s="1">
        <v>5735.0</v>
      </c>
    </row>
    <row r="2900">
      <c r="A2900" s="1" t="str">
        <f>"000M83"</f>
        <v>000M83</v>
      </c>
      <c r="B2900" s="1" t="s">
        <v>1435</v>
      </c>
      <c r="C2900" s="1" t="s">
        <v>1436</v>
      </c>
      <c r="D2900" s="1" t="str">
        <f>"8025373294"</f>
        <v>8025373294</v>
      </c>
      <c r="E2900" s="1">
        <v>4622.0</v>
      </c>
      <c r="F2900" s="1" t="s">
        <v>117</v>
      </c>
      <c r="G2900" s="1" t="s">
        <v>11957</v>
      </c>
      <c r="H2900" s="1">
        <v>28.0</v>
      </c>
      <c r="I2900" s="2">
        <v>6.0</v>
      </c>
      <c r="J2900" s="2">
        <v>6.0</v>
      </c>
      <c r="K2900" s="2" t="s">
        <v>119</v>
      </c>
      <c r="L2900" s="1"/>
      <c r="M2900" s="1" t="s">
        <v>11958</v>
      </c>
      <c r="N2900" s="1" t="s">
        <v>78</v>
      </c>
      <c r="O2900" s="1" t="s">
        <v>2066</v>
      </c>
      <c r="P2900" s="1" t="s">
        <v>11959</v>
      </c>
      <c r="Q2900" s="3">
        <v>41760.0</v>
      </c>
      <c r="R2900" s="1"/>
      <c r="S2900" s="3">
        <v>41773.0</v>
      </c>
      <c r="T2900" s="1" t="s">
        <v>37</v>
      </c>
      <c r="U2900" s="1"/>
      <c r="V2900" s="1" t="s">
        <v>38</v>
      </c>
      <c r="W2900" s="1">
        <v>43.6490410748845</v>
      </c>
      <c r="X2900" s="1">
        <v>-73.3457136154174</v>
      </c>
      <c r="Y2900" s="1" t="s">
        <v>11960</v>
      </c>
      <c r="Z2900" s="1"/>
      <c r="AA2900" s="1" t="s">
        <v>40</v>
      </c>
      <c r="AB2900" s="1" t="s">
        <v>2069</v>
      </c>
      <c r="AC2900" s="1">
        <v>5743.0</v>
      </c>
    </row>
    <row r="2901">
      <c r="A2901" s="1" t="str">
        <f t="shared" ref="A2901:A2902" si="221">"000HA5"</f>
        <v>000HA5</v>
      </c>
      <c r="B2901" s="1" t="s">
        <v>9125</v>
      </c>
      <c r="C2901" s="1" t="s">
        <v>9126</v>
      </c>
      <c r="D2901" s="1" t="str">
        <f t="shared" ref="D2901:D2902" si="222">"8022365406"</f>
        <v>8022365406</v>
      </c>
      <c r="E2901" s="1">
        <v>4355.0</v>
      </c>
      <c r="F2901" s="1" t="s">
        <v>31</v>
      </c>
      <c r="G2901" s="1" t="s">
        <v>11961</v>
      </c>
      <c r="H2901" s="1">
        <v>0.0</v>
      </c>
      <c r="I2901" s="1"/>
      <c r="J2901" s="1"/>
      <c r="K2901" s="1"/>
      <c r="L2901" s="1"/>
      <c r="M2901" s="1" t="s">
        <v>11962</v>
      </c>
      <c r="N2901" s="1" t="s">
        <v>78</v>
      </c>
      <c r="O2901" s="1" t="s">
        <v>855</v>
      </c>
      <c r="P2901" s="1" t="s">
        <v>11963</v>
      </c>
      <c r="Q2901" s="3">
        <v>41783.0</v>
      </c>
      <c r="R2901" s="3">
        <v>42155.0</v>
      </c>
      <c r="S2901" s="3">
        <v>41836.0</v>
      </c>
      <c r="T2901" s="1" t="s">
        <v>37</v>
      </c>
      <c r="U2901" s="1"/>
      <c r="V2901" s="1" t="s">
        <v>38</v>
      </c>
      <c r="W2901" s="1">
        <v>43.5982</v>
      </c>
      <c r="X2901" s="1">
        <v>-73.1685</v>
      </c>
      <c r="Y2901" s="1" t="s">
        <v>11964</v>
      </c>
      <c r="Z2901" s="1"/>
      <c r="AA2901" s="1" t="s">
        <v>40</v>
      </c>
      <c r="AB2901" s="1" t="s">
        <v>857</v>
      </c>
      <c r="AC2901" s="1">
        <v>5000.0</v>
      </c>
    </row>
    <row r="2902">
      <c r="A2902" s="1" t="str">
        <f t="shared" si="221"/>
        <v>000HA5</v>
      </c>
      <c r="B2902" s="1" t="s">
        <v>9125</v>
      </c>
      <c r="C2902" s="1" t="s">
        <v>9126</v>
      </c>
      <c r="D2902" s="1" t="str">
        <f t="shared" si="222"/>
        <v>8022365406</v>
      </c>
      <c r="E2902" s="1">
        <v>4355.0</v>
      </c>
      <c r="F2902" s="1" t="s">
        <v>31</v>
      </c>
      <c r="G2902" s="1" t="s">
        <v>11965</v>
      </c>
      <c r="H2902" s="1">
        <v>0.0</v>
      </c>
      <c r="I2902" s="1"/>
      <c r="J2902" s="1"/>
      <c r="K2902" s="1"/>
      <c r="L2902" s="1"/>
      <c r="M2902" s="1" t="s">
        <v>11966</v>
      </c>
      <c r="N2902" s="1" t="s">
        <v>78</v>
      </c>
      <c r="O2902" s="1" t="s">
        <v>615</v>
      </c>
      <c r="P2902" s="1"/>
      <c r="Q2902" s="3">
        <v>41762.0</v>
      </c>
      <c r="R2902" s="3">
        <v>42155.0</v>
      </c>
      <c r="S2902" s="3">
        <v>41857.0</v>
      </c>
      <c r="T2902" s="1" t="s">
        <v>37</v>
      </c>
      <c r="U2902" s="1"/>
      <c r="V2902" s="1" t="s">
        <v>38</v>
      </c>
      <c r="W2902" s="1">
        <v>43.48696</v>
      </c>
      <c r="X2902" s="1">
        <v>-73.23575</v>
      </c>
      <c r="Y2902" s="1" t="s">
        <v>11967</v>
      </c>
      <c r="Z2902" s="1"/>
      <c r="AA2902" s="1" t="s">
        <v>40</v>
      </c>
      <c r="AB2902" s="1" t="s">
        <v>11968</v>
      </c>
      <c r="AC2902" s="1">
        <v>5000.0</v>
      </c>
    </row>
    <row r="2903">
      <c r="A2903" s="1" t="str">
        <f>"000NJV"</f>
        <v>000NJV</v>
      </c>
      <c r="B2903" s="1" t="s">
        <v>11815</v>
      </c>
      <c r="C2903" s="1" t="s">
        <v>11816</v>
      </c>
      <c r="D2903" s="1" t="str">
        <f>"8027285183"</f>
        <v>8027285183</v>
      </c>
      <c r="E2903" s="1">
        <v>4744.0</v>
      </c>
      <c r="F2903" s="1" t="s">
        <v>44</v>
      </c>
      <c r="G2903" s="1" t="s">
        <v>11969</v>
      </c>
      <c r="H2903" s="1">
        <v>1.0</v>
      </c>
      <c r="I2903" s="1"/>
      <c r="J2903" s="1"/>
      <c r="K2903" s="1"/>
      <c r="L2903" s="1"/>
      <c r="M2903" s="1" t="s">
        <v>33</v>
      </c>
      <c r="N2903" s="1" t="s">
        <v>142</v>
      </c>
      <c r="O2903" s="1" t="s">
        <v>359</v>
      </c>
      <c r="P2903" s="1"/>
      <c r="Q2903" s="3">
        <v>41643.0</v>
      </c>
      <c r="R2903" s="1"/>
      <c r="S2903" s="1"/>
      <c r="T2903" s="1" t="s">
        <v>37</v>
      </c>
      <c r="U2903" s="1"/>
      <c r="V2903" s="1" t="s">
        <v>38</v>
      </c>
      <c r="W2903" s="1">
        <v>44.004852</v>
      </c>
      <c r="X2903" s="1">
        <v>-72.654381</v>
      </c>
      <c r="Y2903" s="1" t="s">
        <v>11818</v>
      </c>
      <c r="Z2903" s="1"/>
      <c r="AA2903" s="1" t="s">
        <v>40</v>
      </c>
      <c r="AB2903" s="1" t="s">
        <v>361</v>
      </c>
      <c r="AC2903" s="1">
        <v>5060.0</v>
      </c>
    </row>
    <row r="2904">
      <c r="A2904" s="1" t="str">
        <f>"000NK2"</f>
        <v>000NK2</v>
      </c>
      <c r="B2904" s="1" t="s">
        <v>11970</v>
      </c>
      <c r="C2904" s="1" t="s">
        <v>11971</v>
      </c>
      <c r="D2904" s="1" t="str">
        <f>"6033597767"</f>
        <v>6033597767</v>
      </c>
      <c r="E2904" s="1">
        <v>4745.0</v>
      </c>
      <c r="F2904" s="1" t="s">
        <v>31</v>
      </c>
      <c r="G2904" s="1" t="s">
        <v>11972</v>
      </c>
      <c r="H2904" s="1">
        <v>1.0</v>
      </c>
      <c r="I2904" s="1"/>
      <c r="J2904" s="1"/>
      <c r="K2904" s="1"/>
      <c r="L2904" s="1"/>
      <c r="M2904" s="1" t="s">
        <v>33</v>
      </c>
      <c r="N2904" s="1" t="s">
        <v>34</v>
      </c>
      <c r="O2904" s="1" t="s">
        <v>1085</v>
      </c>
      <c r="P2904" s="1" t="s">
        <v>36</v>
      </c>
      <c r="Q2904" s="3">
        <v>42017.0</v>
      </c>
      <c r="R2904" s="1"/>
      <c r="S2904" s="1"/>
      <c r="T2904" s="1" t="s">
        <v>37</v>
      </c>
      <c r="U2904" s="1"/>
      <c r="V2904" s="1" t="s">
        <v>38</v>
      </c>
      <c r="W2904" s="1">
        <v>43.398895</v>
      </c>
      <c r="X2904" s="1">
        <v>-72.4615709999999</v>
      </c>
      <c r="Y2904" s="1" t="s">
        <v>11973</v>
      </c>
      <c r="Z2904" s="1"/>
      <c r="AA2904" s="1" t="s">
        <v>40</v>
      </c>
      <c r="AB2904" s="1" t="s">
        <v>5248</v>
      </c>
      <c r="AC2904" s="1">
        <v>5151.0</v>
      </c>
    </row>
    <row r="2905">
      <c r="A2905" s="1" t="str">
        <f>"000NK7"</f>
        <v>000NK7</v>
      </c>
      <c r="B2905" s="1" t="s">
        <v>11974</v>
      </c>
      <c r="C2905" s="1" t="s">
        <v>11975</v>
      </c>
      <c r="D2905" s="1" t="str">
        <f>"8025253224"</f>
        <v>8025253224</v>
      </c>
      <c r="E2905" s="1">
        <v>4746.0</v>
      </c>
      <c r="F2905" s="1" t="s">
        <v>44</v>
      </c>
      <c r="G2905" s="1" t="s">
        <v>11976</v>
      </c>
      <c r="H2905" s="1">
        <v>2.0</v>
      </c>
      <c r="I2905" s="1"/>
      <c r="J2905" s="1"/>
      <c r="K2905" s="1"/>
      <c r="L2905" s="1"/>
      <c r="M2905" s="1" t="s">
        <v>33</v>
      </c>
      <c r="N2905" s="1" t="s">
        <v>94</v>
      </c>
      <c r="O2905" s="1" t="s">
        <v>1672</v>
      </c>
      <c r="P2905" s="1" t="s">
        <v>36</v>
      </c>
      <c r="Q2905" s="3">
        <v>42018.0</v>
      </c>
      <c r="R2905" s="1"/>
      <c r="S2905" s="1"/>
      <c r="T2905" s="1" t="s">
        <v>37</v>
      </c>
      <c r="U2905" s="1"/>
      <c r="V2905" s="1" t="s">
        <v>38</v>
      </c>
      <c r="W2905" s="1">
        <v>44.7759969</v>
      </c>
      <c r="X2905" s="1">
        <v>-72.03965</v>
      </c>
      <c r="Y2905" s="1" t="s">
        <v>11977</v>
      </c>
      <c r="Z2905" s="1"/>
      <c r="AA2905" s="1" t="s">
        <v>40</v>
      </c>
      <c r="AB2905" s="1" t="s">
        <v>94</v>
      </c>
      <c r="AC2905" s="1">
        <v>5860.0</v>
      </c>
    </row>
    <row r="2906">
      <c r="A2906" s="1" t="str">
        <f>"000NMJ"</f>
        <v>000NMJ</v>
      </c>
      <c r="B2906" s="1" t="s">
        <v>11978</v>
      </c>
      <c r="C2906" s="1" t="s">
        <v>11979</v>
      </c>
      <c r="D2906" s="1" t="str">
        <f>"5084399166"</f>
        <v>5084399166</v>
      </c>
      <c r="E2906" s="1">
        <v>4750.0</v>
      </c>
      <c r="F2906" s="1" t="s">
        <v>117</v>
      </c>
      <c r="G2906" s="1" t="s">
        <v>11980</v>
      </c>
      <c r="H2906" s="1">
        <v>8.0</v>
      </c>
      <c r="I2906" s="2">
        <v>0.0</v>
      </c>
      <c r="J2906" s="2">
        <v>0.0</v>
      </c>
      <c r="K2906" s="2" t="s">
        <v>119</v>
      </c>
      <c r="L2906" s="1"/>
      <c r="M2906" s="1" t="s">
        <v>11981</v>
      </c>
      <c r="N2906" s="1" t="s">
        <v>107</v>
      </c>
      <c r="O2906" s="1" t="s">
        <v>821</v>
      </c>
      <c r="P2906" s="1" t="s">
        <v>11982</v>
      </c>
      <c r="Q2906" s="3">
        <v>42038.0</v>
      </c>
      <c r="R2906" s="1"/>
      <c r="S2906" s="1"/>
      <c r="T2906" s="1" t="s">
        <v>37</v>
      </c>
      <c r="U2906" s="1"/>
      <c r="V2906" s="1" t="s">
        <v>38</v>
      </c>
      <c r="W2906" s="1">
        <v>44.617218</v>
      </c>
      <c r="X2906" s="1">
        <v>-73.2968599999999</v>
      </c>
      <c r="Y2906" s="1" t="s">
        <v>11983</v>
      </c>
      <c r="Z2906" s="1"/>
      <c r="AA2906" s="1" t="s">
        <v>40</v>
      </c>
      <c r="AB2906" s="1" t="s">
        <v>822</v>
      </c>
      <c r="AC2906" s="1">
        <v>5486.0</v>
      </c>
    </row>
    <row r="2907">
      <c r="A2907" s="1" t="str">
        <f>"000NMK"</f>
        <v>000NMK</v>
      </c>
      <c r="B2907" s="1" t="s">
        <v>11984</v>
      </c>
      <c r="C2907" s="1" t="s">
        <v>11985</v>
      </c>
      <c r="D2907" s="1" t="str">
        <f>"8026495167"</f>
        <v>8026495167</v>
      </c>
      <c r="E2907" s="1">
        <v>4751.0</v>
      </c>
      <c r="F2907" s="1" t="s">
        <v>117</v>
      </c>
      <c r="G2907" s="1" t="s">
        <v>11986</v>
      </c>
      <c r="H2907" s="1">
        <v>1.0</v>
      </c>
      <c r="I2907" s="2">
        <v>2.0</v>
      </c>
      <c r="J2907" s="2">
        <v>2.0</v>
      </c>
      <c r="K2907" s="2" t="s">
        <v>119</v>
      </c>
      <c r="L2907" s="1"/>
      <c r="M2907" s="1" t="s">
        <v>11987</v>
      </c>
      <c r="N2907" s="1" t="s">
        <v>34</v>
      </c>
      <c r="O2907" s="1" t="s">
        <v>463</v>
      </c>
      <c r="P2907" s="1" t="s">
        <v>11988</v>
      </c>
      <c r="Q2907" s="3">
        <v>42027.0</v>
      </c>
      <c r="R2907" s="1"/>
      <c r="S2907" s="3">
        <v>42929.0</v>
      </c>
      <c r="T2907" s="1" t="s">
        <v>37</v>
      </c>
      <c r="U2907" s="1"/>
      <c r="V2907" s="1" t="s">
        <v>38</v>
      </c>
      <c r="W2907" s="1">
        <v>43.748314</v>
      </c>
      <c r="X2907" s="1">
        <v>-72.3129119999999</v>
      </c>
      <c r="Y2907" s="1" t="s">
        <v>11989</v>
      </c>
      <c r="Z2907" s="1"/>
      <c r="AA2907" s="1" t="s">
        <v>40</v>
      </c>
      <c r="AB2907" s="1" t="s">
        <v>466</v>
      </c>
      <c r="AC2907" s="1">
        <v>5055.0</v>
      </c>
    </row>
    <row r="2908">
      <c r="A2908" s="1" t="str">
        <f>"000NMX"</f>
        <v>000NMX</v>
      </c>
      <c r="B2908" s="1" t="s">
        <v>11990</v>
      </c>
      <c r="C2908" s="1" t="s">
        <v>11991</v>
      </c>
      <c r="D2908" s="1" t="str">
        <f>"8027609417"</f>
        <v>8027609417</v>
      </c>
      <c r="E2908" s="1">
        <v>4752.0</v>
      </c>
      <c r="F2908" s="1" t="s">
        <v>117</v>
      </c>
      <c r="G2908" s="1" t="s">
        <v>11992</v>
      </c>
      <c r="H2908" s="1">
        <v>2.0</v>
      </c>
      <c r="I2908" s="2">
        <v>4.0</v>
      </c>
      <c r="J2908" s="2">
        <v>4.0</v>
      </c>
      <c r="K2908" s="2" t="s">
        <v>119</v>
      </c>
      <c r="L2908" s="1"/>
      <c r="M2908" s="1" t="s">
        <v>11993</v>
      </c>
      <c r="N2908" s="1" t="s">
        <v>213</v>
      </c>
      <c r="O2908" s="1" t="s">
        <v>365</v>
      </c>
      <c r="P2908" s="1" t="s">
        <v>11994</v>
      </c>
      <c r="Q2908" s="3">
        <v>42040.0</v>
      </c>
      <c r="R2908" s="1"/>
      <c r="S2908" s="1"/>
      <c r="T2908" s="1" t="s">
        <v>37</v>
      </c>
      <c r="U2908" s="1"/>
      <c r="V2908" s="1" t="s">
        <v>38</v>
      </c>
      <c r="W2908" s="1">
        <v>44.4381464718817</v>
      </c>
      <c r="X2908" s="1">
        <v>-72.6998162269592</v>
      </c>
      <c r="Y2908" s="1" t="s">
        <v>11995</v>
      </c>
      <c r="Z2908" s="1"/>
      <c r="AA2908" s="1" t="s">
        <v>40</v>
      </c>
      <c r="AB2908" s="1" t="s">
        <v>10075</v>
      </c>
      <c r="AC2908" s="1">
        <v>5672.0</v>
      </c>
    </row>
    <row r="2909">
      <c r="A2909" s="1" t="str">
        <f>"000NMY"</f>
        <v>000NMY</v>
      </c>
      <c r="B2909" s="1" t="s">
        <v>11996</v>
      </c>
      <c r="C2909" s="1" t="s">
        <v>11997</v>
      </c>
      <c r="D2909" s="1" t="str">
        <f>"8023634579"</f>
        <v>8023634579</v>
      </c>
      <c r="E2909" s="1">
        <v>4753.0</v>
      </c>
      <c r="F2909" s="1" t="s">
        <v>117</v>
      </c>
      <c r="G2909" s="1" t="s">
        <v>11998</v>
      </c>
      <c r="H2909" s="1">
        <v>4.0</v>
      </c>
      <c r="I2909" s="2" t="s">
        <v>119</v>
      </c>
      <c r="J2909" s="2">
        <v>2.0</v>
      </c>
      <c r="K2909" s="2" t="s">
        <v>119</v>
      </c>
      <c r="L2909" s="2" t="s">
        <v>11999</v>
      </c>
      <c r="M2909" s="1" t="s">
        <v>2629</v>
      </c>
      <c r="N2909" s="1" t="s">
        <v>57</v>
      </c>
      <c r="O2909" s="1" t="s">
        <v>2092</v>
      </c>
      <c r="P2909" s="1" t="s">
        <v>12000</v>
      </c>
      <c r="Q2909" s="3">
        <v>42031.0</v>
      </c>
      <c r="R2909" s="1"/>
      <c r="S2909" s="1"/>
      <c r="T2909" s="1" t="s">
        <v>37</v>
      </c>
      <c r="U2909" s="1"/>
      <c r="V2909" s="1" t="s">
        <v>38</v>
      </c>
      <c r="W2909" s="1">
        <v>44.449577</v>
      </c>
      <c r="X2909" s="1">
        <v>-73.0549469999999</v>
      </c>
      <c r="Y2909" s="1" t="s">
        <v>12001</v>
      </c>
      <c r="Z2909" s="1"/>
      <c r="AA2909" s="1" t="s">
        <v>40</v>
      </c>
      <c r="AB2909" s="1" t="s">
        <v>2093</v>
      </c>
      <c r="AC2909" s="1">
        <v>5000.0</v>
      </c>
    </row>
    <row r="2910">
      <c r="A2910" s="1" t="str">
        <f>"000NN2"</f>
        <v>000NN2</v>
      </c>
      <c r="B2910" s="1" t="s">
        <v>12002</v>
      </c>
      <c r="C2910" s="1" t="s">
        <v>12003</v>
      </c>
      <c r="D2910" s="1" t="str">
        <f>"8028390245"</f>
        <v>8028390245</v>
      </c>
      <c r="E2910" s="1">
        <v>4754.0</v>
      </c>
      <c r="F2910" s="1" t="s">
        <v>117</v>
      </c>
      <c r="G2910" s="1" t="s">
        <v>12004</v>
      </c>
      <c r="H2910" s="1">
        <v>1.0</v>
      </c>
      <c r="I2910" s="2" t="s">
        <v>119</v>
      </c>
      <c r="J2910" s="2" t="s">
        <v>119</v>
      </c>
      <c r="K2910" s="2" t="s">
        <v>119</v>
      </c>
      <c r="L2910" s="1"/>
      <c r="M2910" s="1" t="s">
        <v>12005</v>
      </c>
      <c r="N2910" s="1" t="s">
        <v>135</v>
      </c>
      <c r="O2910" s="1" t="s">
        <v>805</v>
      </c>
      <c r="P2910" s="1" t="s">
        <v>12006</v>
      </c>
      <c r="Q2910" s="3">
        <v>42041.0</v>
      </c>
      <c r="R2910" s="1"/>
      <c r="S2910" s="3">
        <v>42228.0</v>
      </c>
      <c r="T2910" s="1" t="s">
        <v>37</v>
      </c>
      <c r="U2910" s="1"/>
      <c r="V2910" s="1" t="s">
        <v>38</v>
      </c>
      <c r="W2910" s="1">
        <v>44.2701609999999</v>
      </c>
      <c r="X2910" s="1">
        <v>-72.4993739999999</v>
      </c>
      <c r="Y2910" s="1" t="s">
        <v>12007</v>
      </c>
      <c r="Z2910" s="1"/>
      <c r="AA2910" s="1" t="s">
        <v>40</v>
      </c>
      <c r="AB2910" s="1" t="s">
        <v>10229</v>
      </c>
      <c r="AC2910" s="1">
        <v>5651.0</v>
      </c>
    </row>
    <row r="2911">
      <c r="A2911" s="1" t="str">
        <f>"000NN8"</f>
        <v>000NN8</v>
      </c>
      <c r="B2911" s="1" t="s">
        <v>12008</v>
      </c>
      <c r="C2911" s="1" t="s">
        <v>12009</v>
      </c>
      <c r="D2911" s="1" t="str">
        <f>"8028781282"</f>
        <v>8028781282</v>
      </c>
      <c r="E2911" s="1">
        <v>4755.0</v>
      </c>
      <c r="F2911" s="1" t="s">
        <v>117</v>
      </c>
      <c r="G2911" s="1" t="s">
        <v>12010</v>
      </c>
      <c r="H2911" s="1">
        <v>3.0</v>
      </c>
      <c r="I2911" s="2">
        <v>1.0</v>
      </c>
      <c r="J2911" s="2" t="s">
        <v>119</v>
      </c>
      <c r="K2911" s="2" t="s">
        <v>119</v>
      </c>
      <c r="L2911" s="2" t="s">
        <v>12011</v>
      </c>
      <c r="M2911" s="1" t="s">
        <v>12012</v>
      </c>
      <c r="N2911" s="1" t="s">
        <v>57</v>
      </c>
      <c r="O2911" s="1"/>
      <c r="P2911" s="1" t="s">
        <v>12013</v>
      </c>
      <c r="Q2911" s="3">
        <v>42036.0</v>
      </c>
      <c r="R2911" s="1"/>
      <c r="S2911" s="1"/>
      <c r="T2911" s="1" t="s">
        <v>37</v>
      </c>
      <c r="U2911" s="1"/>
      <c r="V2911" s="1" t="s">
        <v>38</v>
      </c>
      <c r="W2911" s="1">
        <v>44.4878949999999</v>
      </c>
      <c r="X2911" s="1">
        <v>-73.116961</v>
      </c>
      <c r="Y2911" s="1" t="s">
        <v>12014</v>
      </c>
      <c r="Z2911" s="1"/>
      <c r="AA2911" s="1" t="s">
        <v>40</v>
      </c>
      <c r="AB2911" s="1" t="s">
        <v>12015</v>
      </c>
      <c r="AC2911" s="1">
        <v>5452.0</v>
      </c>
    </row>
    <row r="2912">
      <c r="A2912" s="1" t="str">
        <f>"000JQW"</f>
        <v>000JQW</v>
      </c>
      <c r="B2912" s="1" t="s">
        <v>8803</v>
      </c>
      <c r="C2912" s="1" t="s">
        <v>8804</v>
      </c>
      <c r="D2912" s="1" t="str">
        <f>"8026451933"</f>
        <v>8026451933</v>
      </c>
      <c r="E2912" s="1">
        <v>4432.0</v>
      </c>
      <c r="F2912" s="1" t="s">
        <v>117</v>
      </c>
      <c r="G2912" s="1" t="s">
        <v>12016</v>
      </c>
      <c r="H2912" s="1">
        <v>4.0</v>
      </c>
      <c r="I2912" s="2" t="s">
        <v>119</v>
      </c>
      <c r="J2912" s="2">
        <v>8.0</v>
      </c>
      <c r="K2912" s="2" t="s">
        <v>119</v>
      </c>
      <c r="L2912" s="1"/>
      <c r="M2912" s="1" t="s">
        <v>12017</v>
      </c>
      <c r="N2912" s="1" t="s">
        <v>78</v>
      </c>
      <c r="O2912" s="1" t="s">
        <v>371</v>
      </c>
      <c r="P2912" s="1" t="s">
        <v>8807</v>
      </c>
      <c r="Q2912" s="3">
        <v>41913.0</v>
      </c>
      <c r="R2912" s="1"/>
      <c r="S2912" s="1"/>
      <c r="T2912" s="1" t="s">
        <v>37</v>
      </c>
      <c r="U2912" s="1"/>
      <c r="V2912" s="1" t="s">
        <v>38</v>
      </c>
      <c r="W2912" s="1">
        <v>43.4442309999999</v>
      </c>
      <c r="X2912" s="1">
        <v>-73.2065609</v>
      </c>
      <c r="Y2912" s="1" t="s">
        <v>12018</v>
      </c>
      <c r="Z2912" s="1"/>
      <c r="AA2912" s="1" t="s">
        <v>40</v>
      </c>
      <c r="AB2912" s="1" t="s">
        <v>374</v>
      </c>
      <c r="AC2912" s="1">
        <v>5774.0</v>
      </c>
    </row>
    <row r="2913">
      <c r="A2913" s="1" t="str">
        <f>"000NNM"</f>
        <v>000NNM</v>
      </c>
      <c r="B2913" s="1" t="s">
        <v>12019</v>
      </c>
      <c r="C2913" s="1" t="s">
        <v>12020</v>
      </c>
      <c r="D2913" s="1" t="str">
        <f>"8028499767"</f>
        <v>8028499767</v>
      </c>
      <c r="E2913" s="1">
        <v>4756.0</v>
      </c>
      <c r="F2913" s="1" t="s">
        <v>117</v>
      </c>
      <c r="G2913" s="1" t="s">
        <v>12021</v>
      </c>
      <c r="H2913" s="1">
        <v>2.0</v>
      </c>
      <c r="I2913" s="2">
        <v>2.0</v>
      </c>
      <c r="J2913" s="2">
        <v>2.0</v>
      </c>
      <c r="K2913" s="2" t="s">
        <v>829</v>
      </c>
      <c r="L2913" s="1"/>
      <c r="M2913" s="1" t="s">
        <v>12022</v>
      </c>
      <c r="N2913" s="1" t="s">
        <v>47</v>
      </c>
      <c r="O2913" s="1" t="s">
        <v>763</v>
      </c>
      <c r="P2913" s="1" t="s">
        <v>12023</v>
      </c>
      <c r="Q2913" s="3">
        <v>42052.0</v>
      </c>
      <c r="R2913" s="1"/>
      <c r="S2913" s="1"/>
      <c r="T2913" s="1" t="s">
        <v>37</v>
      </c>
      <c r="U2913" s="1"/>
      <c r="V2913" s="1" t="s">
        <v>38</v>
      </c>
      <c r="W2913" s="1">
        <v>44.7229997</v>
      </c>
      <c r="X2913" s="1">
        <v>-72.8840010999999</v>
      </c>
      <c r="Y2913" s="1" t="s">
        <v>12024</v>
      </c>
      <c r="Z2913" s="1"/>
      <c r="AA2913" s="1" t="s">
        <v>40</v>
      </c>
      <c r="AB2913" s="1" t="s">
        <v>764</v>
      </c>
      <c r="AC2913" s="1">
        <v>5464.0</v>
      </c>
    </row>
    <row r="2914">
      <c r="A2914" s="1" t="str">
        <f>"000NQ3"</f>
        <v>000NQ3</v>
      </c>
      <c r="B2914" s="1" t="s">
        <v>12025</v>
      </c>
      <c r="C2914" s="1" t="s">
        <v>12026</v>
      </c>
      <c r="D2914" s="1" t="str">
        <f>"8028787304"</f>
        <v>8028787304</v>
      </c>
      <c r="E2914" s="1">
        <v>4757.0</v>
      </c>
      <c r="F2914" s="1" t="s">
        <v>117</v>
      </c>
      <c r="G2914" s="1" t="s">
        <v>12027</v>
      </c>
      <c r="H2914" s="1">
        <v>1.0</v>
      </c>
      <c r="I2914" s="2">
        <v>0.0</v>
      </c>
      <c r="J2914" s="2">
        <v>0.0</v>
      </c>
      <c r="K2914" s="2">
        <v>0.0</v>
      </c>
      <c r="L2914" s="1"/>
      <c r="M2914" s="1" t="s">
        <v>12028</v>
      </c>
      <c r="N2914" s="1" t="s">
        <v>57</v>
      </c>
      <c r="O2914" s="1" t="s">
        <v>2092</v>
      </c>
      <c r="P2914" s="1" t="s">
        <v>12029</v>
      </c>
      <c r="Q2914" s="3">
        <v>42035.0</v>
      </c>
      <c r="R2914" s="1"/>
      <c r="S2914" s="1"/>
      <c r="T2914" s="1" t="s">
        <v>37</v>
      </c>
      <c r="U2914" s="1"/>
      <c r="V2914" s="1" t="s">
        <v>38</v>
      </c>
      <c r="W2914" s="1">
        <v>44.428467</v>
      </c>
      <c r="X2914" s="1">
        <v>-73.1077579999999</v>
      </c>
      <c r="Y2914" s="1" t="s">
        <v>12030</v>
      </c>
      <c r="Z2914" s="1"/>
      <c r="AA2914" s="1" t="s">
        <v>40</v>
      </c>
      <c r="AB2914" s="1" t="s">
        <v>2093</v>
      </c>
      <c r="AC2914" s="1">
        <v>5495.0</v>
      </c>
    </row>
    <row r="2915">
      <c r="A2915" s="1" t="str">
        <f>"000NQ4"</f>
        <v>000NQ4</v>
      </c>
      <c r="B2915" s="1" t="s">
        <v>12031</v>
      </c>
      <c r="C2915" s="1" t="s">
        <v>12032</v>
      </c>
      <c r="D2915" s="1" t="str">
        <f>"8027795780"</f>
        <v>8027795780</v>
      </c>
      <c r="E2915" s="1">
        <v>4758.0</v>
      </c>
      <c r="F2915" s="1" t="s">
        <v>31</v>
      </c>
      <c r="G2915" s="1" t="s">
        <v>12033</v>
      </c>
      <c r="H2915" s="1">
        <v>6.0</v>
      </c>
      <c r="I2915" s="1"/>
      <c r="J2915" s="1"/>
      <c r="K2915" s="1"/>
      <c r="L2915" s="1"/>
      <c r="M2915" s="1" t="s">
        <v>33</v>
      </c>
      <c r="N2915" s="1" t="s">
        <v>78</v>
      </c>
      <c r="O2915" s="1" t="s">
        <v>3828</v>
      </c>
      <c r="P2915" s="1" t="s">
        <v>12034</v>
      </c>
      <c r="Q2915" s="3">
        <v>42045.0</v>
      </c>
      <c r="R2915" s="1"/>
      <c r="S2915" s="1"/>
      <c r="T2915" s="1" t="s">
        <v>37</v>
      </c>
      <c r="U2915" s="1"/>
      <c r="V2915" s="1" t="s">
        <v>38</v>
      </c>
      <c r="W2915" s="1">
        <v>43.5532836076664</v>
      </c>
      <c r="X2915" s="1">
        <v>-72.959314584732</v>
      </c>
      <c r="Y2915" s="1" t="s">
        <v>12035</v>
      </c>
      <c r="Z2915" s="1"/>
      <c r="AA2915" s="1" t="s">
        <v>40</v>
      </c>
      <c r="AB2915" s="1" t="s">
        <v>11073</v>
      </c>
      <c r="AC2915" s="1">
        <v>5759.0</v>
      </c>
    </row>
    <row r="2916">
      <c r="A2916" s="1" t="str">
        <f>"000NV4"</f>
        <v>000NV4</v>
      </c>
      <c r="B2916" s="1" t="s">
        <v>12036</v>
      </c>
      <c r="C2916" s="1" t="s">
        <v>12037</v>
      </c>
      <c r="D2916" s="1" t="str">
        <f>"8022754646"</f>
        <v>8022754646</v>
      </c>
      <c r="E2916" s="1">
        <v>4759.0</v>
      </c>
      <c r="F2916" s="1" t="s">
        <v>44</v>
      </c>
      <c r="G2916" s="1" t="s">
        <v>12038</v>
      </c>
      <c r="H2916" s="1">
        <v>2.0</v>
      </c>
      <c r="I2916" s="2">
        <v>2.0</v>
      </c>
      <c r="J2916" s="2">
        <v>2.0</v>
      </c>
      <c r="K2916" s="2" t="s">
        <v>119</v>
      </c>
      <c r="L2916" s="1"/>
      <c r="M2916" s="1" t="s">
        <v>33</v>
      </c>
      <c r="N2916" s="1" t="s">
        <v>66</v>
      </c>
      <c r="O2916" s="1" t="s">
        <v>1199</v>
      </c>
      <c r="P2916" s="1" t="s">
        <v>36</v>
      </c>
      <c r="Q2916" s="3">
        <v>42072.0</v>
      </c>
      <c r="R2916" s="1"/>
      <c r="S2916" s="1"/>
      <c r="T2916" s="1" t="s">
        <v>37</v>
      </c>
      <c r="U2916" s="1"/>
      <c r="V2916" s="1" t="s">
        <v>38</v>
      </c>
      <c r="W2916" s="1">
        <v>43.2071909999999</v>
      </c>
      <c r="X2916" s="1">
        <v>-72.5170519999999</v>
      </c>
      <c r="Y2916" s="1" t="s">
        <v>12039</v>
      </c>
      <c r="Z2916" s="1"/>
      <c r="AA2916" s="1" t="s">
        <v>40</v>
      </c>
      <c r="AB2916" s="1" t="s">
        <v>1200</v>
      </c>
      <c r="AC2916" s="1">
        <v>5143.0</v>
      </c>
    </row>
    <row r="2917">
      <c r="A2917" s="1" t="str">
        <f>"000Q2X"</f>
        <v>000Q2X</v>
      </c>
      <c r="B2917" s="1" t="s">
        <v>12040</v>
      </c>
      <c r="C2917" s="1" t="s">
        <v>12041</v>
      </c>
      <c r="D2917" s="1" t="str">
        <f>"8023622922"</f>
        <v>8023622922</v>
      </c>
      <c r="E2917" s="1">
        <v>4760.0</v>
      </c>
      <c r="F2917" s="1" t="s">
        <v>31</v>
      </c>
      <c r="G2917" s="1" t="s">
        <v>12042</v>
      </c>
      <c r="H2917" s="1">
        <v>1.0</v>
      </c>
      <c r="I2917" s="1"/>
      <c r="J2917" s="1"/>
      <c r="K2917" s="1"/>
      <c r="L2917" s="1"/>
      <c r="M2917" s="1" t="s">
        <v>33</v>
      </c>
      <c r="N2917" s="1" t="s">
        <v>414</v>
      </c>
      <c r="O2917" s="1" t="s">
        <v>2880</v>
      </c>
      <c r="P2917" s="1" t="s">
        <v>12043</v>
      </c>
      <c r="Q2917" s="3">
        <v>42047.0</v>
      </c>
      <c r="R2917" s="1"/>
      <c r="S2917" s="1"/>
      <c r="T2917" s="1" t="s">
        <v>37</v>
      </c>
      <c r="U2917" s="1"/>
      <c r="V2917" s="1" t="s">
        <v>38</v>
      </c>
      <c r="W2917" s="1">
        <v>43.164257</v>
      </c>
      <c r="X2917" s="1">
        <v>-73.0347749999999</v>
      </c>
      <c r="Y2917" s="1" t="s">
        <v>12044</v>
      </c>
      <c r="Z2917" s="1"/>
      <c r="AA2917" s="1" t="s">
        <v>40</v>
      </c>
      <c r="AB2917" s="1" t="s">
        <v>9593</v>
      </c>
      <c r="AC2917" s="1">
        <v>5255.0</v>
      </c>
    </row>
    <row r="2918">
      <c r="A2918" s="1" t="str">
        <f>"000Q40"</f>
        <v>000Q40</v>
      </c>
      <c r="B2918" s="1" t="s">
        <v>12045</v>
      </c>
      <c r="C2918" s="1" t="s">
        <v>12046</v>
      </c>
      <c r="D2918" s="1" t="str">
        <f>"4404870489"</f>
        <v>4404870489</v>
      </c>
      <c r="E2918" s="1">
        <v>4762.0</v>
      </c>
      <c r="F2918" s="1" t="s">
        <v>44</v>
      </c>
      <c r="G2918" s="1" t="s">
        <v>12047</v>
      </c>
      <c r="H2918" s="1">
        <v>4.0</v>
      </c>
      <c r="I2918" s="1"/>
      <c r="J2918" s="1"/>
      <c r="K2918" s="1"/>
      <c r="L2918" s="1"/>
      <c r="M2918" s="1" t="s">
        <v>33</v>
      </c>
      <c r="N2918" s="1" t="s">
        <v>414</v>
      </c>
      <c r="O2918" s="1" t="s">
        <v>415</v>
      </c>
      <c r="P2918" s="1" t="s">
        <v>36</v>
      </c>
      <c r="Q2918" s="3">
        <v>42081.0</v>
      </c>
      <c r="R2918" s="1"/>
      <c r="S2918" s="1"/>
      <c r="T2918" s="1" t="s">
        <v>37</v>
      </c>
      <c r="U2918" s="1"/>
      <c r="V2918" s="1" t="s">
        <v>38</v>
      </c>
      <c r="W2918" s="1">
        <v>43.269081</v>
      </c>
      <c r="X2918" s="1">
        <v>-73.088547</v>
      </c>
      <c r="Y2918" s="1" t="s">
        <v>12048</v>
      </c>
      <c r="Z2918" s="1"/>
      <c r="AA2918" s="1" t="s">
        <v>40</v>
      </c>
      <c r="AB2918" s="1" t="s">
        <v>416</v>
      </c>
      <c r="AC2918" s="1">
        <v>5251.0</v>
      </c>
    </row>
    <row r="2919">
      <c r="A2919" s="1" t="str">
        <f>"000Q41"</f>
        <v>000Q41</v>
      </c>
      <c r="B2919" s="1" t="s">
        <v>12049</v>
      </c>
      <c r="C2919" s="1" t="s">
        <v>12050</v>
      </c>
      <c r="D2919" s="1" t="str">
        <f>"2063100019"</f>
        <v>2063100019</v>
      </c>
      <c r="E2919" s="1">
        <v>4763.0</v>
      </c>
      <c r="F2919" s="1" t="s">
        <v>117</v>
      </c>
      <c r="G2919" s="1" t="s">
        <v>12051</v>
      </c>
      <c r="H2919" s="1">
        <v>3.0</v>
      </c>
      <c r="I2919" s="2">
        <v>2.0</v>
      </c>
      <c r="J2919" s="2">
        <v>2.0</v>
      </c>
      <c r="K2919" s="2">
        <v>0.0</v>
      </c>
      <c r="L2919" s="1"/>
      <c r="M2919" s="1" t="s">
        <v>12052</v>
      </c>
      <c r="N2919" s="1" t="s">
        <v>34</v>
      </c>
      <c r="O2919" s="1" t="s">
        <v>463</v>
      </c>
      <c r="P2919" s="1" t="s">
        <v>12053</v>
      </c>
      <c r="Q2919" s="3">
        <v>42081.0</v>
      </c>
      <c r="R2919" s="1"/>
      <c r="S2919" s="3">
        <v>42930.0</v>
      </c>
      <c r="T2919" s="1" t="s">
        <v>37</v>
      </c>
      <c r="U2919" s="1"/>
      <c r="V2919" s="1" t="s">
        <v>38</v>
      </c>
      <c r="W2919" s="1">
        <v>43.712933</v>
      </c>
      <c r="X2919" s="1">
        <v>-72.30941</v>
      </c>
      <c r="Y2919" s="1" t="s">
        <v>12054</v>
      </c>
      <c r="Z2919" s="1"/>
      <c r="AA2919" s="1" t="s">
        <v>40</v>
      </c>
      <c r="AB2919" s="1" t="s">
        <v>466</v>
      </c>
      <c r="AC2919" s="1">
        <v>5055.0</v>
      </c>
    </row>
    <row r="2920">
      <c r="A2920" s="1" t="str">
        <f>"000Q6J"</f>
        <v>000Q6J</v>
      </c>
      <c r="B2920" s="1" t="s">
        <v>12055</v>
      </c>
      <c r="C2920" s="1" t="s">
        <v>12056</v>
      </c>
      <c r="D2920" s="1" t="str">
        <f>"8024571636"</f>
        <v>8024571636</v>
      </c>
      <c r="E2920" s="1">
        <v>4764.0</v>
      </c>
      <c r="F2920" s="1" t="s">
        <v>31</v>
      </c>
      <c r="G2920" s="1" t="s">
        <v>12057</v>
      </c>
      <c r="H2920" s="1">
        <v>5.0</v>
      </c>
      <c r="I2920" s="1"/>
      <c r="J2920" s="1"/>
      <c r="K2920" s="1"/>
      <c r="L2920" s="1"/>
      <c r="M2920" s="1" t="s">
        <v>33</v>
      </c>
      <c r="N2920" s="1" t="s">
        <v>34</v>
      </c>
      <c r="O2920" s="1" t="s">
        <v>324</v>
      </c>
      <c r="P2920" s="1" t="s">
        <v>36</v>
      </c>
      <c r="Q2920" s="3">
        <v>42096.0</v>
      </c>
      <c r="R2920" s="1"/>
      <c r="S2920" s="1"/>
      <c r="T2920" s="1" t="s">
        <v>37</v>
      </c>
      <c r="U2920" s="1"/>
      <c r="V2920" s="1" t="s">
        <v>38</v>
      </c>
      <c r="W2920" s="1">
        <v>43.6109901</v>
      </c>
      <c r="X2920" s="1">
        <v>-72.4938525999999</v>
      </c>
      <c r="Y2920" s="1" t="s">
        <v>12058</v>
      </c>
      <c r="Z2920" s="1"/>
      <c r="AA2920" s="1" t="s">
        <v>40</v>
      </c>
      <c r="AB2920" s="1" t="s">
        <v>326</v>
      </c>
      <c r="AC2920" s="1">
        <v>5901.0</v>
      </c>
    </row>
    <row r="2921">
      <c r="A2921" s="1" t="str">
        <f>"000Q6M"</f>
        <v>000Q6M</v>
      </c>
      <c r="B2921" s="1" t="s">
        <v>12059</v>
      </c>
      <c r="C2921" s="1" t="s">
        <v>12060</v>
      </c>
      <c r="D2921" s="1" t="str">
        <f>"8023725678"</f>
        <v>8023725678</v>
      </c>
      <c r="E2921" s="1">
        <v>4765.0</v>
      </c>
      <c r="F2921" s="1" t="s">
        <v>44</v>
      </c>
      <c r="G2921" s="1" t="s">
        <v>12061</v>
      </c>
      <c r="H2921" s="1">
        <v>2.0</v>
      </c>
      <c r="I2921" s="2">
        <v>2.0</v>
      </c>
      <c r="J2921" s="2" t="s">
        <v>119</v>
      </c>
      <c r="K2921" s="2" t="s">
        <v>119</v>
      </c>
      <c r="L2921" s="1"/>
      <c r="M2921" s="1" t="s">
        <v>33</v>
      </c>
      <c r="N2921" s="1" t="s">
        <v>107</v>
      </c>
      <c r="O2921" s="1" t="s">
        <v>108</v>
      </c>
      <c r="P2921" s="1" t="s">
        <v>36</v>
      </c>
      <c r="Q2921" s="3">
        <v>42096.0</v>
      </c>
      <c r="R2921" s="1"/>
      <c r="S2921" s="1"/>
      <c r="T2921" s="1" t="s">
        <v>37</v>
      </c>
      <c r="U2921" s="1"/>
      <c r="V2921" s="1" t="s">
        <v>38</v>
      </c>
      <c r="W2921" s="1">
        <v>44.733345</v>
      </c>
      <c r="X2921" s="1">
        <v>-73.320198</v>
      </c>
      <c r="Y2921" s="1" t="s">
        <v>12062</v>
      </c>
      <c r="Z2921" s="1"/>
      <c r="AA2921" s="1" t="s">
        <v>40</v>
      </c>
      <c r="AB2921" s="1" t="s">
        <v>107</v>
      </c>
      <c r="AC2921" s="1" t="s">
        <v>12063</v>
      </c>
    </row>
    <row r="2922">
      <c r="A2922" s="1" t="str">
        <f>"000Q73"</f>
        <v>000Q73</v>
      </c>
      <c r="B2922" s="1" t="s">
        <v>12064</v>
      </c>
      <c r="C2922" s="1" t="s">
        <v>12065</v>
      </c>
      <c r="D2922" s="1" t="str">
        <f>"8025843809"</f>
        <v>8025843809</v>
      </c>
      <c r="E2922" s="1">
        <v>4766.0</v>
      </c>
      <c r="F2922" s="1" t="s">
        <v>117</v>
      </c>
      <c r="G2922" s="1" t="s">
        <v>12066</v>
      </c>
      <c r="H2922" s="1">
        <v>2.0</v>
      </c>
      <c r="I2922" s="1"/>
      <c r="J2922" s="1"/>
      <c r="K2922" s="1"/>
      <c r="L2922" s="1"/>
      <c r="M2922" s="1" t="s">
        <v>12067</v>
      </c>
      <c r="N2922" s="1" t="s">
        <v>142</v>
      </c>
      <c r="O2922" s="1" t="s">
        <v>540</v>
      </c>
      <c r="P2922" s="1" t="s">
        <v>12068</v>
      </c>
      <c r="Q2922" s="3">
        <v>42086.0</v>
      </c>
      <c r="R2922" s="1"/>
      <c r="S2922" s="1"/>
      <c r="T2922" s="1" t="s">
        <v>37</v>
      </c>
      <c r="U2922" s="1"/>
      <c r="V2922" s="1" t="s">
        <v>38</v>
      </c>
      <c r="W2922" s="1">
        <v>44.1687033959188</v>
      </c>
      <c r="X2922" s="1">
        <v>-72.1497756242752</v>
      </c>
      <c r="Y2922" s="1" t="s">
        <v>12069</v>
      </c>
      <c r="Z2922" s="1"/>
      <c r="AA2922" s="1" t="s">
        <v>40</v>
      </c>
      <c r="AB2922" s="1" t="s">
        <v>2218</v>
      </c>
      <c r="AC2922" s="1">
        <v>5069.0</v>
      </c>
    </row>
    <row r="2923">
      <c r="A2923" s="1" t="str">
        <f>"000Q74"</f>
        <v>000Q74</v>
      </c>
      <c r="B2923" s="1" t="s">
        <v>12070</v>
      </c>
      <c r="C2923" s="1" t="s">
        <v>12071</v>
      </c>
      <c r="D2923" s="1" t="str">
        <f>"8023935595"</f>
        <v>8023935595</v>
      </c>
      <c r="E2923" s="1">
        <v>4767.0</v>
      </c>
      <c r="F2923" s="1" t="s">
        <v>31</v>
      </c>
      <c r="G2923" s="1" t="s">
        <v>12072</v>
      </c>
      <c r="H2923" s="1">
        <v>3.0</v>
      </c>
      <c r="I2923" s="1"/>
      <c r="J2923" s="1"/>
      <c r="K2923" s="1"/>
      <c r="L2923" s="1"/>
      <c r="M2923" s="1" t="s">
        <v>33</v>
      </c>
      <c r="N2923" s="1" t="s">
        <v>47</v>
      </c>
      <c r="O2923" s="1" t="s">
        <v>48</v>
      </c>
      <c r="P2923" s="1" t="s">
        <v>36</v>
      </c>
      <c r="Q2923" s="3">
        <v>42079.0</v>
      </c>
      <c r="R2923" s="1"/>
      <c r="S2923" s="1"/>
      <c r="T2923" s="1" t="s">
        <v>37</v>
      </c>
      <c r="U2923" s="1"/>
      <c r="V2923" s="1" t="s">
        <v>38</v>
      </c>
      <c r="W2923" s="1">
        <v>44.8764569999999</v>
      </c>
      <c r="X2923" s="1">
        <v>-72.6666258999999</v>
      </c>
      <c r="Y2923" s="1" t="s">
        <v>12073</v>
      </c>
      <c r="Z2923" s="1"/>
      <c r="AA2923" s="1" t="s">
        <v>40</v>
      </c>
      <c r="AB2923" s="1" t="s">
        <v>267</v>
      </c>
      <c r="AC2923" s="1">
        <v>5450.0</v>
      </c>
    </row>
    <row r="2924">
      <c r="A2924" s="1" t="str">
        <f>"0008ZN"</f>
        <v>0008ZN</v>
      </c>
      <c r="B2924" s="1" t="s">
        <v>12074</v>
      </c>
      <c r="C2924" s="1" t="s">
        <v>12075</v>
      </c>
      <c r="D2924" s="1" t="str">
        <f>"8023659829"</f>
        <v>8023659829</v>
      </c>
      <c r="E2924" s="1">
        <v>3544.0</v>
      </c>
      <c r="F2924" s="1" t="s">
        <v>117</v>
      </c>
      <c r="G2924" s="1" t="s">
        <v>12076</v>
      </c>
      <c r="H2924" s="1">
        <v>14.0</v>
      </c>
      <c r="I2924" s="2" t="s">
        <v>119</v>
      </c>
      <c r="J2924" s="2" t="s">
        <v>119</v>
      </c>
      <c r="K2924" s="2" t="s">
        <v>119</v>
      </c>
      <c r="L2924" s="1"/>
      <c r="M2924" s="1" t="s">
        <v>12077</v>
      </c>
      <c r="N2924" s="1" t="s">
        <v>66</v>
      </c>
      <c r="O2924" s="1" t="s">
        <v>1742</v>
      </c>
      <c r="P2924" s="1" t="s">
        <v>12078</v>
      </c>
      <c r="Q2924" s="3">
        <v>42100.0</v>
      </c>
      <c r="R2924" s="1"/>
      <c r="S2924" s="1"/>
      <c r="T2924" s="1" t="s">
        <v>37</v>
      </c>
      <c r="U2924" s="1"/>
      <c r="V2924" s="1" t="s">
        <v>38</v>
      </c>
      <c r="W2924" s="1">
        <v>42.996452</v>
      </c>
      <c r="X2924" s="1">
        <v>-72.6379089</v>
      </c>
      <c r="Y2924" s="1" t="s">
        <v>12079</v>
      </c>
      <c r="Z2924" s="1"/>
      <c r="AA2924" s="1" t="s">
        <v>40</v>
      </c>
      <c r="AB2924" s="1" t="s">
        <v>1743</v>
      </c>
      <c r="AC2924" s="1">
        <v>5345.0</v>
      </c>
    </row>
    <row r="2925">
      <c r="A2925" s="1" t="str">
        <f>"000QAB"</f>
        <v>000QAB</v>
      </c>
      <c r="B2925" s="1" t="s">
        <v>12080</v>
      </c>
      <c r="C2925" s="1" t="s">
        <v>12081</v>
      </c>
      <c r="D2925" s="1" t="str">
        <f>"8023467166"</f>
        <v>8023467166</v>
      </c>
      <c r="E2925" s="1">
        <v>4768.0</v>
      </c>
      <c r="F2925" s="1" t="s">
        <v>31</v>
      </c>
      <c r="G2925" s="1" t="s">
        <v>12082</v>
      </c>
      <c r="H2925" s="1">
        <v>1.0</v>
      </c>
      <c r="I2925" s="1"/>
      <c r="J2925" s="1"/>
      <c r="K2925" s="1"/>
      <c r="L2925" s="1"/>
      <c r="M2925" s="1">
        <v>1.0</v>
      </c>
      <c r="N2925" s="1" t="s">
        <v>414</v>
      </c>
      <c r="O2925" s="1" t="s">
        <v>794</v>
      </c>
      <c r="P2925" s="1" t="s">
        <v>12083</v>
      </c>
      <c r="Q2925" s="3">
        <v>42108.0</v>
      </c>
      <c r="R2925" s="1"/>
      <c r="S2925" s="1"/>
      <c r="T2925" s="1" t="s">
        <v>37</v>
      </c>
      <c r="U2925" s="1"/>
      <c r="V2925" s="1" t="s">
        <v>38</v>
      </c>
      <c r="W2925" s="1">
        <v>42.8213119982239</v>
      </c>
      <c r="X2925" s="1">
        <v>-73.222439289093</v>
      </c>
      <c r="Y2925" s="1" t="s">
        <v>12084</v>
      </c>
      <c r="Z2925" s="1"/>
      <c r="AA2925" s="1" t="s">
        <v>40</v>
      </c>
      <c r="AB2925" s="1" t="s">
        <v>414</v>
      </c>
      <c r="AC2925" s="1">
        <v>5201.0</v>
      </c>
    </row>
    <row r="2926">
      <c r="A2926" s="1" t="str">
        <f>"000QAC"</f>
        <v>000QAC</v>
      </c>
      <c r="B2926" s="1" t="s">
        <v>12085</v>
      </c>
      <c r="C2926" s="1" t="s">
        <v>12086</v>
      </c>
      <c r="D2926" s="1" t="str">
        <f>"8024252270"</f>
        <v>8024252270</v>
      </c>
      <c r="E2926" s="1">
        <v>4769.0</v>
      </c>
      <c r="F2926" s="1" t="s">
        <v>44</v>
      </c>
      <c r="G2926" s="1" t="s">
        <v>12087</v>
      </c>
      <c r="H2926" s="1">
        <v>2.0</v>
      </c>
      <c r="I2926" s="2" t="s">
        <v>119</v>
      </c>
      <c r="J2926" s="2" t="s">
        <v>119</v>
      </c>
      <c r="K2926" s="2" t="s">
        <v>119</v>
      </c>
      <c r="L2926" s="1"/>
      <c r="M2926" s="1" t="s">
        <v>33</v>
      </c>
      <c r="N2926" s="1" t="s">
        <v>57</v>
      </c>
      <c r="O2926" s="1" t="s">
        <v>1633</v>
      </c>
      <c r="P2926" s="1" t="s">
        <v>3944</v>
      </c>
      <c r="Q2926" s="3">
        <v>42108.0</v>
      </c>
      <c r="R2926" s="1"/>
      <c r="S2926" s="1"/>
      <c r="T2926" s="1" t="s">
        <v>37</v>
      </c>
      <c r="U2926" s="1"/>
      <c r="V2926" s="1" t="s">
        <v>38</v>
      </c>
      <c r="W2926" s="1">
        <v>44.3701808</v>
      </c>
      <c r="X2926" s="1">
        <v>-73.2090465</v>
      </c>
      <c r="Y2926" s="1" t="s">
        <v>12088</v>
      </c>
      <c r="Z2926" s="1"/>
      <c r="AA2926" s="1" t="s">
        <v>40</v>
      </c>
      <c r="AB2926" s="1" t="s">
        <v>1634</v>
      </c>
      <c r="AC2926" s="1">
        <v>5445.0</v>
      </c>
    </row>
    <row r="2927">
      <c r="A2927" s="1" t="str">
        <f>"000QAD"</f>
        <v>000QAD</v>
      </c>
      <c r="B2927" s="1" t="s">
        <v>12089</v>
      </c>
      <c r="C2927" s="1" t="s">
        <v>12090</v>
      </c>
      <c r="D2927" s="1" t="str">
        <f>"8028814896"</f>
        <v>8028814896</v>
      </c>
      <c r="E2927" s="1">
        <v>4770.0</v>
      </c>
      <c r="F2927" s="1" t="s">
        <v>44</v>
      </c>
      <c r="G2927" s="1" t="s">
        <v>12091</v>
      </c>
      <c r="H2927" s="1">
        <v>1.0</v>
      </c>
      <c r="I2927" s="1"/>
      <c r="J2927" s="1"/>
      <c r="K2927" s="1"/>
      <c r="L2927" s="1"/>
      <c r="M2927" s="1"/>
      <c r="N2927" s="1" t="s">
        <v>107</v>
      </c>
      <c r="O2927" s="1" t="s">
        <v>108</v>
      </c>
      <c r="P2927" s="1"/>
      <c r="Q2927" s="3">
        <v>42108.0</v>
      </c>
      <c r="R2927" s="1"/>
      <c r="S2927" s="1"/>
      <c r="T2927" s="1" t="s">
        <v>37</v>
      </c>
      <c r="U2927" s="1"/>
      <c r="V2927" s="1" t="s">
        <v>38</v>
      </c>
      <c r="W2927" s="1">
        <v>44.7389985313281</v>
      </c>
      <c r="X2927" s="1">
        <v>-73.2767915725708</v>
      </c>
      <c r="Y2927" s="1" t="s">
        <v>12092</v>
      </c>
      <c r="Z2927" s="1"/>
      <c r="AA2927" s="1" t="s">
        <v>40</v>
      </c>
      <c r="AB2927" s="1" t="s">
        <v>107</v>
      </c>
      <c r="AC2927" s="1">
        <v>5458.0</v>
      </c>
    </row>
    <row r="2928">
      <c r="A2928" s="1" t="str">
        <f>"000QAF"</f>
        <v>000QAF</v>
      </c>
      <c r="B2928" s="1" t="s">
        <v>12093</v>
      </c>
      <c r="C2928" s="1" t="s">
        <v>12094</v>
      </c>
      <c r="D2928" s="1" t="str">
        <f>"8022332250"</f>
        <v>8022332250</v>
      </c>
      <c r="E2928" s="1">
        <v>4771.0</v>
      </c>
      <c r="F2928" s="1" t="s">
        <v>31</v>
      </c>
      <c r="G2928" s="1" t="s">
        <v>12095</v>
      </c>
      <c r="H2928" s="1">
        <v>1.0</v>
      </c>
      <c r="I2928" s="1"/>
      <c r="J2928" s="1"/>
      <c r="K2928" s="1"/>
      <c r="L2928" s="1"/>
      <c r="M2928" s="1" t="s">
        <v>12096</v>
      </c>
      <c r="N2928" s="1" t="s">
        <v>57</v>
      </c>
      <c r="O2928" s="1" t="s">
        <v>204</v>
      </c>
      <c r="P2928" s="1" t="s">
        <v>3944</v>
      </c>
      <c r="Q2928" s="3">
        <v>42108.0</v>
      </c>
      <c r="R2928" s="1"/>
      <c r="S2928" s="1"/>
      <c r="T2928" s="1" t="s">
        <v>37</v>
      </c>
      <c r="U2928" s="1"/>
      <c r="V2928" s="1" t="s">
        <v>38</v>
      </c>
      <c r="W2928" s="1">
        <v>44.334763</v>
      </c>
      <c r="X2928" s="1">
        <v>-73.0811689999999</v>
      </c>
      <c r="Y2928" s="1" t="s">
        <v>12097</v>
      </c>
      <c r="Z2928" s="1"/>
      <c r="AA2928" s="1" t="s">
        <v>40</v>
      </c>
      <c r="AB2928" s="1" t="s">
        <v>205</v>
      </c>
      <c r="AC2928" s="1">
        <v>5461.0</v>
      </c>
    </row>
    <row r="2929">
      <c r="A2929" s="1" t="str">
        <f>"000QAG"</f>
        <v>000QAG</v>
      </c>
      <c r="B2929" s="1" t="s">
        <v>12098</v>
      </c>
      <c r="C2929" s="1" t="s">
        <v>12099</v>
      </c>
      <c r="D2929" s="1" t="str">
        <f>"8029892276"</f>
        <v>8029892276</v>
      </c>
      <c r="E2929" s="1">
        <v>4772.0</v>
      </c>
      <c r="F2929" s="1" t="s">
        <v>117</v>
      </c>
      <c r="G2929" s="1" t="s">
        <v>12100</v>
      </c>
      <c r="H2929" s="1">
        <v>2.0</v>
      </c>
      <c r="I2929" s="2" t="s">
        <v>119</v>
      </c>
      <c r="J2929" s="2">
        <v>1.0</v>
      </c>
      <c r="K2929" s="2" t="s">
        <v>119</v>
      </c>
      <c r="L2929" s="1"/>
      <c r="M2929" s="1">
        <v>1.0</v>
      </c>
      <c r="N2929" s="1" t="s">
        <v>57</v>
      </c>
      <c r="O2929" s="1" t="s">
        <v>1633</v>
      </c>
      <c r="P2929" s="1" t="s">
        <v>12101</v>
      </c>
      <c r="Q2929" s="3">
        <v>42108.0</v>
      </c>
      <c r="R2929" s="1"/>
      <c r="S2929" s="1"/>
      <c r="T2929" s="1" t="s">
        <v>37</v>
      </c>
      <c r="U2929" s="1"/>
      <c r="V2929" s="1" t="s">
        <v>38</v>
      </c>
      <c r="W2929" s="1">
        <v>44.2564575077858</v>
      </c>
      <c r="X2929" s="1">
        <v>-73.1234765052795</v>
      </c>
      <c r="Y2929" s="1" t="s">
        <v>12102</v>
      </c>
      <c r="Z2929" s="1"/>
      <c r="AA2929" s="1" t="s">
        <v>40</v>
      </c>
      <c r="AB2929" s="1" t="s">
        <v>12103</v>
      </c>
      <c r="AC2929" s="1">
        <v>5473.0</v>
      </c>
    </row>
    <row r="2930">
      <c r="A2930" s="1" t="str">
        <f>"000QAJ"</f>
        <v>000QAJ</v>
      </c>
      <c r="B2930" s="1" t="s">
        <v>12104</v>
      </c>
      <c r="C2930" s="1" t="s">
        <v>12105</v>
      </c>
      <c r="D2930" s="1" t="str">
        <f>"8022351065"</f>
        <v>8022351065</v>
      </c>
      <c r="E2930" s="1">
        <v>4773.0</v>
      </c>
      <c r="F2930" s="1" t="s">
        <v>44</v>
      </c>
      <c r="G2930" s="1" t="s">
        <v>12106</v>
      </c>
      <c r="H2930" s="1">
        <v>2.0</v>
      </c>
      <c r="I2930" s="2" t="s">
        <v>119</v>
      </c>
      <c r="J2930" s="2" t="s">
        <v>119</v>
      </c>
      <c r="K2930" s="2" t="s">
        <v>119</v>
      </c>
      <c r="L2930" s="1"/>
      <c r="M2930" s="1" t="s">
        <v>33</v>
      </c>
      <c r="N2930" s="1" t="s">
        <v>78</v>
      </c>
      <c r="O2930" s="1" t="s">
        <v>420</v>
      </c>
      <c r="P2930" s="1" t="s">
        <v>12107</v>
      </c>
      <c r="Q2930" s="3">
        <v>42108.0</v>
      </c>
      <c r="R2930" s="1"/>
      <c r="S2930" s="1"/>
      <c r="T2930" s="1" t="s">
        <v>37</v>
      </c>
      <c r="U2930" s="1"/>
      <c r="V2930" s="1" t="s">
        <v>38</v>
      </c>
      <c r="W2930" s="1">
        <v>43.461385</v>
      </c>
      <c r="X2930" s="1">
        <v>-73.109993</v>
      </c>
      <c r="Y2930" s="1" t="s">
        <v>12108</v>
      </c>
      <c r="Z2930" s="1"/>
      <c r="AA2930" s="1" t="s">
        <v>40</v>
      </c>
      <c r="AB2930" s="1" t="s">
        <v>7161</v>
      </c>
      <c r="AC2930" s="1">
        <v>5757.0</v>
      </c>
    </row>
    <row r="2931">
      <c r="A2931" s="1" t="str">
        <f>"000QAK"</f>
        <v>000QAK</v>
      </c>
      <c r="B2931" s="1" t="s">
        <v>12109</v>
      </c>
      <c r="C2931" s="1" t="s">
        <v>12110</v>
      </c>
      <c r="D2931" s="1" t="str">
        <f>"8027300138"</f>
        <v>8027300138</v>
      </c>
      <c r="E2931" s="1">
        <v>4774.0</v>
      </c>
      <c r="F2931" s="1" t="s">
        <v>117</v>
      </c>
      <c r="G2931" s="1" t="s">
        <v>12111</v>
      </c>
      <c r="H2931" s="1">
        <v>2.0</v>
      </c>
      <c r="I2931" s="2">
        <v>4.0</v>
      </c>
      <c r="J2931" s="2">
        <v>4.0</v>
      </c>
      <c r="K2931" s="2">
        <v>0.0</v>
      </c>
      <c r="L2931" s="1"/>
      <c r="M2931" s="1">
        <v>1.0</v>
      </c>
      <c r="N2931" s="1" t="s">
        <v>78</v>
      </c>
      <c r="O2931" s="1" t="s">
        <v>452</v>
      </c>
      <c r="P2931" s="1" t="s">
        <v>12112</v>
      </c>
      <c r="Q2931" s="3">
        <v>42108.0</v>
      </c>
      <c r="R2931" s="1"/>
      <c r="S2931" s="1"/>
      <c r="T2931" s="1" t="s">
        <v>37</v>
      </c>
      <c r="U2931" s="1"/>
      <c r="V2931" s="1" t="s">
        <v>38</v>
      </c>
      <c r="W2931" s="1">
        <v>43.638262</v>
      </c>
      <c r="X2931" s="1">
        <v>-72.9984359999999</v>
      </c>
      <c r="Y2931" s="1" t="s">
        <v>12113</v>
      </c>
      <c r="Z2931" s="1"/>
      <c r="AA2931" s="1" t="s">
        <v>40</v>
      </c>
      <c r="AB2931" s="1" t="s">
        <v>78</v>
      </c>
      <c r="AC2931" s="1">
        <v>5701.0</v>
      </c>
    </row>
    <row r="2932">
      <c r="A2932" s="1" t="str">
        <f>"000QAM"</f>
        <v>000QAM</v>
      </c>
      <c r="B2932" s="1" t="s">
        <v>12114</v>
      </c>
      <c r="C2932" s="1" t="s">
        <v>12115</v>
      </c>
      <c r="D2932" s="1" t="str">
        <f>"5183216739"</f>
        <v>5183216739</v>
      </c>
      <c r="E2932" s="1">
        <v>4775.0</v>
      </c>
      <c r="F2932" s="1" t="s">
        <v>117</v>
      </c>
      <c r="G2932" s="1" t="s">
        <v>12116</v>
      </c>
      <c r="H2932" s="1">
        <v>3.0</v>
      </c>
      <c r="I2932" s="2">
        <v>0.0</v>
      </c>
      <c r="J2932" s="2">
        <v>0.0</v>
      </c>
      <c r="K2932" s="2" t="s">
        <v>119</v>
      </c>
      <c r="L2932" s="1"/>
      <c r="M2932" s="1" t="s">
        <v>12117</v>
      </c>
      <c r="N2932" s="1" t="s">
        <v>414</v>
      </c>
      <c r="O2932" s="1" t="s">
        <v>720</v>
      </c>
      <c r="P2932" s="1" t="s">
        <v>12118</v>
      </c>
      <c r="Q2932" s="3">
        <v>42108.0</v>
      </c>
      <c r="R2932" s="1"/>
      <c r="S2932" s="3">
        <v>42550.0</v>
      </c>
      <c r="T2932" s="1" t="s">
        <v>37</v>
      </c>
      <c r="U2932" s="1"/>
      <c r="V2932" s="1" t="s">
        <v>9944</v>
      </c>
      <c r="W2932" s="1">
        <v>42.8962241349107</v>
      </c>
      <c r="X2932" s="1">
        <v>-73.2312355935573</v>
      </c>
      <c r="Y2932" s="1" t="s">
        <v>12119</v>
      </c>
      <c r="Z2932" s="1"/>
      <c r="AA2932" s="1" t="s">
        <v>40</v>
      </c>
      <c r="AB2932" s="1" t="s">
        <v>414</v>
      </c>
      <c r="AC2932" s="1">
        <v>5201.0</v>
      </c>
    </row>
    <row r="2933">
      <c r="A2933" s="1" t="str">
        <f>"000QAN"</f>
        <v>000QAN</v>
      </c>
      <c r="B2933" s="1" t="s">
        <v>12120</v>
      </c>
      <c r="C2933" s="1" t="s">
        <v>12121</v>
      </c>
      <c r="D2933" s="1" t="str">
        <f>"8026816530"</f>
        <v>8026816530</v>
      </c>
      <c r="E2933" s="1">
        <v>4776.0</v>
      </c>
      <c r="F2933" s="1" t="s">
        <v>44</v>
      </c>
      <c r="G2933" s="1" t="s">
        <v>12122</v>
      </c>
      <c r="H2933" s="1">
        <v>2.0</v>
      </c>
      <c r="I2933" s="1"/>
      <c r="J2933" s="1"/>
      <c r="K2933" s="1"/>
      <c r="L2933" s="1"/>
      <c r="M2933" s="1"/>
      <c r="N2933" s="1" t="s">
        <v>414</v>
      </c>
      <c r="O2933" s="1" t="s">
        <v>794</v>
      </c>
      <c r="P2933" s="1"/>
      <c r="Q2933" s="3">
        <v>42108.0</v>
      </c>
      <c r="R2933" s="1"/>
      <c r="S2933" s="1"/>
      <c r="T2933" s="1" t="s">
        <v>37</v>
      </c>
      <c r="U2933" s="1"/>
      <c r="V2933" s="1" t="s">
        <v>38</v>
      </c>
      <c r="W2933" s="1">
        <v>42.8491711061728</v>
      </c>
      <c r="X2933" s="1">
        <v>-73.2524585723877</v>
      </c>
      <c r="Y2933" s="1" t="s">
        <v>12123</v>
      </c>
      <c r="Z2933" s="1"/>
      <c r="AA2933" s="1" t="s">
        <v>40</v>
      </c>
      <c r="AB2933" s="1" t="s">
        <v>11663</v>
      </c>
      <c r="AC2933" s="1">
        <v>5260.0</v>
      </c>
    </row>
    <row r="2934">
      <c r="A2934" s="1" t="str">
        <f>"000QAP"</f>
        <v>000QAP</v>
      </c>
      <c r="B2934" s="1" t="s">
        <v>12124</v>
      </c>
      <c r="C2934" s="1" t="s">
        <v>12125</v>
      </c>
      <c r="D2934" s="1" t="str">
        <f>"9179028693"</f>
        <v>9179028693</v>
      </c>
      <c r="E2934" s="1">
        <v>4777.0</v>
      </c>
      <c r="F2934" s="1" t="s">
        <v>31</v>
      </c>
      <c r="G2934" s="1" t="s">
        <v>12126</v>
      </c>
      <c r="H2934" s="1">
        <v>6.0</v>
      </c>
      <c r="I2934" s="1"/>
      <c r="J2934" s="1"/>
      <c r="K2934" s="1"/>
      <c r="L2934" s="1"/>
      <c r="M2934" s="1"/>
      <c r="N2934" s="1" t="s">
        <v>66</v>
      </c>
      <c r="O2934" s="1" t="s">
        <v>1199</v>
      </c>
      <c r="P2934" s="1" t="s">
        <v>6946</v>
      </c>
      <c r="Q2934" s="3">
        <v>42108.0</v>
      </c>
      <c r="R2934" s="1"/>
      <c r="S2934" s="1"/>
      <c r="T2934" s="1" t="s">
        <v>37</v>
      </c>
      <c r="U2934" s="1"/>
      <c r="V2934" s="1" t="s">
        <v>38</v>
      </c>
      <c r="W2934" s="1">
        <v>43.131706</v>
      </c>
      <c r="X2934" s="1">
        <v>-72.4453209999999</v>
      </c>
      <c r="Y2934" s="1" t="s">
        <v>12127</v>
      </c>
      <c r="Z2934" s="1"/>
      <c r="AA2934" s="1" t="s">
        <v>40</v>
      </c>
      <c r="AB2934" s="1" t="s">
        <v>12128</v>
      </c>
      <c r="AC2934" s="1">
        <v>5101.0</v>
      </c>
    </row>
    <row r="2935">
      <c r="A2935" s="1" t="str">
        <f>"000QAQ"</f>
        <v>000QAQ</v>
      </c>
      <c r="B2935" s="1" t="s">
        <v>12129</v>
      </c>
      <c r="C2935" s="1" t="s">
        <v>12130</v>
      </c>
      <c r="D2935" s="1" t="str">
        <f>"8024470841"</f>
        <v>8024470841</v>
      </c>
      <c r="E2935" s="1">
        <v>4778.0</v>
      </c>
      <c r="F2935" s="1" t="s">
        <v>44</v>
      </c>
      <c r="G2935" s="1" t="s">
        <v>12131</v>
      </c>
      <c r="H2935" s="1">
        <v>1.0</v>
      </c>
      <c r="I2935" s="1"/>
      <c r="J2935" s="1"/>
      <c r="K2935" s="1"/>
      <c r="L2935" s="1"/>
      <c r="M2935" s="1"/>
      <c r="N2935" s="1" t="s">
        <v>414</v>
      </c>
      <c r="O2935" s="1" t="s">
        <v>720</v>
      </c>
      <c r="P2935" s="1"/>
      <c r="Q2935" s="3">
        <v>42108.0</v>
      </c>
      <c r="R2935" s="1"/>
      <c r="S2935" s="1"/>
      <c r="T2935" s="1" t="s">
        <v>37</v>
      </c>
      <c r="U2935" s="1"/>
      <c r="V2935" s="1" t="s">
        <v>38</v>
      </c>
      <c r="W2935" s="1">
        <v>42.881986</v>
      </c>
      <c r="X2935" s="1">
        <v>-73.2016049999999</v>
      </c>
      <c r="Y2935" s="1" t="s">
        <v>12132</v>
      </c>
      <c r="Z2935" s="1"/>
      <c r="AA2935" s="1" t="s">
        <v>40</v>
      </c>
      <c r="AB2935" s="1" t="s">
        <v>414</v>
      </c>
      <c r="AC2935" s="1">
        <v>5201.0</v>
      </c>
    </row>
    <row r="2936">
      <c r="A2936" s="1" t="str">
        <f>"000QAV"</f>
        <v>000QAV</v>
      </c>
      <c r="B2936" s="1" t="s">
        <v>12133</v>
      </c>
      <c r="C2936" s="1" t="s">
        <v>12134</v>
      </c>
      <c r="D2936" s="1" t="str">
        <f>"8022875815"</f>
        <v>8022875815</v>
      </c>
      <c r="E2936" s="1">
        <v>4779.0</v>
      </c>
      <c r="F2936" s="1" t="s">
        <v>117</v>
      </c>
      <c r="G2936" s="1" t="s">
        <v>12135</v>
      </c>
      <c r="H2936" s="1">
        <v>1.0</v>
      </c>
      <c r="I2936" s="2">
        <v>0.0</v>
      </c>
      <c r="J2936" s="2">
        <v>1.0</v>
      </c>
      <c r="K2936" s="2" t="s">
        <v>119</v>
      </c>
      <c r="L2936" s="1"/>
      <c r="M2936" s="1">
        <v>1.0</v>
      </c>
      <c r="N2936" s="1" t="s">
        <v>78</v>
      </c>
      <c r="O2936" s="1" t="s">
        <v>615</v>
      </c>
      <c r="P2936" s="1" t="s">
        <v>12136</v>
      </c>
      <c r="Q2936" s="3">
        <v>42108.0</v>
      </c>
      <c r="R2936" s="1"/>
      <c r="S2936" s="1"/>
      <c r="T2936" s="1" t="s">
        <v>37</v>
      </c>
      <c r="U2936" s="1"/>
      <c r="V2936" s="1" t="s">
        <v>38</v>
      </c>
      <c r="W2936" s="1">
        <v>43.47448</v>
      </c>
      <c r="X2936" s="1">
        <v>-73.240891</v>
      </c>
      <c r="Y2936" s="1" t="s">
        <v>12137</v>
      </c>
      <c r="Z2936" s="1"/>
      <c r="AA2936" s="1" t="s">
        <v>40</v>
      </c>
      <c r="AB2936" s="1" t="s">
        <v>616</v>
      </c>
      <c r="AC2936" s="1" t="s">
        <v>12138</v>
      </c>
    </row>
    <row r="2937">
      <c r="A2937" s="1" t="str">
        <f>"000QAW"</f>
        <v>000QAW</v>
      </c>
      <c r="B2937" s="1" t="s">
        <v>12139</v>
      </c>
      <c r="C2937" s="1" t="s">
        <v>12140</v>
      </c>
      <c r="D2937" s="1" t="str">
        <f>"6034898455"</f>
        <v>6034898455</v>
      </c>
      <c r="E2937" s="1">
        <v>4780.0</v>
      </c>
      <c r="F2937" s="1" t="s">
        <v>44</v>
      </c>
      <c r="G2937" s="1" t="s">
        <v>12141</v>
      </c>
      <c r="H2937" s="1">
        <v>1.0</v>
      </c>
      <c r="I2937" s="2" t="s">
        <v>119</v>
      </c>
      <c r="J2937" s="2">
        <v>1.0</v>
      </c>
      <c r="K2937" s="2" t="s">
        <v>119</v>
      </c>
      <c r="L2937" s="1"/>
      <c r="M2937" s="1"/>
      <c r="N2937" s="1" t="s">
        <v>47</v>
      </c>
      <c r="O2937" s="1"/>
      <c r="P2937" s="1"/>
      <c r="Q2937" s="3">
        <v>42108.0</v>
      </c>
      <c r="R2937" s="1"/>
      <c r="S2937" s="1"/>
      <c r="T2937" s="1" t="s">
        <v>37</v>
      </c>
      <c r="U2937" s="1"/>
      <c r="V2937" s="1" t="s">
        <v>38</v>
      </c>
      <c r="W2937" s="1">
        <v>44.708866</v>
      </c>
      <c r="X2937" s="1">
        <v>-73.148209</v>
      </c>
      <c r="Y2937" s="1" t="s">
        <v>12142</v>
      </c>
      <c r="Z2937" s="1"/>
      <c r="AA2937" s="1" t="s">
        <v>40</v>
      </c>
      <c r="AB2937" s="1" t="s">
        <v>257</v>
      </c>
      <c r="AC2937" s="1">
        <v>5468.0</v>
      </c>
    </row>
    <row r="2938">
      <c r="A2938" s="1" t="str">
        <f>"000QAX"</f>
        <v>000QAX</v>
      </c>
      <c r="B2938" s="1" t="s">
        <v>12143</v>
      </c>
      <c r="C2938" s="1" t="s">
        <v>12144</v>
      </c>
      <c r="D2938" s="1" t="str">
        <f>"8029339698"</f>
        <v>8029339698</v>
      </c>
      <c r="E2938" s="1">
        <v>4781.0</v>
      </c>
      <c r="F2938" s="1" t="s">
        <v>117</v>
      </c>
      <c r="G2938" s="1" t="s">
        <v>12145</v>
      </c>
      <c r="H2938" s="1">
        <v>2.0</v>
      </c>
      <c r="I2938" s="2">
        <v>2.0</v>
      </c>
      <c r="J2938" s="2" t="s">
        <v>119</v>
      </c>
      <c r="K2938" s="2" t="s">
        <v>119</v>
      </c>
      <c r="L2938" s="1"/>
      <c r="M2938" s="1" t="s">
        <v>12146</v>
      </c>
      <c r="N2938" s="1" t="s">
        <v>34</v>
      </c>
      <c r="O2938" s="1" t="s">
        <v>642</v>
      </c>
      <c r="P2938" s="1" t="s">
        <v>12147</v>
      </c>
      <c r="Q2938" s="3">
        <v>42108.0</v>
      </c>
      <c r="R2938" s="1"/>
      <c r="S2938" s="1"/>
      <c r="T2938" s="1" t="s">
        <v>37</v>
      </c>
      <c r="U2938" s="1"/>
      <c r="V2938" s="1" t="s">
        <v>38</v>
      </c>
      <c r="W2938" s="1">
        <v>43.33536</v>
      </c>
      <c r="X2938" s="1">
        <v>-72.495364</v>
      </c>
      <c r="Y2938" s="1" t="s">
        <v>12148</v>
      </c>
      <c r="Z2938" s="1"/>
      <c r="AA2938" s="1" t="s">
        <v>40</v>
      </c>
      <c r="AB2938" s="1" t="s">
        <v>643</v>
      </c>
      <c r="AC2938" s="1">
        <v>5156.0</v>
      </c>
    </row>
    <row r="2939">
      <c r="A2939" s="1" t="str">
        <f>"000QAY"</f>
        <v>000QAY</v>
      </c>
      <c r="B2939" s="1" t="s">
        <v>12149</v>
      </c>
      <c r="C2939" s="1" t="s">
        <v>12150</v>
      </c>
      <c r="D2939" s="1"/>
      <c r="E2939" s="1">
        <v>4782.0</v>
      </c>
      <c r="F2939" s="1" t="s">
        <v>117</v>
      </c>
      <c r="G2939" s="1" t="s">
        <v>12151</v>
      </c>
      <c r="H2939" s="1">
        <v>5.0</v>
      </c>
      <c r="I2939" s="2">
        <v>5.0</v>
      </c>
      <c r="J2939" s="2">
        <v>3.0</v>
      </c>
      <c r="K2939" s="2" t="s">
        <v>119</v>
      </c>
      <c r="L2939" s="2" t="s">
        <v>12152</v>
      </c>
      <c r="M2939" s="1" t="s">
        <v>12153</v>
      </c>
      <c r="N2939" s="1" t="s">
        <v>107</v>
      </c>
      <c r="O2939" s="1" t="s">
        <v>724</v>
      </c>
      <c r="P2939" s="1" t="s">
        <v>12154</v>
      </c>
      <c r="Q2939" s="3">
        <v>42109.0</v>
      </c>
      <c r="R2939" s="1"/>
      <c r="S2939" s="1"/>
      <c r="T2939" s="1" t="s">
        <v>37</v>
      </c>
      <c r="U2939" s="1"/>
      <c r="V2939" s="1" t="s">
        <v>38</v>
      </c>
      <c r="W2939" s="1">
        <v>44.783283</v>
      </c>
      <c r="X2939" s="1">
        <v>-73.311325</v>
      </c>
      <c r="Y2939" s="1" t="s">
        <v>12155</v>
      </c>
      <c r="Z2939" s="1"/>
      <c r="AA2939" s="1" t="s">
        <v>40</v>
      </c>
      <c r="AB2939" s="1" t="s">
        <v>725</v>
      </c>
      <c r="AC2939" s="1">
        <v>5474.0</v>
      </c>
    </row>
    <row r="2940">
      <c r="A2940" s="1" t="str">
        <f>"000QB1"</f>
        <v>000QB1</v>
      </c>
      <c r="B2940" s="1" t="s">
        <v>12156</v>
      </c>
      <c r="C2940" s="1" t="s">
        <v>12157</v>
      </c>
      <c r="D2940" s="1" t="str">
        <f>"8023253874"</f>
        <v>8023253874</v>
      </c>
      <c r="E2940" s="1">
        <v>4784.0</v>
      </c>
      <c r="F2940" s="1" t="s">
        <v>117</v>
      </c>
      <c r="G2940" s="1" t="s">
        <v>12158</v>
      </c>
      <c r="H2940" s="1">
        <v>3.0</v>
      </c>
      <c r="I2940" s="2" t="s">
        <v>119</v>
      </c>
      <c r="J2940" s="2">
        <v>1.0</v>
      </c>
      <c r="K2940" s="2" t="s">
        <v>119</v>
      </c>
      <c r="L2940" s="1"/>
      <c r="M2940" s="1" t="s">
        <v>12159</v>
      </c>
      <c r="N2940" s="1" t="s">
        <v>78</v>
      </c>
      <c r="O2940" s="1" t="s">
        <v>434</v>
      </c>
      <c r="P2940" s="1" t="s">
        <v>12160</v>
      </c>
      <c r="Q2940" s="3">
        <v>42098.0</v>
      </c>
      <c r="R2940" s="1"/>
      <c r="S2940" s="1"/>
      <c r="T2940" s="1" t="s">
        <v>37</v>
      </c>
      <c r="U2940" s="1"/>
      <c r="V2940" s="1" t="s">
        <v>38</v>
      </c>
      <c r="W2940" s="1">
        <v>43.3436359</v>
      </c>
      <c r="X2940" s="1">
        <v>-73.1782069999999</v>
      </c>
      <c r="Y2940" s="1" t="s">
        <v>12161</v>
      </c>
      <c r="Z2940" s="1"/>
      <c r="AA2940" s="1" t="s">
        <v>40</v>
      </c>
      <c r="AB2940" s="1" t="s">
        <v>435</v>
      </c>
      <c r="AC2940" s="1" t="s">
        <v>12162</v>
      </c>
    </row>
    <row r="2941">
      <c r="A2941" s="1" t="str">
        <f>"000QB2"</f>
        <v>000QB2</v>
      </c>
      <c r="B2941" s="1" t="s">
        <v>12163</v>
      </c>
      <c r="C2941" s="1" t="s">
        <v>12164</v>
      </c>
      <c r="D2941" s="1" t="str">
        <f>"8022791459"</f>
        <v>8022791459</v>
      </c>
      <c r="E2941" s="1">
        <v>4785.0</v>
      </c>
      <c r="F2941" s="1" t="s">
        <v>117</v>
      </c>
      <c r="G2941" s="1" t="s">
        <v>12165</v>
      </c>
      <c r="H2941" s="1">
        <v>4.0</v>
      </c>
      <c r="I2941" s="2">
        <v>4.0</v>
      </c>
      <c r="J2941" s="2">
        <v>2.0</v>
      </c>
      <c r="K2941" s="2" t="s">
        <v>119</v>
      </c>
      <c r="L2941" s="1"/>
      <c r="M2941" s="1" t="s">
        <v>12166</v>
      </c>
      <c r="N2941" s="1" t="s">
        <v>135</v>
      </c>
      <c r="O2941" s="1" t="s">
        <v>343</v>
      </c>
      <c r="P2941" s="1" t="s">
        <v>12167</v>
      </c>
      <c r="Q2941" s="3">
        <v>42109.0</v>
      </c>
      <c r="R2941" s="1"/>
      <c r="S2941" s="3">
        <v>42230.0</v>
      </c>
      <c r="T2941" s="1" t="s">
        <v>37</v>
      </c>
      <c r="U2941" s="1"/>
      <c r="V2941" s="1" t="s">
        <v>38</v>
      </c>
      <c r="W2941" s="1">
        <v>44.228395646493</v>
      </c>
      <c r="X2941" s="1">
        <v>-72.5203227996826</v>
      </c>
      <c r="Y2941" s="1" t="s">
        <v>12168</v>
      </c>
      <c r="Z2941" s="1"/>
      <c r="AA2941" s="1" t="s">
        <v>40</v>
      </c>
      <c r="AB2941" s="1" t="s">
        <v>4019</v>
      </c>
      <c r="AC2941" s="1">
        <v>5641.0</v>
      </c>
    </row>
    <row r="2942">
      <c r="A2942" s="1" t="str">
        <f>"000QC5"</f>
        <v>000QC5</v>
      </c>
      <c r="B2942" s="1" t="s">
        <v>12169</v>
      </c>
      <c r="C2942" s="1" t="s">
        <v>12170</v>
      </c>
      <c r="D2942" s="1" t="str">
        <f>"8029339698"</f>
        <v>8029339698</v>
      </c>
      <c r="E2942" s="1">
        <v>4787.0</v>
      </c>
      <c r="F2942" s="1" t="s">
        <v>44</v>
      </c>
      <c r="G2942" s="1" t="s">
        <v>12171</v>
      </c>
      <c r="H2942" s="1">
        <v>8.0</v>
      </c>
      <c r="I2942" s="1"/>
      <c r="J2942" s="1"/>
      <c r="K2942" s="1"/>
      <c r="L2942" s="1"/>
      <c r="M2942" s="1" t="s">
        <v>33</v>
      </c>
      <c r="N2942" s="1" t="s">
        <v>47</v>
      </c>
      <c r="O2942" s="1" t="s">
        <v>264</v>
      </c>
      <c r="P2942" s="1" t="s">
        <v>36</v>
      </c>
      <c r="Q2942" s="3">
        <v>42121.0</v>
      </c>
      <c r="R2942" s="1"/>
      <c r="S2942" s="1"/>
      <c r="T2942" s="1" t="s">
        <v>37</v>
      </c>
      <c r="U2942" s="1"/>
      <c r="V2942" s="1" t="s">
        <v>38</v>
      </c>
      <c r="W2942" s="1"/>
      <c r="X2942" s="1"/>
      <c r="Y2942" s="1" t="s">
        <v>12172</v>
      </c>
      <c r="Z2942" s="1"/>
      <c r="AA2942" s="1" t="s">
        <v>40</v>
      </c>
      <c r="AB2942" s="1" t="s">
        <v>320</v>
      </c>
      <c r="AC2942" s="1">
        <v>5450.0</v>
      </c>
    </row>
    <row r="2943">
      <c r="A2943" s="1" t="str">
        <f>"0007B0"</f>
        <v>0007B0</v>
      </c>
      <c r="B2943" s="1" t="s">
        <v>12173</v>
      </c>
      <c r="C2943" s="1" t="s">
        <v>12174</v>
      </c>
      <c r="D2943" s="1" t="str">
        <f>"8028755415"</f>
        <v>8028755415</v>
      </c>
      <c r="E2943" s="1">
        <v>4007.0</v>
      </c>
      <c r="F2943" s="1" t="s">
        <v>117</v>
      </c>
      <c r="G2943" s="1" t="s">
        <v>12175</v>
      </c>
      <c r="H2943" s="1">
        <v>5.0</v>
      </c>
      <c r="I2943" s="2">
        <v>4.0</v>
      </c>
      <c r="J2943" s="2">
        <v>4.0</v>
      </c>
      <c r="K2943" s="2" t="s">
        <v>119</v>
      </c>
      <c r="L2943" s="1"/>
      <c r="M2943" s="1" t="s">
        <v>12176</v>
      </c>
      <c r="N2943" s="1" t="s">
        <v>414</v>
      </c>
      <c r="O2943" s="1" t="s">
        <v>2880</v>
      </c>
      <c r="P2943" s="1" t="s">
        <v>12177</v>
      </c>
      <c r="Q2943" s="3">
        <v>42116.0</v>
      </c>
      <c r="R2943" s="1"/>
      <c r="S2943" s="1"/>
      <c r="T2943" s="1" t="s">
        <v>37</v>
      </c>
      <c r="U2943" s="1"/>
      <c r="V2943" s="1" t="s">
        <v>38</v>
      </c>
      <c r="W2943" s="1">
        <v>43.1490729627722</v>
      </c>
      <c r="X2943" s="1">
        <v>-73.0743598937988</v>
      </c>
      <c r="Y2943" s="1" t="s">
        <v>12178</v>
      </c>
      <c r="Z2943" s="1"/>
      <c r="AA2943" s="1" t="s">
        <v>40</v>
      </c>
      <c r="AB2943" s="1" t="s">
        <v>2881</v>
      </c>
      <c r="AC2943" s="1">
        <v>5254.0</v>
      </c>
    </row>
    <row r="2944">
      <c r="A2944" s="1" t="str">
        <f>"000QFX"</f>
        <v>000QFX</v>
      </c>
      <c r="B2944" s="1" t="s">
        <v>12179</v>
      </c>
      <c r="C2944" s="1" t="s">
        <v>12180</v>
      </c>
      <c r="D2944" s="1" t="str">
        <f>"8028893324"</f>
        <v>8028893324</v>
      </c>
      <c r="E2944" s="1">
        <v>4793.0</v>
      </c>
      <c r="F2944" s="1" t="s">
        <v>117</v>
      </c>
      <c r="G2944" s="1" t="s">
        <v>12181</v>
      </c>
      <c r="H2944" s="1">
        <v>3.0</v>
      </c>
      <c r="I2944" s="2">
        <v>0.0</v>
      </c>
      <c r="J2944" s="2">
        <v>0.0</v>
      </c>
      <c r="K2944" s="2" t="s">
        <v>119</v>
      </c>
      <c r="L2944" s="1"/>
      <c r="M2944" s="1" t="s">
        <v>12182</v>
      </c>
      <c r="N2944" s="1" t="s">
        <v>142</v>
      </c>
      <c r="O2944" s="1" t="s">
        <v>648</v>
      </c>
      <c r="P2944" s="1" t="s">
        <v>12183</v>
      </c>
      <c r="Q2944" s="3">
        <v>42129.0</v>
      </c>
      <c r="R2944" s="1"/>
      <c r="S2944" s="3">
        <v>42936.0</v>
      </c>
      <c r="T2944" s="1" t="s">
        <v>37</v>
      </c>
      <c r="U2944" s="1"/>
      <c r="V2944" s="1" t="s">
        <v>38</v>
      </c>
      <c r="W2944" s="1">
        <v>43.882458</v>
      </c>
      <c r="X2944" s="1">
        <v>-72.516617</v>
      </c>
      <c r="Y2944" s="1" t="s">
        <v>12184</v>
      </c>
      <c r="Z2944" s="1"/>
      <c r="AA2944" s="1" t="s">
        <v>40</v>
      </c>
      <c r="AB2944" s="1" t="s">
        <v>650</v>
      </c>
      <c r="AC2944" s="1">
        <v>5077.0</v>
      </c>
    </row>
    <row r="2945">
      <c r="A2945" s="1" t="str">
        <f>"000QFZ"</f>
        <v>000QFZ</v>
      </c>
      <c r="B2945" s="1" t="s">
        <v>12185</v>
      </c>
      <c r="C2945" s="1" t="s">
        <v>12186</v>
      </c>
      <c r="D2945" s="1" t="str">
        <f>"8027283386"</f>
        <v>8027283386</v>
      </c>
      <c r="E2945" s="1">
        <v>4794.0</v>
      </c>
      <c r="F2945" s="1" t="s">
        <v>117</v>
      </c>
      <c r="G2945" s="1" t="s">
        <v>12187</v>
      </c>
      <c r="H2945" s="1">
        <v>2.0</v>
      </c>
      <c r="I2945" s="2">
        <v>2.0</v>
      </c>
      <c r="J2945" s="2">
        <v>1.0</v>
      </c>
      <c r="K2945" s="2" t="s">
        <v>829</v>
      </c>
      <c r="L2945" s="1"/>
      <c r="M2945" s="1" t="s">
        <v>12188</v>
      </c>
      <c r="N2945" s="1" t="s">
        <v>142</v>
      </c>
      <c r="O2945" s="1" t="s">
        <v>474</v>
      </c>
      <c r="P2945" s="1" t="s">
        <v>12189</v>
      </c>
      <c r="Q2945" s="3">
        <v>42127.0</v>
      </c>
      <c r="R2945" s="1"/>
      <c r="S2945" s="3">
        <v>42915.0</v>
      </c>
      <c r="T2945" s="1" t="s">
        <v>37</v>
      </c>
      <c r="U2945" s="1"/>
      <c r="V2945" s="1" t="s">
        <v>38</v>
      </c>
      <c r="W2945" s="1">
        <v>43.932449</v>
      </c>
      <c r="X2945" s="1">
        <v>-72.6739499999999</v>
      </c>
      <c r="Y2945" s="1" t="s">
        <v>12190</v>
      </c>
      <c r="Z2945" s="1"/>
      <c r="AA2945" s="1" t="s">
        <v>40</v>
      </c>
      <c r="AB2945" s="1" t="s">
        <v>475</v>
      </c>
      <c r="AC2945" s="1">
        <v>5060.0</v>
      </c>
    </row>
    <row r="2946">
      <c r="A2946" s="1" t="str">
        <f>"000QGQ"</f>
        <v>000QGQ</v>
      </c>
      <c r="B2946" s="1" t="s">
        <v>12191</v>
      </c>
      <c r="C2946" s="1" t="s">
        <v>12192</v>
      </c>
      <c r="D2946" s="1" t="str">
        <f>"8024532847"</f>
        <v>8024532847</v>
      </c>
      <c r="E2946" s="1">
        <v>4795.0</v>
      </c>
      <c r="F2946" s="1" t="s">
        <v>117</v>
      </c>
      <c r="G2946" s="1" t="s">
        <v>12193</v>
      </c>
      <c r="H2946" s="1">
        <v>3.0</v>
      </c>
      <c r="I2946" s="2">
        <v>0.0</v>
      </c>
      <c r="J2946" s="2">
        <v>0.0</v>
      </c>
      <c r="K2946" s="2" t="s">
        <v>119</v>
      </c>
      <c r="L2946" s="1"/>
      <c r="M2946" s="1" t="s">
        <v>12194</v>
      </c>
      <c r="N2946" s="1" t="s">
        <v>161</v>
      </c>
      <c r="O2946" s="1" t="s">
        <v>394</v>
      </c>
      <c r="P2946" s="1" t="s">
        <v>12195</v>
      </c>
      <c r="Q2946" s="3">
        <v>42095.0</v>
      </c>
      <c r="R2946" s="1"/>
      <c r="S2946" s="3">
        <v>42136.0</v>
      </c>
      <c r="T2946" s="1" t="s">
        <v>37</v>
      </c>
      <c r="U2946" s="1"/>
      <c r="V2946" s="1" t="s">
        <v>38</v>
      </c>
      <c r="W2946" s="1">
        <v>44.2655664714078</v>
      </c>
      <c r="X2946" s="1">
        <v>-73.1013804674148</v>
      </c>
      <c r="Y2946" s="1" t="s">
        <v>12196</v>
      </c>
      <c r="Z2946" s="1"/>
      <c r="AA2946" s="1" t="s">
        <v>40</v>
      </c>
      <c r="AB2946" s="1" t="s">
        <v>308</v>
      </c>
      <c r="AC2946" s="1">
        <v>5443.0</v>
      </c>
    </row>
    <row r="2947">
      <c r="A2947" s="1" t="str">
        <f>"000QGV"</f>
        <v>000QGV</v>
      </c>
      <c r="B2947" s="1" t="s">
        <v>12197</v>
      </c>
      <c r="C2947" s="1" t="s">
        <v>12198</v>
      </c>
      <c r="D2947" s="1" t="str">
        <f>"8023887781"</f>
        <v>8023887781</v>
      </c>
      <c r="E2947" s="1">
        <v>4796.0</v>
      </c>
      <c r="F2947" s="1" t="s">
        <v>117</v>
      </c>
      <c r="G2947" s="1" t="s">
        <v>12199</v>
      </c>
      <c r="H2947" s="1">
        <v>6.0</v>
      </c>
      <c r="I2947" s="2">
        <v>0.0</v>
      </c>
      <c r="J2947" s="2">
        <v>0.0</v>
      </c>
      <c r="K2947" s="2" t="s">
        <v>119</v>
      </c>
      <c r="L2947" s="1"/>
      <c r="M2947" s="1" t="s">
        <v>12200</v>
      </c>
      <c r="N2947" s="1" t="s">
        <v>161</v>
      </c>
      <c r="O2947" s="1" t="s">
        <v>943</v>
      </c>
      <c r="P2947" s="1" t="s">
        <v>12201</v>
      </c>
      <c r="Q2947" s="3">
        <v>42119.0</v>
      </c>
      <c r="R2947" s="1"/>
      <c r="S2947" s="1"/>
      <c r="T2947" s="1" t="s">
        <v>37</v>
      </c>
      <c r="U2947" s="1"/>
      <c r="V2947" s="1" t="s">
        <v>38</v>
      </c>
      <c r="W2947" s="1">
        <v>44.031395</v>
      </c>
      <c r="X2947" s="1">
        <v>-73.13958</v>
      </c>
      <c r="Y2947" s="1" t="s">
        <v>12202</v>
      </c>
      <c r="Z2947" s="1"/>
      <c r="AA2947" s="1" t="s">
        <v>40</v>
      </c>
      <c r="AB2947" s="1" t="s">
        <v>945</v>
      </c>
      <c r="AC2947" s="1">
        <v>5753.0</v>
      </c>
    </row>
    <row r="2948">
      <c r="A2948" s="1" t="str">
        <f>"000QGW"</f>
        <v>000QGW</v>
      </c>
      <c r="B2948" s="1" t="s">
        <v>12203</v>
      </c>
      <c r="C2948" s="1" t="s">
        <v>12204</v>
      </c>
      <c r="D2948" s="1" t="str">
        <f>"8024331260"</f>
        <v>8024331260</v>
      </c>
      <c r="E2948" s="1">
        <v>4797.0</v>
      </c>
      <c r="F2948" s="1" t="s">
        <v>44</v>
      </c>
      <c r="G2948" s="1" t="s">
        <v>12205</v>
      </c>
      <c r="H2948" s="1">
        <v>1.0</v>
      </c>
      <c r="I2948" s="2">
        <v>1.0</v>
      </c>
      <c r="J2948" s="2" t="s">
        <v>119</v>
      </c>
      <c r="K2948" s="2" t="s">
        <v>119</v>
      </c>
      <c r="L2948" s="1"/>
      <c r="M2948" s="1" t="s">
        <v>12206</v>
      </c>
      <c r="N2948" s="1" t="s">
        <v>142</v>
      </c>
      <c r="O2948" s="1" t="s">
        <v>2253</v>
      </c>
      <c r="P2948" s="1" t="s">
        <v>36</v>
      </c>
      <c r="Q2948" s="3">
        <v>42134.0</v>
      </c>
      <c r="R2948" s="1"/>
      <c r="S2948" s="3">
        <v>42151.0</v>
      </c>
      <c r="T2948" s="1" t="s">
        <v>37</v>
      </c>
      <c r="U2948" s="1"/>
      <c r="V2948" s="1" t="s">
        <v>38</v>
      </c>
      <c r="W2948" s="1">
        <v>44.0918084</v>
      </c>
      <c r="X2948" s="1">
        <v>-72.5847234</v>
      </c>
      <c r="Y2948" s="1" t="s">
        <v>12207</v>
      </c>
      <c r="Z2948" s="1"/>
      <c r="AA2948" s="1" t="s">
        <v>40</v>
      </c>
      <c r="AB2948" s="1" t="s">
        <v>2254</v>
      </c>
      <c r="AC2948" s="1">
        <v>5679.0</v>
      </c>
    </row>
    <row r="2949">
      <c r="A2949" s="1" t="str">
        <f>"000QGX"</f>
        <v>000QGX</v>
      </c>
      <c r="B2949" s="1" t="s">
        <v>12208</v>
      </c>
      <c r="C2949" s="1" t="s">
        <v>12209</v>
      </c>
      <c r="D2949" s="1" t="str">
        <f>"8024790766"</f>
        <v>8024790766</v>
      </c>
      <c r="E2949" s="1">
        <v>4798.0</v>
      </c>
      <c r="F2949" s="1" t="s">
        <v>117</v>
      </c>
      <c r="G2949" s="1" t="s">
        <v>12210</v>
      </c>
      <c r="H2949" s="1">
        <v>1.0</v>
      </c>
      <c r="I2949" s="2">
        <v>1.0</v>
      </c>
      <c r="J2949" s="2">
        <v>1.0</v>
      </c>
      <c r="K2949" s="2" t="s">
        <v>119</v>
      </c>
      <c r="L2949" s="1"/>
      <c r="M2949" s="1" t="s">
        <v>12211</v>
      </c>
      <c r="N2949" s="1" t="s">
        <v>135</v>
      </c>
      <c r="O2949" s="1" t="s">
        <v>9574</v>
      </c>
      <c r="P2949" s="1" t="s">
        <v>12212</v>
      </c>
      <c r="Q2949" s="3">
        <v>42134.0</v>
      </c>
      <c r="R2949" s="1"/>
      <c r="S2949" s="3">
        <v>42545.0</v>
      </c>
      <c r="T2949" s="1" t="s">
        <v>37</v>
      </c>
      <c r="U2949" s="1"/>
      <c r="V2949" s="1" t="s">
        <v>38</v>
      </c>
      <c r="W2949" s="1">
        <v>44.2003608</v>
      </c>
      <c r="X2949" s="1">
        <v>-72.4959956999999</v>
      </c>
      <c r="Y2949" s="1" t="s">
        <v>12213</v>
      </c>
      <c r="Z2949" s="1"/>
      <c r="AA2949" s="1" t="s">
        <v>40</v>
      </c>
      <c r="AB2949" s="1" t="s">
        <v>4019</v>
      </c>
      <c r="AC2949" s="1">
        <v>5641.0</v>
      </c>
    </row>
    <row r="2950">
      <c r="A2950" s="1" t="str">
        <f>"000QGY"</f>
        <v>000QGY</v>
      </c>
      <c r="B2950" s="1" t="s">
        <v>12214</v>
      </c>
      <c r="C2950" s="1" t="s">
        <v>12215</v>
      </c>
      <c r="D2950" s="1" t="str">
        <f>"8025050774"</f>
        <v>8025050774</v>
      </c>
      <c r="E2950" s="1">
        <v>4799.0</v>
      </c>
      <c r="F2950" s="1" t="s">
        <v>117</v>
      </c>
      <c r="G2950" s="1" t="s">
        <v>12216</v>
      </c>
      <c r="H2950" s="1">
        <v>1.0</v>
      </c>
      <c r="I2950" s="2">
        <v>1.0</v>
      </c>
      <c r="J2950" s="2">
        <v>1.0</v>
      </c>
      <c r="K2950" s="2" t="s">
        <v>829</v>
      </c>
      <c r="L2950" s="1"/>
      <c r="M2950" s="1" t="s">
        <v>12217</v>
      </c>
      <c r="N2950" s="1" t="s">
        <v>135</v>
      </c>
      <c r="O2950" s="1" t="s">
        <v>2384</v>
      </c>
      <c r="P2950" s="1" t="s">
        <v>12218</v>
      </c>
      <c r="Q2950" s="3">
        <v>42137.0</v>
      </c>
      <c r="R2950" s="1"/>
      <c r="S2950" s="3">
        <v>42898.0</v>
      </c>
      <c r="T2950" s="1" t="s">
        <v>37</v>
      </c>
      <c r="U2950" s="1"/>
      <c r="V2950" s="1" t="s">
        <v>38</v>
      </c>
      <c r="W2950" s="1">
        <v>44.1648800772569</v>
      </c>
      <c r="X2950" s="1">
        <v>-72.8681737929173</v>
      </c>
      <c r="Y2950" s="1" t="s">
        <v>12219</v>
      </c>
      <c r="Z2950" s="1"/>
      <c r="AA2950" s="1" t="s">
        <v>40</v>
      </c>
      <c r="AB2950" s="1" t="s">
        <v>2386</v>
      </c>
      <c r="AC2950" s="1">
        <v>5673.0</v>
      </c>
    </row>
    <row r="2951">
      <c r="A2951" s="1" t="str">
        <f>"000QH7"</f>
        <v>000QH7</v>
      </c>
      <c r="B2951" s="1" t="s">
        <v>12220</v>
      </c>
      <c r="C2951" s="1" t="s">
        <v>12221</v>
      </c>
      <c r="D2951" s="1" t="str">
        <f>"8023874039"</f>
        <v>8023874039</v>
      </c>
      <c r="E2951" s="1">
        <v>4800.0</v>
      </c>
      <c r="F2951" s="1" t="s">
        <v>117</v>
      </c>
      <c r="G2951" s="1" t="s">
        <v>12222</v>
      </c>
      <c r="H2951" s="1">
        <v>1.0</v>
      </c>
      <c r="I2951" s="2">
        <v>2.0</v>
      </c>
      <c r="J2951" s="2">
        <v>2.0</v>
      </c>
      <c r="K2951" s="2" t="s">
        <v>119</v>
      </c>
      <c r="L2951" s="2" t="s">
        <v>9175</v>
      </c>
      <c r="M2951" s="1" t="s">
        <v>12223</v>
      </c>
      <c r="N2951" s="1" t="s">
        <v>66</v>
      </c>
      <c r="O2951" s="1" t="s">
        <v>593</v>
      </c>
      <c r="P2951" s="1" t="s">
        <v>12224</v>
      </c>
      <c r="Q2951" s="3">
        <v>42139.0</v>
      </c>
      <c r="R2951" s="1"/>
      <c r="S2951" s="1"/>
      <c r="T2951" s="1" t="s">
        <v>37</v>
      </c>
      <c r="U2951" s="1"/>
      <c r="V2951" s="1" t="s">
        <v>38</v>
      </c>
      <c r="W2951" s="1">
        <v>43.0145401124559</v>
      </c>
      <c r="X2951" s="1">
        <v>-72.5420433282852</v>
      </c>
      <c r="Y2951" s="1" t="s">
        <v>12225</v>
      </c>
      <c r="Z2951" s="1"/>
      <c r="AA2951" s="1" t="s">
        <v>40</v>
      </c>
      <c r="AB2951" s="1" t="s">
        <v>594</v>
      </c>
      <c r="AC2951" s="1">
        <v>5346.0</v>
      </c>
    </row>
    <row r="2952">
      <c r="A2952" s="1" t="str">
        <f>"000QHB"</f>
        <v>000QHB</v>
      </c>
      <c r="B2952" s="1" t="s">
        <v>12226</v>
      </c>
      <c r="C2952" s="1" t="s">
        <v>12227</v>
      </c>
      <c r="D2952" s="1"/>
      <c r="E2952" s="1">
        <v>4801.0</v>
      </c>
      <c r="F2952" s="1" t="s">
        <v>31</v>
      </c>
      <c r="G2952" s="1" t="s">
        <v>12228</v>
      </c>
      <c r="H2952" s="1">
        <v>1.0</v>
      </c>
      <c r="I2952" s="1"/>
      <c r="J2952" s="1"/>
      <c r="K2952" s="1"/>
      <c r="L2952" s="1"/>
      <c r="M2952" s="1" t="s">
        <v>33</v>
      </c>
      <c r="N2952" s="1" t="s">
        <v>142</v>
      </c>
      <c r="O2952" s="1" t="s">
        <v>1026</v>
      </c>
      <c r="P2952" s="1" t="s">
        <v>12229</v>
      </c>
      <c r="Q2952" s="3">
        <v>42142.0</v>
      </c>
      <c r="R2952" s="1"/>
      <c r="S2952" s="1"/>
      <c r="T2952" s="1" t="s">
        <v>37</v>
      </c>
      <c r="U2952" s="1"/>
      <c r="V2952" s="1" t="s">
        <v>38</v>
      </c>
      <c r="W2952" s="1">
        <v>44.0273004</v>
      </c>
      <c r="X2952" s="1">
        <v>-72.4372215999999</v>
      </c>
      <c r="Y2952" s="1" t="s">
        <v>12230</v>
      </c>
      <c r="Z2952" s="1"/>
      <c r="AA2952" s="1" t="s">
        <v>40</v>
      </c>
      <c r="AB2952" s="1" t="s">
        <v>135</v>
      </c>
      <c r="AC2952" s="1">
        <v>5038.0</v>
      </c>
    </row>
    <row r="2953">
      <c r="A2953" s="1" t="str">
        <f>"000QJ6"</f>
        <v>000QJ6</v>
      </c>
      <c r="B2953" s="1" t="s">
        <v>12231</v>
      </c>
      <c r="C2953" s="1" t="s">
        <v>12232</v>
      </c>
      <c r="D2953" s="1" t="str">
        <f>"8024335406"</f>
        <v>8024335406</v>
      </c>
      <c r="E2953" s="1">
        <v>4803.0</v>
      </c>
      <c r="F2953" s="1" t="s">
        <v>44</v>
      </c>
      <c r="G2953" s="1" t="s">
        <v>12233</v>
      </c>
      <c r="H2953" s="1">
        <v>1.0</v>
      </c>
      <c r="I2953" s="1"/>
      <c r="J2953" s="1"/>
      <c r="K2953" s="1"/>
      <c r="L2953" s="1"/>
      <c r="M2953" s="1" t="s">
        <v>12231</v>
      </c>
      <c r="N2953" s="1" t="s">
        <v>142</v>
      </c>
      <c r="O2953" s="1"/>
      <c r="P2953" s="1" t="s">
        <v>12234</v>
      </c>
      <c r="Q2953" s="3">
        <v>42146.0</v>
      </c>
      <c r="R2953" s="1"/>
      <c r="S2953" s="1"/>
      <c r="T2953" s="1" t="s">
        <v>37</v>
      </c>
      <c r="U2953" s="1"/>
      <c r="V2953" s="1" t="s">
        <v>38</v>
      </c>
      <c r="W2953" s="1">
        <v>44.089355</v>
      </c>
      <c r="X2953" s="1">
        <v>-72.560677</v>
      </c>
      <c r="Y2953" s="1" t="s">
        <v>12235</v>
      </c>
      <c r="Z2953" s="1"/>
      <c r="AA2953" s="1" t="s">
        <v>40</v>
      </c>
      <c r="AB2953" s="1" t="s">
        <v>2254</v>
      </c>
      <c r="AC2953" s="1">
        <v>5679.0</v>
      </c>
    </row>
    <row r="2954">
      <c r="A2954" s="1" t="str">
        <f>"000QJ7"</f>
        <v>000QJ7</v>
      </c>
      <c r="B2954" s="1" t="s">
        <v>12236</v>
      </c>
      <c r="C2954" s="1" t="s">
        <v>12237</v>
      </c>
      <c r="D2954" s="1" t="str">
        <f>"8024535769"</f>
        <v>8024535769</v>
      </c>
      <c r="E2954" s="1">
        <v>4804.0</v>
      </c>
      <c r="F2954" s="1" t="s">
        <v>117</v>
      </c>
      <c r="G2954" s="1" t="s">
        <v>12238</v>
      </c>
      <c r="H2954" s="1">
        <v>5.0</v>
      </c>
      <c r="I2954" s="2" t="s">
        <v>119</v>
      </c>
      <c r="J2954" s="2">
        <v>2.0</v>
      </c>
      <c r="K2954" s="2" t="s">
        <v>119</v>
      </c>
      <c r="L2954" s="1"/>
      <c r="M2954" s="1">
        <v>1.0</v>
      </c>
      <c r="N2954" s="1" t="s">
        <v>161</v>
      </c>
      <c r="O2954" s="1" t="s">
        <v>394</v>
      </c>
      <c r="P2954" s="1" t="s">
        <v>12239</v>
      </c>
      <c r="Q2954" s="3">
        <v>42146.0</v>
      </c>
      <c r="R2954" s="1"/>
      <c r="S2954" s="1"/>
      <c r="T2954" s="1" t="s">
        <v>37</v>
      </c>
      <c r="U2954" s="1"/>
      <c r="V2954" s="1" t="s">
        <v>38</v>
      </c>
      <c r="W2954" s="1">
        <v>44.205835</v>
      </c>
      <c r="X2954" s="1">
        <v>-73.1274889999999</v>
      </c>
      <c r="Y2954" s="1" t="s">
        <v>12240</v>
      </c>
      <c r="Z2954" s="1"/>
      <c r="AA2954" s="1" t="s">
        <v>40</v>
      </c>
      <c r="AB2954" s="1" t="s">
        <v>395</v>
      </c>
      <c r="AC2954" s="1">
        <v>5443.0</v>
      </c>
    </row>
    <row r="2955">
      <c r="A2955" s="1" t="str">
        <f>"000QJ8"</f>
        <v>000QJ8</v>
      </c>
      <c r="B2955" s="1" t="s">
        <v>12241</v>
      </c>
      <c r="C2955" s="1" t="s">
        <v>12242</v>
      </c>
      <c r="D2955" s="1" t="str">
        <f>"8026332688"</f>
        <v>8026332688</v>
      </c>
      <c r="E2955" s="1">
        <v>4805.0</v>
      </c>
      <c r="F2955" s="1" t="s">
        <v>44</v>
      </c>
      <c r="G2955" s="1" t="s">
        <v>12243</v>
      </c>
      <c r="H2955" s="1">
        <v>1.0</v>
      </c>
      <c r="I2955" s="2" t="s">
        <v>119</v>
      </c>
      <c r="J2955" s="2" t="s">
        <v>119</v>
      </c>
      <c r="K2955" s="2" t="s">
        <v>119</v>
      </c>
      <c r="L2955" s="1"/>
      <c r="M2955" s="1">
        <v>1.0</v>
      </c>
      <c r="N2955" s="1" t="s">
        <v>128</v>
      </c>
      <c r="O2955" s="1" t="s">
        <v>194</v>
      </c>
      <c r="P2955" s="1" t="s">
        <v>12244</v>
      </c>
      <c r="Q2955" s="3">
        <v>42146.0</v>
      </c>
      <c r="R2955" s="1"/>
      <c r="S2955" s="1"/>
      <c r="T2955" s="1" t="s">
        <v>37</v>
      </c>
      <c r="U2955" s="1"/>
      <c r="V2955" s="1" t="s">
        <v>38</v>
      </c>
      <c r="W2955" s="1">
        <v>44.310997</v>
      </c>
      <c r="X2955" s="1">
        <v>-72.132401</v>
      </c>
      <c r="Y2955" s="1" t="s">
        <v>12245</v>
      </c>
      <c r="Z2955" s="1"/>
      <c r="AA2955" s="1" t="s">
        <v>40</v>
      </c>
      <c r="AB2955" s="1" t="s">
        <v>3698</v>
      </c>
      <c r="AC2955" s="1">
        <v>5821.0</v>
      </c>
    </row>
    <row r="2956">
      <c r="A2956" s="1" t="str">
        <f>"000QJ9"</f>
        <v>000QJ9</v>
      </c>
      <c r="B2956" s="1" t="s">
        <v>12246</v>
      </c>
      <c r="C2956" s="1" t="s">
        <v>12247</v>
      </c>
      <c r="D2956" s="1" t="str">
        <f>"8027600610"</f>
        <v>8027600610</v>
      </c>
      <c r="E2956" s="1">
        <v>4806.0</v>
      </c>
      <c r="F2956" s="1" t="s">
        <v>117</v>
      </c>
      <c r="G2956" s="1" t="s">
        <v>12248</v>
      </c>
      <c r="H2956" s="1">
        <v>2.0</v>
      </c>
      <c r="I2956" s="2">
        <v>2.0</v>
      </c>
      <c r="J2956" s="2">
        <v>1.0</v>
      </c>
      <c r="K2956" s="2" t="s">
        <v>119</v>
      </c>
      <c r="L2956" s="1"/>
      <c r="M2956" s="1" t="s">
        <v>307</v>
      </c>
      <c r="N2956" s="1" t="s">
        <v>161</v>
      </c>
      <c r="O2956" s="1" t="s">
        <v>307</v>
      </c>
      <c r="P2956" s="1" t="s">
        <v>12249</v>
      </c>
      <c r="Q2956" s="3">
        <v>42146.0</v>
      </c>
      <c r="R2956" s="1"/>
      <c r="S2956" s="1"/>
      <c r="T2956" s="1" t="s">
        <v>37</v>
      </c>
      <c r="U2956" s="1"/>
      <c r="V2956" s="1" t="s">
        <v>38</v>
      </c>
      <c r="W2956" s="1">
        <v>44.156006</v>
      </c>
      <c r="X2956" s="1">
        <v>-73.104485</v>
      </c>
      <c r="Y2956" s="1" t="s">
        <v>12250</v>
      </c>
      <c r="Z2956" s="1"/>
      <c r="AA2956" s="1" t="s">
        <v>40</v>
      </c>
      <c r="AB2956" s="1" t="s">
        <v>308</v>
      </c>
      <c r="AC2956" s="1">
        <v>5443.0</v>
      </c>
    </row>
    <row r="2957">
      <c r="A2957" s="1" t="str">
        <f>"000QJA"</f>
        <v>000QJA</v>
      </c>
      <c r="B2957" s="1" t="s">
        <v>12251</v>
      </c>
      <c r="C2957" s="1" t="s">
        <v>12252</v>
      </c>
      <c r="D2957" s="1" t="str">
        <f>"8027932043"</f>
        <v>8027932043</v>
      </c>
      <c r="E2957" s="1">
        <v>4807.0</v>
      </c>
      <c r="F2957" s="1" t="s">
        <v>31</v>
      </c>
      <c r="G2957" s="1" t="s">
        <v>12253</v>
      </c>
      <c r="H2957" s="1">
        <v>3.0</v>
      </c>
      <c r="I2957" s="1"/>
      <c r="J2957" s="1"/>
      <c r="K2957" s="1"/>
      <c r="L2957" s="1"/>
      <c r="M2957" s="1">
        <v>1.0</v>
      </c>
      <c r="N2957" s="1" t="s">
        <v>135</v>
      </c>
      <c r="O2957" s="1" t="s">
        <v>1142</v>
      </c>
      <c r="P2957" s="1" t="s">
        <v>12254</v>
      </c>
      <c r="Q2957" s="3">
        <v>42146.0</v>
      </c>
      <c r="R2957" s="1"/>
      <c r="S2957" s="1"/>
      <c r="T2957" s="1" t="s">
        <v>37</v>
      </c>
      <c r="U2957" s="1"/>
      <c r="V2957" s="1" t="s">
        <v>38</v>
      </c>
      <c r="W2957" s="1">
        <v>44.242737</v>
      </c>
      <c r="X2957" s="1">
        <v>-72.5361179999999</v>
      </c>
      <c r="Y2957" s="1" t="s">
        <v>12255</v>
      </c>
      <c r="Z2957" s="1"/>
      <c r="AA2957" s="1" t="s">
        <v>40</v>
      </c>
      <c r="AB2957" s="1" t="s">
        <v>1145</v>
      </c>
      <c r="AC2957" s="1">
        <v>5602.0</v>
      </c>
    </row>
    <row r="2958">
      <c r="A2958" s="1" t="str">
        <f>"000QJB"</f>
        <v>000QJB</v>
      </c>
      <c r="B2958" s="1" t="s">
        <v>12256</v>
      </c>
      <c r="C2958" s="1" t="s">
        <v>12257</v>
      </c>
      <c r="D2958" s="1"/>
      <c r="E2958" s="1">
        <v>4808.0</v>
      </c>
      <c r="F2958" s="1" t="s">
        <v>44</v>
      </c>
      <c r="G2958" s="1" t="s">
        <v>12258</v>
      </c>
      <c r="H2958" s="1">
        <v>1.0</v>
      </c>
      <c r="I2958" s="2" t="s">
        <v>119</v>
      </c>
      <c r="J2958" s="2">
        <v>1.0</v>
      </c>
      <c r="K2958" s="2" t="s">
        <v>119</v>
      </c>
      <c r="L2958" s="1"/>
      <c r="M2958" s="1" t="s">
        <v>12259</v>
      </c>
      <c r="N2958" s="1" t="s">
        <v>34</v>
      </c>
      <c r="O2958" s="1" t="s">
        <v>35</v>
      </c>
      <c r="P2958" s="1" t="s">
        <v>12260</v>
      </c>
      <c r="Q2958" s="3">
        <v>42146.0</v>
      </c>
      <c r="R2958" s="1"/>
      <c r="S2958" s="3">
        <v>42222.0</v>
      </c>
      <c r="T2958" s="1" t="s">
        <v>37</v>
      </c>
      <c r="U2958" s="1"/>
      <c r="V2958" s="1" t="s">
        <v>38</v>
      </c>
      <c r="W2958" s="1">
        <v>43.7872875490418</v>
      </c>
      <c r="X2958" s="1">
        <v>-72.6307654380798</v>
      </c>
      <c r="Y2958" s="1" t="s">
        <v>12261</v>
      </c>
      <c r="Z2958" s="1"/>
      <c r="AA2958" s="1" t="s">
        <v>40</v>
      </c>
      <c r="AB2958" s="1" t="s">
        <v>151</v>
      </c>
      <c r="AC2958" s="1">
        <v>5032.0</v>
      </c>
    </row>
    <row r="2959">
      <c r="A2959" s="1" t="str">
        <f>"000QJC"</f>
        <v>000QJC</v>
      </c>
      <c r="B2959" s="1" t="s">
        <v>12262</v>
      </c>
      <c r="C2959" s="1" t="s">
        <v>12263</v>
      </c>
      <c r="D2959" s="1" t="str">
        <f>"8022951290"</f>
        <v>8022951290</v>
      </c>
      <c r="E2959" s="1">
        <v>4809.0</v>
      </c>
      <c r="F2959" s="1" t="s">
        <v>44</v>
      </c>
      <c r="G2959" s="1" t="s">
        <v>12264</v>
      </c>
      <c r="H2959" s="1">
        <v>2.0</v>
      </c>
      <c r="I2959" s="1"/>
      <c r="J2959" s="1"/>
      <c r="K2959" s="1"/>
      <c r="L2959" s="1"/>
      <c r="M2959" s="1" t="s">
        <v>12265</v>
      </c>
      <c r="N2959" s="1" t="s">
        <v>34</v>
      </c>
      <c r="O2959" s="1"/>
      <c r="P2959" s="1" t="s">
        <v>12266</v>
      </c>
      <c r="Q2959" s="3">
        <v>42146.0</v>
      </c>
      <c r="R2959" s="1"/>
      <c r="S2959" s="1"/>
      <c r="T2959" s="1" t="s">
        <v>37</v>
      </c>
      <c r="U2959" s="1"/>
      <c r="V2959" s="1" t="s">
        <v>38</v>
      </c>
      <c r="W2959" s="1">
        <v>43.6821354</v>
      </c>
      <c r="X2959" s="1">
        <v>-72.4248516999999</v>
      </c>
      <c r="Y2959" s="1" t="s">
        <v>12267</v>
      </c>
      <c r="Z2959" s="1" t="s">
        <v>12268</v>
      </c>
      <c r="AA2959" s="1" t="s">
        <v>40</v>
      </c>
      <c r="AB2959" s="1" t="s">
        <v>12269</v>
      </c>
      <c r="AC2959" s="1">
        <v>5059.0</v>
      </c>
    </row>
    <row r="2960">
      <c r="A2960" s="1" t="str">
        <f>"00094Y"</f>
        <v>00094Y</v>
      </c>
      <c r="B2960" s="1" t="s">
        <v>7498</v>
      </c>
      <c r="C2960" s="1" t="s">
        <v>7499</v>
      </c>
      <c r="D2960" s="1" t="str">
        <f>"8023333298"</f>
        <v>8023333298</v>
      </c>
      <c r="E2960" s="1">
        <v>4810.0</v>
      </c>
      <c r="F2960" s="1" t="s">
        <v>44</v>
      </c>
      <c r="G2960" s="1" t="s">
        <v>12270</v>
      </c>
      <c r="H2960" s="1">
        <v>1.0</v>
      </c>
      <c r="I2960" s="1"/>
      <c r="J2960" s="1"/>
      <c r="K2960" s="1"/>
      <c r="L2960" s="1"/>
      <c r="M2960" s="1"/>
      <c r="N2960" s="1"/>
      <c r="O2960" s="1"/>
      <c r="P2960" s="1" t="s">
        <v>12271</v>
      </c>
      <c r="Q2960" s="3">
        <v>42146.0</v>
      </c>
      <c r="R2960" s="1"/>
      <c r="S2960" s="1"/>
      <c r="T2960" s="1" t="s">
        <v>37</v>
      </c>
      <c r="U2960" s="1"/>
      <c r="V2960" s="1" t="s">
        <v>38</v>
      </c>
      <c r="W2960" s="1">
        <v>43.906307</v>
      </c>
      <c r="X2960" s="1">
        <v>-72.1749338999999</v>
      </c>
      <c r="Y2960" s="1" t="s">
        <v>12272</v>
      </c>
      <c r="Z2960" s="1"/>
      <c r="AA2960" s="1" t="s">
        <v>40</v>
      </c>
      <c r="AB2960" s="1" t="s">
        <v>2475</v>
      </c>
      <c r="AC2960" s="1">
        <v>5045.0</v>
      </c>
    </row>
    <row r="2961">
      <c r="A2961" s="1" t="str">
        <f>"000QJD"</f>
        <v>000QJD</v>
      </c>
      <c r="B2961" s="1" t="s">
        <v>12273</v>
      </c>
      <c r="C2961" s="1" t="s">
        <v>12274</v>
      </c>
      <c r="D2961" s="1" t="str">
        <f>"8603040137"</f>
        <v>8603040137</v>
      </c>
      <c r="E2961" s="1">
        <v>4811.0</v>
      </c>
      <c r="F2961" s="1" t="s">
        <v>44</v>
      </c>
      <c r="G2961" s="1" t="s">
        <v>12275</v>
      </c>
      <c r="H2961" s="1">
        <v>1.0</v>
      </c>
      <c r="I2961" s="1"/>
      <c r="J2961" s="1"/>
      <c r="K2961" s="1"/>
      <c r="L2961" s="1"/>
      <c r="M2961" s="1"/>
      <c r="N2961" s="1" t="s">
        <v>135</v>
      </c>
      <c r="O2961" s="1"/>
      <c r="P2961" s="1" t="s">
        <v>12276</v>
      </c>
      <c r="Q2961" s="3">
        <v>42146.0</v>
      </c>
      <c r="R2961" s="1"/>
      <c r="S2961" s="1"/>
      <c r="T2961" s="1" t="s">
        <v>37</v>
      </c>
      <c r="U2961" s="1"/>
      <c r="V2961" s="1" t="s">
        <v>38</v>
      </c>
      <c r="W2961" s="1"/>
      <c r="X2961" s="1"/>
      <c r="Y2961" s="1" t="s">
        <v>12277</v>
      </c>
      <c r="Z2961" s="1"/>
      <c r="AA2961" s="1" t="s">
        <v>40</v>
      </c>
      <c r="AB2961" s="1" t="s">
        <v>1799</v>
      </c>
      <c r="AC2961" s="1">
        <v>5674.0</v>
      </c>
    </row>
    <row r="2962">
      <c r="A2962" s="1" t="str">
        <f>"000QK5"</f>
        <v>000QK5</v>
      </c>
      <c r="B2962" s="1" t="s">
        <v>12278</v>
      </c>
      <c r="C2962" s="1" t="s">
        <v>12279</v>
      </c>
      <c r="D2962" s="1" t="str">
        <f>"8028794868"</f>
        <v>8028794868</v>
      </c>
      <c r="E2962" s="1">
        <v>4812.0</v>
      </c>
      <c r="F2962" s="1" t="s">
        <v>31</v>
      </c>
      <c r="G2962" s="1" t="s">
        <v>12280</v>
      </c>
      <c r="H2962" s="1">
        <v>2.0</v>
      </c>
      <c r="I2962" s="1"/>
      <c r="J2962" s="1"/>
      <c r="K2962" s="1"/>
      <c r="L2962" s="1"/>
      <c r="M2962" s="1">
        <v>1.0</v>
      </c>
      <c r="N2962" s="1" t="s">
        <v>57</v>
      </c>
      <c r="O2962" s="1" t="s">
        <v>2092</v>
      </c>
      <c r="P2962" s="1" t="s">
        <v>12281</v>
      </c>
      <c r="Q2962" s="3">
        <v>42152.0</v>
      </c>
      <c r="R2962" s="1"/>
      <c r="S2962" s="1"/>
      <c r="T2962" s="1" t="s">
        <v>37</v>
      </c>
      <c r="U2962" s="1"/>
      <c r="V2962" s="1" t="s">
        <v>38</v>
      </c>
      <c r="W2962" s="1">
        <v>44.465191</v>
      </c>
      <c r="X2962" s="1">
        <v>-73.048035</v>
      </c>
      <c r="Y2962" s="1" t="s">
        <v>12282</v>
      </c>
      <c r="Z2962" s="1"/>
      <c r="AA2962" s="1" t="s">
        <v>40</v>
      </c>
      <c r="AB2962" s="1" t="s">
        <v>2093</v>
      </c>
      <c r="AC2962" s="1">
        <v>5495.0</v>
      </c>
    </row>
    <row r="2963">
      <c r="A2963" s="1" t="str">
        <f>"000QK6"</f>
        <v>000QK6</v>
      </c>
      <c r="B2963" s="1" t="s">
        <v>12283</v>
      </c>
      <c r="C2963" s="1" t="s">
        <v>12284</v>
      </c>
      <c r="D2963" s="1" t="str">
        <f>"8028670341"</f>
        <v>8028670341</v>
      </c>
      <c r="E2963" s="1">
        <v>4813.0</v>
      </c>
      <c r="F2963" s="1" t="s">
        <v>44</v>
      </c>
      <c r="G2963" s="1" t="s">
        <v>12285</v>
      </c>
      <c r="H2963" s="1">
        <v>1.0</v>
      </c>
      <c r="I2963" s="1"/>
      <c r="J2963" s="1"/>
      <c r="K2963" s="1"/>
      <c r="L2963" s="1"/>
      <c r="M2963" s="1" t="s">
        <v>72</v>
      </c>
      <c r="N2963" s="1" t="s">
        <v>414</v>
      </c>
      <c r="O2963" s="1"/>
      <c r="P2963" s="1" t="s">
        <v>12286</v>
      </c>
      <c r="Q2963" s="3">
        <v>42152.0</v>
      </c>
      <c r="R2963" s="1"/>
      <c r="S2963" s="1"/>
      <c r="T2963" s="1" t="s">
        <v>37</v>
      </c>
      <c r="U2963" s="1"/>
      <c r="V2963" s="1" t="s">
        <v>38</v>
      </c>
      <c r="W2963" s="1"/>
      <c r="X2963" s="1"/>
      <c r="Y2963" s="1" t="s">
        <v>12287</v>
      </c>
      <c r="Z2963" s="1"/>
      <c r="AA2963" s="1" t="s">
        <v>40</v>
      </c>
      <c r="AB2963" s="1" t="s">
        <v>416</v>
      </c>
      <c r="AC2963" s="1">
        <v>5251.0</v>
      </c>
    </row>
    <row r="2964">
      <c r="A2964" s="1" t="str">
        <f>"000QK7"</f>
        <v>000QK7</v>
      </c>
      <c r="B2964" s="1" t="s">
        <v>12288</v>
      </c>
      <c r="C2964" s="1" t="s">
        <v>12289</v>
      </c>
      <c r="D2964" s="1" t="str">
        <f>"8024404052"</f>
        <v>8024404052</v>
      </c>
      <c r="E2964" s="1">
        <v>4814.0</v>
      </c>
      <c r="F2964" s="1" t="s">
        <v>44</v>
      </c>
      <c r="G2964" s="1" t="s">
        <v>12290</v>
      </c>
      <c r="H2964" s="1">
        <v>1.0</v>
      </c>
      <c r="I2964" s="1"/>
      <c r="J2964" s="1"/>
      <c r="K2964" s="1"/>
      <c r="L2964" s="1"/>
      <c r="M2964" s="1" t="s">
        <v>72</v>
      </c>
      <c r="N2964" s="1" t="s">
        <v>49</v>
      </c>
      <c r="O2964" s="1"/>
      <c r="P2964" s="1" t="s">
        <v>12291</v>
      </c>
      <c r="Q2964" s="3">
        <v>42152.0</v>
      </c>
      <c r="R2964" s="1"/>
      <c r="S2964" s="1"/>
      <c r="T2964" s="1" t="s">
        <v>37</v>
      </c>
      <c r="U2964" s="1"/>
      <c r="V2964" s="1" t="s">
        <v>38</v>
      </c>
      <c r="W2964" s="1">
        <v>42.8790792</v>
      </c>
      <c r="X2964" s="1">
        <v>-73.1941263</v>
      </c>
      <c r="Y2964" s="1" t="s">
        <v>12292</v>
      </c>
      <c r="Z2964" s="1"/>
      <c r="AA2964" s="1" t="s">
        <v>40</v>
      </c>
      <c r="AB2964" s="1" t="s">
        <v>414</v>
      </c>
      <c r="AC2964" s="1">
        <v>5201.0</v>
      </c>
    </row>
    <row r="2965">
      <c r="A2965" s="1" t="str">
        <f>"000QK8"</f>
        <v>000QK8</v>
      </c>
      <c r="B2965" s="1" t="s">
        <v>12293</v>
      </c>
      <c r="C2965" s="1" t="s">
        <v>12294</v>
      </c>
      <c r="D2965" s="1" t="str">
        <f>"8027650200"</f>
        <v>8027650200</v>
      </c>
      <c r="E2965" s="1">
        <v>4815.0</v>
      </c>
      <c r="F2965" s="1" t="s">
        <v>117</v>
      </c>
      <c r="G2965" s="1" t="s">
        <v>12295</v>
      </c>
      <c r="H2965" s="1">
        <v>5.0</v>
      </c>
      <c r="I2965" s="1"/>
      <c r="J2965" s="1"/>
      <c r="K2965" s="1"/>
      <c r="L2965" s="1"/>
      <c r="M2965" s="1" t="s">
        <v>12296</v>
      </c>
      <c r="N2965" s="1" t="s">
        <v>34</v>
      </c>
      <c r="O2965" s="1"/>
      <c r="P2965" s="1" t="s">
        <v>12297</v>
      </c>
      <c r="Q2965" s="3">
        <v>42152.0</v>
      </c>
      <c r="R2965" s="1"/>
      <c r="S2965" s="3">
        <v>42923.0</v>
      </c>
      <c r="T2965" s="1" t="s">
        <v>37</v>
      </c>
      <c r="U2965" s="1"/>
      <c r="V2965" s="1" t="s">
        <v>38</v>
      </c>
      <c r="W2965" s="1">
        <v>43.787842</v>
      </c>
      <c r="X2965" s="1">
        <v>-72.343163</v>
      </c>
      <c r="Y2965" s="1" t="s">
        <v>12298</v>
      </c>
      <c r="Z2965" s="1"/>
      <c r="AA2965" s="1" t="s">
        <v>40</v>
      </c>
      <c r="AB2965" s="1" t="s">
        <v>466</v>
      </c>
      <c r="AC2965" s="1">
        <v>5055.0</v>
      </c>
    </row>
    <row r="2966">
      <c r="A2966" s="1" t="str">
        <f>"000QK9"</f>
        <v>000QK9</v>
      </c>
      <c r="B2966" s="1" t="s">
        <v>12299</v>
      </c>
      <c r="C2966" s="1" t="s">
        <v>12300</v>
      </c>
      <c r="D2966" s="1" t="str">
        <f>"8028882466"</f>
        <v>8028882466</v>
      </c>
      <c r="E2966" s="1">
        <v>4816.0</v>
      </c>
      <c r="F2966" s="1" t="s">
        <v>117</v>
      </c>
      <c r="G2966" s="1" t="s">
        <v>12301</v>
      </c>
      <c r="H2966" s="1">
        <v>1.0</v>
      </c>
      <c r="I2966" s="2" t="s">
        <v>119</v>
      </c>
      <c r="J2966" s="2" t="s">
        <v>119</v>
      </c>
      <c r="K2966" s="2" t="s">
        <v>119</v>
      </c>
      <c r="L2966" s="1"/>
      <c r="M2966" s="1" t="s">
        <v>12302</v>
      </c>
      <c r="N2966" s="1" t="s">
        <v>213</v>
      </c>
      <c r="O2966" s="1" t="s">
        <v>365</v>
      </c>
      <c r="P2966" s="1" t="s">
        <v>12303</v>
      </c>
      <c r="Q2966" s="3">
        <v>42152.0</v>
      </c>
      <c r="R2966" s="1"/>
      <c r="S2966" s="1"/>
      <c r="T2966" s="1" t="s">
        <v>37</v>
      </c>
      <c r="U2966" s="1"/>
      <c r="V2966" s="1" t="s">
        <v>38</v>
      </c>
      <c r="W2966" s="1">
        <v>44.4812129</v>
      </c>
      <c r="X2966" s="1">
        <v>-72.6427689999999</v>
      </c>
      <c r="Y2966" s="1" t="s">
        <v>12304</v>
      </c>
      <c r="Z2966" s="1"/>
      <c r="AA2966" s="1" t="s">
        <v>40</v>
      </c>
      <c r="AB2966" s="1" t="s">
        <v>10075</v>
      </c>
      <c r="AC2966" s="1">
        <v>5672.0</v>
      </c>
    </row>
    <row r="2967">
      <c r="A2967" s="1" t="str">
        <f>"000QKA"</f>
        <v>000QKA</v>
      </c>
      <c r="B2967" s="1" t="s">
        <v>12305</v>
      </c>
      <c r="C2967" s="1" t="s">
        <v>12306</v>
      </c>
      <c r="D2967" s="1" t="str">
        <f>"8024462927"</f>
        <v>8024462927</v>
      </c>
      <c r="E2967" s="1">
        <v>4817.0</v>
      </c>
      <c r="F2967" s="1" t="s">
        <v>117</v>
      </c>
      <c r="G2967" s="1" t="s">
        <v>12307</v>
      </c>
      <c r="H2967" s="1">
        <v>4.0</v>
      </c>
      <c r="I2967" s="2" t="s">
        <v>119</v>
      </c>
      <c r="J2967" s="2" t="s">
        <v>119</v>
      </c>
      <c r="K2967" s="2" t="s">
        <v>119</v>
      </c>
      <c r="L2967" s="1"/>
      <c r="M2967" s="1" t="s">
        <v>991</v>
      </c>
      <c r="N2967" s="1" t="s">
        <v>78</v>
      </c>
      <c r="O2967" s="1" t="s">
        <v>251</v>
      </c>
      <c r="P2967" s="1" t="s">
        <v>12308</v>
      </c>
      <c r="Q2967" s="3">
        <v>42152.0</v>
      </c>
      <c r="R2967" s="1"/>
      <c r="S2967" s="1"/>
      <c r="T2967" s="1" t="s">
        <v>37</v>
      </c>
      <c r="U2967" s="1"/>
      <c r="V2967" s="1" t="s">
        <v>38</v>
      </c>
      <c r="W2967" s="1">
        <v>43.3974339</v>
      </c>
      <c r="X2967" s="1">
        <v>-73.0185389999999</v>
      </c>
      <c r="Y2967" s="1" t="s">
        <v>12309</v>
      </c>
      <c r="Z2967" s="1"/>
      <c r="AA2967" s="1" t="s">
        <v>40</v>
      </c>
      <c r="AB2967" s="1" t="s">
        <v>252</v>
      </c>
      <c r="AC2967" s="1">
        <v>5739.0</v>
      </c>
    </row>
    <row r="2968">
      <c r="A2968" s="1" t="str">
        <f t="shared" ref="A2968:A2969" si="223">"000KGY"</f>
        <v>000KGY</v>
      </c>
      <c r="B2968" s="1" t="s">
        <v>9067</v>
      </c>
      <c r="C2968" s="1" t="s">
        <v>9068</v>
      </c>
      <c r="D2968" s="1"/>
      <c r="E2968" s="1">
        <v>4508.0</v>
      </c>
      <c r="F2968" s="1" t="s">
        <v>117</v>
      </c>
      <c r="G2968" s="1" t="s">
        <v>12310</v>
      </c>
      <c r="H2968" s="1">
        <v>2.0</v>
      </c>
      <c r="I2968" s="2">
        <v>1.0</v>
      </c>
      <c r="J2968" s="2">
        <v>1.0</v>
      </c>
      <c r="K2968" s="2" t="s">
        <v>119</v>
      </c>
      <c r="L2968" s="1"/>
      <c r="M2968" s="1" t="s">
        <v>12311</v>
      </c>
      <c r="N2968" s="1" t="s">
        <v>47</v>
      </c>
      <c r="O2968" s="1" t="s">
        <v>2753</v>
      </c>
      <c r="P2968" s="1" t="s">
        <v>12312</v>
      </c>
      <c r="Q2968" s="3">
        <v>42151.0</v>
      </c>
      <c r="R2968" s="1"/>
      <c r="S2968" s="1"/>
      <c r="T2968" s="1" t="s">
        <v>37</v>
      </c>
      <c r="U2968" s="1"/>
      <c r="V2968" s="1" t="s">
        <v>38</v>
      </c>
      <c r="W2968" s="1">
        <v>44.918417</v>
      </c>
      <c r="X2968" s="1">
        <v>-73.1213889</v>
      </c>
      <c r="Y2968" s="1" t="s">
        <v>12313</v>
      </c>
      <c r="Z2968" s="1"/>
      <c r="AA2968" s="1" t="s">
        <v>40</v>
      </c>
      <c r="AB2968" s="1" t="s">
        <v>2800</v>
      </c>
      <c r="AC2968" s="1">
        <v>5478.0</v>
      </c>
    </row>
    <row r="2969">
      <c r="A2969" s="1" t="str">
        <f t="shared" si="223"/>
        <v>000KGY</v>
      </c>
      <c r="B2969" s="1" t="s">
        <v>9067</v>
      </c>
      <c r="C2969" s="1" t="s">
        <v>9068</v>
      </c>
      <c r="D2969" s="1"/>
      <c r="E2969" s="1">
        <v>4508.0</v>
      </c>
      <c r="F2969" s="1" t="s">
        <v>117</v>
      </c>
      <c r="G2969" s="1" t="s">
        <v>12314</v>
      </c>
      <c r="H2969" s="1">
        <v>2.0</v>
      </c>
      <c r="I2969" s="2">
        <v>1.0</v>
      </c>
      <c r="J2969" s="2" t="s">
        <v>119</v>
      </c>
      <c r="K2969" s="2" t="s">
        <v>119</v>
      </c>
      <c r="L2969" s="1"/>
      <c r="M2969" s="1" t="s">
        <v>12315</v>
      </c>
      <c r="N2969" s="1" t="s">
        <v>47</v>
      </c>
      <c r="O2969" s="1" t="s">
        <v>2889</v>
      </c>
      <c r="P2969" s="1" t="s">
        <v>12316</v>
      </c>
      <c r="Q2969" s="3">
        <v>42151.0</v>
      </c>
      <c r="R2969" s="1"/>
      <c r="S2969" s="1"/>
      <c r="T2969" s="1" t="s">
        <v>37</v>
      </c>
      <c r="U2969" s="1"/>
      <c r="V2969" s="1" t="s">
        <v>38</v>
      </c>
      <c r="W2969" s="1"/>
      <c r="X2969" s="1"/>
      <c r="Y2969" s="1" t="s">
        <v>12317</v>
      </c>
      <c r="Z2969" s="1"/>
      <c r="AA2969" s="1" t="s">
        <v>40</v>
      </c>
      <c r="AB2969" s="1" t="s">
        <v>11039</v>
      </c>
      <c r="AC2969" s="1">
        <v>5459.0</v>
      </c>
    </row>
    <row r="2970">
      <c r="A2970" s="1" t="str">
        <f>"000QKB"</f>
        <v>000QKB</v>
      </c>
      <c r="B2970" s="1" t="s">
        <v>12318</v>
      </c>
      <c r="C2970" s="1" t="s">
        <v>12319</v>
      </c>
      <c r="D2970" s="1" t="str">
        <f>"8029991810"</f>
        <v>8029991810</v>
      </c>
      <c r="E2970" s="1">
        <v>4818.0</v>
      </c>
      <c r="F2970" s="1" t="s">
        <v>117</v>
      </c>
      <c r="G2970" s="1" t="s">
        <v>12320</v>
      </c>
      <c r="H2970" s="1">
        <v>2.0</v>
      </c>
      <c r="I2970" s="2">
        <v>1.0</v>
      </c>
      <c r="J2970" s="2">
        <v>1.0</v>
      </c>
      <c r="K2970" s="2" t="s">
        <v>119</v>
      </c>
      <c r="L2970" s="1"/>
      <c r="M2970" s="1" t="s">
        <v>12321</v>
      </c>
      <c r="N2970" s="1" t="s">
        <v>161</v>
      </c>
      <c r="O2970" s="1" t="s">
        <v>394</v>
      </c>
      <c r="P2970" s="1" t="s">
        <v>12322</v>
      </c>
      <c r="Q2970" s="3">
        <v>42152.0</v>
      </c>
      <c r="R2970" s="1"/>
      <c r="S2970" s="1"/>
      <c r="T2970" s="1" t="s">
        <v>37</v>
      </c>
      <c r="U2970" s="1"/>
      <c r="V2970" s="1" t="s">
        <v>38</v>
      </c>
      <c r="W2970" s="1">
        <v>44.201369</v>
      </c>
      <c r="X2970" s="1">
        <v>-73.1333139999999</v>
      </c>
      <c r="Y2970" s="1" t="s">
        <v>12323</v>
      </c>
      <c r="Z2970" s="1"/>
      <c r="AA2970" s="1" t="s">
        <v>40</v>
      </c>
      <c r="AB2970" s="1" t="s">
        <v>395</v>
      </c>
      <c r="AC2970" s="1">
        <v>5443.0</v>
      </c>
    </row>
    <row r="2971">
      <c r="A2971" s="1" t="str">
        <f>"000QKC"</f>
        <v>000QKC</v>
      </c>
      <c r="B2971" s="1" t="s">
        <v>12324</v>
      </c>
      <c r="C2971" s="1" t="s">
        <v>12325</v>
      </c>
      <c r="D2971" s="1" t="str">
        <f>"8024348412"</f>
        <v>8024348412</v>
      </c>
      <c r="E2971" s="1">
        <v>4819.0</v>
      </c>
      <c r="F2971" s="1" t="s">
        <v>117</v>
      </c>
      <c r="G2971" s="1" t="s">
        <v>12326</v>
      </c>
      <c r="H2971" s="1">
        <v>2.0</v>
      </c>
      <c r="I2971" s="1"/>
      <c r="J2971" s="1"/>
      <c r="K2971" s="1"/>
      <c r="L2971" s="1"/>
      <c r="M2971" s="1" t="s">
        <v>12327</v>
      </c>
      <c r="N2971" s="1" t="s">
        <v>57</v>
      </c>
      <c r="O2971" s="1" t="s">
        <v>201</v>
      </c>
      <c r="P2971" s="1" t="s">
        <v>12328</v>
      </c>
      <c r="Q2971" s="3">
        <v>42152.0</v>
      </c>
      <c r="R2971" s="1"/>
      <c r="S2971" s="1"/>
      <c r="T2971" s="1" t="s">
        <v>37</v>
      </c>
      <c r="U2971" s="1"/>
      <c r="V2971" s="1" t="s">
        <v>38</v>
      </c>
      <c r="W2971" s="1">
        <v>44.4009507</v>
      </c>
      <c r="X2971" s="1">
        <v>-72.9744875999999</v>
      </c>
      <c r="Y2971" s="1" t="s">
        <v>12329</v>
      </c>
      <c r="Z2971" s="1"/>
      <c r="AA2971" s="1" t="s">
        <v>40</v>
      </c>
      <c r="AB2971" s="1" t="s">
        <v>202</v>
      </c>
      <c r="AC2971" s="1">
        <v>5477.0</v>
      </c>
    </row>
    <row r="2972">
      <c r="A2972" s="1" t="str">
        <f>"000QKD"</f>
        <v>000QKD</v>
      </c>
      <c r="B2972" s="1" t="s">
        <v>12330</v>
      </c>
      <c r="C2972" s="1" t="s">
        <v>12331</v>
      </c>
      <c r="D2972" s="1" t="str">
        <f>"8024896253"</f>
        <v>8024896253</v>
      </c>
      <c r="E2972" s="1">
        <v>4820.0</v>
      </c>
      <c r="F2972" s="1" t="s">
        <v>117</v>
      </c>
      <c r="G2972" s="1" t="s">
        <v>12332</v>
      </c>
      <c r="H2972" s="1">
        <v>2.0</v>
      </c>
      <c r="I2972" s="2">
        <v>1.0</v>
      </c>
      <c r="J2972" s="2">
        <v>1.0</v>
      </c>
      <c r="K2972" s="2" t="s">
        <v>119</v>
      </c>
      <c r="L2972" s="1"/>
      <c r="M2972" s="1" t="s">
        <v>12333</v>
      </c>
      <c r="N2972" s="1" t="s">
        <v>57</v>
      </c>
      <c r="O2972" s="1" t="s">
        <v>509</v>
      </c>
      <c r="P2972" s="1" t="s">
        <v>12334</v>
      </c>
      <c r="Q2972" s="3">
        <v>42152.0</v>
      </c>
      <c r="R2972" s="1"/>
      <c r="S2972" s="1"/>
      <c r="T2972" s="1" t="s">
        <v>37</v>
      </c>
      <c r="U2972" s="1"/>
      <c r="V2972" s="1" t="s">
        <v>38</v>
      </c>
      <c r="W2972" s="1">
        <v>44.5007949</v>
      </c>
      <c r="X2972" s="1">
        <v>-73.127993</v>
      </c>
      <c r="Y2972" s="1" t="s">
        <v>12335</v>
      </c>
      <c r="Z2972" s="1"/>
      <c r="AA2972" s="1" t="s">
        <v>40</v>
      </c>
      <c r="AB2972" s="1" t="s">
        <v>3296</v>
      </c>
      <c r="AC2972" s="1">
        <v>5452.0</v>
      </c>
    </row>
    <row r="2973">
      <c r="A2973" s="1" t="str">
        <f>"000QKF"</f>
        <v>000QKF</v>
      </c>
      <c r="B2973" s="1" t="s">
        <v>12336</v>
      </c>
      <c r="C2973" s="1" t="s">
        <v>12337</v>
      </c>
      <c r="D2973" s="1" t="str">
        <f>"8023530622"</f>
        <v>8023530622</v>
      </c>
      <c r="E2973" s="1">
        <v>4821.0</v>
      </c>
      <c r="F2973" s="1" t="s">
        <v>44</v>
      </c>
      <c r="G2973" s="1" t="s">
        <v>12338</v>
      </c>
      <c r="H2973" s="1">
        <v>2.0</v>
      </c>
      <c r="I2973" s="2" t="s">
        <v>119</v>
      </c>
      <c r="J2973" s="2" t="s">
        <v>119</v>
      </c>
      <c r="K2973" s="2" t="s">
        <v>119</v>
      </c>
      <c r="L2973" s="1"/>
      <c r="M2973" s="1" t="s">
        <v>72</v>
      </c>
      <c r="N2973" s="1" t="s">
        <v>78</v>
      </c>
      <c r="O2973" s="1" t="s">
        <v>3828</v>
      </c>
      <c r="P2973" s="1" t="s">
        <v>12339</v>
      </c>
      <c r="Q2973" s="3">
        <v>42152.0</v>
      </c>
      <c r="R2973" s="1"/>
      <c r="S2973" s="1"/>
      <c r="T2973" s="1" t="s">
        <v>37</v>
      </c>
      <c r="U2973" s="1"/>
      <c r="V2973" s="1" t="s">
        <v>38</v>
      </c>
      <c r="W2973" s="1">
        <v>43.518379</v>
      </c>
      <c r="X2973" s="1">
        <v>-73.0293879999999</v>
      </c>
      <c r="Y2973" s="1" t="s">
        <v>12340</v>
      </c>
      <c r="Z2973" s="1"/>
      <c r="AA2973" s="1" t="s">
        <v>40</v>
      </c>
      <c r="AB2973" s="1" t="s">
        <v>6012</v>
      </c>
      <c r="AC2973" s="1">
        <v>5777.0</v>
      </c>
    </row>
    <row r="2974">
      <c r="A2974" s="1" t="str">
        <f>"000QKG"</f>
        <v>000QKG</v>
      </c>
      <c r="B2974" s="1" t="s">
        <v>12341</v>
      </c>
      <c r="C2974" s="1" t="s">
        <v>12342</v>
      </c>
      <c r="D2974" s="1" t="str">
        <f>"8028931164"</f>
        <v>8028931164</v>
      </c>
      <c r="E2974" s="1">
        <v>4822.0</v>
      </c>
      <c r="F2974" s="1" t="s">
        <v>117</v>
      </c>
      <c r="G2974" s="1" t="s">
        <v>12343</v>
      </c>
      <c r="H2974" s="1">
        <v>2.0</v>
      </c>
      <c r="I2974" s="2">
        <v>0.0</v>
      </c>
      <c r="J2974" s="2">
        <v>0.0</v>
      </c>
      <c r="K2974" s="2" t="s">
        <v>119</v>
      </c>
      <c r="L2974" s="2" t="s">
        <v>4799</v>
      </c>
      <c r="M2974" s="1" t="s">
        <v>12344</v>
      </c>
      <c r="N2974" s="1" t="s">
        <v>57</v>
      </c>
      <c r="O2974" s="1" t="s">
        <v>559</v>
      </c>
      <c r="P2974" s="1" t="s">
        <v>12345</v>
      </c>
      <c r="Q2974" s="3">
        <v>42152.0</v>
      </c>
      <c r="R2974" s="1"/>
      <c r="S2974" s="1"/>
      <c r="T2974" s="1" t="s">
        <v>37</v>
      </c>
      <c r="U2974" s="1"/>
      <c r="V2974" s="1" t="s">
        <v>38</v>
      </c>
      <c r="W2974" s="1">
        <v>44.5922</v>
      </c>
      <c r="X2974" s="1">
        <v>-73.212288</v>
      </c>
      <c r="Y2974" s="1" t="s">
        <v>12346</v>
      </c>
      <c r="Z2974" s="1"/>
      <c r="AA2974" s="1" t="s">
        <v>40</v>
      </c>
      <c r="AB2974" s="1" t="s">
        <v>560</v>
      </c>
      <c r="AC2974" s="1">
        <v>5446.0</v>
      </c>
    </row>
    <row r="2975">
      <c r="A2975" s="1" t="str">
        <f>"000QKH"</f>
        <v>000QKH</v>
      </c>
      <c r="B2975" s="1" t="s">
        <v>12347</v>
      </c>
      <c r="C2975" s="1" t="s">
        <v>12348</v>
      </c>
      <c r="D2975" s="1" t="str">
        <f>"8027933541"</f>
        <v>8027933541</v>
      </c>
      <c r="E2975" s="1">
        <v>4823.0</v>
      </c>
      <c r="F2975" s="1" t="s">
        <v>44</v>
      </c>
      <c r="G2975" s="1" t="s">
        <v>12349</v>
      </c>
      <c r="H2975" s="1">
        <v>2.0</v>
      </c>
      <c r="I2975" s="1"/>
      <c r="J2975" s="1"/>
      <c r="K2975" s="1"/>
      <c r="L2975" s="1"/>
      <c r="M2975" s="1" t="s">
        <v>72</v>
      </c>
      <c r="N2975" s="1" t="s">
        <v>49</v>
      </c>
      <c r="O2975" s="1"/>
      <c r="P2975" s="1" t="s">
        <v>12350</v>
      </c>
      <c r="Q2975" s="3">
        <v>42152.0</v>
      </c>
      <c r="R2975" s="1"/>
      <c r="S2975" s="1"/>
      <c r="T2975" s="1" t="s">
        <v>37</v>
      </c>
      <c r="U2975" s="1"/>
      <c r="V2975" s="1" t="s">
        <v>38</v>
      </c>
      <c r="W2975" s="1"/>
      <c r="X2975" s="1"/>
      <c r="Y2975" s="1" t="s">
        <v>12351</v>
      </c>
      <c r="Z2975" s="1"/>
      <c r="AA2975" s="1" t="s">
        <v>40</v>
      </c>
      <c r="AB2975" s="1" t="s">
        <v>4019</v>
      </c>
      <c r="AC2975" s="1">
        <v>5641.0</v>
      </c>
    </row>
    <row r="2976">
      <c r="A2976" s="1" t="str">
        <f>"000QKJ"</f>
        <v>000QKJ</v>
      </c>
      <c r="B2976" s="1" t="s">
        <v>12352</v>
      </c>
      <c r="C2976" s="1" t="s">
        <v>12353</v>
      </c>
      <c r="D2976" s="1" t="str">
        <f>"8022812884"</f>
        <v>8022812884</v>
      </c>
      <c r="E2976" s="1">
        <v>4824.0</v>
      </c>
      <c r="F2976" s="1" t="s">
        <v>31</v>
      </c>
      <c r="G2976" s="1" t="s">
        <v>12354</v>
      </c>
      <c r="H2976" s="1">
        <v>1.0</v>
      </c>
      <c r="I2976" s="1"/>
      <c r="J2976" s="1"/>
      <c r="K2976" s="1"/>
      <c r="L2976" s="1"/>
      <c r="M2976" s="1" t="s">
        <v>12355</v>
      </c>
      <c r="N2976" s="1" t="s">
        <v>34</v>
      </c>
      <c r="O2976" s="1"/>
      <c r="P2976" s="1" t="s">
        <v>12356</v>
      </c>
      <c r="Q2976" s="3">
        <v>42152.0</v>
      </c>
      <c r="R2976" s="1"/>
      <c r="S2976" s="1"/>
      <c r="T2976" s="1" t="s">
        <v>37</v>
      </c>
      <c r="U2976" s="1"/>
      <c r="V2976" s="1" t="s">
        <v>38</v>
      </c>
      <c r="W2976" s="1">
        <v>43.480469</v>
      </c>
      <c r="X2976" s="1">
        <v>-72.3889849999999</v>
      </c>
      <c r="Y2976" s="1" t="s">
        <v>12357</v>
      </c>
      <c r="Z2976" s="1"/>
      <c r="AA2976" s="1" t="s">
        <v>40</v>
      </c>
      <c r="AB2976" s="1" t="s">
        <v>34</v>
      </c>
      <c r="AC2976" s="1">
        <v>5089.0</v>
      </c>
    </row>
    <row r="2977">
      <c r="A2977" s="1" t="str">
        <f>"000QKK"</f>
        <v>000QKK</v>
      </c>
      <c r="B2977" s="1" t="s">
        <v>12358</v>
      </c>
      <c r="C2977" s="1" t="s">
        <v>12359</v>
      </c>
      <c r="D2977" s="1" t="str">
        <f>"8024823643"</f>
        <v>8024823643</v>
      </c>
      <c r="E2977" s="1">
        <v>4825.0</v>
      </c>
      <c r="F2977" s="1" t="s">
        <v>44</v>
      </c>
      <c r="G2977" s="1" t="s">
        <v>12360</v>
      </c>
      <c r="H2977" s="1">
        <v>1.0</v>
      </c>
      <c r="I2977" s="1"/>
      <c r="J2977" s="1"/>
      <c r="K2977" s="1"/>
      <c r="L2977" s="1"/>
      <c r="M2977" s="1" t="s">
        <v>72</v>
      </c>
      <c r="N2977" s="1" t="s">
        <v>49</v>
      </c>
      <c r="O2977" s="1"/>
      <c r="P2977" s="1" t="s">
        <v>12361</v>
      </c>
      <c r="Q2977" s="3">
        <v>42152.0</v>
      </c>
      <c r="R2977" s="1"/>
      <c r="S2977" s="1"/>
      <c r="T2977" s="1" t="s">
        <v>37</v>
      </c>
      <c r="U2977" s="1"/>
      <c r="V2977" s="1" t="s">
        <v>38</v>
      </c>
      <c r="W2977" s="1"/>
      <c r="X2977" s="1"/>
      <c r="Y2977" s="1" t="s">
        <v>12362</v>
      </c>
      <c r="Z2977" s="1"/>
      <c r="AA2977" s="1" t="s">
        <v>40</v>
      </c>
      <c r="AB2977" s="1" t="s">
        <v>205</v>
      </c>
      <c r="AC2977" s="1">
        <v>5641.0</v>
      </c>
    </row>
    <row r="2978">
      <c r="A2978" s="1" t="str">
        <f>"000QKM"</f>
        <v>000QKM</v>
      </c>
      <c r="B2978" s="1" t="s">
        <v>12363</v>
      </c>
      <c r="C2978" s="1" t="s">
        <v>12364</v>
      </c>
      <c r="D2978" s="1" t="str">
        <f>"8025582186"</f>
        <v>8025582186</v>
      </c>
      <c r="E2978" s="1">
        <v>4826.0</v>
      </c>
      <c r="F2978" s="1" t="s">
        <v>44</v>
      </c>
      <c r="G2978" s="1" t="s">
        <v>12365</v>
      </c>
      <c r="H2978" s="1">
        <v>1.0</v>
      </c>
      <c r="I2978" s="1"/>
      <c r="J2978" s="1"/>
      <c r="K2978" s="1"/>
      <c r="L2978" s="1"/>
      <c r="M2978" s="1" t="s">
        <v>72</v>
      </c>
      <c r="N2978" s="1" t="s">
        <v>49</v>
      </c>
      <c r="O2978" s="1"/>
      <c r="P2978" s="1" t="s">
        <v>12366</v>
      </c>
      <c r="Q2978" s="3">
        <v>42152.0</v>
      </c>
      <c r="R2978" s="1"/>
      <c r="S2978" s="1"/>
      <c r="T2978" s="1" t="s">
        <v>37</v>
      </c>
      <c r="U2978" s="1"/>
      <c r="V2978" s="1" t="s">
        <v>38</v>
      </c>
      <c r="W2978" s="1"/>
      <c r="X2978" s="1"/>
      <c r="Y2978" s="1" t="s">
        <v>12367</v>
      </c>
      <c r="Z2978" s="1"/>
      <c r="AA2978" s="1" t="s">
        <v>40</v>
      </c>
      <c r="AB2978" s="1" t="s">
        <v>78</v>
      </c>
      <c r="AC2978" s="1">
        <v>5701.0</v>
      </c>
    </row>
    <row r="2979">
      <c r="A2979" s="1" t="str">
        <f>"000QKN"</f>
        <v>000QKN</v>
      </c>
      <c r="B2979" s="1" t="s">
        <v>12368</v>
      </c>
      <c r="C2979" s="1" t="s">
        <v>12369</v>
      </c>
      <c r="D2979" s="1" t="str">
        <f>"8023536379"</f>
        <v>8023536379</v>
      </c>
      <c r="E2979" s="1">
        <v>4827.0</v>
      </c>
      <c r="F2979" s="1" t="s">
        <v>117</v>
      </c>
      <c r="G2979" s="1" t="s">
        <v>12370</v>
      </c>
      <c r="H2979" s="1">
        <v>3.0</v>
      </c>
      <c r="I2979" s="2">
        <v>2.0</v>
      </c>
      <c r="J2979" s="2">
        <v>0.0</v>
      </c>
      <c r="K2979" s="2" t="s">
        <v>829</v>
      </c>
      <c r="L2979" s="1"/>
      <c r="M2979" s="1" t="s">
        <v>12371</v>
      </c>
      <c r="N2979" s="1" t="s">
        <v>414</v>
      </c>
      <c r="O2979" s="1" t="s">
        <v>415</v>
      </c>
      <c r="P2979" s="1" t="s">
        <v>12372</v>
      </c>
      <c r="Q2979" s="3">
        <v>42152.0</v>
      </c>
      <c r="R2979" s="1"/>
      <c r="S2979" s="1"/>
      <c r="T2979" s="1" t="s">
        <v>37</v>
      </c>
      <c r="U2979" s="1"/>
      <c r="V2979" s="1" t="s">
        <v>38</v>
      </c>
      <c r="W2979" s="1">
        <v>43.3072689</v>
      </c>
      <c r="X2979" s="1">
        <v>-73.0930660999999</v>
      </c>
      <c r="Y2979" s="1" t="s">
        <v>12373</v>
      </c>
      <c r="Z2979" s="1"/>
      <c r="AA2979" s="1" t="s">
        <v>40</v>
      </c>
      <c r="AB2979" s="1" t="s">
        <v>416</v>
      </c>
      <c r="AC2979" s="1">
        <v>5254.0</v>
      </c>
    </row>
    <row r="2980">
      <c r="A2980" s="1" t="str">
        <f>"000QKP"</f>
        <v>000QKP</v>
      </c>
      <c r="B2980" s="1" t="s">
        <v>12374</v>
      </c>
      <c r="C2980" s="1" t="s">
        <v>12375</v>
      </c>
      <c r="D2980" s="1" t="str">
        <f>"8023754353"</f>
        <v>8023754353</v>
      </c>
      <c r="E2980" s="1">
        <v>4828.0</v>
      </c>
      <c r="F2980" s="1" t="s">
        <v>44</v>
      </c>
      <c r="G2980" s="1" t="s">
        <v>12376</v>
      </c>
      <c r="H2980" s="1">
        <v>1.0</v>
      </c>
      <c r="I2980" s="1"/>
      <c r="J2980" s="1"/>
      <c r="K2980" s="1"/>
      <c r="L2980" s="1"/>
      <c r="M2980" s="1" t="s">
        <v>72</v>
      </c>
      <c r="N2980" s="1" t="s">
        <v>49</v>
      </c>
      <c r="O2980" s="1"/>
      <c r="P2980" s="1" t="s">
        <v>12377</v>
      </c>
      <c r="Q2980" s="3">
        <v>42152.0</v>
      </c>
      <c r="R2980" s="1"/>
      <c r="S2980" s="1"/>
      <c r="T2980" s="1" t="s">
        <v>37</v>
      </c>
      <c r="U2980" s="1"/>
      <c r="V2980" s="1" t="s">
        <v>38</v>
      </c>
      <c r="W2980" s="1">
        <v>43.24147</v>
      </c>
      <c r="X2980" s="1">
        <v>-73.0912859999999</v>
      </c>
      <c r="Y2980" s="1" t="s">
        <v>12378</v>
      </c>
      <c r="Z2980" s="1"/>
      <c r="AA2980" s="1" t="s">
        <v>40</v>
      </c>
      <c r="AB2980" s="1" t="s">
        <v>416</v>
      </c>
      <c r="AC2980" s="1">
        <v>5251.0</v>
      </c>
    </row>
    <row r="2981">
      <c r="A2981" s="1" t="str">
        <f>"000QKQ"</f>
        <v>000QKQ</v>
      </c>
      <c r="B2981" s="1" t="s">
        <v>12379</v>
      </c>
      <c r="C2981" s="1" t="s">
        <v>12380</v>
      </c>
      <c r="D2981" s="1" t="str">
        <f>"8024402604"</f>
        <v>8024402604</v>
      </c>
      <c r="E2981" s="1">
        <v>4829.0</v>
      </c>
      <c r="F2981" s="1" t="s">
        <v>44</v>
      </c>
      <c r="G2981" s="1" t="s">
        <v>12381</v>
      </c>
      <c r="H2981" s="1">
        <v>1.0</v>
      </c>
      <c r="I2981" s="2" t="s">
        <v>119</v>
      </c>
      <c r="J2981" s="2" t="s">
        <v>119</v>
      </c>
      <c r="K2981" s="2" t="s">
        <v>119</v>
      </c>
      <c r="L2981" s="1"/>
      <c r="M2981" s="1" t="s">
        <v>720</v>
      </c>
      <c r="N2981" s="1" t="s">
        <v>414</v>
      </c>
      <c r="O2981" s="1" t="s">
        <v>720</v>
      </c>
      <c r="P2981" s="1" t="s">
        <v>12382</v>
      </c>
      <c r="Q2981" s="3">
        <v>42152.0</v>
      </c>
      <c r="R2981" s="1"/>
      <c r="S2981" s="1"/>
      <c r="T2981" s="1" t="s">
        <v>37</v>
      </c>
      <c r="U2981" s="1"/>
      <c r="V2981" s="1" t="s">
        <v>38</v>
      </c>
      <c r="W2981" s="1">
        <v>42.8371698</v>
      </c>
      <c r="X2981" s="1">
        <v>-73.195534</v>
      </c>
      <c r="Y2981" s="1" t="s">
        <v>12383</v>
      </c>
      <c r="Z2981" s="1"/>
      <c r="AA2981" s="1" t="s">
        <v>40</v>
      </c>
      <c r="AB2981" s="1" t="s">
        <v>414</v>
      </c>
      <c r="AC2981" s="1">
        <v>5201.0</v>
      </c>
    </row>
    <row r="2982">
      <c r="A2982" s="1" t="str">
        <f>"000QKW"</f>
        <v>000QKW</v>
      </c>
      <c r="B2982" s="1" t="s">
        <v>12384</v>
      </c>
      <c r="C2982" s="1" t="s">
        <v>12385</v>
      </c>
      <c r="D2982" s="1" t="str">
        <f>"8029529577"</f>
        <v>8029529577</v>
      </c>
      <c r="E2982" s="1">
        <v>4830.0</v>
      </c>
      <c r="F2982" s="1" t="s">
        <v>44</v>
      </c>
      <c r="G2982" s="1" t="s">
        <v>12386</v>
      </c>
      <c r="H2982" s="1">
        <v>2.0</v>
      </c>
      <c r="I2982" s="1"/>
      <c r="J2982" s="1"/>
      <c r="K2982" s="1"/>
      <c r="L2982" s="1"/>
      <c r="M2982" s="1" t="s">
        <v>72</v>
      </c>
      <c r="N2982" s="1" t="s">
        <v>49</v>
      </c>
      <c r="O2982" s="1"/>
      <c r="P2982" s="1" t="s">
        <v>12387</v>
      </c>
      <c r="Q2982" s="3">
        <v>42152.0</v>
      </c>
      <c r="R2982" s="1"/>
      <c r="S2982" s="1"/>
      <c r="T2982" s="1" t="s">
        <v>37</v>
      </c>
      <c r="U2982" s="1"/>
      <c r="V2982" s="1" t="s">
        <v>38</v>
      </c>
      <c r="W2982" s="1"/>
      <c r="X2982" s="1"/>
      <c r="Y2982" s="1" t="s">
        <v>12287</v>
      </c>
      <c r="Z2982" s="1"/>
      <c r="AA2982" s="1" t="s">
        <v>40</v>
      </c>
      <c r="AB2982" s="1" t="s">
        <v>12388</v>
      </c>
      <c r="AC2982" s="1">
        <v>5035.0</v>
      </c>
    </row>
    <row r="2983">
      <c r="A2983" s="1" t="str">
        <f>"000QKX"</f>
        <v>000QKX</v>
      </c>
      <c r="B2983" s="1" t="s">
        <v>12389</v>
      </c>
      <c r="C2983" s="1" t="s">
        <v>12390</v>
      </c>
      <c r="D2983" s="1" t="str">
        <f>"8023809220"</f>
        <v>8023809220</v>
      </c>
      <c r="E2983" s="1">
        <v>4831.0</v>
      </c>
      <c r="F2983" s="1" t="s">
        <v>44</v>
      </c>
      <c r="G2983" s="1" t="s">
        <v>12391</v>
      </c>
      <c r="H2983" s="1">
        <v>1.0</v>
      </c>
      <c r="I2983" s="1"/>
      <c r="J2983" s="1"/>
      <c r="K2983" s="1"/>
      <c r="L2983" s="1"/>
      <c r="M2983" s="1" t="s">
        <v>72</v>
      </c>
      <c r="N2983" s="1"/>
      <c r="O2983" s="1"/>
      <c r="P2983" s="1" t="s">
        <v>12392</v>
      </c>
      <c r="Q2983" s="3">
        <v>42152.0</v>
      </c>
      <c r="R2983" s="1"/>
      <c r="S2983" s="1"/>
      <c r="T2983" s="1" t="s">
        <v>37</v>
      </c>
      <c r="U2983" s="1"/>
      <c r="V2983" s="1" t="s">
        <v>38</v>
      </c>
      <c r="W2983" s="1">
        <v>43.0739779</v>
      </c>
      <c r="X2983" s="1">
        <v>-72.655937</v>
      </c>
      <c r="Y2983" s="1" t="s">
        <v>12393</v>
      </c>
      <c r="Z2983" s="1"/>
      <c r="AA2983" s="1" t="s">
        <v>40</v>
      </c>
      <c r="AB2983" s="1" t="s">
        <v>68</v>
      </c>
      <c r="AC2983" s="1">
        <v>5353.0</v>
      </c>
    </row>
    <row r="2984">
      <c r="A2984" s="1" t="str">
        <f>"000QKY"</f>
        <v>000QKY</v>
      </c>
      <c r="B2984" s="1" t="s">
        <v>12394</v>
      </c>
      <c r="C2984" s="1" t="s">
        <v>12395</v>
      </c>
      <c r="D2984" s="1" t="str">
        <f>"8028496171"</f>
        <v>8028496171</v>
      </c>
      <c r="E2984" s="1">
        <v>4832.0</v>
      </c>
      <c r="F2984" s="1" t="s">
        <v>117</v>
      </c>
      <c r="G2984" s="1" t="s">
        <v>12396</v>
      </c>
      <c r="H2984" s="1">
        <v>1.0</v>
      </c>
      <c r="I2984" s="2">
        <v>1.0</v>
      </c>
      <c r="J2984" s="2">
        <v>1.0</v>
      </c>
      <c r="K2984" s="2" t="s">
        <v>119</v>
      </c>
      <c r="L2984" s="1"/>
      <c r="M2984" s="1" t="s">
        <v>12397</v>
      </c>
      <c r="N2984" s="1" t="s">
        <v>47</v>
      </c>
      <c r="O2984" s="1" t="s">
        <v>582</v>
      </c>
      <c r="P2984" s="1" t="s">
        <v>12398</v>
      </c>
      <c r="Q2984" s="3">
        <v>42152.0</v>
      </c>
      <c r="R2984" s="1"/>
      <c r="S2984" s="1"/>
      <c r="T2984" s="1" t="s">
        <v>37</v>
      </c>
      <c r="U2984" s="1"/>
      <c r="V2984" s="1" t="s">
        <v>38</v>
      </c>
      <c r="W2984" s="1">
        <v>44.698185</v>
      </c>
      <c r="X2984" s="1">
        <v>-73.0744859</v>
      </c>
      <c r="Y2984" s="1" t="s">
        <v>12399</v>
      </c>
      <c r="Z2984" s="1"/>
      <c r="AA2984" s="1" t="s">
        <v>40</v>
      </c>
      <c r="AB2984" s="1" t="s">
        <v>381</v>
      </c>
      <c r="AC2984" s="1">
        <v>5454.0</v>
      </c>
    </row>
    <row r="2985">
      <c r="A2985" s="1" t="str">
        <f>"0005DA"</f>
        <v>0005DA</v>
      </c>
      <c r="B2985" s="1" t="s">
        <v>12400</v>
      </c>
      <c r="C2985" s="1" t="s">
        <v>12401</v>
      </c>
      <c r="D2985" s="1" t="str">
        <f>"8022997238"</f>
        <v>8022997238</v>
      </c>
      <c r="E2985" s="1">
        <v>4833.0</v>
      </c>
      <c r="F2985" s="1" t="s">
        <v>117</v>
      </c>
      <c r="G2985" s="1" t="s">
        <v>12402</v>
      </c>
      <c r="H2985" s="1">
        <v>3.0</v>
      </c>
      <c r="I2985" s="2">
        <v>3.0</v>
      </c>
      <c r="J2985" s="2">
        <v>3.0</v>
      </c>
      <c r="K2985" s="2" t="s">
        <v>119</v>
      </c>
      <c r="L2985" s="2" t="s">
        <v>8935</v>
      </c>
      <c r="M2985" s="1" t="s">
        <v>12403</v>
      </c>
      <c r="N2985" s="1" t="s">
        <v>142</v>
      </c>
      <c r="O2985" s="1" t="s">
        <v>143</v>
      </c>
      <c r="P2985" s="1" t="s">
        <v>12404</v>
      </c>
      <c r="Q2985" s="3">
        <v>42152.0</v>
      </c>
      <c r="R2985" s="1"/>
      <c r="S2985" s="1"/>
      <c r="T2985" s="1" t="s">
        <v>37</v>
      </c>
      <c r="U2985" s="1"/>
      <c r="V2985" s="1" t="s">
        <v>38</v>
      </c>
      <c r="W2985" s="1"/>
      <c r="X2985" s="1"/>
      <c r="Y2985" s="1" t="s">
        <v>12405</v>
      </c>
      <c r="Z2985" s="1"/>
      <c r="AA2985" s="1" t="s">
        <v>40</v>
      </c>
      <c r="AB2985" s="1" t="s">
        <v>10349</v>
      </c>
      <c r="AC2985" s="1">
        <v>5043.0</v>
      </c>
    </row>
    <row r="2986">
      <c r="A2986" s="1" t="str">
        <f>"000QM1"</f>
        <v>000QM1</v>
      </c>
      <c r="B2986" s="1" t="s">
        <v>12406</v>
      </c>
      <c r="C2986" s="1" t="s">
        <v>12407</v>
      </c>
      <c r="D2986" s="1" t="str">
        <f>"8025583787"</f>
        <v>8025583787</v>
      </c>
      <c r="E2986" s="1">
        <v>4834.0</v>
      </c>
      <c r="F2986" s="1" t="s">
        <v>31</v>
      </c>
      <c r="G2986" s="1" t="s">
        <v>12408</v>
      </c>
      <c r="H2986" s="1">
        <v>3.0</v>
      </c>
      <c r="I2986" s="1"/>
      <c r="J2986" s="1"/>
      <c r="K2986" s="1"/>
      <c r="L2986" s="1"/>
      <c r="M2986" s="1" t="s">
        <v>72</v>
      </c>
      <c r="N2986" s="1" t="s">
        <v>78</v>
      </c>
      <c r="O2986" s="1" t="s">
        <v>251</v>
      </c>
      <c r="P2986" s="1" t="s">
        <v>12409</v>
      </c>
      <c r="Q2986" s="3">
        <v>42152.0</v>
      </c>
      <c r="R2986" s="1"/>
      <c r="S2986" s="1"/>
      <c r="T2986" s="1" t="s">
        <v>37</v>
      </c>
      <c r="U2986" s="1"/>
      <c r="V2986" s="1" t="s">
        <v>38</v>
      </c>
      <c r="W2986" s="1">
        <v>43.373028</v>
      </c>
      <c r="X2986" s="1">
        <v>-73.045876</v>
      </c>
      <c r="Y2986" s="1" t="s">
        <v>12410</v>
      </c>
      <c r="Z2986" s="1"/>
      <c r="AA2986" s="1" t="s">
        <v>40</v>
      </c>
      <c r="AB2986" s="1" t="s">
        <v>252</v>
      </c>
      <c r="AC2986" s="1">
        <v>5739.0</v>
      </c>
    </row>
    <row r="2987">
      <c r="A2987" s="1" t="str">
        <f>"000QM3"</f>
        <v>000QM3</v>
      </c>
      <c r="B2987" s="1" t="s">
        <v>12411</v>
      </c>
      <c r="C2987" s="1" t="s">
        <v>12412</v>
      </c>
      <c r="D2987" s="1" t="str">
        <f>"8028899500"</f>
        <v>8028899500</v>
      </c>
      <c r="E2987" s="1">
        <v>4835.0</v>
      </c>
      <c r="F2987" s="1" t="s">
        <v>44</v>
      </c>
      <c r="G2987" s="1" t="s">
        <v>12413</v>
      </c>
      <c r="H2987" s="1">
        <v>1.0</v>
      </c>
      <c r="I2987" s="1"/>
      <c r="J2987" s="1"/>
      <c r="K2987" s="1"/>
      <c r="L2987" s="1"/>
      <c r="M2987" s="1" t="s">
        <v>72</v>
      </c>
      <c r="N2987" s="1" t="s">
        <v>142</v>
      </c>
      <c r="O2987" s="1" t="s">
        <v>648</v>
      </c>
      <c r="P2987" s="1" t="s">
        <v>12414</v>
      </c>
      <c r="Q2987" s="3">
        <v>42152.0</v>
      </c>
      <c r="R2987" s="1"/>
      <c r="S2987" s="1"/>
      <c r="T2987" s="1" t="s">
        <v>37</v>
      </c>
      <c r="U2987" s="1"/>
      <c r="V2987" s="1" t="s">
        <v>38</v>
      </c>
      <c r="W2987" s="1">
        <v>43.9143792</v>
      </c>
      <c r="X2987" s="1">
        <v>-72.5091709</v>
      </c>
      <c r="Y2987" s="1" t="s">
        <v>12415</v>
      </c>
      <c r="Z2987" s="1"/>
      <c r="AA2987" s="1" t="s">
        <v>40</v>
      </c>
      <c r="AB2987" s="1" t="s">
        <v>650</v>
      </c>
      <c r="AC2987" s="1">
        <v>5077.0</v>
      </c>
    </row>
    <row r="2988">
      <c r="A2988" s="1" t="str">
        <f>"000QM4"</f>
        <v>000QM4</v>
      </c>
      <c r="B2988" s="1" t="s">
        <v>12416</v>
      </c>
      <c r="C2988" s="1" t="s">
        <v>12417</v>
      </c>
      <c r="D2988" s="1" t="str">
        <f>"8029221565"</f>
        <v>8029221565</v>
      </c>
      <c r="E2988" s="1">
        <v>4836.0</v>
      </c>
      <c r="F2988" s="1" t="s">
        <v>117</v>
      </c>
      <c r="G2988" s="1" t="s">
        <v>12418</v>
      </c>
      <c r="H2988" s="1">
        <v>1.0</v>
      </c>
      <c r="I2988" s="2">
        <v>0.0</v>
      </c>
      <c r="J2988" s="2" t="s">
        <v>119</v>
      </c>
      <c r="K2988" s="2" t="s">
        <v>119</v>
      </c>
      <c r="L2988" s="1"/>
      <c r="M2988" s="1" t="s">
        <v>12419</v>
      </c>
      <c r="N2988" s="1" t="s">
        <v>142</v>
      </c>
      <c r="O2988" s="1" t="s">
        <v>2253</v>
      </c>
      <c r="P2988" s="1" t="s">
        <v>12420</v>
      </c>
      <c r="Q2988" s="3">
        <v>42152.0</v>
      </c>
      <c r="R2988" s="1"/>
      <c r="S2988" s="1"/>
      <c r="T2988" s="1" t="s">
        <v>37</v>
      </c>
      <c r="U2988" s="1"/>
      <c r="V2988" s="1" t="s">
        <v>38</v>
      </c>
      <c r="W2988" s="1">
        <v>44.1069708432735</v>
      </c>
      <c r="X2988" s="1">
        <v>-72.5031566619873</v>
      </c>
      <c r="Y2988" s="1" t="s">
        <v>12421</v>
      </c>
      <c r="Z2988" s="1"/>
      <c r="AA2988" s="1" t="s">
        <v>40</v>
      </c>
      <c r="AB2988" s="1" t="s">
        <v>2254</v>
      </c>
      <c r="AC2988" s="1">
        <v>5679.0</v>
      </c>
    </row>
    <row r="2989">
      <c r="A2989" s="1" t="str">
        <f>"000QM5"</f>
        <v>000QM5</v>
      </c>
      <c r="B2989" s="1" t="s">
        <v>12422</v>
      </c>
      <c r="C2989" s="1" t="s">
        <v>12423</v>
      </c>
      <c r="D2989" s="1" t="str">
        <f>"8023721639"</f>
        <v>8023721639</v>
      </c>
      <c r="E2989" s="1">
        <v>4837.0</v>
      </c>
      <c r="F2989" s="1" t="s">
        <v>117</v>
      </c>
      <c r="G2989" s="1" t="s">
        <v>12424</v>
      </c>
      <c r="H2989" s="1">
        <v>2.0</v>
      </c>
      <c r="I2989" s="2">
        <v>3.0</v>
      </c>
      <c r="J2989" s="2">
        <v>0.0</v>
      </c>
      <c r="K2989" s="2" t="s">
        <v>119</v>
      </c>
      <c r="L2989" s="1"/>
      <c r="M2989" s="1">
        <v>1.0</v>
      </c>
      <c r="N2989" s="1" t="s">
        <v>107</v>
      </c>
      <c r="O2989" s="1" t="s">
        <v>2016</v>
      </c>
      <c r="P2989" s="1" t="s">
        <v>12425</v>
      </c>
      <c r="Q2989" s="3">
        <v>42152.0</v>
      </c>
      <c r="R2989" s="1"/>
      <c r="S2989" s="1"/>
      <c r="T2989" s="1" t="s">
        <v>37</v>
      </c>
      <c r="U2989" s="1"/>
      <c r="V2989" s="1" t="s">
        <v>38</v>
      </c>
      <c r="W2989" s="1">
        <v>44.9779933</v>
      </c>
      <c r="X2989" s="1">
        <v>-73.3082264999999</v>
      </c>
      <c r="Y2989" s="1" t="s">
        <v>12426</v>
      </c>
      <c r="Z2989" s="1"/>
      <c r="AA2989" s="1" t="s">
        <v>40</v>
      </c>
      <c r="AB2989" s="1" t="s">
        <v>8724</v>
      </c>
      <c r="AC2989" s="1">
        <v>5440.0</v>
      </c>
    </row>
    <row r="2990">
      <c r="A2990" s="1" t="str">
        <f>"000QM6"</f>
        <v>000QM6</v>
      </c>
      <c r="B2990" s="1" t="s">
        <v>12427</v>
      </c>
      <c r="C2990" s="1" t="s">
        <v>12428</v>
      </c>
      <c r="D2990" s="1" t="str">
        <f>"8025851352"</f>
        <v>8025851352</v>
      </c>
      <c r="E2990" s="1">
        <v>4838.0</v>
      </c>
      <c r="F2990" s="1" t="s">
        <v>117</v>
      </c>
      <c r="G2990" s="1" t="s">
        <v>12429</v>
      </c>
      <c r="H2990" s="1">
        <v>0.0</v>
      </c>
      <c r="I2990" s="2">
        <v>2.0</v>
      </c>
      <c r="J2990" s="2">
        <v>2.0</v>
      </c>
      <c r="K2990" s="2" t="s">
        <v>119</v>
      </c>
      <c r="L2990" s="1"/>
      <c r="M2990" s="1" t="s">
        <v>12430</v>
      </c>
      <c r="N2990" s="1" t="s">
        <v>135</v>
      </c>
      <c r="O2990" s="1" t="s">
        <v>775</v>
      </c>
      <c r="P2990" s="1" t="s">
        <v>12431</v>
      </c>
      <c r="Q2990" s="3">
        <v>42152.0</v>
      </c>
      <c r="R2990" s="1"/>
      <c r="S2990" s="1"/>
      <c r="T2990" s="1" t="s">
        <v>37</v>
      </c>
      <c r="U2990" s="1"/>
      <c r="V2990" s="1" t="s">
        <v>38</v>
      </c>
      <c r="W2990" s="1">
        <v>44.3933701</v>
      </c>
      <c r="X2990" s="1">
        <v>-72.706003</v>
      </c>
      <c r="Y2990" s="1" t="s">
        <v>12432</v>
      </c>
      <c r="Z2990" s="1"/>
      <c r="AA2990" s="1" t="s">
        <v>40</v>
      </c>
      <c r="AB2990" s="1" t="s">
        <v>3755</v>
      </c>
      <c r="AC2990" s="1">
        <v>5677.0</v>
      </c>
    </row>
    <row r="2991">
      <c r="A2991" s="1" t="str">
        <f>"000QM7"</f>
        <v>000QM7</v>
      </c>
      <c r="B2991" s="1" t="s">
        <v>12433</v>
      </c>
      <c r="C2991" s="1" t="s">
        <v>12434</v>
      </c>
      <c r="D2991" s="1" t="str">
        <f>"8028492636"</f>
        <v>8028492636</v>
      </c>
      <c r="E2991" s="1">
        <v>4839.0</v>
      </c>
      <c r="F2991" s="1" t="s">
        <v>117</v>
      </c>
      <c r="G2991" s="1" t="s">
        <v>12435</v>
      </c>
      <c r="H2991" s="1">
        <v>3.0</v>
      </c>
      <c r="I2991" s="2">
        <v>0.0</v>
      </c>
      <c r="J2991" s="2">
        <v>3.0</v>
      </c>
      <c r="K2991" s="2" t="s">
        <v>119</v>
      </c>
      <c r="L2991" s="1"/>
      <c r="M2991" s="1" t="s">
        <v>12436</v>
      </c>
      <c r="N2991" s="1" t="s">
        <v>47</v>
      </c>
      <c r="O2991" s="1" t="s">
        <v>763</v>
      </c>
      <c r="P2991" s="1" t="s">
        <v>12437</v>
      </c>
      <c r="Q2991" s="3">
        <v>42152.0</v>
      </c>
      <c r="R2991" s="1"/>
      <c r="S2991" s="1"/>
      <c r="T2991" s="1" t="s">
        <v>37</v>
      </c>
      <c r="U2991" s="1"/>
      <c r="V2991" s="1" t="s">
        <v>38</v>
      </c>
      <c r="W2991" s="1">
        <v>44.6448223</v>
      </c>
      <c r="X2991" s="1">
        <v>-72.8954948</v>
      </c>
      <c r="Y2991" s="1" t="s">
        <v>12438</v>
      </c>
      <c r="Z2991" s="1"/>
      <c r="AA2991" s="1" t="s">
        <v>40</v>
      </c>
      <c r="AB2991" s="1" t="s">
        <v>621</v>
      </c>
      <c r="AC2991" s="1">
        <v>5444.0</v>
      </c>
    </row>
    <row r="2992">
      <c r="A2992" s="1" t="str">
        <f>"000QM8"</f>
        <v>000QM8</v>
      </c>
      <c r="B2992" s="1" t="s">
        <v>12439</v>
      </c>
      <c r="C2992" s="1" t="s">
        <v>12440</v>
      </c>
      <c r="D2992" s="1" t="str">
        <f>"8028881503"</f>
        <v>8028881503</v>
      </c>
      <c r="E2992" s="1">
        <v>4840.0</v>
      </c>
      <c r="F2992" s="1" t="s">
        <v>44</v>
      </c>
      <c r="G2992" s="1" t="s">
        <v>12441</v>
      </c>
      <c r="H2992" s="1">
        <v>1.0</v>
      </c>
      <c r="I2992" s="2">
        <v>2.0</v>
      </c>
      <c r="J2992" s="2">
        <v>0.0</v>
      </c>
      <c r="K2992" s="2" t="s">
        <v>119</v>
      </c>
      <c r="L2992" s="1"/>
      <c r="M2992" s="1" t="s">
        <v>33</v>
      </c>
      <c r="N2992" s="1" t="s">
        <v>213</v>
      </c>
      <c r="O2992" s="1"/>
      <c r="P2992" s="1" t="s">
        <v>12442</v>
      </c>
      <c r="Q2992" s="3">
        <v>42152.0</v>
      </c>
      <c r="R2992" s="1"/>
      <c r="S2992" s="1"/>
      <c r="T2992" s="1" t="s">
        <v>37</v>
      </c>
      <c r="U2992" s="1"/>
      <c r="V2992" s="1" t="s">
        <v>38</v>
      </c>
      <c r="W2992" s="1"/>
      <c r="X2992" s="1"/>
      <c r="Y2992" s="1" t="s">
        <v>12443</v>
      </c>
      <c r="Z2992" s="1"/>
      <c r="AA2992" s="1" t="s">
        <v>40</v>
      </c>
      <c r="AB2992" s="1" t="s">
        <v>2157</v>
      </c>
      <c r="AC2992" s="1">
        <v>5680.0</v>
      </c>
    </row>
    <row r="2993">
      <c r="A2993" s="1" t="str">
        <f>"000QM9"</f>
        <v>000QM9</v>
      </c>
      <c r="B2993" s="1" t="s">
        <v>12444</v>
      </c>
      <c r="C2993" s="1" t="s">
        <v>12445</v>
      </c>
      <c r="D2993" s="1" t="str">
        <f>"8026843463"</f>
        <v>8026843463</v>
      </c>
      <c r="E2993" s="1">
        <v>4841.0</v>
      </c>
      <c r="F2993" s="1" t="s">
        <v>31</v>
      </c>
      <c r="G2993" s="1" t="s">
        <v>12446</v>
      </c>
      <c r="H2993" s="1">
        <v>1.0</v>
      </c>
      <c r="I2993" s="1"/>
      <c r="J2993" s="1"/>
      <c r="K2993" s="1"/>
      <c r="L2993" s="1"/>
      <c r="M2993" s="1" t="s">
        <v>72</v>
      </c>
      <c r="N2993" s="1" t="s">
        <v>128</v>
      </c>
      <c r="O2993" s="1" t="s">
        <v>129</v>
      </c>
      <c r="P2993" s="1" t="s">
        <v>12447</v>
      </c>
      <c r="Q2993" s="3">
        <v>42152.0</v>
      </c>
      <c r="R2993" s="1"/>
      <c r="S2993" s="1"/>
      <c r="T2993" s="1" t="s">
        <v>37</v>
      </c>
      <c r="U2993" s="1"/>
      <c r="V2993" s="1" t="s">
        <v>38</v>
      </c>
      <c r="W2993" s="1">
        <v>44.42766</v>
      </c>
      <c r="X2993" s="1">
        <v>-72.1764059999999</v>
      </c>
      <c r="Y2993" s="1" t="s">
        <v>12448</v>
      </c>
      <c r="Z2993" s="1"/>
      <c r="AA2993" s="1" t="s">
        <v>40</v>
      </c>
      <c r="AB2993" s="1" t="s">
        <v>130</v>
      </c>
      <c r="AC2993" s="1">
        <v>5828.0</v>
      </c>
    </row>
    <row r="2994">
      <c r="A2994" s="1" t="str">
        <f>"000QMA"</f>
        <v>000QMA</v>
      </c>
      <c r="B2994" s="1" t="s">
        <v>12449</v>
      </c>
      <c r="C2994" s="1" t="s">
        <v>12450</v>
      </c>
      <c r="D2994" s="1" t="str">
        <f>"8022793790"</f>
        <v>8022793790</v>
      </c>
      <c r="E2994" s="1">
        <v>4842.0</v>
      </c>
      <c r="F2994" s="1" t="s">
        <v>117</v>
      </c>
      <c r="G2994" s="1" t="s">
        <v>12451</v>
      </c>
      <c r="H2994" s="1">
        <v>2.0</v>
      </c>
      <c r="I2994" s="2" t="s">
        <v>119</v>
      </c>
      <c r="J2994" s="2" t="s">
        <v>119</v>
      </c>
      <c r="K2994" s="2" t="s">
        <v>119</v>
      </c>
      <c r="L2994" s="1"/>
      <c r="M2994" s="1" t="s">
        <v>12452</v>
      </c>
      <c r="N2994" s="1" t="s">
        <v>135</v>
      </c>
      <c r="O2994" s="1" t="s">
        <v>136</v>
      </c>
      <c r="P2994" s="1" t="s">
        <v>12453</v>
      </c>
      <c r="Q2994" s="3">
        <v>42152.0</v>
      </c>
      <c r="R2994" s="1"/>
      <c r="S2994" s="1"/>
      <c r="T2994" s="1" t="s">
        <v>37</v>
      </c>
      <c r="U2994" s="1"/>
      <c r="V2994" s="1" t="s">
        <v>38</v>
      </c>
      <c r="W2994" s="1">
        <v>44.1621669</v>
      </c>
      <c r="X2994" s="1">
        <v>-72.6483</v>
      </c>
      <c r="Y2994" s="1" t="s">
        <v>12454</v>
      </c>
      <c r="Z2994" s="1"/>
      <c r="AA2994" s="1" t="s">
        <v>40</v>
      </c>
      <c r="AB2994" s="1" t="s">
        <v>137</v>
      </c>
      <c r="AC2994" s="1">
        <v>5663.0</v>
      </c>
    </row>
    <row r="2995">
      <c r="A2995" s="1" t="str">
        <f>"0003HA"</f>
        <v>0003HA</v>
      </c>
      <c r="B2995" s="1" t="s">
        <v>12455</v>
      </c>
      <c r="C2995" s="1" t="s">
        <v>12456</v>
      </c>
      <c r="D2995" s="1" t="str">
        <f>"8029511129"</f>
        <v>8029511129</v>
      </c>
      <c r="E2995" s="1">
        <v>4843.0</v>
      </c>
      <c r="F2995" s="1" t="s">
        <v>117</v>
      </c>
      <c r="G2995" s="1" t="s">
        <v>12457</v>
      </c>
      <c r="H2995" s="1">
        <v>4.0</v>
      </c>
      <c r="I2995" s="2">
        <v>0.0</v>
      </c>
      <c r="J2995" s="2">
        <v>0.0</v>
      </c>
      <c r="K2995" s="2" t="s">
        <v>119</v>
      </c>
      <c r="L2995" s="1"/>
      <c r="M2995" s="1" t="s">
        <v>12458</v>
      </c>
      <c r="N2995" s="1" t="s">
        <v>57</v>
      </c>
      <c r="O2995" s="1" t="s">
        <v>201</v>
      </c>
      <c r="P2995" s="1" t="s">
        <v>12459</v>
      </c>
      <c r="Q2995" s="3">
        <v>42152.0</v>
      </c>
      <c r="R2995" s="1"/>
      <c r="S2995" s="1"/>
      <c r="T2995" s="1" t="s">
        <v>37</v>
      </c>
      <c r="U2995" s="1"/>
      <c r="V2995" s="1" t="s">
        <v>38</v>
      </c>
      <c r="W2995" s="1"/>
      <c r="X2995" s="1"/>
      <c r="Y2995" s="1" t="s">
        <v>12460</v>
      </c>
      <c r="Z2995" s="1"/>
      <c r="AA2995" s="1" t="s">
        <v>40</v>
      </c>
      <c r="AB2995" s="1" t="s">
        <v>202</v>
      </c>
      <c r="AC2995" s="1">
        <v>5408.0</v>
      </c>
    </row>
    <row r="2996">
      <c r="A2996" s="1" t="str">
        <f>"000QMB"</f>
        <v>000QMB</v>
      </c>
      <c r="B2996" s="1" t="s">
        <v>12461</v>
      </c>
      <c r="C2996" s="1" t="s">
        <v>12462</v>
      </c>
      <c r="D2996" s="1" t="str">
        <f>"8005402392"</f>
        <v>8005402392</v>
      </c>
      <c r="E2996" s="1">
        <v>4844.0</v>
      </c>
      <c r="F2996" s="1" t="s">
        <v>44</v>
      </c>
      <c r="G2996" s="1" t="s">
        <v>12463</v>
      </c>
      <c r="H2996" s="1">
        <v>1.0</v>
      </c>
      <c r="I2996" s="2">
        <v>4.0</v>
      </c>
      <c r="J2996" s="2">
        <v>3.0</v>
      </c>
      <c r="K2996" s="2" t="s">
        <v>119</v>
      </c>
      <c r="L2996" s="1"/>
      <c r="M2996" s="1" t="s">
        <v>72</v>
      </c>
      <c r="N2996" s="1" t="s">
        <v>57</v>
      </c>
      <c r="O2996" s="1"/>
      <c r="P2996" s="1" t="s">
        <v>12464</v>
      </c>
      <c r="Q2996" s="3">
        <v>42152.0</v>
      </c>
      <c r="R2996" s="1"/>
      <c r="S2996" s="3">
        <v>42474.0</v>
      </c>
      <c r="T2996" s="1" t="s">
        <v>37</v>
      </c>
      <c r="U2996" s="1"/>
      <c r="V2996" s="1" t="s">
        <v>38</v>
      </c>
      <c r="W2996" s="1"/>
      <c r="X2996" s="1"/>
      <c r="Y2996" s="1" t="s">
        <v>12465</v>
      </c>
      <c r="Z2996" s="1"/>
      <c r="AA2996" s="1" t="s">
        <v>40</v>
      </c>
      <c r="AB2996" s="1" t="s">
        <v>205</v>
      </c>
      <c r="AC2996" s="1">
        <v>5461.0</v>
      </c>
    </row>
    <row r="2997">
      <c r="A2997" s="1" t="str">
        <f>"000QMM"</f>
        <v>000QMM</v>
      </c>
      <c r="B2997" s="1" t="s">
        <v>12466</v>
      </c>
      <c r="C2997" s="1" t="s">
        <v>12467</v>
      </c>
      <c r="D2997" s="1"/>
      <c r="E2997" s="1">
        <v>4845.0</v>
      </c>
      <c r="F2997" s="1" t="s">
        <v>117</v>
      </c>
      <c r="G2997" s="1" t="s">
        <v>12468</v>
      </c>
      <c r="H2997" s="1">
        <v>2.0</v>
      </c>
      <c r="I2997" s="2">
        <v>2.0</v>
      </c>
      <c r="J2997" s="2">
        <v>1.0</v>
      </c>
      <c r="K2997" s="2" t="s">
        <v>119</v>
      </c>
      <c r="L2997" s="1"/>
      <c r="M2997" s="1" t="s">
        <v>12469</v>
      </c>
      <c r="N2997" s="1" t="s">
        <v>161</v>
      </c>
      <c r="O2997" s="1" t="s">
        <v>769</v>
      </c>
      <c r="P2997" s="1" t="s">
        <v>12470</v>
      </c>
      <c r="Q2997" s="3">
        <v>42156.0</v>
      </c>
      <c r="R2997" s="1"/>
      <c r="S2997" s="1"/>
      <c r="T2997" s="1" t="s">
        <v>37</v>
      </c>
      <c r="U2997" s="1"/>
      <c r="V2997" s="1" t="s">
        <v>38</v>
      </c>
      <c r="W2997" s="1">
        <v>44.16242</v>
      </c>
      <c r="X2997" s="1">
        <v>-73.2193219999999</v>
      </c>
      <c r="Y2997" s="1" t="s">
        <v>12471</v>
      </c>
      <c r="Z2997" s="1"/>
      <c r="AA2997" s="1" t="s">
        <v>40</v>
      </c>
      <c r="AB2997" s="1" t="s">
        <v>3581</v>
      </c>
      <c r="AC2997" s="1">
        <v>5491.0</v>
      </c>
    </row>
    <row r="2998">
      <c r="A2998" s="1" t="str">
        <f>"000QMN"</f>
        <v>000QMN</v>
      </c>
      <c r="B2998" s="1" t="s">
        <v>12472</v>
      </c>
      <c r="C2998" s="1" t="s">
        <v>12473</v>
      </c>
      <c r="D2998" s="1" t="str">
        <f>"8024767348"</f>
        <v>8024767348</v>
      </c>
      <c r="E2998" s="1">
        <v>4846.0</v>
      </c>
      <c r="F2998" s="1" t="s">
        <v>44</v>
      </c>
      <c r="G2998" s="1" t="s">
        <v>12474</v>
      </c>
      <c r="H2998" s="1">
        <v>2.0</v>
      </c>
      <c r="I2998" s="2">
        <v>1.0</v>
      </c>
      <c r="J2998" s="2">
        <v>2.0</v>
      </c>
      <c r="K2998" s="2" t="s">
        <v>119</v>
      </c>
      <c r="L2998" s="1"/>
      <c r="M2998" s="1" t="s">
        <v>12475</v>
      </c>
      <c r="N2998" s="1" t="s">
        <v>135</v>
      </c>
      <c r="O2998" s="1" t="s">
        <v>343</v>
      </c>
      <c r="P2998" s="1" t="s">
        <v>12476</v>
      </c>
      <c r="Q2998" s="3">
        <v>42156.0</v>
      </c>
      <c r="R2998" s="1"/>
      <c r="S2998" s="1"/>
      <c r="T2998" s="1" t="s">
        <v>37</v>
      </c>
      <c r="U2998" s="1"/>
      <c r="V2998" s="1" t="s">
        <v>38</v>
      </c>
      <c r="W2998" s="1">
        <v>44.193962</v>
      </c>
      <c r="X2998" s="1">
        <v>-72.4683149999999</v>
      </c>
      <c r="Y2998" s="1" t="s">
        <v>12477</v>
      </c>
      <c r="Z2998" s="1"/>
      <c r="AA2998" s="1" t="s">
        <v>40</v>
      </c>
      <c r="AB2998" s="1" t="s">
        <v>4019</v>
      </c>
      <c r="AC2998" s="1">
        <v>5641.0</v>
      </c>
    </row>
    <row r="2999">
      <c r="A2999" s="1" t="str">
        <f>"000QN0"</f>
        <v>000QN0</v>
      </c>
      <c r="B2999" s="1" t="s">
        <v>12478</v>
      </c>
      <c r="C2999" s="1" t="s">
        <v>12479</v>
      </c>
      <c r="D2999" s="1" t="str">
        <f>"8023435739"</f>
        <v>8023435739</v>
      </c>
      <c r="E2999" s="1">
        <v>4847.0</v>
      </c>
      <c r="F2999" s="1" t="s">
        <v>117</v>
      </c>
      <c r="G2999" s="1" t="s">
        <v>12480</v>
      </c>
      <c r="H2999" s="1">
        <v>1.0</v>
      </c>
      <c r="I2999" s="2">
        <v>1.0</v>
      </c>
      <c r="J2999" s="2">
        <v>1.0</v>
      </c>
      <c r="K2999" s="2" t="s">
        <v>119</v>
      </c>
      <c r="L2999" s="1"/>
      <c r="M2999" s="1" t="s">
        <v>12481</v>
      </c>
      <c r="N2999" s="1" t="s">
        <v>57</v>
      </c>
      <c r="O2999" s="1" t="s">
        <v>201</v>
      </c>
      <c r="P2999" s="1" t="s">
        <v>12482</v>
      </c>
      <c r="Q2999" s="3">
        <v>42156.0</v>
      </c>
      <c r="R2999" s="1"/>
      <c r="S2999" s="3">
        <v>42605.0</v>
      </c>
      <c r="T2999" s="1" t="s">
        <v>37</v>
      </c>
      <c r="U2999" s="1"/>
      <c r="V2999" s="1" t="s">
        <v>38</v>
      </c>
      <c r="W2999" s="1">
        <v>44.4316209</v>
      </c>
      <c r="X2999" s="1">
        <v>-73.0039158999999</v>
      </c>
      <c r="Y2999" s="1" t="s">
        <v>12483</v>
      </c>
      <c r="Z2999" s="1"/>
      <c r="AA2999" s="1" t="s">
        <v>40</v>
      </c>
      <c r="AB2999" s="1" t="s">
        <v>202</v>
      </c>
      <c r="AC2999" s="1">
        <v>5477.0</v>
      </c>
    </row>
    <row r="3000">
      <c r="A3000" s="1" t="str">
        <f>"000QN2"</f>
        <v>000QN2</v>
      </c>
      <c r="B3000" s="1" t="s">
        <v>12484</v>
      </c>
      <c r="C3000" s="1" t="s">
        <v>12485</v>
      </c>
      <c r="D3000" s="1" t="str">
        <f>"8028728106"</f>
        <v>8028728106</v>
      </c>
      <c r="E3000" s="1">
        <v>4848.0</v>
      </c>
      <c r="F3000" s="1" t="s">
        <v>44</v>
      </c>
      <c r="G3000" s="1" t="s">
        <v>12486</v>
      </c>
      <c r="H3000" s="1">
        <v>2.0</v>
      </c>
      <c r="I3000" s="2" t="s">
        <v>119</v>
      </c>
      <c r="J3000" s="2" t="s">
        <v>119</v>
      </c>
      <c r="K3000" s="2" t="s">
        <v>119</v>
      </c>
      <c r="L3000" s="1"/>
      <c r="M3000" s="1" t="s">
        <v>72</v>
      </c>
      <c r="N3000" s="1" t="s">
        <v>57</v>
      </c>
      <c r="O3000" s="1" t="s">
        <v>2092</v>
      </c>
      <c r="P3000" s="1" t="s">
        <v>12487</v>
      </c>
      <c r="Q3000" s="3">
        <v>42156.0</v>
      </c>
      <c r="R3000" s="1"/>
      <c r="S3000" s="1"/>
      <c r="T3000" s="1" t="s">
        <v>37</v>
      </c>
      <c r="U3000" s="1"/>
      <c r="V3000" s="1" t="s">
        <v>38</v>
      </c>
      <c r="W3000" s="1">
        <v>44.41766</v>
      </c>
      <c r="X3000" s="1">
        <v>-73.107231</v>
      </c>
      <c r="Y3000" s="1" t="s">
        <v>12488</v>
      </c>
      <c r="Z3000" s="1"/>
      <c r="AA3000" s="1" t="s">
        <v>40</v>
      </c>
      <c r="AB3000" s="1" t="s">
        <v>2093</v>
      </c>
      <c r="AC3000" s="1">
        <v>5495.0</v>
      </c>
    </row>
    <row r="3001">
      <c r="A3001" s="1" t="str">
        <f>"000QN3"</f>
        <v>000QN3</v>
      </c>
      <c r="B3001" s="1" t="s">
        <v>12489</v>
      </c>
      <c r="C3001" s="1" t="s">
        <v>12490</v>
      </c>
      <c r="D3001" s="1" t="str">
        <f>"8022384026"</f>
        <v>8022384026</v>
      </c>
      <c r="E3001" s="1">
        <v>4849.0</v>
      </c>
      <c r="F3001" s="1" t="s">
        <v>44</v>
      </c>
      <c r="G3001" s="1" t="s">
        <v>12491</v>
      </c>
      <c r="H3001" s="1">
        <v>2.0</v>
      </c>
      <c r="I3001" s="1"/>
      <c r="J3001" s="1"/>
      <c r="K3001" s="1"/>
      <c r="L3001" s="1"/>
      <c r="M3001" s="1" t="s">
        <v>12492</v>
      </c>
      <c r="N3001" s="1" t="s">
        <v>107</v>
      </c>
      <c r="O3001" s="1" t="s">
        <v>108</v>
      </c>
      <c r="P3001" s="1" t="s">
        <v>12493</v>
      </c>
      <c r="Q3001" s="3">
        <v>42157.0</v>
      </c>
      <c r="R3001" s="1"/>
      <c r="S3001" s="1"/>
      <c r="T3001" s="1" t="s">
        <v>37</v>
      </c>
      <c r="U3001" s="1"/>
      <c r="V3001" s="1" t="s">
        <v>38</v>
      </c>
      <c r="W3001" s="1">
        <v>44.716385</v>
      </c>
      <c r="X3001" s="1">
        <v>-73.285065</v>
      </c>
      <c r="Y3001" s="1" t="s">
        <v>12494</v>
      </c>
      <c r="Z3001" s="1"/>
      <c r="AA3001" s="1" t="s">
        <v>40</v>
      </c>
      <c r="AB3001" s="1" t="s">
        <v>107</v>
      </c>
      <c r="AC3001" s="1">
        <v>5458.0</v>
      </c>
    </row>
    <row r="3002">
      <c r="A3002" s="1" t="str">
        <f>"000QN4"</f>
        <v>000QN4</v>
      </c>
      <c r="B3002" s="1" t="s">
        <v>12495</v>
      </c>
      <c r="C3002" s="1" t="s">
        <v>12496</v>
      </c>
      <c r="D3002" s="1" t="str">
        <f>"8022912271"</f>
        <v>8022912271</v>
      </c>
      <c r="E3002" s="1">
        <v>4850.0</v>
      </c>
      <c r="F3002" s="1" t="s">
        <v>44</v>
      </c>
      <c r="G3002" s="1" t="s">
        <v>12497</v>
      </c>
      <c r="H3002" s="1">
        <v>2.0</v>
      </c>
      <c r="I3002" s="1"/>
      <c r="J3002" s="1"/>
      <c r="K3002" s="1"/>
      <c r="L3002" s="1"/>
      <c r="M3002" s="1" t="s">
        <v>12498</v>
      </c>
      <c r="N3002" s="1" t="s">
        <v>34</v>
      </c>
      <c r="O3002" s="1" t="s">
        <v>324</v>
      </c>
      <c r="P3002" s="1" t="s">
        <v>12499</v>
      </c>
      <c r="Q3002" s="3">
        <v>42157.0</v>
      </c>
      <c r="R3002" s="1"/>
      <c r="S3002" s="1"/>
      <c r="T3002" s="1" t="s">
        <v>37</v>
      </c>
      <c r="U3002" s="1"/>
      <c r="V3002" s="1" t="s">
        <v>38</v>
      </c>
      <c r="W3002" s="1">
        <v>43.6525261</v>
      </c>
      <c r="X3002" s="1">
        <v>-72.4662655999999</v>
      </c>
      <c r="Y3002" s="1" t="s">
        <v>12500</v>
      </c>
      <c r="Z3002" s="1"/>
      <c r="AA3002" s="1" t="s">
        <v>40</v>
      </c>
      <c r="AB3002" s="1" t="s">
        <v>326</v>
      </c>
      <c r="AC3002" s="1">
        <v>5091.0</v>
      </c>
    </row>
    <row r="3003">
      <c r="A3003" s="1" t="str">
        <f>"000QN5"</f>
        <v>000QN5</v>
      </c>
      <c r="B3003" s="1" t="s">
        <v>12501</v>
      </c>
      <c r="C3003" s="1" t="s">
        <v>12502</v>
      </c>
      <c r="D3003" s="1" t="str">
        <f>"8505122694"</f>
        <v>8505122694</v>
      </c>
      <c r="E3003" s="1">
        <v>4851.0</v>
      </c>
      <c r="F3003" s="1" t="s">
        <v>117</v>
      </c>
      <c r="G3003" s="1" t="s">
        <v>12503</v>
      </c>
      <c r="H3003" s="1">
        <v>2.0</v>
      </c>
      <c r="I3003" s="2">
        <v>4.0</v>
      </c>
      <c r="J3003" s="2">
        <v>2.0</v>
      </c>
      <c r="K3003" s="2" t="s">
        <v>119</v>
      </c>
      <c r="L3003" s="1"/>
      <c r="M3003" s="1" t="s">
        <v>12504</v>
      </c>
      <c r="N3003" s="1" t="s">
        <v>331</v>
      </c>
      <c r="O3003" s="1" t="s">
        <v>7259</v>
      </c>
      <c r="P3003" s="1" t="s">
        <v>12505</v>
      </c>
      <c r="Q3003" s="3">
        <v>42157.0</v>
      </c>
      <c r="R3003" s="1"/>
      <c r="S3003" s="1"/>
      <c r="T3003" s="1" t="s">
        <v>37</v>
      </c>
      <c r="U3003" s="1"/>
      <c r="V3003" s="1" t="s">
        <v>38</v>
      </c>
      <c r="W3003" s="1">
        <v>44.7553962</v>
      </c>
      <c r="X3003" s="1">
        <v>-71.6339459999999</v>
      </c>
      <c r="Y3003" s="1" t="s">
        <v>12506</v>
      </c>
      <c r="Z3003" s="1"/>
      <c r="AA3003" s="1" t="s">
        <v>40</v>
      </c>
      <c r="AB3003" s="1" t="s">
        <v>7260</v>
      </c>
      <c r="AC3003" s="1">
        <v>5905.0</v>
      </c>
    </row>
    <row r="3004">
      <c r="A3004" s="1" t="str">
        <f>"000JC8"</f>
        <v>000JC8</v>
      </c>
      <c r="B3004" s="1" t="s">
        <v>10162</v>
      </c>
      <c r="C3004" s="1" t="s">
        <v>10163</v>
      </c>
      <c r="D3004" s="1" t="str">
        <f>"8026889069"</f>
        <v>8026889069</v>
      </c>
      <c r="E3004" s="1">
        <v>4409.0</v>
      </c>
      <c r="F3004" s="1" t="s">
        <v>31</v>
      </c>
      <c r="G3004" s="1" t="s">
        <v>12507</v>
      </c>
      <c r="H3004" s="1">
        <v>18.0</v>
      </c>
      <c r="I3004" s="1"/>
      <c r="J3004" s="1"/>
      <c r="K3004" s="1"/>
      <c r="L3004" s="1"/>
      <c r="M3004" s="1" t="s">
        <v>12508</v>
      </c>
      <c r="N3004" s="1" t="s">
        <v>66</v>
      </c>
      <c r="O3004" s="1" t="s">
        <v>4780</v>
      </c>
      <c r="P3004" s="1" t="s">
        <v>12509</v>
      </c>
      <c r="Q3004" s="3">
        <v>42157.0</v>
      </c>
      <c r="R3004" s="1"/>
      <c r="S3004" s="1"/>
      <c r="T3004" s="1" t="s">
        <v>37</v>
      </c>
      <c r="U3004" s="1"/>
      <c r="V3004" s="1" t="s">
        <v>38</v>
      </c>
      <c r="W3004" s="1">
        <v>43.1511775</v>
      </c>
      <c r="X3004" s="1">
        <v>-72.5567284</v>
      </c>
      <c r="Y3004" s="1" t="s">
        <v>12510</v>
      </c>
      <c r="Z3004" s="1"/>
      <c r="AA3004" s="1" t="s">
        <v>40</v>
      </c>
      <c r="AB3004" s="1" t="s">
        <v>12511</v>
      </c>
      <c r="AC3004" s="1">
        <v>5141.0</v>
      </c>
    </row>
    <row r="3005">
      <c r="A3005" s="1" t="str">
        <f>"000QN8"</f>
        <v>000QN8</v>
      </c>
      <c r="B3005" s="1" t="s">
        <v>12512</v>
      </c>
      <c r="C3005" s="1" t="s">
        <v>12513</v>
      </c>
      <c r="D3005" s="1" t="str">
        <f>"8024768124"</f>
        <v>8024768124</v>
      </c>
      <c r="E3005" s="1">
        <v>4852.0</v>
      </c>
      <c r="F3005" s="1" t="s">
        <v>31</v>
      </c>
      <c r="G3005" s="1" t="s">
        <v>12514</v>
      </c>
      <c r="H3005" s="1">
        <v>4.0</v>
      </c>
      <c r="I3005" s="1"/>
      <c r="J3005" s="1"/>
      <c r="K3005" s="1"/>
      <c r="L3005" s="1"/>
      <c r="M3005" s="1" t="s">
        <v>12492</v>
      </c>
      <c r="N3005" s="1" t="s">
        <v>135</v>
      </c>
      <c r="O3005" s="1" t="s">
        <v>343</v>
      </c>
      <c r="P3005" s="1" t="s">
        <v>12515</v>
      </c>
      <c r="Q3005" s="3">
        <v>42157.0</v>
      </c>
      <c r="R3005" s="1"/>
      <c r="S3005" s="1"/>
      <c r="T3005" s="1" t="s">
        <v>37</v>
      </c>
      <c r="U3005" s="1"/>
      <c r="V3005" s="1" t="s">
        <v>38</v>
      </c>
      <c r="W3005" s="1">
        <v>44.1947199</v>
      </c>
      <c r="X3005" s="1">
        <v>-72.5281249999999</v>
      </c>
      <c r="Y3005" s="1" t="s">
        <v>12516</v>
      </c>
      <c r="Z3005" s="1"/>
      <c r="AA3005" s="1" t="s">
        <v>40</v>
      </c>
      <c r="AB3005" s="1" t="s">
        <v>4019</v>
      </c>
      <c r="AC3005" s="1">
        <v>5641.0</v>
      </c>
    </row>
    <row r="3006">
      <c r="A3006" s="1" t="str">
        <f>"000QN9"</f>
        <v>000QN9</v>
      </c>
      <c r="B3006" s="1" t="s">
        <v>12517</v>
      </c>
      <c r="C3006" s="1" t="s">
        <v>12518</v>
      </c>
      <c r="D3006" s="1" t="str">
        <f>"8028969770"</f>
        <v>8028969770</v>
      </c>
      <c r="E3006" s="1">
        <v>4853.0</v>
      </c>
      <c r="F3006" s="1" t="s">
        <v>117</v>
      </c>
      <c r="G3006" s="1" t="s">
        <v>12519</v>
      </c>
      <c r="H3006" s="1">
        <v>11.0</v>
      </c>
      <c r="I3006" s="2">
        <v>8.0</v>
      </c>
      <c r="J3006" s="2">
        <v>8.0</v>
      </c>
      <c r="K3006" s="2" t="s">
        <v>119</v>
      </c>
      <c r="L3006" s="2" t="s">
        <v>12520</v>
      </c>
      <c r="M3006" s="1" t="s">
        <v>12521</v>
      </c>
      <c r="N3006" s="1" t="s">
        <v>66</v>
      </c>
      <c r="O3006" s="1" t="s">
        <v>908</v>
      </c>
      <c r="P3006" s="1" t="s">
        <v>12522</v>
      </c>
      <c r="Q3006" s="3">
        <v>42157.0</v>
      </c>
      <c r="R3006" s="1"/>
      <c r="S3006" s="3">
        <v>42915.0</v>
      </c>
      <c r="T3006" s="1" t="s">
        <v>37</v>
      </c>
      <c r="U3006" s="1"/>
      <c r="V3006" s="1" t="s">
        <v>38</v>
      </c>
      <c r="W3006" s="1">
        <v>42.9617316</v>
      </c>
      <c r="X3006" s="1">
        <v>-72.886993</v>
      </c>
      <c r="Y3006" s="1" t="s">
        <v>12523</v>
      </c>
      <c r="Z3006" s="1" t="s">
        <v>12524</v>
      </c>
      <c r="AA3006" s="1" t="s">
        <v>40</v>
      </c>
      <c r="AB3006" s="1" t="s">
        <v>8631</v>
      </c>
      <c r="AC3006" s="1">
        <v>5356.0</v>
      </c>
    </row>
    <row r="3007">
      <c r="A3007" s="1" t="str">
        <f>"000QNA"</f>
        <v>000QNA</v>
      </c>
      <c r="B3007" s="1" t="s">
        <v>12525</v>
      </c>
      <c r="C3007" s="1" t="s">
        <v>12526</v>
      </c>
      <c r="D3007" s="1" t="str">
        <f>"8027936988"</f>
        <v>8027936988</v>
      </c>
      <c r="E3007" s="1">
        <v>4854.0</v>
      </c>
      <c r="F3007" s="1" t="s">
        <v>31</v>
      </c>
      <c r="G3007" s="1" t="s">
        <v>12527</v>
      </c>
      <c r="H3007" s="1">
        <v>2.0</v>
      </c>
      <c r="I3007" s="1"/>
      <c r="J3007" s="1"/>
      <c r="K3007" s="1"/>
      <c r="L3007" s="1"/>
      <c r="M3007" s="1" t="s">
        <v>12528</v>
      </c>
      <c r="N3007" s="1" t="s">
        <v>142</v>
      </c>
      <c r="O3007" s="1" t="s">
        <v>2253</v>
      </c>
      <c r="P3007" s="1" t="s">
        <v>12529</v>
      </c>
      <c r="Q3007" s="3">
        <v>42157.0</v>
      </c>
      <c r="R3007" s="1"/>
      <c r="S3007" s="1"/>
      <c r="T3007" s="1" t="s">
        <v>37</v>
      </c>
      <c r="U3007" s="1"/>
      <c r="V3007" s="1" t="s">
        <v>38</v>
      </c>
      <c r="W3007" s="1">
        <v>44.1121506</v>
      </c>
      <c r="X3007" s="1">
        <v>-72.5203003</v>
      </c>
      <c r="Y3007" s="1" t="s">
        <v>12530</v>
      </c>
      <c r="Z3007" s="1"/>
      <c r="AA3007" s="1" t="s">
        <v>40</v>
      </c>
      <c r="AB3007" s="1" t="s">
        <v>2254</v>
      </c>
      <c r="AC3007" s="1">
        <v>5679.0</v>
      </c>
    </row>
    <row r="3008">
      <c r="A3008" s="1" t="str">
        <f>"000QNB"</f>
        <v>000QNB</v>
      </c>
      <c r="B3008" s="1" t="s">
        <v>12531</v>
      </c>
      <c r="C3008" s="1" t="s">
        <v>12532</v>
      </c>
      <c r="D3008" s="1" t="str">
        <f>"8024343389"</f>
        <v>8024343389</v>
      </c>
      <c r="E3008" s="1">
        <v>4855.0</v>
      </c>
      <c r="F3008" s="1" t="s">
        <v>117</v>
      </c>
      <c r="G3008" s="1" t="s">
        <v>12533</v>
      </c>
      <c r="H3008" s="1">
        <v>3.0</v>
      </c>
      <c r="I3008" s="1"/>
      <c r="J3008" s="1"/>
      <c r="K3008" s="1"/>
      <c r="L3008" s="1"/>
      <c r="M3008" s="1" t="s">
        <v>12534</v>
      </c>
      <c r="N3008" s="1" t="s">
        <v>57</v>
      </c>
      <c r="O3008" s="1" t="s">
        <v>201</v>
      </c>
      <c r="P3008" s="1" t="s">
        <v>12535</v>
      </c>
      <c r="Q3008" s="3">
        <v>42157.0</v>
      </c>
      <c r="R3008" s="1"/>
      <c r="S3008" s="1"/>
      <c r="T3008" s="1" t="s">
        <v>37</v>
      </c>
      <c r="U3008" s="1"/>
      <c r="V3008" s="1" t="s">
        <v>38</v>
      </c>
      <c r="W3008" s="1">
        <v>44.378921</v>
      </c>
      <c r="X3008" s="1">
        <v>-72.9448479</v>
      </c>
      <c r="Y3008" s="1" t="s">
        <v>12536</v>
      </c>
      <c r="Z3008" s="1"/>
      <c r="AA3008" s="1" t="s">
        <v>40</v>
      </c>
      <c r="AB3008" s="1" t="s">
        <v>202</v>
      </c>
      <c r="AC3008" s="1">
        <v>5477.0</v>
      </c>
    </row>
    <row r="3009">
      <c r="A3009" s="1" t="str">
        <f>"000QNC"</f>
        <v>000QNC</v>
      </c>
      <c r="B3009" s="1" t="s">
        <v>12537</v>
      </c>
      <c r="C3009" s="1" t="s">
        <v>12538</v>
      </c>
      <c r="D3009" s="1" t="str">
        <f>"8028931151"</f>
        <v>8028931151</v>
      </c>
      <c r="E3009" s="1">
        <v>4856.0</v>
      </c>
      <c r="F3009" s="1" t="s">
        <v>31</v>
      </c>
      <c r="G3009" s="1" t="s">
        <v>12539</v>
      </c>
      <c r="H3009" s="1">
        <v>1.0</v>
      </c>
      <c r="I3009" s="1"/>
      <c r="J3009" s="1"/>
      <c r="K3009" s="1"/>
      <c r="L3009" s="1"/>
      <c r="M3009" s="1" t="s">
        <v>72</v>
      </c>
      <c r="N3009" s="1" t="s">
        <v>57</v>
      </c>
      <c r="O3009" s="1" t="s">
        <v>155</v>
      </c>
      <c r="P3009" s="1" t="s">
        <v>12540</v>
      </c>
      <c r="Q3009" s="3">
        <v>42157.0</v>
      </c>
      <c r="R3009" s="1"/>
      <c r="S3009" s="1"/>
      <c r="T3009" s="1" t="s">
        <v>37</v>
      </c>
      <c r="U3009" s="1"/>
      <c r="V3009" s="1" t="s">
        <v>38</v>
      </c>
      <c r="W3009" s="1">
        <v>44.627229</v>
      </c>
      <c r="X3009" s="1">
        <v>-73.0308269999999</v>
      </c>
      <c r="Y3009" s="1" t="s">
        <v>12541</v>
      </c>
      <c r="Z3009" s="1"/>
      <c r="AA3009" s="1" t="s">
        <v>40</v>
      </c>
      <c r="AB3009" s="1" t="s">
        <v>156</v>
      </c>
      <c r="AC3009" s="1">
        <v>5494.0</v>
      </c>
    </row>
    <row r="3010">
      <c r="A3010" s="1" t="str">
        <f>"000QND"</f>
        <v>000QND</v>
      </c>
      <c r="B3010" s="1" t="s">
        <v>12542</v>
      </c>
      <c r="C3010" s="1" t="s">
        <v>12543</v>
      </c>
      <c r="D3010" s="1" t="str">
        <f>"8024393157"</f>
        <v>8024393157</v>
      </c>
      <c r="E3010" s="1">
        <v>4857.0</v>
      </c>
      <c r="F3010" s="1" t="s">
        <v>31</v>
      </c>
      <c r="G3010" s="1" t="s">
        <v>12544</v>
      </c>
      <c r="H3010" s="1">
        <v>2.0</v>
      </c>
      <c r="I3010" s="1"/>
      <c r="J3010" s="1"/>
      <c r="K3010" s="1"/>
      <c r="L3010" s="1"/>
      <c r="M3010" s="1" t="s">
        <v>12545</v>
      </c>
      <c r="N3010" s="1" t="s">
        <v>142</v>
      </c>
      <c r="O3010" s="1" t="s">
        <v>400</v>
      </c>
      <c r="P3010" s="1" t="s">
        <v>12546</v>
      </c>
      <c r="Q3010" s="3">
        <v>42157.0</v>
      </c>
      <c r="R3010" s="1"/>
      <c r="S3010" s="1"/>
      <c r="T3010" s="1" t="s">
        <v>37</v>
      </c>
      <c r="U3010" s="1"/>
      <c r="V3010" s="1" t="s">
        <v>38</v>
      </c>
      <c r="W3010" s="1">
        <v>44.085414</v>
      </c>
      <c r="X3010" s="1">
        <v>-72.2734629999999</v>
      </c>
      <c r="Y3010" s="1" t="s">
        <v>12547</v>
      </c>
      <c r="Z3010" s="1"/>
      <c r="AA3010" s="1" t="s">
        <v>40</v>
      </c>
      <c r="AB3010" s="1" t="s">
        <v>4529</v>
      </c>
      <c r="AC3010" s="1">
        <v>5086.0</v>
      </c>
    </row>
    <row r="3011">
      <c r="A3011" s="1" t="str">
        <f>"000QNF"</f>
        <v>000QNF</v>
      </c>
      <c r="B3011" s="1" t="s">
        <v>12548</v>
      </c>
      <c r="C3011" s="1" t="s">
        <v>12549</v>
      </c>
      <c r="D3011" s="1" t="str">
        <f>"8028992000"</f>
        <v>8028992000</v>
      </c>
      <c r="E3011" s="1">
        <v>4858.0</v>
      </c>
      <c r="F3011" s="1" t="s">
        <v>31</v>
      </c>
      <c r="G3011" s="1" t="s">
        <v>12550</v>
      </c>
      <c r="H3011" s="1">
        <v>1.0</v>
      </c>
      <c r="I3011" s="1"/>
      <c r="J3011" s="1"/>
      <c r="K3011" s="1"/>
      <c r="L3011" s="1"/>
      <c r="M3011" s="1" t="s">
        <v>12551</v>
      </c>
      <c r="N3011" s="1" t="s">
        <v>57</v>
      </c>
      <c r="O3011" s="1" t="s">
        <v>509</v>
      </c>
      <c r="P3011" s="1" t="s">
        <v>12552</v>
      </c>
      <c r="Q3011" s="3">
        <v>42157.0</v>
      </c>
      <c r="R3011" s="1"/>
      <c r="S3011" s="1"/>
      <c r="T3011" s="1" t="s">
        <v>37</v>
      </c>
      <c r="U3011" s="1"/>
      <c r="V3011" s="1" t="s">
        <v>38</v>
      </c>
      <c r="W3011" s="1">
        <v>44.5234763</v>
      </c>
      <c r="X3011" s="1">
        <v>-72.9994864</v>
      </c>
      <c r="Y3011" s="1" t="s">
        <v>12553</v>
      </c>
      <c r="Z3011" s="1"/>
      <c r="AA3011" s="1" t="s">
        <v>40</v>
      </c>
      <c r="AB3011" s="1" t="s">
        <v>3296</v>
      </c>
      <c r="AC3011" s="1">
        <v>5452.0</v>
      </c>
    </row>
    <row r="3012">
      <c r="A3012" s="1" t="str">
        <f>"000QNG"</f>
        <v>000QNG</v>
      </c>
      <c r="B3012" s="1" t="s">
        <v>12554</v>
      </c>
      <c r="C3012" s="1" t="s">
        <v>12555</v>
      </c>
      <c r="D3012" s="1" t="str">
        <f>"8023804958"</f>
        <v>8023804958</v>
      </c>
      <c r="E3012" s="1">
        <v>4859.0</v>
      </c>
      <c r="F3012" s="1" t="s">
        <v>117</v>
      </c>
      <c r="G3012" s="1" t="s">
        <v>12556</v>
      </c>
      <c r="H3012" s="1">
        <v>1.0</v>
      </c>
      <c r="I3012" s="2" t="s">
        <v>119</v>
      </c>
      <c r="J3012" s="2" t="s">
        <v>119</v>
      </c>
      <c r="K3012" s="2" t="s">
        <v>119</v>
      </c>
      <c r="L3012" s="1"/>
      <c r="M3012" s="1" t="s">
        <v>12557</v>
      </c>
      <c r="N3012" s="1" t="s">
        <v>34</v>
      </c>
      <c r="O3012" s="1" t="s">
        <v>565</v>
      </c>
      <c r="P3012" s="1" t="s">
        <v>12558</v>
      </c>
      <c r="Q3012" s="3">
        <v>42157.0</v>
      </c>
      <c r="R3012" s="1"/>
      <c r="S3012" s="1"/>
      <c r="T3012" s="1" t="s">
        <v>37</v>
      </c>
      <c r="U3012" s="1"/>
      <c r="V3012" s="1" t="s">
        <v>38</v>
      </c>
      <c r="W3012" s="1">
        <v>43.214039</v>
      </c>
      <c r="X3012" s="1">
        <v>-72.5727079999999</v>
      </c>
      <c r="Y3012" s="1" t="s">
        <v>12559</v>
      </c>
      <c r="Z3012" s="1"/>
      <c r="AA3012" s="1" t="s">
        <v>40</v>
      </c>
      <c r="AB3012" s="1" t="s">
        <v>566</v>
      </c>
      <c r="AC3012" s="1">
        <v>5143.0</v>
      </c>
    </row>
    <row r="3013">
      <c r="A3013" s="1" t="str">
        <f>"000QNH"</f>
        <v>000QNH</v>
      </c>
      <c r="B3013" s="1" t="s">
        <v>12560</v>
      </c>
      <c r="C3013" s="1" t="s">
        <v>12561</v>
      </c>
      <c r="D3013" s="1" t="str">
        <f>"8027934163"</f>
        <v>8027934163</v>
      </c>
      <c r="E3013" s="1">
        <v>4860.0</v>
      </c>
      <c r="F3013" s="1" t="s">
        <v>44</v>
      </c>
      <c r="G3013" s="1" t="s">
        <v>12562</v>
      </c>
      <c r="H3013" s="1">
        <v>2.0</v>
      </c>
      <c r="I3013" s="1"/>
      <c r="J3013" s="1"/>
      <c r="K3013" s="1"/>
      <c r="L3013" s="1"/>
      <c r="M3013" s="1" t="s">
        <v>12563</v>
      </c>
      <c r="N3013" s="1" t="s">
        <v>135</v>
      </c>
      <c r="O3013" s="1" t="s">
        <v>1798</v>
      </c>
      <c r="P3013" s="1" t="s">
        <v>12564</v>
      </c>
      <c r="Q3013" s="3">
        <v>42157.0</v>
      </c>
      <c r="R3013" s="1"/>
      <c r="S3013" s="1"/>
      <c r="T3013" s="1" t="s">
        <v>37</v>
      </c>
      <c r="U3013" s="1"/>
      <c r="V3013" s="1" t="s">
        <v>38</v>
      </c>
      <c r="W3013" s="1">
        <v>44.062465</v>
      </c>
      <c r="X3013" s="1">
        <v>-72.8171429999999</v>
      </c>
      <c r="Y3013" s="1" t="s">
        <v>12565</v>
      </c>
      <c r="Z3013" s="1"/>
      <c r="AA3013" s="1" t="s">
        <v>40</v>
      </c>
      <c r="AB3013" s="1" t="s">
        <v>1799</v>
      </c>
      <c r="AC3013" s="1">
        <v>5674.0</v>
      </c>
    </row>
    <row r="3014">
      <c r="A3014" s="1" t="str">
        <f>"000QNJ"</f>
        <v>000QNJ</v>
      </c>
      <c r="B3014" s="1" t="s">
        <v>12566</v>
      </c>
      <c r="C3014" s="1" t="s">
        <v>12567</v>
      </c>
      <c r="D3014" s="1" t="str">
        <f>"3406420320"</f>
        <v>3406420320</v>
      </c>
      <c r="E3014" s="1">
        <v>4861.0</v>
      </c>
      <c r="F3014" s="1" t="s">
        <v>44</v>
      </c>
      <c r="G3014" s="1" t="s">
        <v>12568</v>
      </c>
      <c r="H3014" s="1">
        <v>1.0</v>
      </c>
      <c r="I3014" s="1"/>
      <c r="J3014" s="1"/>
      <c r="K3014" s="1"/>
      <c r="L3014" s="1"/>
      <c r="M3014" s="1" t="s">
        <v>12569</v>
      </c>
      <c r="N3014" s="1" t="s">
        <v>142</v>
      </c>
      <c r="O3014" s="1" t="s">
        <v>474</v>
      </c>
      <c r="P3014" s="1" t="s">
        <v>12570</v>
      </c>
      <c r="Q3014" s="3">
        <v>42157.0</v>
      </c>
      <c r="R3014" s="1"/>
      <c r="S3014" s="1"/>
      <c r="T3014" s="1" t="s">
        <v>37</v>
      </c>
      <c r="U3014" s="1"/>
      <c r="V3014" s="1" t="s">
        <v>38</v>
      </c>
      <c r="W3014" s="1">
        <v>43.952148</v>
      </c>
      <c r="X3014" s="1">
        <v>-72.6085279999999</v>
      </c>
      <c r="Y3014" s="1" t="s">
        <v>12571</v>
      </c>
      <c r="Z3014" s="1"/>
      <c r="AA3014" s="1" t="s">
        <v>40</v>
      </c>
      <c r="AB3014" s="1" t="s">
        <v>12572</v>
      </c>
      <c r="AC3014" s="1">
        <v>5061.0</v>
      </c>
    </row>
    <row r="3015">
      <c r="A3015" s="1" t="str">
        <f>"000QNK"</f>
        <v>000QNK</v>
      </c>
      <c r="B3015" s="1" t="s">
        <v>12573</v>
      </c>
      <c r="C3015" s="1" t="s">
        <v>12574</v>
      </c>
      <c r="D3015" s="1" t="str">
        <f>"8026842205"</f>
        <v>8026842205</v>
      </c>
      <c r="E3015" s="1">
        <v>4862.0</v>
      </c>
      <c r="F3015" s="1" t="s">
        <v>117</v>
      </c>
      <c r="G3015" s="1" t="s">
        <v>12575</v>
      </c>
      <c r="H3015" s="1">
        <v>0.0</v>
      </c>
      <c r="I3015" s="2" t="s">
        <v>119</v>
      </c>
      <c r="J3015" s="2">
        <v>1.0</v>
      </c>
      <c r="K3015" s="2" t="s">
        <v>119</v>
      </c>
      <c r="L3015" s="1"/>
      <c r="M3015" s="1" t="s">
        <v>12576</v>
      </c>
      <c r="N3015" s="1" t="s">
        <v>128</v>
      </c>
      <c r="O3015" s="1" t="s">
        <v>129</v>
      </c>
      <c r="P3015" s="1" t="s">
        <v>12577</v>
      </c>
      <c r="Q3015" s="3">
        <v>42157.0</v>
      </c>
      <c r="R3015" s="1"/>
      <c r="S3015" s="1"/>
      <c r="T3015" s="1" t="s">
        <v>37</v>
      </c>
      <c r="U3015" s="1"/>
      <c r="V3015" s="1" t="s">
        <v>38</v>
      </c>
      <c r="W3015" s="1">
        <v>44.3769654</v>
      </c>
      <c r="X3015" s="1">
        <v>-72.1213553999999</v>
      </c>
      <c r="Y3015" s="1" t="s">
        <v>12578</v>
      </c>
      <c r="Z3015" s="1"/>
      <c r="AA3015" s="1" t="s">
        <v>40</v>
      </c>
      <c r="AB3015" s="1" t="s">
        <v>130</v>
      </c>
      <c r="AC3015" s="1">
        <v>5828.0</v>
      </c>
    </row>
    <row r="3016">
      <c r="A3016" s="1" t="str">
        <f>"000AK3"</f>
        <v>000AK3</v>
      </c>
      <c r="B3016" s="1" t="s">
        <v>9484</v>
      </c>
      <c r="C3016" s="1" t="s">
        <v>9485</v>
      </c>
      <c r="D3016" s="1" t="str">
        <f>"8024768025"</f>
        <v>8024768025</v>
      </c>
      <c r="E3016" s="1">
        <v>4169.0</v>
      </c>
      <c r="F3016" s="1" t="s">
        <v>117</v>
      </c>
      <c r="G3016" s="1" t="s">
        <v>12579</v>
      </c>
      <c r="H3016" s="1">
        <v>6.0</v>
      </c>
      <c r="I3016" s="2">
        <v>2.0</v>
      </c>
      <c r="J3016" s="2">
        <v>2.0</v>
      </c>
      <c r="K3016" s="2" t="s">
        <v>119</v>
      </c>
      <c r="L3016" s="1"/>
      <c r="M3016" s="1" t="s">
        <v>12580</v>
      </c>
      <c r="N3016" s="1" t="s">
        <v>135</v>
      </c>
      <c r="O3016" s="1" t="s">
        <v>758</v>
      </c>
      <c r="P3016" s="1" t="s">
        <v>12581</v>
      </c>
      <c r="Q3016" s="3">
        <v>41832.0</v>
      </c>
      <c r="R3016" s="1"/>
      <c r="S3016" s="1"/>
      <c r="T3016" s="1" t="s">
        <v>37</v>
      </c>
      <c r="U3016" s="1"/>
      <c r="V3016" s="1" t="s">
        <v>38</v>
      </c>
      <c r="W3016" s="1">
        <v>44.23531</v>
      </c>
      <c r="X3016" s="1">
        <v>-72.432045</v>
      </c>
      <c r="Y3016" s="1" t="s">
        <v>12582</v>
      </c>
      <c r="Z3016" s="1"/>
      <c r="AA3016" s="1" t="s">
        <v>40</v>
      </c>
      <c r="AB3016" s="1" t="s">
        <v>759</v>
      </c>
      <c r="AC3016" s="1">
        <v>5667.0</v>
      </c>
    </row>
    <row r="3017">
      <c r="A3017" s="1" t="str">
        <f>"000QNM"</f>
        <v>000QNM</v>
      </c>
      <c r="B3017" s="1" t="s">
        <v>12583</v>
      </c>
      <c r="C3017" s="1" t="s">
        <v>12584</v>
      </c>
      <c r="D3017" s="1" t="str">
        <f>"8024843619"</f>
        <v>8024843619</v>
      </c>
      <c r="E3017" s="1">
        <v>4863.0</v>
      </c>
      <c r="F3017" s="1" t="s">
        <v>31</v>
      </c>
      <c r="G3017" s="1" t="s">
        <v>12585</v>
      </c>
      <c r="H3017" s="1">
        <v>1.0</v>
      </c>
      <c r="I3017" s="1"/>
      <c r="J3017" s="1"/>
      <c r="K3017" s="1"/>
      <c r="L3017" s="1"/>
      <c r="M3017" s="1" t="s">
        <v>72</v>
      </c>
      <c r="N3017" s="1" t="s">
        <v>34</v>
      </c>
      <c r="O3017" s="1" t="s">
        <v>4105</v>
      </c>
      <c r="P3017" s="1" t="s">
        <v>6279</v>
      </c>
      <c r="Q3017" s="3">
        <v>42157.0</v>
      </c>
      <c r="R3017" s="1"/>
      <c r="S3017" s="1"/>
      <c r="T3017" s="1" t="s">
        <v>37</v>
      </c>
      <c r="U3017" s="1"/>
      <c r="V3017" s="1" t="s">
        <v>38</v>
      </c>
      <c r="W3017" s="1">
        <v>43.512764</v>
      </c>
      <c r="X3017" s="1">
        <v>-72.5937809999999</v>
      </c>
      <c r="Y3017" s="1" t="s">
        <v>12586</v>
      </c>
      <c r="Z3017" s="1"/>
      <c r="AA3017" s="1" t="s">
        <v>40</v>
      </c>
      <c r="AB3017" s="1" t="s">
        <v>4106</v>
      </c>
      <c r="AC3017" s="1">
        <v>5062.0</v>
      </c>
    </row>
    <row r="3018">
      <c r="A3018" s="1" t="str">
        <f>"000QNN"</f>
        <v>000QNN</v>
      </c>
      <c r="B3018" s="1" t="s">
        <v>12587</v>
      </c>
      <c r="C3018" s="1" t="s">
        <v>12588</v>
      </c>
      <c r="D3018" s="1" t="str">
        <f>"8023421460"</f>
        <v>8023421460</v>
      </c>
      <c r="E3018" s="1">
        <v>4864.0</v>
      </c>
      <c r="F3018" s="1" t="s">
        <v>117</v>
      </c>
      <c r="G3018" s="1" t="s">
        <v>12589</v>
      </c>
      <c r="H3018" s="1">
        <v>2.0</v>
      </c>
      <c r="I3018" s="2">
        <v>0.0</v>
      </c>
      <c r="J3018" s="2">
        <v>0.0</v>
      </c>
      <c r="K3018" s="2">
        <v>0.0</v>
      </c>
      <c r="L3018" s="1"/>
      <c r="M3018" s="1" t="s">
        <v>12590</v>
      </c>
      <c r="N3018" s="1" t="s">
        <v>161</v>
      </c>
      <c r="O3018" s="1" t="s">
        <v>769</v>
      </c>
      <c r="P3018" s="1" t="s">
        <v>12591</v>
      </c>
      <c r="Q3018" s="3">
        <v>42157.0</v>
      </c>
      <c r="R3018" s="1"/>
      <c r="S3018" s="1"/>
      <c r="T3018" s="1" t="s">
        <v>37</v>
      </c>
      <c r="U3018" s="1"/>
      <c r="V3018" s="1" t="s">
        <v>38</v>
      </c>
      <c r="W3018" s="1">
        <v>44.2068661</v>
      </c>
      <c r="X3018" s="1">
        <v>-73.226761</v>
      </c>
      <c r="Y3018" s="1" t="s">
        <v>12592</v>
      </c>
      <c r="Z3018" s="1"/>
      <c r="AA3018" s="1" t="s">
        <v>40</v>
      </c>
      <c r="AB3018" s="1" t="s">
        <v>770</v>
      </c>
      <c r="AC3018" s="1">
        <v>5456.0</v>
      </c>
    </row>
    <row r="3019">
      <c r="A3019" s="1" t="str">
        <f>"000QNP"</f>
        <v>000QNP</v>
      </c>
      <c r="B3019" s="1" t="s">
        <v>12593</v>
      </c>
      <c r="C3019" s="1" t="s">
        <v>12594</v>
      </c>
      <c r="D3019" s="1" t="str">
        <f>"8025246236"</f>
        <v>8025246236</v>
      </c>
      <c r="E3019" s="1">
        <v>4865.0</v>
      </c>
      <c r="F3019" s="1" t="s">
        <v>117</v>
      </c>
      <c r="G3019" s="1" t="s">
        <v>12595</v>
      </c>
      <c r="H3019" s="1">
        <v>6.0</v>
      </c>
      <c r="I3019" s="2">
        <v>2.0</v>
      </c>
      <c r="J3019" s="2">
        <v>2.0</v>
      </c>
      <c r="K3019" s="2" t="s">
        <v>119</v>
      </c>
      <c r="L3019" s="2" t="s">
        <v>2923</v>
      </c>
      <c r="M3019" s="1" t="s">
        <v>12596</v>
      </c>
      <c r="N3019" s="1" t="s">
        <v>47</v>
      </c>
      <c r="O3019" s="1" t="s">
        <v>670</v>
      </c>
      <c r="P3019" s="1" t="s">
        <v>12597</v>
      </c>
      <c r="Q3019" s="3">
        <v>42157.0</v>
      </c>
      <c r="R3019" s="1"/>
      <c r="S3019" s="1"/>
      <c r="T3019" s="1" t="s">
        <v>37</v>
      </c>
      <c r="U3019" s="1"/>
      <c r="V3019" s="1" t="s">
        <v>38</v>
      </c>
      <c r="W3019" s="1">
        <v>44.8946714</v>
      </c>
      <c r="X3019" s="1">
        <v>-73.0085252</v>
      </c>
      <c r="Y3019" s="1" t="s">
        <v>12598</v>
      </c>
      <c r="Z3019" s="1"/>
      <c r="AA3019" s="1" t="s">
        <v>40</v>
      </c>
      <c r="AB3019" s="1" t="s">
        <v>671</v>
      </c>
      <c r="AC3019" s="1">
        <v>5483.0</v>
      </c>
    </row>
    <row r="3020">
      <c r="A3020" s="1" t="str">
        <f>"000QNQ"</f>
        <v>000QNQ</v>
      </c>
      <c r="B3020" s="1" t="s">
        <v>12599</v>
      </c>
      <c r="C3020" s="1" t="s">
        <v>12600</v>
      </c>
      <c r="D3020" s="1" t="str">
        <f>"8022291733"</f>
        <v>8022291733</v>
      </c>
      <c r="E3020" s="1">
        <v>4866.0</v>
      </c>
      <c r="F3020" s="1" t="s">
        <v>117</v>
      </c>
      <c r="G3020" s="1" t="s">
        <v>12601</v>
      </c>
      <c r="H3020" s="1">
        <v>1.0</v>
      </c>
      <c r="I3020" s="2" t="s">
        <v>119</v>
      </c>
      <c r="J3020" s="2">
        <v>1.0</v>
      </c>
      <c r="K3020" s="2" t="s">
        <v>119</v>
      </c>
      <c r="L3020" s="1"/>
      <c r="M3020" s="1" t="s">
        <v>12602</v>
      </c>
      <c r="N3020" s="1" t="s">
        <v>135</v>
      </c>
      <c r="O3020" s="1" t="s">
        <v>279</v>
      </c>
      <c r="P3020" s="1" t="s">
        <v>12603</v>
      </c>
      <c r="Q3020" s="3">
        <v>42157.0</v>
      </c>
      <c r="R3020" s="1"/>
      <c r="S3020" s="1"/>
      <c r="T3020" s="1" t="s">
        <v>37</v>
      </c>
      <c r="U3020" s="1"/>
      <c r="V3020" s="1" t="s">
        <v>38</v>
      </c>
      <c r="W3020" s="1">
        <v>44.197668</v>
      </c>
      <c r="X3020" s="1">
        <v>-72.6591589999999</v>
      </c>
      <c r="Y3020" s="1" t="s">
        <v>12604</v>
      </c>
      <c r="Z3020" s="1"/>
      <c r="AA3020" s="1" t="s">
        <v>40</v>
      </c>
      <c r="AB3020" s="1" t="s">
        <v>12605</v>
      </c>
      <c r="AC3020" s="1">
        <v>5663.0</v>
      </c>
    </row>
    <row r="3021">
      <c r="A3021" s="1" t="str">
        <f>"000QNV"</f>
        <v>000QNV</v>
      </c>
      <c r="B3021" s="1" t="s">
        <v>12606</v>
      </c>
      <c r="C3021" s="1" t="s">
        <v>12607</v>
      </c>
      <c r="D3021" s="1" t="str">
        <f>"8027821036"</f>
        <v>8027821036</v>
      </c>
      <c r="E3021" s="1">
        <v>4867.0</v>
      </c>
      <c r="F3021" s="1" t="s">
        <v>117</v>
      </c>
      <c r="G3021" s="1" t="s">
        <v>12608</v>
      </c>
      <c r="H3021" s="1">
        <v>2.0</v>
      </c>
      <c r="I3021" s="2">
        <v>1.0</v>
      </c>
      <c r="J3021" s="2" t="s">
        <v>119</v>
      </c>
      <c r="K3021" s="2" t="s">
        <v>829</v>
      </c>
      <c r="L3021" s="2" t="s">
        <v>12609</v>
      </c>
      <c r="M3021" s="1" t="s">
        <v>12610</v>
      </c>
      <c r="N3021" s="1" t="s">
        <v>47</v>
      </c>
      <c r="O3021" s="1" t="s">
        <v>378</v>
      </c>
      <c r="P3021" s="1" t="s">
        <v>12611</v>
      </c>
      <c r="Q3021" s="3">
        <v>42157.0</v>
      </c>
      <c r="R3021" s="1"/>
      <c r="S3021" s="3">
        <v>42599.0</v>
      </c>
      <c r="T3021" s="1" t="s">
        <v>37</v>
      </c>
      <c r="U3021" s="1"/>
      <c r="V3021" s="1" t="s">
        <v>38</v>
      </c>
      <c r="W3021" s="1">
        <v>44.8156299</v>
      </c>
      <c r="X3021" s="1">
        <v>-73.1773413999999</v>
      </c>
      <c r="Y3021" s="1" t="s">
        <v>12612</v>
      </c>
      <c r="Z3021" s="1"/>
      <c r="AA3021" s="1" t="s">
        <v>40</v>
      </c>
      <c r="AB3021" s="1" t="s">
        <v>2800</v>
      </c>
      <c r="AC3021" s="1">
        <v>5478.0</v>
      </c>
    </row>
    <row r="3022">
      <c r="A3022" s="1" t="str">
        <f>"000QNW"</f>
        <v>000QNW</v>
      </c>
      <c r="B3022" s="1" t="s">
        <v>12613</v>
      </c>
      <c r="C3022" s="1" t="s">
        <v>12614</v>
      </c>
      <c r="D3022" s="1" t="str">
        <f>"8025253425"</f>
        <v>8025253425</v>
      </c>
      <c r="E3022" s="1">
        <v>4868.0</v>
      </c>
      <c r="F3022" s="1" t="s">
        <v>44</v>
      </c>
      <c r="G3022" s="1" t="s">
        <v>12615</v>
      </c>
      <c r="H3022" s="1">
        <v>1.0</v>
      </c>
      <c r="I3022" s="1"/>
      <c r="J3022" s="1"/>
      <c r="K3022" s="1"/>
      <c r="L3022" s="1"/>
      <c r="M3022" s="1" t="s">
        <v>12616</v>
      </c>
      <c r="N3022" s="1" t="s">
        <v>94</v>
      </c>
      <c r="O3022" s="1" t="s">
        <v>1672</v>
      </c>
      <c r="P3022" s="1" t="s">
        <v>12617</v>
      </c>
      <c r="Q3022" s="3">
        <v>42157.0</v>
      </c>
      <c r="R3022" s="1"/>
      <c r="S3022" s="1"/>
      <c r="T3022" s="1" t="s">
        <v>8597</v>
      </c>
      <c r="U3022" s="1"/>
      <c r="V3022" s="1" t="s">
        <v>38</v>
      </c>
      <c r="W3022" s="1">
        <v>44.737648</v>
      </c>
      <c r="X3022" s="1">
        <v>-72.1832279999999</v>
      </c>
      <c r="Y3022" s="1" t="s">
        <v>12618</v>
      </c>
      <c r="Z3022" s="1" t="s">
        <v>12619</v>
      </c>
      <c r="AA3022" s="1" t="s">
        <v>40</v>
      </c>
      <c r="AB3022" s="1" t="s">
        <v>1673</v>
      </c>
      <c r="AC3022" s="1">
        <v>5822.0</v>
      </c>
    </row>
    <row r="3023">
      <c r="A3023" s="1" t="str">
        <f>"000QNX"</f>
        <v>000QNX</v>
      </c>
      <c r="B3023" s="1" t="s">
        <v>12620</v>
      </c>
      <c r="C3023" s="1" t="s">
        <v>12621</v>
      </c>
      <c r="D3023" s="1" t="str">
        <f>"8023436293"</f>
        <v>8023436293</v>
      </c>
      <c r="E3023" s="1">
        <v>4869.0</v>
      </c>
      <c r="F3023" s="1" t="s">
        <v>117</v>
      </c>
      <c r="G3023" s="1" t="s">
        <v>12622</v>
      </c>
      <c r="H3023" s="1">
        <v>4.0</v>
      </c>
      <c r="I3023" s="2">
        <v>0.0</v>
      </c>
      <c r="J3023" s="2">
        <v>4.0</v>
      </c>
      <c r="K3023" s="2">
        <v>0.0</v>
      </c>
      <c r="L3023" s="1"/>
      <c r="M3023" s="1" t="s">
        <v>12623</v>
      </c>
      <c r="N3023" s="1" t="s">
        <v>57</v>
      </c>
      <c r="O3023" s="1" t="s">
        <v>175</v>
      </c>
      <c r="P3023" s="1" t="s">
        <v>12624</v>
      </c>
      <c r="Q3023" s="3">
        <v>42157.0</v>
      </c>
      <c r="R3023" s="1"/>
      <c r="S3023" s="3">
        <v>42543.0</v>
      </c>
      <c r="T3023" s="1" t="s">
        <v>37</v>
      </c>
      <c r="U3023" s="1"/>
      <c r="V3023" s="1" t="s">
        <v>38</v>
      </c>
      <c r="W3023" s="1">
        <v>44.5134920850203</v>
      </c>
      <c r="X3023" s="1">
        <v>-73.2553768157959</v>
      </c>
      <c r="Y3023" s="1" t="s">
        <v>12625</v>
      </c>
      <c r="Z3023" s="1"/>
      <c r="AA3023" s="1" t="s">
        <v>40</v>
      </c>
      <c r="AB3023" s="1" t="s">
        <v>176</v>
      </c>
      <c r="AC3023" s="1">
        <v>5408.0</v>
      </c>
    </row>
    <row r="3024">
      <c r="A3024" s="1" t="str">
        <f>"000QNY"</f>
        <v>000QNY</v>
      </c>
      <c r="B3024" s="1" t="s">
        <v>12626</v>
      </c>
      <c r="C3024" s="1" t="s">
        <v>12627</v>
      </c>
      <c r="D3024" s="1" t="str">
        <f>"8026492498"</f>
        <v>8026492498</v>
      </c>
      <c r="E3024" s="1">
        <v>4870.0</v>
      </c>
      <c r="F3024" s="1" t="s">
        <v>117</v>
      </c>
      <c r="G3024" s="1" t="s">
        <v>12628</v>
      </c>
      <c r="H3024" s="1">
        <v>1.0</v>
      </c>
      <c r="I3024" s="2">
        <v>1.0</v>
      </c>
      <c r="J3024" s="2">
        <v>1.0</v>
      </c>
      <c r="K3024" s="2" t="s">
        <v>119</v>
      </c>
      <c r="L3024" s="1"/>
      <c r="M3024" s="1" t="s">
        <v>12629</v>
      </c>
      <c r="N3024" s="1" t="s">
        <v>34</v>
      </c>
      <c r="O3024" s="1" t="s">
        <v>463</v>
      </c>
      <c r="P3024" s="1" t="s">
        <v>12630</v>
      </c>
      <c r="Q3024" s="3">
        <v>42157.0</v>
      </c>
      <c r="R3024" s="1"/>
      <c r="S3024" s="3">
        <v>42923.0</v>
      </c>
      <c r="T3024" s="1" t="s">
        <v>37</v>
      </c>
      <c r="U3024" s="1"/>
      <c r="V3024" s="1" t="s">
        <v>38</v>
      </c>
      <c r="W3024" s="1">
        <v>43.760487</v>
      </c>
      <c r="X3024" s="1">
        <v>-72.3829498999999</v>
      </c>
      <c r="Y3024" s="1" t="s">
        <v>12631</v>
      </c>
      <c r="Z3024" s="1"/>
      <c r="AA3024" s="1" t="s">
        <v>40</v>
      </c>
      <c r="AB3024" s="1" t="s">
        <v>466</v>
      </c>
      <c r="AC3024" s="1">
        <v>5055.0</v>
      </c>
    </row>
    <row r="3025">
      <c r="A3025" s="1" t="str">
        <f>"000KWH"</f>
        <v>000KWH</v>
      </c>
      <c r="B3025" s="1" t="s">
        <v>12632</v>
      </c>
      <c r="C3025" s="1" t="s">
        <v>12633</v>
      </c>
      <c r="D3025" s="1" t="str">
        <f>"8024532381"</f>
        <v>8024532381</v>
      </c>
      <c r="E3025" s="1">
        <v>4871.0</v>
      </c>
      <c r="F3025" s="1" t="s">
        <v>117</v>
      </c>
      <c r="G3025" s="1" t="s">
        <v>12634</v>
      </c>
      <c r="H3025" s="1">
        <v>5.0</v>
      </c>
      <c r="I3025" s="2">
        <v>1.0</v>
      </c>
      <c r="J3025" s="2">
        <v>1.0</v>
      </c>
      <c r="K3025" s="2" t="s">
        <v>119</v>
      </c>
      <c r="L3025" s="1"/>
      <c r="M3025" s="1" t="s">
        <v>12635</v>
      </c>
      <c r="N3025" s="1" t="s">
        <v>161</v>
      </c>
      <c r="O3025" s="1" t="s">
        <v>3407</v>
      </c>
      <c r="P3025" s="1" t="s">
        <v>12636</v>
      </c>
      <c r="Q3025" s="3">
        <v>42157.0</v>
      </c>
      <c r="R3025" s="1"/>
      <c r="S3025" s="1"/>
      <c r="T3025" s="1" t="s">
        <v>37</v>
      </c>
      <c r="U3025" s="1"/>
      <c r="V3025" s="1" t="s">
        <v>38</v>
      </c>
      <c r="W3025" s="1">
        <v>44.119615</v>
      </c>
      <c r="X3025" s="1">
        <v>-73.212193</v>
      </c>
      <c r="Y3025" s="1" t="s">
        <v>12637</v>
      </c>
      <c r="Z3025" s="1"/>
      <c r="AA3025" s="1" t="s">
        <v>40</v>
      </c>
      <c r="AB3025" s="1" t="s">
        <v>3410</v>
      </c>
      <c r="AC3025" s="1">
        <v>5472.0</v>
      </c>
    </row>
    <row r="3026">
      <c r="A3026" s="1" t="str">
        <f>"000QP3"</f>
        <v>000QP3</v>
      </c>
      <c r="B3026" s="1" t="s">
        <v>12638</v>
      </c>
      <c r="C3026" s="1" t="s">
        <v>12639</v>
      </c>
      <c r="D3026" s="1" t="str">
        <f>"8024766125"</f>
        <v>8024766125</v>
      </c>
      <c r="E3026" s="1">
        <v>4872.0</v>
      </c>
      <c r="F3026" s="1" t="s">
        <v>44</v>
      </c>
      <c r="G3026" s="1" t="s">
        <v>12640</v>
      </c>
      <c r="H3026" s="1">
        <v>4.0</v>
      </c>
      <c r="I3026" s="1"/>
      <c r="J3026" s="1"/>
      <c r="K3026" s="1"/>
      <c r="L3026" s="1"/>
      <c r="M3026" s="1" t="s">
        <v>72</v>
      </c>
      <c r="N3026" s="1" t="s">
        <v>135</v>
      </c>
      <c r="O3026" s="1" t="s">
        <v>343</v>
      </c>
      <c r="P3026" s="1" t="s">
        <v>12641</v>
      </c>
      <c r="Q3026" s="3">
        <v>42157.0</v>
      </c>
      <c r="R3026" s="1"/>
      <c r="S3026" s="1"/>
      <c r="T3026" s="1" t="s">
        <v>37</v>
      </c>
      <c r="U3026" s="1"/>
      <c r="V3026" s="1" t="s">
        <v>38</v>
      </c>
      <c r="W3026" s="1">
        <v>44.2055896</v>
      </c>
      <c r="X3026" s="1">
        <v>-72.5028629999999</v>
      </c>
      <c r="Y3026" s="1" t="s">
        <v>12642</v>
      </c>
      <c r="Z3026" s="1"/>
      <c r="AA3026" s="1" t="s">
        <v>40</v>
      </c>
      <c r="AB3026" s="1" t="s">
        <v>8947</v>
      </c>
      <c r="AC3026" s="1">
        <v>5678.0</v>
      </c>
    </row>
    <row r="3027">
      <c r="A3027" s="1" t="str">
        <f>"000QP4"</f>
        <v>000QP4</v>
      </c>
      <c r="B3027" s="1" t="s">
        <v>12643</v>
      </c>
      <c r="C3027" s="1" t="s">
        <v>12644</v>
      </c>
      <c r="D3027" s="1" t="str">
        <f>"8024964660"</f>
        <v>8024964660</v>
      </c>
      <c r="E3027" s="1">
        <v>4873.0</v>
      </c>
      <c r="F3027" s="1" t="s">
        <v>117</v>
      </c>
      <c r="G3027" s="1" t="s">
        <v>12645</v>
      </c>
      <c r="H3027" s="1">
        <v>3.0</v>
      </c>
      <c r="I3027" s="2">
        <v>3.0</v>
      </c>
      <c r="J3027" s="2">
        <v>3.0</v>
      </c>
      <c r="K3027" s="2" t="s">
        <v>829</v>
      </c>
      <c r="L3027" s="1"/>
      <c r="M3027" s="1" t="s">
        <v>12646</v>
      </c>
      <c r="N3027" s="1" t="s">
        <v>135</v>
      </c>
      <c r="O3027" s="1" t="s">
        <v>440</v>
      </c>
      <c r="P3027" s="1" t="s">
        <v>12647</v>
      </c>
      <c r="Q3027" s="3">
        <v>42157.0</v>
      </c>
      <c r="R3027" s="1"/>
      <c r="S3027" s="1"/>
      <c r="T3027" s="1" t="s">
        <v>37</v>
      </c>
      <c r="U3027" s="1"/>
      <c r="V3027" s="1" t="s">
        <v>38</v>
      </c>
      <c r="W3027" s="1">
        <v>44.174866</v>
      </c>
      <c r="X3027" s="1">
        <v>-72.78399</v>
      </c>
      <c r="Y3027" s="1" t="s">
        <v>12648</v>
      </c>
      <c r="Z3027" s="1"/>
      <c r="AA3027" s="1" t="s">
        <v>40</v>
      </c>
      <c r="AB3027" s="1" t="s">
        <v>441</v>
      </c>
      <c r="AC3027" s="1">
        <v>5673.0</v>
      </c>
    </row>
    <row r="3028">
      <c r="A3028" s="1" t="str">
        <f>"000QPH"</f>
        <v>000QPH</v>
      </c>
      <c r="B3028" s="1" t="s">
        <v>12649</v>
      </c>
      <c r="C3028" s="1" t="s">
        <v>12650</v>
      </c>
      <c r="D3028" s="1" t="str">
        <f>"8028884494"</f>
        <v>8028884494</v>
      </c>
      <c r="E3028" s="1">
        <v>4874.0</v>
      </c>
      <c r="F3028" s="1" t="s">
        <v>117</v>
      </c>
      <c r="G3028" s="1" t="s">
        <v>12651</v>
      </c>
      <c r="H3028" s="1">
        <v>2.0</v>
      </c>
      <c r="I3028" s="2">
        <v>1.0</v>
      </c>
      <c r="J3028" s="2">
        <v>1.0</v>
      </c>
      <c r="K3028" s="2" t="s">
        <v>119</v>
      </c>
      <c r="L3028" s="2" t="s">
        <v>12652</v>
      </c>
      <c r="M3028" s="1">
        <v>1.0</v>
      </c>
      <c r="N3028" s="1" t="s">
        <v>213</v>
      </c>
      <c r="O3028" s="1" t="s">
        <v>2562</v>
      </c>
      <c r="P3028" s="1" t="s">
        <v>12653</v>
      </c>
      <c r="Q3028" s="3">
        <v>42160.0</v>
      </c>
      <c r="R3028" s="1"/>
      <c r="S3028" s="1"/>
      <c r="T3028" s="1" t="s">
        <v>37</v>
      </c>
      <c r="U3028" s="1"/>
      <c r="V3028" s="1" t="s">
        <v>38</v>
      </c>
      <c r="W3028" s="1">
        <v>44.5502453</v>
      </c>
      <c r="X3028" s="1">
        <v>-72.5205025</v>
      </c>
      <c r="Y3028" s="1" t="s">
        <v>12654</v>
      </c>
      <c r="Z3028" s="1"/>
      <c r="AA3028" s="1" t="s">
        <v>40</v>
      </c>
      <c r="AB3028" s="1" t="s">
        <v>2563</v>
      </c>
      <c r="AC3028" s="1">
        <v>5680.0</v>
      </c>
    </row>
    <row r="3029">
      <c r="A3029" s="1" t="str">
        <f>"000QPJ"</f>
        <v>000QPJ</v>
      </c>
      <c r="B3029" s="1" t="s">
        <v>12655</v>
      </c>
      <c r="C3029" s="1" t="s">
        <v>12656</v>
      </c>
      <c r="D3029" s="1" t="str">
        <f>"8027770154"</f>
        <v>8027770154</v>
      </c>
      <c r="E3029" s="1">
        <v>4875.0</v>
      </c>
      <c r="F3029" s="1" t="s">
        <v>117</v>
      </c>
      <c r="G3029" s="1" t="s">
        <v>12657</v>
      </c>
      <c r="H3029" s="1">
        <v>1.0</v>
      </c>
      <c r="I3029" s="2">
        <v>1.0</v>
      </c>
      <c r="J3029" s="2">
        <v>1.0</v>
      </c>
      <c r="K3029" s="2" t="s">
        <v>119</v>
      </c>
      <c r="L3029" s="1"/>
      <c r="M3029" s="1" t="s">
        <v>12658</v>
      </c>
      <c r="N3029" s="1" t="s">
        <v>57</v>
      </c>
      <c r="O3029" s="1" t="s">
        <v>175</v>
      </c>
      <c r="P3029" s="1" t="s">
        <v>12659</v>
      </c>
      <c r="Q3029" s="3">
        <v>42160.0</v>
      </c>
      <c r="R3029" s="1"/>
      <c r="S3029" s="3">
        <v>42541.0</v>
      </c>
      <c r="T3029" s="1" t="s">
        <v>37</v>
      </c>
      <c r="U3029" s="1"/>
      <c r="V3029" s="1" t="s">
        <v>38</v>
      </c>
      <c r="W3029" s="1">
        <v>44.4644509</v>
      </c>
      <c r="X3029" s="1">
        <v>-73.2063769999999</v>
      </c>
      <c r="Y3029" s="1" t="s">
        <v>12660</v>
      </c>
      <c r="Z3029" s="1"/>
      <c r="AA3029" s="1" t="s">
        <v>40</v>
      </c>
      <c r="AB3029" s="1" t="s">
        <v>176</v>
      </c>
      <c r="AC3029" s="1">
        <v>5401.0</v>
      </c>
    </row>
    <row r="3030">
      <c r="A3030" s="1" t="str">
        <f>"000QPP"</f>
        <v>000QPP</v>
      </c>
      <c r="B3030" s="1" t="s">
        <v>12661</v>
      </c>
      <c r="C3030" s="1" t="s">
        <v>12662</v>
      </c>
      <c r="D3030" s="1" t="str">
        <f>"8028832349"</f>
        <v>8028832349</v>
      </c>
      <c r="E3030" s="1">
        <v>4876.0</v>
      </c>
      <c r="F3030" s="1" t="s">
        <v>31</v>
      </c>
      <c r="G3030" s="1" t="s">
        <v>12663</v>
      </c>
      <c r="H3030" s="1">
        <v>1.0</v>
      </c>
      <c r="I3030" s="1"/>
      <c r="J3030" s="1"/>
      <c r="K3030" s="1"/>
      <c r="L3030" s="1"/>
      <c r="M3030" s="1">
        <v>1.0</v>
      </c>
      <c r="N3030" s="1" t="s">
        <v>142</v>
      </c>
      <c r="O3030" s="1" t="s">
        <v>1026</v>
      </c>
      <c r="P3030" s="1" t="s">
        <v>12664</v>
      </c>
      <c r="Q3030" s="3">
        <v>42163.0</v>
      </c>
      <c r="R3030" s="1"/>
      <c r="S3030" s="1"/>
      <c r="T3030" s="1" t="s">
        <v>37</v>
      </c>
      <c r="U3030" s="1"/>
      <c r="V3030" s="1" t="s">
        <v>38</v>
      </c>
      <c r="W3030" s="1">
        <v>44.067856</v>
      </c>
      <c r="X3030" s="1">
        <v>-72.484283</v>
      </c>
      <c r="Y3030" s="1" t="s">
        <v>12665</v>
      </c>
      <c r="Z3030" s="1"/>
      <c r="AA3030" s="1" t="s">
        <v>40</v>
      </c>
      <c r="AB3030" s="1" t="s">
        <v>135</v>
      </c>
      <c r="AC3030" s="1">
        <v>5675.0</v>
      </c>
    </row>
    <row r="3031">
      <c r="A3031" s="1" t="str">
        <f>"000764"</f>
        <v>000764</v>
      </c>
      <c r="B3031" s="1" t="s">
        <v>790</v>
      </c>
      <c r="C3031" s="1" t="s">
        <v>791</v>
      </c>
      <c r="D3031" s="1" t="str">
        <f>"8028237955"</f>
        <v>8028237955</v>
      </c>
      <c r="E3031" s="1">
        <v>2520.0</v>
      </c>
      <c r="F3031" s="1" t="s">
        <v>117</v>
      </c>
      <c r="G3031" s="1" t="s">
        <v>12666</v>
      </c>
      <c r="H3031" s="1">
        <v>4.0</v>
      </c>
      <c r="I3031" s="2">
        <v>2.0</v>
      </c>
      <c r="J3031" s="2">
        <v>1.0</v>
      </c>
      <c r="K3031" s="2" t="s">
        <v>119</v>
      </c>
      <c r="L3031" s="1"/>
      <c r="M3031" s="1" t="s">
        <v>12667</v>
      </c>
      <c r="N3031" s="1" t="s">
        <v>414</v>
      </c>
      <c r="O3031" s="1" t="s">
        <v>794</v>
      </c>
      <c r="P3031" s="1" t="s">
        <v>12668</v>
      </c>
      <c r="Q3031" s="3">
        <v>42163.0</v>
      </c>
      <c r="R3031" s="1"/>
      <c r="S3031" s="1"/>
      <c r="T3031" s="1" t="s">
        <v>37</v>
      </c>
      <c r="U3031" s="1"/>
      <c r="V3031" s="1" t="s">
        <v>38</v>
      </c>
      <c r="W3031" s="1">
        <v>42.7616285999999</v>
      </c>
      <c r="X3031" s="1">
        <v>-73.2063160999999</v>
      </c>
      <c r="Y3031" s="1" t="s">
        <v>12669</v>
      </c>
      <c r="Z3031" s="1"/>
      <c r="AA3031" s="1" t="s">
        <v>40</v>
      </c>
      <c r="AB3031" s="1" t="s">
        <v>797</v>
      </c>
      <c r="AC3031" s="1">
        <v>5261.0</v>
      </c>
    </row>
    <row r="3032">
      <c r="A3032" s="1" t="str">
        <f>"000QQ0"</f>
        <v>000QQ0</v>
      </c>
      <c r="B3032" s="1" t="s">
        <v>12670</v>
      </c>
      <c r="C3032" s="1" t="s">
        <v>12671</v>
      </c>
      <c r="D3032" s="1" t="str">
        <f>"8023225020"</f>
        <v>8023225020</v>
      </c>
      <c r="E3032" s="1">
        <v>4877.0</v>
      </c>
      <c r="F3032" s="1" t="s">
        <v>31</v>
      </c>
      <c r="G3032" s="1" t="s">
        <v>12672</v>
      </c>
      <c r="H3032" s="1">
        <v>1.0</v>
      </c>
      <c r="I3032" s="1"/>
      <c r="J3032" s="1"/>
      <c r="K3032" s="1"/>
      <c r="L3032" s="1"/>
      <c r="M3032" s="1">
        <v>1.0</v>
      </c>
      <c r="N3032" s="1" t="s">
        <v>135</v>
      </c>
      <c r="O3032" s="1" t="s">
        <v>758</v>
      </c>
      <c r="P3032" s="1" t="s">
        <v>12673</v>
      </c>
      <c r="Q3032" s="3">
        <v>42163.0</v>
      </c>
      <c r="R3032" s="1"/>
      <c r="S3032" s="1"/>
      <c r="T3032" s="1" t="s">
        <v>37</v>
      </c>
      <c r="U3032" s="1"/>
      <c r="V3032" s="1" t="s">
        <v>38</v>
      </c>
      <c r="W3032" s="1">
        <v>44.258064</v>
      </c>
      <c r="X3032" s="1">
        <v>-72.426934</v>
      </c>
      <c r="Y3032" s="1" t="s">
        <v>12674</v>
      </c>
      <c r="Z3032" s="1"/>
      <c r="AA3032" s="1" t="s">
        <v>40</v>
      </c>
      <c r="AB3032" s="1" t="s">
        <v>759</v>
      </c>
      <c r="AC3032" s="1">
        <v>5667.0</v>
      </c>
    </row>
    <row r="3033">
      <c r="A3033" s="1" t="str">
        <f>"000QQC"</f>
        <v>000QQC</v>
      </c>
      <c r="B3033" s="1" t="s">
        <v>12675</v>
      </c>
      <c r="C3033" s="1" t="s">
        <v>12676</v>
      </c>
      <c r="D3033" s="1" t="str">
        <f>"8026721880"</f>
        <v>8026721880</v>
      </c>
      <c r="E3033" s="1">
        <v>4878.0</v>
      </c>
      <c r="F3033" s="1" t="s">
        <v>117</v>
      </c>
      <c r="G3033" s="1" t="s">
        <v>12677</v>
      </c>
      <c r="H3033" s="1">
        <v>3.0</v>
      </c>
      <c r="I3033" s="2">
        <v>0.0</v>
      </c>
      <c r="J3033" s="2">
        <v>0.0</v>
      </c>
      <c r="K3033" s="2" t="s">
        <v>119</v>
      </c>
      <c r="L3033" s="1"/>
      <c r="M3033" s="1" t="s">
        <v>12678</v>
      </c>
      <c r="N3033" s="1" t="s">
        <v>34</v>
      </c>
      <c r="O3033" s="1" t="s">
        <v>324</v>
      </c>
      <c r="P3033" s="1" t="s">
        <v>12679</v>
      </c>
      <c r="Q3033" s="3">
        <v>42165.0</v>
      </c>
      <c r="R3033" s="1"/>
      <c r="S3033" s="3">
        <v>42909.0</v>
      </c>
      <c r="T3033" s="1" t="s">
        <v>37</v>
      </c>
      <c r="U3033" s="1"/>
      <c r="V3033" s="1" t="s">
        <v>38</v>
      </c>
      <c r="W3033" s="1">
        <v>43.5940577999999</v>
      </c>
      <c r="X3033" s="1">
        <v>-72.610635</v>
      </c>
      <c r="Y3033" s="1" t="s">
        <v>12680</v>
      </c>
      <c r="Z3033" s="1"/>
      <c r="AA3033" s="1" t="s">
        <v>40</v>
      </c>
      <c r="AB3033" s="1" t="s">
        <v>326</v>
      </c>
      <c r="AC3033" s="1">
        <v>5091.0</v>
      </c>
    </row>
    <row r="3034">
      <c r="A3034" s="1" t="str">
        <f>"000QQD"</f>
        <v>000QQD</v>
      </c>
      <c r="B3034" s="1" t="s">
        <v>12681</v>
      </c>
      <c r="C3034" s="1" t="s">
        <v>12682</v>
      </c>
      <c r="D3034" s="1" t="str">
        <f>"8025785389"</f>
        <v>8025785389</v>
      </c>
      <c r="E3034" s="1">
        <v>4879.0</v>
      </c>
      <c r="F3034" s="1" t="s">
        <v>117</v>
      </c>
      <c r="G3034" s="1" t="s">
        <v>12683</v>
      </c>
      <c r="H3034" s="1">
        <v>2.0</v>
      </c>
      <c r="I3034" s="2" t="s">
        <v>119</v>
      </c>
      <c r="J3034" s="2">
        <v>1.0</v>
      </c>
      <c r="K3034" s="2" t="s">
        <v>119</v>
      </c>
      <c r="L3034" s="1"/>
      <c r="M3034" s="1">
        <v>1.0</v>
      </c>
      <c r="N3034" s="1" t="s">
        <v>57</v>
      </c>
      <c r="O3034" s="1" t="s">
        <v>3723</v>
      </c>
      <c r="P3034" s="1" t="s">
        <v>12684</v>
      </c>
      <c r="Q3034" s="3">
        <v>42165.0</v>
      </c>
      <c r="R3034" s="1"/>
      <c r="S3034" s="1"/>
      <c r="T3034" s="1" t="s">
        <v>37</v>
      </c>
      <c r="U3034" s="1"/>
      <c r="V3034" s="1" t="s">
        <v>38</v>
      </c>
      <c r="W3034" s="1">
        <v>44.3849011999999</v>
      </c>
      <c r="X3034" s="1">
        <v>-73.1103498</v>
      </c>
      <c r="Y3034" s="1" t="s">
        <v>12685</v>
      </c>
      <c r="Z3034" s="1"/>
      <c r="AA3034" s="1" t="s">
        <v>40</v>
      </c>
      <c r="AB3034" s="1" t="s">
        <v>3724</v>
      </c>
      <c r="AC3034" s="1">
        <v>5495.0</v>
      </c>
    </row>
    <row r="3035">
      <c r="A3035" s="1" t="str">
        <f t="shared" ref="A3035:A3037" si="224">"00092M"</f>
        <v>00092M</v>
      </c>
      <c r="B3035" s="1" t="s">
        <v>8918</v>
      </c>
      <c r="C3035" s="1" t="s">
        <v>8919</v>
      </c>
      <c r="D3035" s="1" t="str">
        <f t="shared" ref="D3035:D3037" si="225">"8029220714"</f>
        <v>8029220714</v>
      </c>
      <c r="E3035" s="1">
        <v>3779.0</v>
      </c>
      <c r="F3035" s="1" t="s">
        <v>117</v>
      </c>
      <c r="G3035" s="1" t="s">
        <v>12686</v>
      </c>
      <c r="H3035" s="1">
        <v>3.0</v>
      </c>
      <c r="I3035" s="2" t="s">
        <v>119</v>
      </c>
      <c r="J3035" s="2" t="s">
        <v>119</v>
      </c>
      <c r="K3035" s="2" t="s">
        <v>119</v>
      </c>
      <c r="L3035" s="1"/>
      <c r="M3035" s="1" t="s">
        <v>12687</v>
      </c>
      <c r="N3035" s="1" t="s">
        <v>57</v>
      </c>
      <c r="O3035" s="1" t="s">
        <v>1633</v>
      </c>
      <c r="P3035" s="1" t="s">
        <v>12688</v>
      </c>
      <c r="Q3035" s="3">
        <v>42165.0</v>
      </c>
      <c r="R3035" s="1"/>
      <c r="S3035" s="1"/>
      <c r="T3035" s="1" t="s">
        <v>37</v>
      </c>
      <c r="U3035" s="1"/>
      <c r="V3035" s="1" t="s">
        <v>38</v>
      </c>
      <c r="W3035" s="1">
        <v>44.2920587</v>
      </c>
      <c r="X3035" s="1">
        <v>-73.2381017999999</v>
      </c>
      <c r="Y3035" s="1" t="s">
        <v>12689</v>
      </c>
      <c r="Z3035" s="1"/>
      <c r="AA3035" s="1" t="s">
        <v>40</v>
      </c>
      <c r="AB3035" s="1" t="s">
        <v>1634</v>
      </c>
      <c r="AC3035" s="1">
        <v>5445.0</v>
      </c>
    </row>
    <row r="3036">
      <c r="A3036" s="1" t="str">
        <f t="shared" si="224"/>
        <v>00092M</v>
      </c>
      <c r="B3036" s="1" t="s">
        <v>8918</v>
      </c>
      <c r="C3036" s="1" t="s">
        <v>8919</v>
      </c>
      <c r="D3036" s="1" t="str">
        <f t="shared" si="225"/>
        <v>8029220714</v>
      </c>
      <c r="E3036" s="1">
        <v>3779.0</v>
      </c>
      <c r="F3036" s="1" t="s">
        <v>117</v>
      </c>
      <c r="G3036" s="1" t="s">
        <v>12690</v>
      </c>
      <c r="H3036" s="1">
        <v>4.0</v>
      </c>
      <c r="I3036" s="2">
        <v>2.0</v>
      </c>
      <c r="J3036" s="2">
        <v>2.0</v>
      </c>
      <c r="K3036" s="2" t="s">
        <v>119</v>
      </c>
      <c r="L3036" s="1"/>
      <c r="M3036" s="1" t="s">
        <v>12691</v>
      </c>
      <c r="N3036" s="1" t="s">
        <v>57</v>
      </c>
      <c r="O3036" s="1" t="s">
        <v>238</v>
      </c>
      <c r="P3036" s="1" t="s">
        <v>12692</v>
      </c>
      <c r="Q3036" s="3">
        <v>42165.0</v>
      </c>
      <c r="R3036" s="1"/>
      <c r="S3036" s="1"/>
      <c r="T3036" s="1" t="s">
        <v>37</v>
      </c>
      <c r="U3036" s="1"/>
      <c r="V3036" s="1" t="s">
        <v>38</v>
      </c>
      <c r="W3036" s="1">
        <v>44.393768</v>
      </c>
      <c r="X3036" s="1">
        <v>-73.175232</v>
      </c>
      <c r="Y3036" s="1" t="s">
        <v>12693</v>
      </c>
      <c r="Z3036" s="1"/>
      <c r="AA3036" s="1" t="s">
        <v>40</v>
      </c>
      <c r="AB3036" s="1" t="s">
        <v>239</v>
      </c>
      <c r="AC3036" s="1">
        <v>5482.0</v>
      </c>
    </row>
    <row r="3037">
      <c r="A3037" s="1" t="str">
        <f t="shared" si="224"/>
        <v>00092M</v>
      </c>
      <c r="B3037" s="1" t="s">
        <v>8918</v>
      </c>
      <c r="C3037" s="1" t="s">
        <v>8919</v>
      </c>
      <c r="D3037" s="1" t="str">
        <f t="shared" si="225"/>
        <v>8029220714</v>
      </c>
      <c r="E3037" s="1">
        <v>3779.0</v>
      </c>
      <c r="F3037" s="1" t="s">
        <v>117</v>
      </c>
      <c r="G3037" s="1" t="s">
        <v>12694</v>
      </c>
      <c r="H3037" s="1">
        <v>2.0</v>
      </c>
      <c r="I3037" s="2">
        <v>2.0</v>
      </c>
      <c r="J3037" s="2">
        <v>1.0</v>
      </c>
      <c r="K3037" s="2" t="s">
        <v>119</v>
      </c>
      <c r="L3037" s="1"/>
      <c r="M3037" s="1" t="s">
        <v>12695</v>
      </c>
      <c r="N3037" s="1" t="s">
        <v>57</v>
      </c>
      <c r="O3037" s="1" t="s">
        <v>175</v>
      </c>
      <c r="P3037" s="1" t="s">
        <v>12696</v>
      </c>
      <c r="Q3037" s="3">
        <v>42165.0</v>
      </c>
      <c r="R3037" s="1"/>
      <c r="S3037" s="1"/>
      <c r="T3037" s="1" t="s">
        <v>37</v>
      </c>
      <c r="U3037" s="1"/>
      <c r="V3037" s="1" t="s">
        <v>38</v>
      </c>
      <c r="W3037" s="1">
        <v>44.487514</v>
      </c>
      <c r="X3037" s="1">
        <v>-73.222746</v>
      </c>
      <c r="Y3037" s="1" t="s">
        <v>12697</v>
      </c>
      <c r="Z3037" s="1"/>
      <c r="AA3037" s="1" t="s">
        <v>40</v>
      </c>
      <c r="AB3037" s="1" t="s">
        <v>176</v>
      </c>
      <c r="AC3037" s="1">
        <v>5401.0</v>
      </c>
    </row>
    <row r="3038">
      <c r="A3038" s="1" t="str">
        <f>"000QQG"</f>
        <v>000QQG</v>
      </c>
      <c r="B3038" s="1" t="s">
        <v>12698</v>
      </c>
      <c r="C3038" s="1" t="s">
        <v>12699</v>
      </c>
      <c r="D3038" s="1" t="str">
        <f>"8028720691"</f>
        <v>8028720691</v>
      </c>
      <c r="E3038" s="1">
        <v>4881.0</v>
      </c>
      <c r="F3038" s="1" t="s">
        <v>117</v>
      </c>
      <c r="G3038" s="1" t="s">
        <v>12700</v>
      </c>
      <c r="H3038" s="1">
        <v>2.0</v>
      </c>
      <c r="I3038" s="2">
        <v>1.0</v>
      </c>
      <c r="J3038" s="2">
        <v>1.0</v>
      </c>
      <c r="K3038" s="2" t="s">
        <v>119</v>
      </c>
      <c r="L3038" s="1"/>
      <c r="M3038" s="1" t="s">
        <v>12701</v>
      </c>
      <c r="N3038" s="1" t="s">
        <v>57</v>
      </c>
      <c r="O3038" s="1" t="s">
        <v>2092</v>
      </c>
      <c r="P3038" s="1" t="s">
        <v>12702</v>
      </c>
      <c r="Q3038" s="3">
        <v>42166.0</v>
      </c>
      <c r="R3038" s="1"/>
      <c r="S3038" s="1"/>
      <c r="T3038" s="1" t="s">
        <v>37</v>
      </c>
      <c r="U3038" s="1"/>
      <c r="V3038" s="1" t="s">
        <v>38</v>
      </c>
      <c r="W3038" s="1">
        <v>44.4707219999999</v>
      </c>
      <c r="X3038" s="1">
        <v>-73.117813</v>
      </c>
      <c r="Y3038" s="1" t="s">
        <v>12703</v>
      </c>
      <c r="Z3038" s="1"/>
      <c r="AA3038" s="1" t="s">
        <v>40</v>
      </c>
      <c r="AB3038" s="1" t="s">
        <v>2093</v>
      </c>
      <c r="AC3038" s="1">
        <v>5495.0</v>
      </c>
    </row>
    <row r="3039">
      <c r="A3039" s="1" t="str">
        <f>"000810"</f>
        <v>000810</v>
      </c>
      <c r="B3039" s="1" t="s">
        <v>3074</v>
      </c>
      <c r="C3039" s="1" t="s">
        <v>3075</v>
      </c>
      <c r="D3039" s="1" t="str">
        <f>"8028634938"</f>
        <v>8028634938</v>
      </c>
      <c r="E3039" s="1">
        <v>1467.0</v>
      </c>
      <c r="F3039" s="1" t="s">
        <v>117</v>
      </c>
      <c r="G3039" s="1" t="s">
        <v>12704</v>
      </c>
      <c r="H3039" s="1">
        <v>10.0</v>
      </c>
      <c r="I3039" s="2" t="s">
        <v>119</v>
      </c>
      <c r="J3039" s="2">
        <v>2.0</v>
      </c>
      <c r="K3039" s="2" t="s">
        <v>119</v>
      </c>
      <c r="L3039" s="2" t="s">
        <v>3077</v>
      </c>
      <c r="M3039" s="1">
        <v>1.0</v>
      </c>
      <c r="N3039" s="1" t="s">
        <v>57</v>
      </c>
      <c r="O3039" s="1" t="s">
        <v>175</v>
      </c>
      <c r="P3039" s="1" t="s">
        <v>5949</v>
      </c>
      <c r="Q3039" s="3">
        <v>42166.0</v>
      </c>
      <c r="R3039" s="1"/>
      <c r="S3039" s="3">
        <v>42889.0</v>
      </c>
      <c r="T3039" s="1" t="s">
        <v>37</v>
      </c>
      <c r="U3039" s="1"/>
      <c r="V3039" s="1" t="s">
        <v>38</v>
      </c>
      <c r="W3039" s="1">
        <v>44.4960155</v>
      </c>
      <c r="X3039" s="1">
        <v>-73.2070327</v>
      </c>
      <c r="Y3039" s="1" t="s">
        <v>12705</v>
      </c>
      <c r="Z3039" s="1"/>
      <c r="AA3039" s="1" t="s">
        <v>40</v>
      </c>
      <c r="AB3039" s="1" t="s">
        <v>176</v>
      </c>
      <c r="AC3039" s="1">
        <v>5401.0</v>
      </c>
    </row>
    <row r="3040">
      <c r="A3040" s="1" t="str">
        <f>"000QQM"</f>
        <v>000QQM</v>
      </c>
      <c r="B3040" s="1" t="s">
        <v>12706</v>
      </c>
      <c r="C3040" s="1" t="s">
        <v>12707</v>
      </c>
      <c r="D3040" s="1"/>
      <c r="E3040" s="1">
        <v>4882.0</v>
      </c>
      <c r="F3040" s="1" t="s">
        <v>117</v>
      </c>
      <c r="G3040" s="1" t="s">
        <v>12708</v>
      </c>
      <c r="H3040" s="1">
        <v>2.0</v>
      </c>
      <c r="I3040" s="2">
        <v>1.0</v>
      </c>
      <c r="J3040" s="2">
        <v>1.0</v>
      </c>
      <c r="K3040" s="2" t="s">
        <v>829</v>
      </c>
      <c r="L3040" s="1"/>
      <c r="M3040" s="1" t="s">
        <v>12709</v>
      </c>
      <c r="N3040" s="1" t="s">
        <v>57</v>
      </c>
      <c r="O3040" s="1" t="s">
        <v>3723</v>
      </c>
      <c r="P3040" s="1" t="s">
        <v>12710</v>
      </c>
      <c r="Q3040" s="3">
        <v>42166.0</v>
      </c>
      <c r="R3040" s="1"/>
      <c r="S3040" s="1"/>
      <c r="T3040" s="1" t="s">
        <v>37</v>
      </c>
      <c r="U3040" s="1"/>
      <c r="V3040" s="1" t="s">
        <v>38</v>
      </c>
      <c r="W3040" s="1">
        <v>44.369644</v>
      </c>
      <c r="X3040" s="1">
        <v>-73.1014179999999</v>
      </c>
      <c r="Y3040" s="1" t="s">
        <v>12711</v>
      </c>
      <c r="Z3040" s="1"/>
      <c r="AA3040" s="1" t="s">
        <v>40</v>
      </c>
      <c r="AB3040" s="1" t="s">
        <v>12712</v>
      </c>
      <c r="AC3040" s="1">
        <v>5495.0</v>
      </c>
    </row>
    <row r="3041">
      <c r="A3041" s="1" t="str">
        <f>"0007X2"</f>
        <v>0007X2</v>
      </c>
      <c r="B3041" s="1" t="s">
        <v>12713</v>
      </c>
      <c r="C3041" s="1" t="s">
        <v>12714</v>
      </c>
      <c r="D3041" s="1" t="str">
        <f>"8025980890"</f>
        <v>8025980890</v>
      </c>
      <c r="E3041" s="1">
        <v>1252.0</v>
      </c>
      <c r="F3041" s="1" t="s">
        <v>44</v>
      </c>
      <c r="G3041" s="1" t="s">
        <v>12715</v>
      </c>
      <c r="H3041" s="1">
        <v>1.0</v>
      </c>
      <c r="I3041" s="1"/>
      <c r="J3041" s="1"/>
      <c r="K3041" s="1"/>
      <c r="L3041" s="1"/>
      <c r="M3041" s="1">
        <v>1.0</v>
      </c>
      <c r="N3041" s="1" t="s">
        <v>57</v>
      </c>
      <c r="O3041" s="1" t="s">
        <v>503</v>
      </c>
      <c r="P3041" s="1" t="s">
        <v>12716</v>
      </c>
      <c r="Q3041" s="3">
        <v>42166.0</v>
      </c>
      <c r="R3041" s="1"/>
      <c r="S3041" s="1"/>
      <c r="T3041" s="1" t="s">
        <v>37</v>
      </c>
      <c r="U3041" s="1"/>
      <c r="V3041" s="1" t="s">
        <v>38</v>
      </c>
      <c r="W3041" s="1">
        <v>44.443857</v>
      </c>
      <c r="X3041" s="1">
        <v>-73.208067</v>
      </c>
      <c r="Y3041" s="1" t="s">
        <v>12717</v>
      </c>
      <c r="Z3041" s="1"/>
      <c r="AA3041" s="1" t="s">
        <v>40</v>
      </c>
      <c r="AB3041" s="1" t="s">
        <v>5195</v>
      </c>
      <c r="AC3041" s="1">
        <v>5403.0</v>
      </c>
    </row>
    <row r="3042">
      <c r="A3042" s="1" t="str">
        <f>"000QFJ"</f>
        <v>000QFJ</v>
      </c>
      <c r="B3042" s="1" t="s">
        <v>12718</v>
      </c>
      <c r="C3042" s="1" t="s">
        <v>12719</v>
      </c>
      <c r="D3042" s="1" t="str">
        <f>"8024395126"</f>
        <v>8024395126</v>
      </c>
      <c r="E3042" s="1">
        <v>4788.0</v>
      </c>
      <c r="F3042" s="1" t="s">
        <v>117</v>
      </c>
      <c r="G3042" s="1" t="s">
        <v>12720</v>
      </c>
      <c r="H3042" s="1">
        <v>1.0</v>
      </c>
      <c r="I3042" s="2" t="s">
        <v>119</v>
      </c>
      <c r="J3042" s="2">
        <v>3.0</v>
      </c>
      <c r="K3042" s="2" t="s">
        <v>119</v>
      </c>
      <c r="L3042" s="1"/>
      <c r="M3042" s="1" t="s">
        <v>12721</v>
      </c>
      <c r="N3042" s="1" t="s">
        <v>142</v>
      </c>
      <c r="O3042" s="1" t="s">
        <v>222</v>
      </c>
      <c r="P3042" s="1" t="s">
        <v>12722</v>
      </c>
      <c r="Q3042" s="3">
        <v>42167.0</v>
      </c>
      <c r="R3042" s="1"/>
      <c r="S3042" s="3">
        <v>42880.0</v>
      </c>
      <c r="T3042" s="1" t="s">
        <v>37</v>
      </c>
      <c r="U3042" s="1"/>
      <c r="V3042" s="1" t="s">
        <v>38</v>
      </c>
      <c r="W3042" s="1">
        <v>44.060904</v>
      </c>
      <c r="X3042" s="1">
        <v>-72.18919</v>
      </c>
      <c r="Y3042" s="1" t="s">
        <v>12723</v>
      </c>
      <c r="Z3042" s="1"/>
      <c r="AA3042" s="1" t="s">
        <v>40</v>
      </c>
      <c r="AB3042" s="1" t="s">
        <v>12724</v>
      </c>
      <c r="AC3042" s="1">
        <v>5040.0</v>
      </c>
    </row>
    <row r="3043">
      <c r="A3043" s="1" t="str">
        <f>"00084K"</f>
        <v>00084K</v>
      </c>
      <c r="B3043" s="1" t="s">
        <v>2393</v>
      </c>
      <c r="C3043" s="1" t="s">
        <v>2394</v>
      </c>
      <c r="D3043" s="1" t="str">
        <f>"8027488508"</f>
        <v>8027488508</v>
      </c>
      <c r="E3043" s="1">
        <v>1640.0</v>
      </c>
      <c r="F3043" s="1" t="s">
        <v>117</v>
      </c>
      <c r="G3043" s="1" t="s">
        <v>12725</v>
      </c>
      <c r="H3043" s="1">
        <v>1.0</v>
      </c>
      <c r="I3043" s="2" t="s">
        <v>119</v>
      </c>
      <c r="J3043" s="2">
        <v>1.0</v>
      </c>
      <c r="K3043" s="2" t="s">
        <v>119</v>
      </c>
      <c r="L3043" s="1"/>
      <c r="M3043" s="1" t="s">
        <v>49</v>
      </c>
      <c r="N3043" s="1" t="s">
        <v>128</v>
      </c>
      <c r="O3043" s="1" t="s">
        <v>1695</v>
      </c>
      <c r="P3043" s="1" t="s">
        <v>12726</v>
      </c>
      <c r="Q3043" s="3">
        <v>42167.0</v>
      </c>
      <c r="R3043" s="1"/>
      <c r="S3043" s="1"/>
      <c r="T3043" s="1" t="s">
        <v>37</v>
      </c>
      <c r="U3043" s="1"/>
      <c r="V3043" s="1" t="s">
        <v>38</v>
      </c>
      <c r="W3043" s="1">
        <v>44.5588028</v>
      </c>
      <c r="X3043" s="1">
        <v>-72.5778414999999</v>
      </c>
      <c r="Y3043" s="1" t="s">
        <v>12727</v>
      </c>
      <c r="Z3043" s="1"/>
      <c r="AA3043" s="1" t="s">
        <v>40</v>
      </c>
      <c r="AB3043" s="1" t="s">
        <v>1696</v>
      </c>
      <c r="AC3043" s="1">
        <v>5862.0</v>
      </c>
    </row>
    <row r="3044">
      <c r="A3044" s="1" t="str">
        <f>"00098G"</f>
        <v>00098G</v>
      </c>
      <c r="B3044" s="1" t="s">
        <v>12728</v>
      </c>
      <c r="C3044" s="1" t="s">
        <v>12729</v>
      </c>
      <c r="D3044" s="1" t="str">
        <f>"8027750389"</f>
        <v>8027750389</v>
      </c>
      <c r="E3044" s="1">
        <v>4064.0</v>
      </c>
      <c r="F3044" s="1" t="s">
        <v>117</v>
      </c>
      <c r="G3044" s="1" t="s">
        <v>12730</v>
      </c>
      <c r="H3044" s="1">
        <v>2.0</v>
      </c>
      <c r="I3044" s="2">
        <v>4.0</v>
      </c>
      <c r="J3044" s="2">
        <v>4.0</v>
      </c>
      <c r="K3044" s="2" t="s">
        <v>119</v>
      </c>
      <c r="L3044" s="1"/>
      <c r="M3044" s="1">
        <v>1.0</v>
      </c>
      <c r="N3044" s="1" t="s">
        <v>78</v>
      </c>
      <c r="O3044" s="1" t="s">
        <v>702</v>
      </c>
      <c r="P3044" s="1" t="s">
        <v>12731</v>
      </c>
      <c r="Q3044" s="3">
        <v>42167.0</v>
      </c>
      <c r="R3044" s="1"/>
      <c r="S3044" s="1"/>
      <c r="T3044" s="1" t="s">
        <v>37</v>
      </c>
      <c r="U3044" s="1"/>
      <c r="V3044" s="1" t="s">
        <v>38</v>
      </c>
      <c r="W3044" s="1"/>
      <c r="X3044" s="1"/>
      <c r="Y3044" s="1" t="s">
        <v>2083</v>
      </c>
      <c r="Z3044" s="1"/>
      <c r="AA3044" s="1" t="s">
        <v>40</v>
      </c>
      <c r="AB3044" s="1" t="s">
        <v>702</v>
      </c>
      <c r="AC3044" s="1">
        <v>5701.0</v>
      </c>
    </row>
    <row r="3045">
      <c r="A3045" s="1" t="str">
        <f>"000QQV"</f>
        <v>000QQV</v>
      </c>
      <c r="B3045" s="1" t="s">
        <v>12732</v>
      </c>
      <c r="C3045" s="1" t="s">
        <v>12733</v>
      </c>
      <c r="D3045" s="1" t="str">
        <f>"8024673929"</f>
        <v>8024673929</v>
      </c>
      <c r="E3045" s="1">
        <v>4883.0</v>
      </c>
      <c r="F3045" s="1" t="s">
        <v>117</v>
      </c>
      <c r="G3045" s="1" t="s">
        <v>12734</v>
      </c>
      <c r="H3045" s="1">
        <v>0.0</v>
      </c>
      <c r="I3045" s="2">
        <v>3.0</v>
      </c>
      <c r="J3045" s="2">
        <v>1.0</v>
      </c>
      <c r="K3045" s="2" t="s">
        <v>119</v>
      </c>
      <c r="L3045" s="1"/>
      <c r="M3045" s="1">
        <v>1.0</v>
      </c>
      <c r="N3045" s="1" t="s">
        <v>128</v>
      </c>
      <c r="O3045" s="1" t="s">
        <v>1218</v>
      </c>
      <c r="P3045" s="1" t="s">
        <v>12735</v>
      </c>
      <c r="Q3045" s="3">
        <v>42167.0</v>
      </c>
      <c r="R3045" s="1"/>
      <c r="S3045" s="1"/>
      <c r="T3045" s="1" t="s">
        <v>37</v>
      </c>
      <c r="U3045" s="1"/>
      <c r="V3045" s="1" t="s">
        <v>38</v>
      </c>
      <c r="W3045" s="1">
        <v>44.6758708</v>
      </c>
      <c r="X3045" s="1">
        <v>-71.9954124999999</v>
      </c>
      <c r="Y3045" s="1" t="s">
        <v>12736</v>
      </c>
      <c r="Z3045" s="1"/>
      <c r="AA3045" s="1" t="s">
        <v>40</v>
      </c>
      <c r="AB3045" s="1" t="s">
        <v>1219</v>
      </c>
      <c r="AC3045" s="1">
        <v>5871.0</v>
      </c>
    </row>
    <row r="3046">
      <c r="A3046" s="1" t="str">
        <f>"000QQW"</f>
        <v>000QQW</v>
      </c>
      <c r="B3046" s="1" t="s">
        <v>12737</v>
      </c>
      <c r="C3046" s="1" t="s">
        <v>12738</v>
      </c>
      <c r="D3046" s="1" t="str">
        <f>"8023497057"</f>
        <v>8023497057</v>
      </c>
      <c r="E3046" s="1">
        <v>4884.0</v>
      </c>
      <c r="F3046" s="1" t="s">
        <v>44</v>
      </c>
      <c r="G3046" s="1" t="s">
        <v>12739</v>
      </c>
      <c r="H3046" s="1">
        <v>0.0</v>
      </c>
      <c r="I3046" s="2" t="s">
        <v>119</v>
      </c>
      <c r="J3046" s="2">
        <v>1.0</v>
      </c>
      <c r="K3046" s="2" t="s">
        <v>119</v>
      </c>
      <c r="L3046" s="1"/>
      <c r="M3046" s="1" t="s">
        <v>307</v>
      </c>
      <c r="N3046" s="1" t="s">
        <v>161</v>
      </c>
      <c r="O3046" s="1" t="s">
        <v>576</v>
      </c>
      <c r="P3046" s="1" t="s">
        <v>12740</v>
      </c>
      <c r="Q3046" s="3">
        <v>42170.0</v>
      </c>
      <c r="R3046" s="1"/>
      <c r="S3046" s="1"/>
      <c r="T3046" s="1" t="s">
        <v>37</v>
      </c>
      <c r="U3046" s="1"/>
      <c r="V3046" s="1" t="s">
        <v>38</v>
      </c>
      <c r="W3046" s="1">
        <v>44.1342668</v>
      </c>
      <c r="X3046" s="1">
        <v>-73.0904514</v>
      </c>
      <c r="Y3046" s="1" t="s">
        <v>12741</v>
      </c>
      <c r="Z3046" s="1"/>
      <c r="AA3046" s="1" t="s">
        <v>40</v>
      </c>
      <c r="AB3046" s="1" t="s">
        <v>161</v>
      </c>
      <c r="AC3046" s="1">
        <v>5491.0</v>
      </c>
    </row>
    <row r="3047">
      <c r="A3047" s="1" t="str">
        <f>"000KKY"</f>
        <v>000KKY</v>
      </c>
      <c r="B3047" s="1" t="s">
        <v>12742</v>
      </c>
      <c r="C3047" s="1" t="s">
        <v>12743</v>
      </c>
      <c r="D3047" s="1" t="str">
        <f>"8028751008"</f>
        <v>8028751008</v>
      </c>
      <c r="E3047" s="1">
        <v>4548.0</v>
      </c>
      <c r="F3047" s="1" t="s">
        <v>117</v>
      </c>
      <c r="G3047" s="1" t="s">
        <v>12744</v>
      </c>
      <c r="H3047" s="1">
        <v>8.0</v>
      </c>
      <c r="I3047" s="2" t="s">
        <v>119</v>
      </c>
      <c r="J3047" s="2">
        <v>8.0</v>
      </c>
      <c r="K3047" s="2" t="s">
        <v>119</v>
      </c>
      <c r="L3047" s="1"/>
      <c r="M3047" s="1" t="s">
        <v>642</v>
      </c>
      <c r="N3047" s="1" t="s">
        <v>34</v>
      </c>
      <c r="O3047" s="1" t="s">
        <v>642</v>
      </c>
      <c r="P3047" s="1" t="s">
        <v>12745</v>
      </c>
      <c r="Q3047" s="3">
        <v>41411.0</v>
      </c>
      <c r="R3047" s="1"/>
      <c r="S3047" s="1"/>
      <c r="T3047" s="1" t="s">
        <v>37</v>
      </c>
      <c r="U3047" s="1"/>
      <c r="V3047" s="1" t="s">
        <v>38</v>
      </c>
      <c r="W3047" s="1">
        <v>43.2501932</v>
      </c>
      <c r="X3047" s="1">
        <v>-72.5358562</v>
      </c>
      <c r="Y3047" s="1" t="s">
        <v>12746</v>
      </c>
      <c r="Z3047" s="1"/>
      <c r="AA3047" s="1" t="s">
        <v>40</v>
      </c>
      <c r="AB3047" s="1" t="s">
        <v>643</v>
      </c>
      <c r="AC3047" s="1">
        <v>5156.0</v>
      </c>
    </row>
    <row r="3048">
      <c r="A3048" s="1" t="str">
        <f>"00081D"</f>
        <v>00081D</v>
      </c>
      <c r="B3048" s="1" t="s">
        <v>3030</v>
      </c>
      <c r="C3048" s="1" t="s">
        <v>3031</v>
      </c>
      <c r="D3048" s="1" t="str">
        <f>"6172677069"</f>
        <v>6172677069</v>
      </c>
      <c r="E3048" s="1">
        <v>3059.0</v>
      </c>
      <c r="F3048" s="1" t="s">
        <v>31</v>
      </c>
      <c r="G3048" s="1" t="s">
        <v>12747</v>
      </c>
      <c r="H3048" s="1">
        <v>5.0</v>
      </c>
      <c r="I3048" s="1"/>
      <c r="J3048" s="1"/>
      <c r="K3048" s="1"/>
      <c r="L3048" s="1"/>
      <c r="M3048" s="1">
        <v>2.0</v>
      </c>
      <c r="N3048" s="1" t="s">
        <v>414</v>
      </c>
      <c r="O3048" s="1" t="s">
        <v>3034</v>
      </c>
      <c r="P3048" s="1" t="s">
        <v>12748</v>
      </c>
      <c r="Q3048" s="3">
        <v>42170.0</v>
      </c>
      <c r="R3048" s="1"/>
      <c r="S3048" s="1"/>
      <c r="T3048" s="1" t="s">
        <v>37</v>
      </c>
      <c r="U3048" s="1"/>
      <c r="V3048" s="1" t="s">
        <v>38</v>
      </c>
      <c r="W3048" s="1">
        <v>43.1624149644384</v>
      </c>
      <c r="X3048" s="1">
        <v>-73.2405495643615</v>
      </c>
      <c r="Y3048" s="1" t="s">
        <v>12749</v>
      </c>
      <c r="Z3048" s="1"/>
      <c r="AA3048" s="1" t="s">
        <v>40</v>
      </c>
      <c r="AB3048" s="1" t="s">
        <v>3036</v>
      </c>
      <c r="AC3048" s="1">
        <v>5201.0</v>
      </c>
    </row>
    <row r="3049">
      <c r="A3049" s="1" t="str">
        <f>"000HG5"</f>
        <v>000HG5</v>
      </c>
      <c r="B3049" s="1" t="s">
        <v>10022</v>
      </c>
      <c r="C3049" s="1" t="s">
        <v>10023</v>
      </c>
      <c r="D3049" s="1" t="str">
        <f>"8028996830"</f>
        <v>8028996830</v>
      </c>
      <c r="E3049" s="1">
        <v>4375.0</v>
      </c>
      <c r="F3049" s="1" t="s">
        <v>117</v>
      </c>
      <c r="G3049" s="1" t="s">
        <v>12750</v>
      </c>
      <c r="H3049" s="1">
        <v>1.0</v>
      </c>
      <c r="I3049" s="2">
        <v>1.0</v>
      </c>
      <c r="J3049" s="2">
        <v>1.0</v>
      </c>
      <c r="K3049" s="2" t="s">
        <v>119</v>
      </c>
      <c r="L3049" s="1"/>
      <c r="M3049" s="1" t="s">
        <v>12751</v>
      </c>
      <c r="N3049" s="1" t="s">
        <v>57</v>
      </c>
      <c r="O3049" s="1" t="s">
        <v>201</v>
      </c>
      <c r="P3049" s="1" t="s">
        <v>12752</v>
      </c>
      <c r="Q3049" s="3">
        <v>42171.0</v>
      </c>
      <c r="R3049" s="1"/>
      <c r="S3049" s="1"/>
      <c r="T3049" s="1" t="s">
        <v>37</v>
      </c>
      <c r="U3049" s="1"/>
      <c r="V3049" s="1" t="s">
        <v>38</v>
      </c>
      <c r="W3049" s="1">
        <v>44.403889</v>
      </c>
      <c r="X3049" s="1">
        <v>-73.0007249999999</v>
      </c>
      <c r="Y3049" s="1" t="s">
        <v>12751</v>
      </c>
      <c r="Z3049" s="1"/>
      <c r="AA3049" s="1" t="s">
        <v>40</v>
      </c>
      <c r="AB3049" s="1" t="s">
        <v>202</v>
      </c>
      <c r="AC3049" s="1">
        <v>5477.0</v>
      </c>
    </row>
    <row r="3050">
      <c r="A3050" s="1" t="str">
        <f>"000850"</f>
        <v>000850</v>
      </c>
      <c r="B3050" s="1" t="s">
        <v>12753</v>
      </c>
      <c r="C3050" s="1" t="s">
        <v>12754</v>
      </c>
      <c r="D3050" s="1" t="str">
        <f>"8028753775"</f>
        <v>8028753775</v>
      </c>
      <c r="E3050" s="1">
        <v>2887.0</v>
      </c>
      <c r="F3050" s="1" t="s">
        <v>117</v>
      </c>
      <c r="G3050" s="1" t="s">
        <v>12755</v>
      </c>
      <c r="H3050" s="1">
        <v>2.0</v>
      </c>
      <c r="I3050" s="2">
        <v>0.0</v>
      </c>
      <c r="J3050" s="2">
        <v>0.0</v>
      </c>
      <c r="K3050" s="2" t="s">
        <v>119</v>
      </c>
      <c r="L3050" s="2" t="s">
        <v>4799</v>
      </c>
      <c r="M3050" s="1">
        <v>1.0</v>
      </c>
      <c r="N3050" s="1" t="s">
        <v>34</v>
      </c>
      <c r="O3050" s="1" t="s">
        <v>5592</v>
      </c>
      <c r="P3050" s="1" t="s">
        <v>12756</v>
      </c>
      <c r="Q3050" s="3">
        <v>42171.0</v>
      </c>
      <c r="R3050" s="1"/>
      <c r="S3050" s="3">
        <v>42904.0</v>
      </c>
      <c r="T3050" s="1" t="s">
        <v>37</v>
      </c>
      <c r="U3050" s="1"/>
      <c r="V3050" s="1" t="s">
        <v>38</v>
      </c>
      <c r="W3050" s="1">
        <v>43.3163208887285</v>
      </c>
      <c r="X3050" s="1">
        <v>-72.7040863037109</v>
      </c>
      <c r="Y3050" s="1" t="s">
        <v>12757</v>
      </c>
      <c r="Z3050" s="1"/>
      <c r="AA3050" s="1" t="s">
        <v>40</v>
      </c>
      <c r="AB3050" s="1" t="s">
        <v>5595</v>
      </c>
      <c r="AC3050" s="1">
        <v>5143.0</v>
      </c>
    </row>
    <row r="3051">
      <c r="A3051" s="1" t="str">
        <f>"000QJ5"</f>
        <v>000QJ5</v>
      </c>
      <c r="B3051" s="1" t="s">
        <v>12758</v>
      </c>
      <c r="C3051" s="1" t="s">
        <v>12759</v>
      </c>
      <c r="D3051" s="1" t="str">
        <f>"8028490544"</f>
        <v>8028490544</v>
      </c>
      <c r="E3051" s="1">
        <v>4802.0</v>
      </c>
      <c r="F3051" s="1" t="s">
        <v>117</v>
      </c>
      <c r="G3051" s="1" t="s">
        <v>12760</v>
      </c>
      <c r="H3051" s="1">
        <v>2.0</v>
      </c>
      <c r="I3051" s="2">
        <v>4.0</v>
      </c>
      <c r="J3051" s="2">
        <v>0.0</v>
      </c>
      <c r="K3051" s="2" t="s">
        <v>119</v>
      </c>
      <c r="L3051" s="1"/>
      <c r="M3051" s="1" t="s">
        <v>12761</v>
      </c>
      <c r="N3051" s="1" t="s">
        <v>47</v>
      </c>
      <c r="O3051" s="1" t="s">
        <v>378</v>
      </c>
      <c r="P3051" s="1" t="s">
        <v>12762</v>
      </c>
      <c r="Q3051" s="3">
        <v>42171.0</v>
      </c>
      <c r="R3051" s="1"/>
      <c r="S3051" s="1"/>
      <c r="T3051" s="1" t="s">
        <v>37</v>
      </c>
      <c r="U3051" s="1"/>
      <c r="V3051" s="1" t="s">
        <v>38</v>
      </c>
      <c r="W3051" s="1">
        <v>44.65408</v>
      </c>
      <c r="X3051" s="1">
        <v>-72.9536059</v>
      </c>
      <c r="Y3051" s="1" t="s">
        <v>12763</v>
      </c>
      <c r="Z3051" s="1"/>
      <c r="AA3051" s="1" t="s">
        <v>40</v>
      </c>
      <c r="AB3051" s="1" t="s">
        <v>381</v>
      </c>
      <c r="AC3051" s="1">
        <v>5454.0</v>
      </c>
    </row>
    <row r="3052">
      <c r="A3052" s="1" t="str">
        <f>"000NC5"</f>
        <v>000NC5</v>
      </c>
      <c r="B3052" s="1" t="s">
        <v>11729</v>
      </c>
      <c r="C3052" s="1" t="s">
        <v>11730</v>
      </c>
      <c r="D3052" s="1" t="str">
        <f>"5083305472"</f>
        <v>5083305472</v>
      </c>
      <c r="E3052" s="1">
        <v>4704.0</v>
      </c>
      <c r="F3052" s="1" t="s">
        <v>117</v>
      </c>
      <c r="G3052" s="1" t="s">
        <v>12764</v>
      </c>
      <c r="H3052" s="1">
        <v>1.0</v>
      </c>
      <c r="I3052" s="2">
        <v>1.0</v>
      </c>
      <c r="J3052" s="2" t="s">
        <v>119</v>
      </c>
      <c r="K3052" s="2" t="s">
        <v>119</v>
      </c>
      <c r="L3052" s="2"/>
      <c r="M3052" s="1">
        <v>2.0</v>
      </c>
      <c r="N3052" s="1" t="s">
        <v>414</v>
      </c>
      <c r="O3052" s="1" t="s">
        <v>5630</v>
      </c>
      <c r="P3052" s="1" t="s">
        <v>12765</v>
      </c>
      <c r="Q3052" s="3">
        <v>42171.0</v>
      </c>
      <c r="R3052" s="1"/>
      <c r="S3052" s="1"/>
      <c r="T3052" s="1" t="s">
        <v>37</v>
      </c>
      <c r="U3052" s="1"/>
      <c r="V3052" s="1" t="s">
        <v>38</v>
      </c>
      <c r="W3052" s="1">
        <v>42.882481</v>
      </c>
      <c r="X3052" s="1">
        <v>-73.084206</v>
      </c>
      <c r="Y3052" s="1" t="s">
        <v>12766</v>
      </c>
      <c r="Z3052" s="1"/>
      <c r="AA3052" s="1" t="s">
        <v>40</v>
      </c>
      <c r="AB3052" s="1" t="s">
        <v>5631</v>
      </c>
      <c r="AC3052" s="1">
        <v>5201.0</v>
      </c>
    </row>
    <row r="3053">
      <c r="A3053" s="1" t="str">
        <f>"000ADV"</f>
        <v>000ADV</v>
      </c>
      <c r="B3053" s="1" t="s">
        <v>12767</v>
      </c>
      <c r="C3053" s="1" t="s">
        <v>12768</v>
      </c>
      <c r="D3053" s="1" t="str">
        <f>"5174493061"</f>
        <v>5174493061</v>
      </c>
      <c r="E3053" s="1">
        <v>4141.0</v>
      </c>
      <c r="F3053" s="1" t="s">
        <v>44</v>
      </c>
      <c r="G3053" s="1" t="s">
        <v>12769</v>
      </c>
      <c r="H3053" s="1">
        <v>1.0</v>
      </c>
      <c r="I3053" s="1"/>
      <c r="J3053" s="1"/>
      <c r="K3053" s="1"/>
      <c r="L3053" s="1"/>
      <c r="M3053" s="1" t="s">
        <v>33</v>
      </c>
      <c r="N3053" s="1" t="s">
        <v>57</v>
      </c>
      <c r="O3053" s="1" t="s">
        <v>175</v>
      </c>
      <c r="P3053" s="1" t="s">
        <v>12770</v>
      </c>
      <c r="Q3053" s="3">
        <v>42171.0</v>
      </c>
      <c r="R3053" s="1"/>
      <c r="S3053" s="1"/>
      <c r="T3053" s="1" t="s">
        <v>37</v>
      </c>
      <c r="U3053" s="1"/>
      <c r="V3053" s="1" t="s">
        <v>38</v>
      </c>
      <c r="W3053" s="1">
        <v>44.4889196</v>
      </c>
      <c r="X3053" s="1">
        <v>-73.2132146</v>
      </c>
      <c r="Y3053" s="1" t="s">
        <v>12771</v>
      </c>
      <c r="Z3053" s="1"/>
      <c r="AA3053" s="1" t="s">
        <v>40</v>
      </c>
      <c r="AB3053" s="1" t="s">
        <v>176</v>
      </c>
      <c r="AC3053" s="1">
        <v>5401.0</v>
      </c>
    </row>
    <row r="3054">
      <c r="A3054" s="1" t="str">
        <f t="shared" ref="A3054:A3055" si="226">"00092V"</f>
        <v>00092V</v>
      </c>
      <c r="B3054" s="1" t="s">
        <v>2079</v>
      </c>
      <c r="C3054" s="1" t="s">
        <v>2080</v>
      </c>
      <c r="D3054" s="1" t="str">
        <f t="shared" ref="D3054:D3055" si="227">"8022763808"</f>
        <v>8022763808</v>
      </c>
      <c r="E3054" s="1">
        <v>3784.0</v>
      </c>
      <c r="F3054" s="1" t="s">
        <v>117</v>
      </c>
      <c r="G3054" s="1" t="s">
        <v>12772</v>
      </c>
      <c r="H3054" s="1">
        <v>15.0</v>
      </c>
      <c r="I3054" s="2">
        <v>4.0</v>
      </c>
      <c r="J3054" s="2">
        <v>4.0</v>
      </c>
      <c r="K3054" s="2" t="s">
        <v>119</v>
      </c>
      <c r="L3054" s="1"/>
      <c r="M3054" s="1" t="s">
        <v>12773</v>
      </c>
      <c r="N3054" s="1" t="s">
        <v>142</v>
      </c>
      <c r="O3054" s="1" t="s">
        <v>353</v>
      </c>
      <c r="P3054" s="1" t="s">
        <v>12774</v>
      </c>
      <c r="Q3054" s="3">
        <v>42172.0</v>
      </c>
      <c r="R3054" s="1"/>
      <c r="S3054" s="3">
        <v>42972.0</v>
      </c>
      <c r="T3054" s="1" t="s">
        <v>37</v>
      </c>
      <c r="U3054" s="1"/>
      <c r="V3054" s="1" t="s">
        <v>38</v>
      </c>
      <c r="W3054" s="1">
        <v>43.9906386357678</v>
      </c>
      <c r="X3054" s="1">
        <v>-72.5757902675468</v>
      </c>
      <c r="Y3054" s="1" t="s">
        <v>12775</v>
      </c>
      <c r="Z3054" s="1"/>
      <c r="AA3054" s="1" t="s">
        <v>40</v>
      </c>
      <c r="AB3054" s="1" t="s">
        <v>355</v>
      </c>
      <c r="AC3054" s="1">
        <v>5036.0</v>
      </c>
    </row>
    <row r="3055">
      <c r="A3055" s="1" t="str">
        <f t="shared" si="226"/>
        <v>00092V</v>
      </c>
      <c r="B3055" s="1" t="s">
        <v>2079</v>
      </c>
      <c r="C3055" s="1" t="s">
        <v>2080</v>
      </c>
      <c r="D3055" s="1" t="str">
        <f t="shared" si="227"/>
        <v>8022763808</v>
      </c>
      <c r="E3055" s="1">
        <v>3784.0</v>
      </c>
      <c r="F3055" s="1" t="s">
        <v>117</v>
      </c>
      <c r="G3055" s="1" t="s">
        <v>12776</v>
      </c>
      <c r="H3055" s="1">
        <v>2.0</v>
      </c>
      <c r="I3055" s="2">
        <v>1.0</v>
      </c>
      <c r="J3055" s="2">
        <v>1.0</v>
      </c>
      <c r="K3055" s="2" t="s">
        <v>119</v>
      </c>
      <c r="L3055" s="1"/>
      <c r="M3055" s="1" t="s">
        <v>12777</v>
      </c>
      <c r="N3055" s="1" t="s">
        <v>142</v>
      </c>
      <c r="O3055" s="1" t="s">
        <v>353</v>
      </c>
      <c r="P3055" s="1" t="s">
        <v>12778</v>
      </c>
      <c r="Q3055" s="3">
        <v>42172.0</v>
      </c>
      <c r="R3055" s="1"/>
      <c r="S3055" s="1"/>
      <c r="T3055" s="1" t="s">
        <v>37</v>
      </c>
      <c r="U3055" s="1"/>
      <c r="V3055" s="1" t="s">
        <v>38</v>
      </c>
      <c r="W3055" s="1">
        <v>44.019032</v>
      </c>
      <c r="X3055" s="1">
        <v>-72.5987883999999</v>
      </c>
      <c r="Y3055" s="1" t="s">
        <v>12779</v>
      </c>
      <c r="Z3055" s="1"/>
      <c r="AA3055" s="1" t="s">
        <v>40</v>
      </c>
      <c r="AB3055" s="1" t="s">
        <v>355</v>
      </c>
      <c r="AC3055" s="1">
        <v>5036.0</v>
      </c>
    </row>
    <row r="3056">
      <c r="A3056" s="1" t="str">
        <f>"0007DJ"</f>
        <v>0007DJ</v>
      </c>
      <c r="B3056" s="1" t="s">
        <v>5582</v>
      </c>
      <c r="C3056" s="1" t="s">
        <v>5583</v>
      </c>
      <c r="D3056" s="1" t="str">
        <f>"8023494279"</f>
        <v>8023494279</v>
      </c>
      <c r="E3056" s="1">
        <v>2870.0</v>
      </c>
      <c r="F3056" s="1" t="s">
        <v>117</v>
      </c>
      <c r="G3056" s="1" t="s">
        <v>12780</v>
      </c>
      <c r="H3056" s="1">
        <v>11.0</v>
      </c>
      <c r="I3056" s="2">
        <v>7.0</v>
      </c>
      <c r="J3056" s="2">
        <v>4.0</v>
      </c>
      <c r="K3056" s="2" t="s">
        <v>119</v>
      </c>
      <c r="L3056" s="1"/>
      <c r="M3056" s="1" t="s">
        <v>12781</v>
      </c>
      <c r="N3056" s="1" t="s">
        <v>161</v>
      </c>
      <c r="O3056" s="1" t="s">
        <v>943</v>
      </c>
      <c r="P3056" s="1" t="s">
        <v>12782</v>
      </c>
      <c r="Q3056" s="3">
        <v>42173.0</v>
      </c>
      <c r="R3056" s="1"/>
      <c r="S3056" s="3">
        <v>42171.0</v>
      </c>
      <c r="T3056" s="1" t="s">
        <v>37</v>
      </c>
      <c r="U3056" s="1"/>
      <c r="V3056" s="1" t="s">
        <v>38</v>
      </c>
      <c r="W3056" s="1">
        <v>44.0418460167626</v>
      </c>
      <c r="X3056" s="1">
        <v>-73.106449842453</v>
      </c>
      <c r="Y3056" s="1" t="s">
        <v>12783</v>
      </c>
      <c r="Z3056" s="1"/>
      <c r="AA3056" s="1" t="s">
        <v>40</v>
      </c>
      <c r="AB3056" s="1" t="s">
        <v>945</v>
      </c>
      <c r="AC3056" s="1">
        <v>5753.0</v>
      </c>
    </row>
    <row r="3057">
      <c r="A3057" s="1" t="str">
        <f>"00088W"</f>
        <v>00088W</v>
      </c>
      <c r="B3057" s="1" t="s">
        <v>12784</v>
      </c>
      <c r="C3057" s="1" t="s">
        <v>12785</v>
      </c>
      <c r="D3057" s="1" t="str">
        <f>"8024538494"</f>
        <v>8024538494</v>
      </c>
      <c r="E3057" s="1">
        <v>3702.0</v>
      </c>
      <c r="F3057" s="1" t="s">
        <v>31</v>
      </c>
      <c r="G3057" s="1" t="s">
        <v>12786</v>
      </c>
      <c r="H3057" s="1">
        <v>2.0</v>
      </c>
      <c r="I3057" s="1"/>
      <c r="J3057" s="1"/>
      <c r="K3057" s="1"/>
      <c r="L3057" s="1"/>
      <c r="M3057" s="1"/>
      <c r="N3057" s="1" t="s">
        <v>161</v>
      </c>
      <c r="O3057" s="1" t="s">
        <v>185</v>
      </c>
      <c r="P3057" s="1" t="s">
        <v>12787</v>
      </c>
      <c r="Q3057" s="3">
        <v>42174.0</v>
      </c>
      <c r="R3057" s="1"/>
      <c r="S3057" s="1"/>
      <c r="T3057" s="1" t="s">
        <v>37</v>
      </c>
      <c r="U3057" s="1"/>
      <c r="V3057" s="1" t="s">
        <v>38</v>
      </c>
      <c r="W3057" s="1">
        <v>44.143444</v>
      </c>
      <c r="X3057" s="1">
        <v>-73.2053909999999</v>
      </c>
      <c r="Y3057" s="1" t="s">
        <v>12788</v>
      </c>
      <c r="Z3057" s="1"/>
      <c r="AA3057" s="1" t="s">
        <v>40</v>
      </c>
      <c r="AB3057" s="1" t="s">
        <v>186</v>
      </c>
      <c r="AC3057" s="1">
        <v>5472.0</v>
      </c>
    </row>
    <row r="3058">
      <c r="A3058" s="1" t="str">
        <f>"000QVP"</f>
        <v>000QVP</v>
      </c>
      <c r="B3058" s="1" t="s">
        <v>12789</v>
      </c>
      <c r="C3058" s="1" t="s">
        <v>12790</v>
      </c>
      <c r="D3058" s="1" t="str">
        <f>"2072740645"</f>
        <v>2072740645</v>
      </c>
      <c r="E3058" s="1">
        <v>4885.0</v>
      </c>
      <c r="F3058" s="1" t="s">
        <v>31</v>
      </c>
      <c r="G3058" s="1" t="s">
        <v>12791</v>
      </c>
      <c r="H3058" s="1">
        <v>1.0</v>
      </c>
      <c r="I3058" s="1"/>
      <c r="J3058" s="1"/>
      <c r="K3058" s="1"/>
      <c r="L3058" s="1"/>
      <c r="M3058" s="1" t="s">
        <v>33</v>
      </c>
      <c r="N3058" s="1" t="s">
        <v>128</v>
      </c>
      <c r="O3058" s="1" t="s">
        <v>1707</v>
      </c>
      <c r="P3058" s="1" t="s">
        <v>12792</v>
      </c>
      <c r="Q3058" s="3">
        <v>42174.0</v>
      </c>
      <c r="R3058" s="1"/>
      <c r="S3058" s="1"/>
      <c r="T3058" s="1" t="s">
        <v>37</v>
      </c>
      <c r="U3058" s="1"/>
      <c r="V3058" s="1" t="s">
        <v>38</v>
      </c>
      <c r="W3058" s="1">
        <v>44.414536</v>
      </c>
      <c r="X3058" s="1">
        <v>-72.044441</v>
      </c>
      <c r="Y3058" s="1" t="s">
        <v>12793</v>
      </c>
      <c r="Z3058" s="1"/>
      <c r="AA3058" s="1" t="s">
        <v>40</v>
      </c>
      <c r="AB3058" s="1" t="s">
        <v>12794</v>
      </c>
      <c r="AC3058" s="1" t="s">
        <v>12795</v>
      </c>
    </row>
    <row r="3059">
      <c r="A3059" s="1" t="str">
        <f t="shared" ref="A3059:A3060" si="228">"0008GW"</f>
        <v>0008GW</v>
      </c>
      <c r="B3059" s="1" t="s">
        <v>7467</v>
      </c>
      <c r="C3059" s="1" t="s">
        <v>7468</v>
      </c>
      <c r="D3059" s="1" t="str">
        <f t="shared" ref="D3059:D3060" si="229">"8027734886"</f>
        <v>8027734886</v>
      </c>
      <c r="E3059" s="1">
        <v>2725.0</v>
      </c>
      <c r="F3059" s="1" t="s">
        <v>117</v>
      </c>
      <c r="G3059" s="1" t="s">
        <v>12796</v>
      </c>
      <c r="H3059" s="1">
        <v>15.0</v>
      </c>
      <c r="I3059" s="2" t="s">
        <v>119</v>
      </c>
      <c r="J3059" s="2" t="s">
        <v>119</v>
      </c>
      <c r="K3059" s="2" t="s">
        <v>119</v>
      </c>
      <c r="L3059" s="1"/>
      <c r="M3059" s="1" t="s">
        <v>12797</v>
      </c>
      <c r="N3059" s="1" t="s">
        <v>78</v>
      </c>
      <c r="O3059" s="1" t="s">
        <v>855</v>
      </c>
      <c r="P3059" s="1" t="s">
        <v>12798</v>
      </c>
      <c r="Q3059" s="3">
        <v>42174.0</v>
      </c>
      <c r="R3059" s="1"/>
      <c r="S3059" s="3">
        <v>42236.0</v>
      </c>
      <c r="T3059" s="1" t="s">
        <v>37</v>
      </c>
      <c r="U3059" s="1"/>
      <c r="V3059" s="1" t="s">
        <v>38</v>
      </c>
      <c r="W3059" s="1">
        <v>43.6560896336699</v>
      </c>
      <c r="X3059" s="1">
        <v>-73.1341838836669</v>
      </c>
      <c r="Y3059" s="1" t="s">
        <v>12799</v>
      </c>
      <c r="Z3059" s="1"/>
      <c r="AA3059" s="1" t="s">
        <v>40</v>
      </c>
      <c r="AB3059" s="1" t="s">
        <v>857</v>
      </c>
      <c r="AC3059" s="1">
        <v>5735.0</v>
      </c>
    </row>
    <row r="3060">
      <c r="A3060" s="1" t="str">
        <f t="shared" si="228"/>
        <v>0008GW</v>
      </c>
      <c r="B3060" s="1" t="s">
        <v>7467</v>
      </c>
      <c r="C3060" s="1" t="s">
        <v>7468</v>
      </c>
      <c r="D3060" s="1" t="str">
        <f t="shared" si="229"/>
        <v>8027734886</v>
      </c>
      <c r="E3060" s="1">
        <v>2725.0</v>
      </c>
      <c r="F3060" s="1" t="s">
        <v>117</v>
      </c>
      <c r="G3060" s="1" t="s">
        <v>12800</v>
      </c>
      <c r="H3060" s="1">
        <v>15.0</v>
      </c>
      <c r="I3060" s="2" t="s">
        <v>119</v>
      </c>
      <c r="J3060" s="2" t="s">
        <v>119</v>
      </c>
      <c r="K3060" s="2" t="s">
        <v>119</v>
      </c>
      <c r="L3060" s="1"/>
      <c r="M3060" s="1" t="s">
        <v>12801</v>
      </c>
      <c r="N3060" s="1" t="s">
        <v>78</v>
      </c>
      <c r="O3060" s="1" t="s">
        <v>6011</v>
      </c>
      <c r="P3060" s="1" t="s">
        <v>12802</v>
      </c>
      <c r="Q3060" s="3">
        <v>42174.0</v>
      </c>
      <c r="R3060" s="1"/>
      <c r="S3060" s="3">
        <v>42236.0</v>
      </c>
      <c r="T3060" s="1" t="s">
        <v>37</v>
      </c>
      <c r="U3060" s="1"/>
      <c r="V3060" s="1" t="s">
        <v>38</v>
      </c>
      <c r="W3060" s="1">
        <v>43.60478627134</v>
      </c>
      <c r="X3060" s="1">
        <v>-73.0388367176055</v>
      </c>
      <c r="Y3060" s="1" t="s">
        <v>12803</v>
      </c>
      <c r="Z3060" s="1"/>
      <c r="AA3060" s="1" t="s">
        <v>40</v>
      </c>
      <c r="AB3060" s="1" t="s">
        <v>6012</v>
      </c>
      <c r="AC3060" s="1">
        <v>5735.0</v>
      </c>
    </row>
    <row r="3061">
      <c r="A3061" s="1" t="str">
        <f>"000QVV"</f>
        <v>000QVV</v>
      </c>
      <c r="B3061" s="1" t="s">
        <v>12804</v>
      </c>
      <c r="C3061" s="1" t="s">
        <v>12805</v>
      </c>
      <c r="D3061" s="1" t="str">
        <f>"8023432223"</f>
        <v>8023432223</v>
      </c>
      <c r="E3061" s="1">
        <v>4886.0</v>
      </c>
      <c r="F3061" s="1" t="s">
        <v>117</v>
      </c>
      <c r="G3061" s="1" t="s">
        <v>12806</v>
      </c>
      <c r="H3061" s="1">
        <v>9.0</v>
      </c>
      <c r="I3061" s="2">
        <v>4.0</v>
      </c>
      <c r="J3061" s="2">
        <v>1.0</v>
      </c>
      <c r="K3061" s="2" t="s">
        <v>829</v>
      </c>
      <c r="L3061" s="1"/>
      <c r="M3061" s="1" t="s">
        <v>307</v>
      </c>
      <c r="N3061" s="1" t="s">
        <v>161</v>
      </c>
      <c r="O3061" s="1" t="s">
        <v>394</v>
      </c>
      <c r="P3061" s="1" t="s">
        <v>12807</v>
      </c>
      <c r="Q3061" s="3">
        <v>42174.0</v>
      </c>
      <c r="R3061" s="1"/>
      <c r="S3061" s="1"/>
      <c r="T3061" s="1" t="s">
        <v>37</v>
      </c>
      <c r="U3061" s="1"/>
      <c r="V3061" s="1" t="s">
        <v>38</v>
      </c>
      <c r="W3061" s="1">
        <v>44.205071</v>
      </c>
      <c r="X3061" s="1">
        <v>-73.1050394999999</v>
      </c>
      <c r="Y3061" s="1" t="s">
        <v>12808</v>
      </c>
      <c r="Z3061" s="1"/>
      <c r="AA3061" s="1" t="s">
        <v>40</v>
      </c>
      <c r="AB3061" s="1" t="s">
        <v>308</v>
      </c>
      <c r="AC3061" s="1">
        <v>5443.0</v>
      </c>
    </row>
    <row r="3062">
      <c r="A3062" s="1" t="str">
        <f>"000GAC"</f>
        <v>000GAC</v>
      </c>
      <c r="B3062" s="1" t="s">
        <v>12809</v>
      </c>
      <c r="C3062" s="1" t="s">
        <v>12810</v>
      </c>
      <c r="D3062" s="1" t="str">
        <f>"8023634640"</f>
        <v>8023634640</v>
      </c>
      <c r="E3062" s="1">
        <v>4261.0</v>
      </c>
      <c r="F3062" s="1" t="s">
        <v>117</v>
      </c>
      <c r="G3062" s="1" t="s">
        <v>12811</v>
      </c>
      <c r="H3062" s="1">
        <v>4.0</v>
      </c>
      <c r="I3062" s="2">
        <v>2.0</v>
      </c>
      <c r="J3062" s="2">
        <v>2.0</v>
      </c>
      <c r="K3062" s="2" t="s">
        <v>119</v>
      </c>
      <c r="L3062" s="1"/>
      <c r="M3062" s="1" t="s">
        <v>12812</v>
      </c>
      <c r="N3062" s="1" t="s">
        <v>107</v>
      </c>
      <c r="O3062" s="1" t="s">
        <v>2665</v>
      </c>
      <c r="P3062" s="1" t="s">
        <v>12812</v>
      </c>
      <c r="Q3062" s="3">
        <v>42174.0</v>
      </c>
      <c r="R3062" s="1"/>
      <c r="S3062" s="1"/>
      <c r="T3062" s="1" t="s">
        <v>37</v>
      </c>
      <c r="U3062" s="1"/>
      <c r="V3062" s="1" t="s">
        <v>38</v>
      </c>
      <c r="W3062" s="1">
        <v>44.8808942</v>
      </c>
      <c r="X3062" s="1">
        <v>-73.3364738999999</v>
      </c>
      <c r="Y3062" s="1" t="s">
        <v>12813</v>
      </c>
      <c r="Z3062" s="1"/>
      <c r="AA3062" s="1" t="s">
        <v>40</v>
      </c>
      <c r="AB3062" s="1" t="s">
        <v>9690</v>
      </c>
      <c r="AC3062" s="1">
        <v>5463.0</v>
      </c>
    </row>
    <row r="3063">
      <c r="A3063" s="1" t="str">
        <f>"000QW1"</f>
        <v>000QW1</v>
      </c>
      <c r="B3063" s="1" t="s">
        <v>12814</v>
      </c>
      <c r="C3063" s="1" t="s">
        <v>12815</v>
      </c>
      <c r="D3063" s="1" t="str">
        <f>"8025789875"</f>
        <v>8025789875</v>
      </c>
      <c r="E3063" s="1">
        <v>4887.0</v>
      </c>
      <c r="F3063" s="1" t="s">
        <v>31</v>
      </c>
      <c r="G3063" s="1" t="s">
        <v>12816</v>
      </c>
      <c r="H3063" s="1">
        <v>1.0</v>
      </c>
      <c r="I3063" s="1"/>
      <c r="J3063" s="1"/>
      <c r="K3063" s="1"/>
      <c r="L3063" s="1"/>
      <c r="M3063" s="1">
        <v>1.0</v>
      </c>
      <c r="N3063" s="1" t="s">
        <v>57</v>
      </c>
      <c r="O3063" s="1" t="s">
        <v>58</v>
      </c>
      <c r="P3063" s="1" t="s">
        <v>12817</v>
      </c>
      <c r="Q3063" s="3">
        <v>42177.0</v>
      </c>
      <c r="R3063" s="1"/>
      <c r="S3063" s="1"/>
      <c r="T3063" s="1" t="s">
        <v>37</v>
      </c>
      <c r="U3063" s="1"/>
      <c r="V3063" s="1" t="s">
        <v>38</v>
      </c>
      <c r="W3063" s="1">
        <v>44.5075513</v>
      </c>
      <c r="X3063" s="1">
        <v>-72.8995688999999</v>
      </c>
      <c r="Y3063" s="1" t="s">
        <v>12818</v>
      </c>
      <c r="Z3063" s="1"/>
      <c r="AA3063" s="1" t="s">
        <v>40</v>
      </c>
      <c r="AB3063" s="1" t="s">
        <v>2337</v>
      </c>
      <c r="AC3063" s="1">
        <v>5489.0</v>
      </c>
    </row>
    <row r="3064">
      <c r="A3064" s="1" t="str">
        <f>"000KMG"</f>
        <v>000KMG</v>
      </c>
      <c r="B3064" s="1" t="s">
        <v>12819</v>
      </c>
      <c r="C3064" s="1" t="s">
        <v>12820</v>
      </c>
      <c r="D3064" s="1" t="str">
        <f>"8022724856"</f>
        <v>8022724856</v>
      </c>
      <c r="E3064" s="1">
        <v>4565.0</v>
      </c>
      <c r="F3064" s="1" t="s">
        <v>117</v>
      </c>
      <c r="G3064" s="1" t="s">
        <v>12821</v>
      </c>
      <c r="H3064" s="1">
        <v>4.0</v>
      </c>
      <c r="I3064" s="2">
        <v>5.0</v>
      </c>
      <c r="J3064" s="2">
        <v>5.0</v>
      </c>
      <c r="K3064" s="2" t="s">
        <v>119</v>
      </c>
      <c r="L3064" s="1"/>
      <c r="M3064" s="1" t="s">
        <v>136</v>
      </c>
      <c r="N3064" s="1" t="s">
        <v>135</v>
      </c>
      <c r="O3064" s="1" t="s">
        <v>136</v>
      </c>
      <c r="P3064" s="1" t="s">
        <v>12822</v>
      </c>
      <c r="Q3064" s="3">
        <v>42177.0</v>
      </c>
      <c r="R3064" s="1"/>
      <c r="S3064" s="1"/>
      <c r="T3064" s="1" t="s">
        <v>37</v>
      </c>
      <c r="U3064" s="1"/>
      <c r="V3064" s="1" t="s">
        <v>38</v>
      </c>
      <c r="W3064" s="1">
        <v>44.158641</v>
      </c>
      <c r="X3064" s="1">
        <v>-72.726452</v>
      </c>
      <c r="Y3064" s="1" t="s">
        <v>12823</v>
      </c>
      <c r="Z3064" s="1"/>
      <c r="AA3064" s="1" t="s">
        <v>40</v>
      </c>
      <c r="AB3064" s="1" t="s">
        <v>137</v>
      </c>
      <c r="AC3064" s="1">
        <v>5663.0</v>
      </c>
    </row>
    <row r="3065">
      <c r="A3065" s="1" t="str">
        <f>"000QW2"</f>
        <v>000QW2</v>
      </c>
      <c r="B3065" s="1" t="s">
        <v>12824</v>
      </c>
      <c r="C3065" s="1" t="s">
        <v>12825</v>
      </c>
      <c r="D3065" s="1" t="str">
        <f>"8025785793"</f>
        <v>8025785793</v>
      </c>
      <c r="E3065" s="1">
        <v>4888.0</v>
      </c>
      <c r="F3065" s="1" t="s">
        <v>117</v>
      </c>
      <c r="G3065" s="1" t="s">
        <v>12826</v>
      </c>
      <c r="H3065" s="1">
        <v>1.0</v>
      </c>
      <c r="I3065" s="2" t="s">
        <v>119</v>
      </c>
      <c r="J3065" s="2" t="s">
        <v>119</v>
      </c>
      <c r="K3065" s="2" t="s">
        <v>119</v>
      </c>
      <c r="L3065" s="1"/>
      <c r="M3065" s="1" t="s">
        <v>12827</v>
      </c>
      <c r="N3065" s="1" t="s">
        <v>57</v>
      </c>
      <c r="O3065" s="1" t="s">
        <v>175</v>
      </c>
      <c r="P3065" s="1" t="s">
        <v>12828</v>
      </c>
      <c r="Q3065" s="3">
        <v>42177.0</v>
      </c>
      <c r="R3065" s="1"/>
      <c r="S3065" s="3">
        <v>42556.0</v>
      </c>
      <c r="T3065" s="1" t="s">
        <v>37</v>
      </c>
      <c r="U3065" s="1"/>
      <c r="V3065" s="1" t="s">
        <v>38</v>
      </c>
      <c r="W3065" s="1">
        <v>44.4871985</v>
      </c>
      <c r="X3065" s="1">
        <v>-73.2237485</v>
      </c>
      <c r="Y3065" s="1" t="s">
        <v>12829</v>
      </c>
      <c r="Z3065" s="1"/>
      <c r="AA3065" s="1" t="s">
        <v>40</v>
      </c>
      <c r="AB3065" s="1" t="s">
        <v>176</v>
      </c>
      <c r="AC3065" s="1">
        <v>5401.0</v>
      </c>
    </row>
    <row r="3066">
      <c r="A3066" s="1" t="str">
        <f>"0007MA"</f>
        <v>0007MA</v>
      </c>
      <c r="B3066" s="1" t="s">
        <v>4071</v>
      </c>
      <c r="C3066" s="1" t="s">
        <v>4072</v>
      </c>
      <c r="D3066" s="1" t="str">
        <f>"8028772690"</f>
        <v>8028772690</v>
      </c>
      <c r="E3066" s="1">
        <v>941.0</v>
      </c>
      <c r="F3066" s="1" t="s">
        <v>117</v>
      </c>
      <c r="G3066" s="1" t="s">
        <v>12830</v>
      </c>
      <c r="H3066" s="1">
        <v>5.0</v>
      </c>
      <c r="I3066" s="2">
        <v>8.0</v>
      </c>
      <c r="J3066" s="2">
        <v>8.0</v>
      </c>
      <c r="K3066" s="2" t="s">
        <v>119</v>
      </c>
      <c r="L3066" s="1"/>
      <c r="M3066" s="1">
        <v>9.0</v>
      </c>
      <c r="N3066" s="1" t="s">
        <v>161</v>
      </c>
      <c r="O3066" s="1" t="s">
        <v>1053</v>
      </c>
      <c r="P3066" s="1" t="s">
        <v>12831</v>
      </c>
      <c r="Q3066" s="3">
        <v>42178.0</v>
      </c>
      <c r="R3066" s="1"/>
      <c r="S3066" s="1"/>
      <c r="T3066" s="1" t="s">
        <v>37</v>
      </c>
      <c r="U3066" s="1"/>
      <c r="V3066" s="1" t="s">
        <v>38</v>
      </c>
      <c r="W3066" s="1">
        <v>43.98347</v>
      </c>
      <c r="X3066" s="1">
        <v>-73.28894</v>
      </c>
      <c r="Y3066" s="1" t="s">
        <v>12832</v>
      </c>
      <c r="Z3066" s="1"/>
      <c r="AA3066" s="1" t="s">
        <v>40</v>
      </c>
      <c r="AB3066" s="1" t="s">
        <v>589</v>
      </c>
      <c r="AC3066" s="1">
        <v>5734.0</v>
      </c>
    </row>
    <row r="3067">
      <c r="A3067" s="1" t="str">
        <f t="shared" ref="A3067:A3070" si="230">"0008GQ"</f>
        <v>0008GQ</v>
      </c>
      <c r="B3067" s="1" t="s">
        <v>3445</v>
      </c>
      <c r="C3067" s="1" t="s">
        <v>3446</v>
      </c>
      <c r="D3067" s="1" t="str">
        <f t="shared" ref="D3067:D3070" si="231">"8025243805"</f>
        <v>8025243805</v>
      </c>
      <c r="E3067" s="1">
        <v>4017.0</v>
      </c>
      <c r="F3067" s="1" t="s">
        <v>117</v>
      </c>
      <c r="G3067" s="1" t="s">
        <v>12833</v>
      </c>
      <c r="H3067" s="1">
        <v>1.0</v>
      </c>
      <c r="I3067" s="2" t="s">
        <v>119</v>
      </c>
      <c r="J3067" s="2">
        <v>1.0</v>
      </c>
      <c r="K3067" s="2" t="s">
        <v>119</v>
      </c>
      <c r="L3067" s="1"/>
      <c r="M3067" s="1">
        <v>2.0</v>
      </c>
      <c r="N3067" s="1" t="s">
        <v>57</v>
      </c>
      <c r="O3067" s="1" t="s">
        <v>256</v>
      </c>
      <c r="P3067" s="1" t="s">
        <v>12834</v>
      </c>
      <c r="Q3067" s="3">
        <v>42179.0</v>
      </c>
      <c r="R3067" s="1"/>
      <c r="S3067" s="1"/>
      <c r="T3067" s="1" t="s">
        <v>37</v>
      </c>
      <c r="U3067" s="1"/>
      <c r="V3067" s="1" t="s">
        <v>38</v>
      </c>
      <c r="W3067" s="1">
        <v>44.6164417</v>
      </c>
      <c r="X3067" s="1">
        <v>-73.1003829999999</v>
      </c>
      <c r="Y3067" s="1" t="s">
        <v>1426</v>
      </c>
      <c r="Z3067" s="1"/>
      <c r="AA3067" s="1" t="s">
        <v>40</v>
      </c>
      <c r="AB3067" s="1" t="s">
        <v>12835</v>
      </c>
      <c r="AC3067" s="1">
        <v>5468.0</v>
      </c>
    </row>
    <row r="3068">
      <c r="A3068" s="1" t="str">
        <f t="shared" si="230"/>
        <v>0008GQ</v>
      </c>
      <c r="B3068" s="1" t="s">
        <v>3445</v>
      </c>
      <c r="C3068" s="1" t="s">
        <v>3446</v>
      </c>
      <c r="D3068" s="1" t="str">
        <f t="shared" si="231"/>
        <v>8025243805</v>
      </c>
      <c r="E3068" s="1">
        <v>4017.0</v>
      </c>
      <c r="F3068" s="1" t="s">
        <v>117</v>
      </c>
      <c r="G3068" s="1" t="s">
        <v>12836</v>
      </c>
      <c r="H3068" s="1">
        <v>1.0</v>
      </c>
      <c r="I3068" s="2" t="s">
        <v>119</v>
      </c>
      <c r="J3068" s="2">
        <v>1.0</v>
      </c>
      <c r="K3068" s="2" t="s">
        <v>119</v>
      </c>
      <c r="L3068" s="1"/>
      <c r="M3068" s="1">
        <v>3.0</v>
      </c>
      <c r="N3068" s="1" t="s">
        <v>57</v>
      </c>
      <c r="O3068" s="1" t="s">
        <v>256</v>
      </c>
      <c r="P3068" s="1" t="s">
        <v>12837</v>
      </c>
      <c r="Q3068" s="3">
        <v>42179.0</v>
      </c>
      <c r="R3068" s="1"/>
      <c r="S3068" s="1"/>
      <c r="T3068" s="1" t="s">
        <v>37</v>
      </c>
      <c r="U3068" s="1"/>
      <c r="V3068" s="1" t="s">
        <v>38</v>
      </c>
      <c r="W3068" s="1">
        <v>44.583651</v>
      </c>
      <c r="X3068" s="1">
        <v>-73.1268615</v>
      </c>
      <c r="Y3068" s="1" t="s">
        <v>12838</v>
      </c>
      <c r="Z3068" s="1"/>
      <c r="AA3068" s="1" t="s">
        <v>40</v>
      </c>
      <c r="AB3068" s="1" t="s">
        <v>257</v>
      </c>
      <c r="AC3068" s="1">
        <v>5468.0</v>
      </c>
    </row>
    <row r="3069">
      <c r="A3069" s="1" t="str">
        <f t="shared" si="230"/>
        <v>0008GQ</v>
      </c>
      <c r="B3069" s="1" t="s">
        <v>3445</v>
      </c>
      <c r="C3069" s="1" t="s">
        <v>3446</v>
      </c>
      <c r="D3069" s="1" t="str">
        <f t="shared" si="231"/>
        <v>8025243805</v>
      </c>
      <c r="E3069" s="1">
        <v>4017.0</v>
      </c>
      <c r="F3069" s="1" t="s">
        <v>117</v>
      </c>
      <c r="G3069" s="1" t="s">
        <v>12839</v>
      </c>
      <c r="H3069" s="1">
        <v>1.0</v>
      </c>
      <c r="I3069" s="2" t="s">
        <v>119</v>
      </c>
      <c r="J3069" s="2" t="s">
        <v>119</v>
      </c>
      <c r="K3069" s="2" t="s">
        <v>119</v>
      </c>
      <c r="L3069" s="1"/>
      <c r="M3069" s="1">
        <v>4.0</v>
      </c>
      <c r="N3069" s="1" t="s">
        <v>57</v>
      </c>
      <c r="O3069" s="1" t="s">
        <v>155</v>
      </c>
      <c r="P3069" s="1" t="s">
        <v>2467</v>
      </c>
      <c r="Q3069" s="3">
        <v>42179.0</v>
      </c>
      <c r="R3069" s="1"/>
      <c r="S3069" s="1"/>
      <c r="T3069" s="1" t="s">
        <v>37</v>
      </c>
      <c r="U3069" s="1"/>
      <c r="V3069" s="1" t="s">
        <v>38</v>
      </c>
      <c r="W3069" s="1">
        <v>44.5983349</v>
      </c>
      <c r="X3069" s="1">
        <v>-72.9977003</v>
      </c>
      <c r="Y3069" s="1" t="s">
        <v>12840</v>
      </c>
      <c r="Z3069" s="1"/>
      <c r="AA3069" s="1" t="s">
        <v>40</v>
      </c>
      <c r="AB3069" s="1" t="s">
        <v>156</v>
      </c>
      <c r="AC3069" s="1">
        <v>5494.0</v>
      </c>
    </row>
    <row r="3070">
      <c r="A3070" s="1" t="str">
        <f t="shared" si="230"/>
        <v>0008GQ</v>
      </c>
      <c r="B3070" s="1" t="s">
        <v>3445</v>
      </c>
      <c r="C3070" s="1" t="s">
        <v>3446</v>
      </c>
      <c r="D3070" s="1" t="str">
        <f t="shared" si="231"/>
        <v>8025243805</v>
      </c>
      <c r="E3070" s="1">
        <v>4017.0</v>
      </c>
      <c r="F3070" s="1" t="s">
        <v>117</v>
      </c>
      <c r="G3070" s="1" t="s">
        <v>12841</v>
      </c>
      <c r="H3070" s="1">
        <v>2.0</v>
      </c>
      <c r="I3070" s="2" t="s">
        <v>119</v>
      </c>
      <c r="J3070" s="2">
        <v>1.0</v>
      </c>
      <c r="K3070" s="2" t="s">
        <v>119</v>
      </c>
      <c r="L3070" s="1"/>
      <c r="M3070" s="1">
        <v>5.0</v>
      </c>
      <c r="N3070" s="1" t="s">
        <v>57</v>
      </c>
      <c r="O3070" s="1" t="s">
        <v>256</v>
      </c>
      <c r="P3070" s="1" t="s">
        <v>12842</v>
      </c>
      <c r="Q3070" s="3">
        <v>42179.0</v>
      </c>
      <c r="R3070" s="1"/>
      <c r="S3070" s="1"/>
      <c r="T3070" s="1" t="s">
        <v>37</v>
      </c>
      <c r="U3070" s="1"/>
      <c r="V3070" s="1" t="s">
        <v>38</v>
      </c>
      <c r="W3070" s="1">
        <v>44.6635712</v>
      </c>
      <c r="X3070" s="1">
        <v>-73.1778775</v>
      </c>
      <c r="Y3070" s="1" t="s">
        <v>12843</v>
      </c>
      <c r="Z3070" s="1"/>
      <c r="AA3070" s="1" t="s">
        <v>40</v>
      </c>
      <c r="AB3070" s="1" t="s">
        <v>257</v>
      </c>
      <c r="AC3070" s="1">
        <v>5468.0</v>
      </c>
    </row>
    <row r="3071">
      <c r="A3071" s="1" t="str">
        <f>"0007V0"</f>
        <v>0007V0</v>
      </c>
      <c r="B3071" s="1" t="s">
        <v>8109</v>
      </c>
      <c r="C3071" s="1" t="s">
        <v>8110</v>
      </c>
      <c r="D3071" s="1" t="str">
        <f>"8024623722"</f>
        <v>8024623722</v>
      </c>
      <c r="E3071" s="1">
        <v>4027.0</v>
      </c>
      <c r="F3071" s="1" t="s">
        <v>117</v>
      </c>
      <c r="G3071" s="1" t="s">
        <v>12844</v>
      </c>
      <c r="H3071" s="1">
        <v>16.0</v>
      </c>
      <c r="I3071" s="2" t="s">
        <v>119</v>
      </c>
      <c r="J3071" s="2" t="s">
        <v>119</v>
      </c>
      <c r="K3071" s="2" t="s">
        <v>119</v>
      </c>
      <c r="L3071" s="1"/>
      <c r="M3071" s="1" t="s">
        <v>12845</v>
      </c>
      <c r="N3071" s="1" t="s">
        <v>78</v>
      </c>
      <c r="O3071" s="1" t="s">
        <v>615</v>
      </c>
      <c r="P3071" s="1" t="s">
        <v>12846</v>
      </c>
      <c r="Q3071" s="3">
        <v>42179.0</v>
      </c>
      <c r="R3071" s="1"/>
      <c r="S3071" s="1"/>
      <c r="T3071" s="1" t="s">
        <v>37</v>
      </c>
      <c r="U3071" s="1"/>
      <c r="V3071" s="1" t="s">
        <v>38</v>
      </c>
      <c r="W3071" s="1">
        <v>43.515312</v>
      </c>
      <c r="X3071" s="1">
        <v>-73.2417449999999</v>
      </c>
      <c r="Y3071" s="1" t="s">
        <v>12847</v>
      </c>
      <c r="Z3071" s="1"/>
      <c r="AA3071" s="1" t="s">
        <v>40</v>
      </c>
      <c r="AB3071" s="1" t="s">
        <v>616</v>
      </c>
      <c r="AC3071" s="1">
        <v>5764.0</v>
      </c>
    </row>
    <row r="3072">
      <c r="A3072" s="1" t="str">
        <f t="shared" ref="A3072:A3074" si="232">"0007Z5"</f>
        <v>0007Z5</v>
      </c>
      <c r="B3072" s="1" t="s">
        <v>6322</v>
      </c>
      <c r="C3072" s="1" t="s">
        <v>6323</v>
      </c>
      <c r="D3072" s="1" t="str">
        <f t="shared" ref="D3072:D3074" si="233">"8026745126"</f>
        <v>8026745126</v>
      </c>
      <c r="E3072" s="1">
        <v>2834.0</v>
      </c>
      <c r="F3072" s="1" t="s">
        <v>117</v>
      </c>
      <c r="G3072" s="1" t="s">
        <v>12848</v>
      </c>
      <c r="H3072" s="1">
        <v>1.0</v>
      </c>
      <c r="I3072" s="2">
        <v>0.0</v>
      </c>
      <c r="J3072" s="2">
        <v>0.0</v>
      </c>
      <c r="K3072" s="2" t="s">
        <v>119</v>
      </c>
      <c r="L3072" s="1"/>
      <c r="M3072" s="1">
        <v>1.0</v>
      </c>
      <c r="N3072" s="1" t="s">
        <v>49</v>
      </c>
      <c r="O3072" s="1"/>
      <c r="P3072" s="1" t="s">
        <v>12849</v>
      </c>
      <c r="Q3072" s="3">
        <v>36892.0</v>
      </c>
      <c r="R3072" s="3">
        <v>42180.0</v>
      </c>
      <c r="S3072" s="3">
        <v>40347.0</v>
      </c>
      <c r="T3072" s="1" t="s">
        <v>37</v>
      </c>
      <c r="U3072" s="1"/>
      <c r="V3072" s="1" t="s">
        <v>38</v>
      </c>
      <c r="W3072" s="1">
        <v>43.475388</v>
      </c>
      <c r="X3072" s="1">
        <v>-72.403389</v>
      </c>
      <c r="Y3072" s="1" t="s">
        <v>12850</v>
      </c>
      <c r="Z3072" s="1"/>
      <c r="AA3072" s="1" t="s">
        <v>40</v>
      </c>
      <c r="AB3072" s="1" t="s">
        <v>34</v>
      </c>
      <c r="AC3072" s="1">
        <v>5089.0</v>
      </c>
    </row>
    <row r="3073">
      <c r="A3073" s="1" t="str">
        <f t="shared" si="232"/>
        <v>0007Z5</v>
      </c>
      <c r="B3073" s="1" t="s">
        <v>6322</v>
      </c>
      <c r="C3073" s="1" t="s">
        <v>6323</v>
      </c>
      <c r="D3073" s="1" t="str">
        <f t="shared" si="233"/>
        <v>8026745126</v>
      </c>
      <c r="E3073" s="1">
        <v>2834.0</v>
      </c>
      <c r="F3073" s="1" t="s">
        <v>117</v>
      </c>
      <c r="G3073" s="1" t="s">
        <v>12851</v>
      </c>
      <c r="H3073" s="1">
        <v>1.0</v>
      </c>
      <c r="I3073" s="2" t="s">
        <v>119</v>
      </c>
      <c r="J3073" s="2">
        <v>1.0</v>
      </c>
      <c r="K3073" s="2" t="s">
        <v>119</v>
      </c>
      <c r="L3073" s="1"/>
      <c r="M3073" s="1">
        <v>4.0</v>
      </c>
      <c r="N3073" s="1" t="s">
        <v>34</v>
      </c>
      <c r="O3073" s="1" t="s">
        <v>1870</v>
      </c>
      <c r="P3073" s="1" t="s">
        <v>12852</v>
      </c>
      <c r="Q3073" s="3">
        <v>42180.0</v>
      </c>
      <c r="R3073" s="1"/>
      <c r="S3073" s="1"/>
      <c r="T3073" s="1" t="s">
        <v>37</v>
      </c>
      <c r="U3073" s="1"/>
      <c r="V3073" s="1" t="s">
        <v>38</v>
      </c>
      <c r="W3073" s="1"/>
      <c r="X3073" s="1"/>
      <c r="Y3073" s="1" t="s">
        <v>2083</v>
      </c>
      <c r="Z3073" s="1"/>
      <c r="AA3073" s="1" t="s">
        <v>40</v>
      </c>
      <c r="AB3073" s="1" t="s">
        <v>5328</v>
      </c>
      <c r="AC3073" s="1">
        <v>0.0</v>
      </c>
    </row>
    <row r="3074">
      <c r="A3074" s="1" t="str">
        <f t="shared" si="232"/>
        <v>0007Z5</v>
      </c>
      <c r="B3074" s="1" t="s">
        <v>6322</v>
      </c>
      <c r="C3074" s="1" t="s">
        <v>6323</v>
      </c>
      <c r="D3074" s="1" t="str">
        <f t="shared" si="233"/>
        <v>8026745126</v>
      </c>
      <c r="E3074" s="1">
        <v>2834.0</v>
      </c>
      <c r="F3074" s="1" t="s">
        <v>117</v>
      </c>
      <c r="G3074" s="1" t="s">
        <v>12853</v>
      </c>
      <c r="H3074" s="1">
        <v>1.0</v>
      </c>
      <c r="I3074" s="2" t="s">
        <v>119</v>
      </c>
      <c r="J3074" s="2">
        <v>2.0</v>
      </c>
      <c r="K3074" s="2" t="s">
        <v>119</v>
      </c>
      <c r="L3074" s="1"/>
      <c r="M3074" s="1">
        <v>5.0</v>
      </c>
      <c r="N3074" s="1" t="s">
        <v>34</v>
      </c>
      <c r="O3074" s="1" t="s">
        <v>1085</v>
      </c>
      <c r="P3074" s="1" t="s">
        <v>12854</v>
      </c>
      <c r="Q3074" s="3">
        <v>42180.0</v>
      </c>
      <c r="R3074" s="1"/>
      <c r="S3074" s="1"/>
      <c r="T3074" s="1" t="s">
        <v>37</v>
      </c>
      <c r="U3074" s="1"/>
      <c r="V3074" s="1" t="s">
        <v>38</v>
      </c>
      <c r="W3074" s="1">
        <v>43.4099948</v>
      </c>
      <c r="X3074" s="1">
        <v>-72.4051941999999</v>
      </c>
      <c r="Y3074" s="1" t="s">
        <v>12855</v>
      </c>
      <c r="Z3074" s="1"/>
      <c r="AA3074" s="1" t="s">
        <v>40</v>
      </c>
      <c r="AB3074" s="1" t="s">
        <v>12856</v>
      </c>
      <c r="AC3074" s="1">
        <v>5089.0</v>
      </c>
    </row>
    <row r="3075">
      <c r="A3075" s="1" t="str">
        <f>"000916"</f>
        <v>000916</v>
      </c>
      <c r="B3075" s="1" t="s">
        <v>12857</v>
      </c>
      <c r="C3075" s="1" t="s">
        <v>12858</v>
      </c>
      <c r="D3075" s="1" t="str">
        <f>"8028648264"</f>
        <v>8028648264</v>
      </c>
      <c r="E3075" s="1">
        <v>3848.0</v>
      </c>
      <c r="F3075" s="1" t="s">
        <v>44</v>
      </c>
      <c r="G3075" s="1" t="s">
        <v>12859</v>
      </c>
      <c r="H3075" s="1">
        <v>1.0</v>
      </c>
      <c r="I3075" s="2" t="s">
        <v>119</v>
      </c>
      <c r="J3075" s="2" t="s">
        <v>119</v>
      </c>
      <c r="K3075" s="2" t="s">
        <v>119</v>
      </c>
      <c r="L3075" s="1"/>
      <c r="M3075" s="1">
        <v>1.0</v>
      </c>
      <c r="N3075" s="1" t="s">
        <v>57</v>
      </c>
      <c r="O3075" s="1" t="s">
        <v>559</v>
      </c>
      <c r="P3075" s="1" t="s">
        <v>12860</v>
      </c>
      <c r="Q3075" s="3">
        <v>42180.0</v>
      </c>
      <c r="R3075" s="1"/>
      <c r="S3075" s="1"/>
      <c r="T3075" s="1" t="s">
        <v>37</v>
      </c>
      <c r="U3075" s="1"/>
      <c r="V3075" s="1" t="s">
        <v>38</v>
      </c>
      <c r="W3075" s="1">
        <v>44.533757</v>
      </c>
      <c r="X3075" s="1">
        <v>-73.2448289999999</v>
      </c>
      <c r="Y3075" s="1" t="s">
        <v>12861</v>
      </c>
      <c r="Z3075" s="1"/>
      <c r="AA3075" s="1" t="s">
        <v>40</v>
      </c>
      <c r="AB3075" s="1" t="s">
        <v>560</v>
      </c>
      <c r="AC3075" s="1">
        <v>5446.0</v>
      </c>
    </row>
    <row r="3076">
      <c r="A3076" s="1" t="str">
        <f>"0007BD"</f>
        <v>0007BD</v>
      </c>
      <c r="B3076" s="1" t="s">
        <v>5890</v>
      </c>
      <c r="C3076" s="1" t="s">
        <v>5891</v>
      </c>
      <c r="D3076" s="1" t="str">
        <f>"8023875150"</f>
        <v>8023875150</v>
      </c>
      <c r="E3076" s="1">
        <v>2441.0</v>
      </c>
      <c r="F3076" s="1" t="s">
        <v>117</v>
      </c>
      <c r="G3076" s="1" t="s">
        <v>12862</v>
      </c>
      <c r="H3076" s="1">
        <v>14.0</v>
      </c>
      <c r="I3076" s="2" t="s">
        <v>119</v>
      </c>
      <c r="J3076" s="2">
        <v>0.0</v>
      </c>
      <c r="K3076" s="2" t="s">
        <v>119</v>
      </c>
      <c r="L3076" s="2" t="s">
        <v>5893</v>
      </c>
      <c r="M3076" s="1" t="s">
        <v>12863</v>
      </c>
      <c r="N3076" s="1" t="s">
        <v>66</v>
      </c>
      <c r="O3076" s="1" t="s">
        <v>113</v>
      </c>
      <c r="P3076" s="1" t="s">
        <v>12864</v>
      </c>
      <c r="Q3076" s="3">
        <v>36892.0</v>
      </c>
      <c r="R3076" s="1"/>
      <c r="S3076" s="3">
        <v>36307.0</v>
      </c>
      <c r="T3076" s="1" t="s">
        <v>37</v>
      </c>
      <c r="U3076" s="1"/>
      <c r="V3076" s="1" t="s">
        <v>38</v>
      </c>
      <c r="W3076" s="1">
        <v>43.069246</v>
      </c>
      <c r="X3076" s="1">
        <v>-72.5578678</v>
      </c>
      <c r="Y3076" s="1" t="s">
        <v>2083</v>
      </c>
      <c r="Z3076" s="1"/>
      <c r="AA3076" s="1" t="s">
        <v>40</v>
      </c>
      <c r="AB3076" s="1"/>
      <c r="AC3076" s="1">
        <v>0.0</v>
      </c>
    </row>
    <row r="3077">
      <c r="A3077" s="1" t="str">
        <f>"000QWJ"</f>
        <v>000QWJ</v>
      </c>
      <c r="B3077" s="1" t="s">
        <v>8647</v>
      </c>
      <c r="C3077" s="1" t="s">
        <v>12865</v>
      </c>
      <c r="D3077" s="1" t="str">
        <f>"8024764847"</f>
        <v>8024764847</v>
      </c>
      <c r="E3077" s="1">
        <v>4889.0</v>
      </c>
      <c r="F3077" s="1" t="s">
        <v>44</v>
      </c>
      <c r="G3077" s="1" t="s">
        <v>12866</v>
      </c>
      <c r="H3077" s="1">
        <v>2.0</v>
      </c>
      <c r="I3077" s="1"/>
      <c r="J3077" s="1"/>
      <c r="K3077" s="1"/>
      <c r="L3077" s="1"/>
      <c r="M3077" s="1" t="s">
        <v>33</v>
      </c>
      <c r="N3077" s="1" t="s">
        <v>135</v>
      </c>
      <c r="O3077" s="1" t="s">
        <v>343</v>
      </c>
      <c r="P3077" s="1" t="s">
        <v>12867</v>
      </c>
      <c r="Q3077" s="3">
        <v>42181.0</v>
      </c>
      <c r="R3077" s="1"/>
      <c r="S3077" s="1"/>
      <c r="T3077" s="1" t="s">
        <v>37</v>
      </c>
      <c r="U3077" s="1"/>
      <c r="V3077" s="1" t="s">
        <v>38</v>
      </c>
      <c r="W3077" s="1">
        <v>44.186306</v>
      </c>
      <c r="X3077" s="1">
        <v>-72.4760509999999</v>
      </c>
      <c r="Y3077" s="1" t="s">
        <v>12868</v>
      </c>
      <c r="Z3077" s="1"/>
      <c r="AA3077" s="1" t="s">
        <v>40</v>
      </c>
      <c r="AB3077" s="1" t="s">
        <v>4019</v>
      </c>
      <c r="AC3077" s="1">
        <v>5641.0</v>
      </c>
    </row>
    <row r="3078">
      <c r="A3078" s="1" t="str">
        <f>"000QWK"</f>
        <v>000QWK</v>
      </c>
      <c r="B3078" s="1" t="s">
        <v>12869</v>
      </c>
      <c r="C3078" s="1" t="s">
        <v>12870</v>
      </c>
      <c r="D3078" s="1"/>
      <c r="E3078" s="1">
        <v>4890.0</v>
      </c>
      <c r="F3078" s="1" t="s">
        <v>117</v>
      </c>
      <c r="G3078" s="1" t="s">
        <v>12871</v>
      </c>
      <c r="H3078" s="1">
        <v>2.0</v>
      </c>
      <c r="I3078" s="2">
        <v>2.0</v>
      </c>
      <c r="J3078" s="2">
        <v>2.0</v>
      </c>
      <c r="K3078" s="2">
        <v>0.0</v>
      </c>
      <c r="L3078" s="1"/>
      <c r="M3078" s="1" t="s">
        <v>1154</v>
      </c>
      <c r="N3078" s="1" t="s">
        <v>213</v>
      </c>
      <c r="O3078" s="1" t="s">
        <v>1154</v>
      </c>
      <c r="P3078" s="1" t="s">
        <v>12872</v>
      </c>
      <c r="Q3078" s="3">
        <v>42181.0</v>
      </c>
      <c r="R3078" s="1"/>
      <c r="S3078" s="1"/>
      <c r="T3078" s="1" t="s">
        <v>37</v>
      </c>
      <c r="U3078" s="1"/>
      <c r="V3078" s="1" t="s">
        <v>38</v>
      </c>
      <c r="W3078" s="1">
        <v>44.635952</v>
      </c>
      <c r="X3078" s="1">
        <v>-72.6805398999999</v>
      </c>
      <c r="Y3078" s="1" t="s">
        <v>12873</v>
      </c>
      <c r="Z3078" s="1"/>
      <c r="AA3078" s="1" t="s">
        <v>40</v>
      </c>
      <c r="AB3078" s="1" t="s">
        <v>1155</v>
      </c>
      <c r="AC3078" s="1">
        <v>5656.0</v>
      </c>
    </row>
    <row r="3079">
      <c r="A3079" s="1" t="str">
        <f>"0008DQ"</f>
        <v>0008DQ</v>
      </c>
      <c r="B3079" s="1" t="s">
        <v>5645</v>
      </c>
      <c r="C3079" s="1" t="s">
        <v>5646</v>
      </c>
      <c r="D3079" s="1" t="str">
        <f>"8027483034"</f>
        <v>8027483034</v>
      </c>
      <c r="E3079" s="1">
        <v>3979.0</v>
      </c>
      <c r="F3079" s="1" t="s">
        <v>117</v>
      </c>
      <c r="G3079" s="1" t="s">
        <v>12874</v>
      </c>
      <c r="H3079" s="1">
        <v>1.0</v>
      </c>
      <c r="I3079" s="2">
        <v>1.0</v>
      </c>
      <c r="J3079" s="2">
        <v>1.0</v>
      </c>
      <c r="K3079" s="2" t="s">
        <v>119</v>
      </c>
      <c r="L3079" s="1"/>
      <c r="M3079" s="1">
        <v>5.0</v>
      </c>
      <c r="N3079" s="1" t="s">
        <v>128</v>
      </c>
      <c r="O3079" s="1" t="s">
        <v>337</v>
      </c>
      <c r="P3079" s="1" t="s">
        <v>5649</v>
      </c>
      <c r="Q3079" s="3">
        <v>42181.0</v>
      </c>
      <c r="R3079" s="1"/>
      <c r="S3079" s="1"/>
      <c r="T3079" s="1" t="s">
        <v>37</v>
      </c>
      <c r="U3079" s="1"/>
      <c r="V3079" s="1" t="s">
        <v>38</v>
      </c>
      <c r="W3079" s="1">
        <v>44.543496</v>
      </c>
      <c r="X3079" s="1">
        <v>-72.030745</v>
      </c>
      <c r="Y3079" s="1" t="s">
        <v>12875</v>
      </c>
      <c r="Z3079" s="1"/>
      <c r="AA3079" s="1" t="s">
        <v>40</v>
      </c>
      <c r="AB3079" s="1" t="s">
        <v>8332</v>
      </c>
      <c r="AC3079" s="1">
        <v>5851.0</v>
      </c>
    </row>
    <row r="3080">
      <c r="A3080" s="1" t="str">
        <f>"000KM9"</f>
        <v>000KM9</v>
      </c>
      <c r="B3080" s="1" t="s">
        <v>9198</v>
      </c>
      <c r="C3080" s="1" t="s">
        <v>9199</v>
      </c>
      <c r="D3080" s="1" t="str">
        <f>"8028966518"</f>
        <v>8028966518</v>
      </c>
      <c r="E3080" s="1">
        <v>4559.0</v>
      </c>
      <c r="F3080" s="1" t="s">
        <v>31</v>
      </c>
      <c r="G3080" s="1" t="s">
        <v>12876</v>
      </c>
      <c r="H3080" s="1">
        <v>0.0</v>
      </c>
      <c r="I3080" s="1"/>
      <c r="J3080" s="1"/>
      <c r="K3080" s="1"/>
      <c r="L3080" s="1"/>
      <c r="M3080" s="1">
        <v>0.0</v>
      </c>
      <c r="N3080" s="1" t="s">
        <v>66</v>
      </c>
      <c r="O3080" s="1" t="s">
        <v>908</v>
      </c>
      <c r="P3080" s="1" t="s">
        <v>9202</v>
      </c>
      <c r="Q3080" s="3">
        <v>42185.0</v>
      </c>
      <c r="R3080" s="1"/>
      <c r="S3080" s="1"/>
      <c r="T3080" s="1" t="s">
        <v>37</v>
      </c>
      <c r="U3080" s="1"/>
      <c r="V3080" s="1" t="s">
        <v>38</v>
      </c>
      <c r="W3080" s="1">
        <v>43.036964</v>
      </c>
      <c r="X3080" s="1">
        <v>-72.8141628999999</v>
      </c>
      <c r="Y3080" s="1" t="s">
        <v>12877</v>
      </c>
      <c r="Z3080" s="1"/>
      <c r="AA3080" s="1" t="s">
        <v>40</v>
      </c>
      <c r="AB3080" s="1" t="s">
        <v>909</v>
      </c>
      <c r="AC3080" s="1">
        <v>5355.0</v>
      </c>
    </row>
    <row r="3081">
      <c r="A3081" s="1" t="str">
        <f>"000KHP"</f>
        <v>000KHP</v>
      </c>
      <c r="B3081" s="1" t="s">
        <v>10563</v>
      </c>
      <c r="C3081" s="1" t="s">
        <v>10564</v>
      </c>
      <c r="D3081" s="1" t="str">
        <f>"8022368715"</f>
        <v>8022368715</v>
      </c>
      <c r="E3081" s="1">
        <v>4529.0</v>
      </c>
      <c r="F3081" s="1" t="s">
        <v>117</v>
      </c>
      <c r="G3081" s="1" t="s">
        <v>12878</v>
      </c>
      <c r="H3081" s="1">
        <v>12.0</v>
      </c>
      <c r="I3081" s="2" t="s">
        <v>119</v>
      </c>
      <c r="J3081" s="2" t="s">
        <v>119</v>
      </c>
      <c r="K3081" s="2" t="s">
        <v>119</v>
      </c>
      <c r="L3081" s="1"/>
      <c r="M3081" s="1">
        <v>2.0</v>
      </c>
      <c r="N3081" s="1" t="s">
        <v>78</v>
      </c>
      <c r="O3081" s="1" t="s">
        <v>452</v>
      </c>
      <c r="P3081" s="1" t="s">
        <v>12879</v>
      </c>
      <c r="Q3081" s="3">
        <v>42187.0</v>
      </c>
      <c r="R3081" s="1"/>
      <c r="S3081" s="1"/>
      <c r="T3081" s="1" t="s">
        <v>37</v>
      </c>
      <c r="U3081" s="1"/>
      <c r="V3081" s="1" t="s">
        <v>38</v>
      </c>
      <c r="W3081" s="1">
        <v>43.5910018999999</v>
      </c>
      <c r="X3081" s="1">
        <v>-73.0041732999999</v>
      </c>
      <c r="Y3081" s="1" t="s">
        <v>12880</v>
      </c>
      <c r="Z3081" s="1"/>
      <c r="AA3081" s="1" t="s">
        <v>40</v>
      </c>
      <c r="AB3081" s="1" t="s">
        <v>78</v>
      </c>
      <c r="AC3081" s="1">
        <v>5763.0</v>
      </c>
    </row>
    <row r="3082">
      <c r="A3082" s="1" t="str">
        <f>"000QFV"</f>
        <v>000QFV</v>
      </c>
      <c r="B3082" s="1" t="s">
        <v>12881</v>
      </c>
      <c r="C3082" s="1" t="s">
        <v>12882</v>
      </c>
      <c r="D3082" s="1" t="str">
        <f>"8025400812"</f>
        <v>8025400812</v>
      </c>
      <c r="E3082" s="1">
        <v>4792.0</v>
      </c>
      <c r="F3082" s="1" t="s">
        <v>117</v>
      </c>
      <c r="G3082" s="1" t="s">
        <v>12883</v>
      </c>
      <c r="H3082" s="1">
        <v>1.0</v>
      </c>
      <c r="I3082" s="2">
        <v>0.0</v>
      </c>
      <c r="J3082" s="2">
        <v>0.0</v>
      </c>
      <c r="K3082" s="2" t="s">
        <v>119</v>
      </c>
      <c r="L3082" s="2" t="s">
        <v>11655</v>
      </c>
      <c r="M3082" s="1" t="s">
        <v>12884</v>
      </c>
      <c r="N3082" s="1" t="s">
        <v>57</v>
      </c>
      <c r="O3082" s="1" t="s">
        <v>175</v>
      </c>
      <c r="P3082" s="1" t="s">
        <v>12885</v>
      </c>
      <c r="Q3082" s="3">
        <v>42187.0</v>
      </c>
      <c r="R3082" s="1"/>
      <c r="S3082" s="1"/>
      <c r="T3082" s="1" t="s">
        <v>37</v>
      </c>
      <c r="U3082" s="1"/>
      <c r="V3082" s="1" t="s">
        <v>38</v>
      </c>
      <c r="W3082" s="1">
        <v>44.484744</v>
      </c>
      <c r="X3082" s="1">
        <v>-73.2017399999999</v>
      </c>
      <c r="Y3082" s="1" t="s">
        <v>12886</v>
      </c>
      <c r="Z3082" s="1"/>
      <c r="AA3082" s="1" t="s">
        <v>40</v>
      </c>
      <c r="AB3082" s="1" t="s">
        <v>176</v>
      </c>
      <c r="AC3082" s="1">
        <v>5401.0</v>
      </c>
    </row>
    <row r="3083">
      <c r="A3083" s="1" t="str">
        <f>"0008W7"</f>
        <v>0008W7</v>
      </c>
      <c r="B3083" s="1" t="s">
        <v>3704</v>
      </c>
      <c r="C3083" s="1" t="s">
        <v>3705</v>
      </c>
      <c r="D3083" s="1" t="str">
        <f>"8026450652"</f>
        <v>8026450652</v>
      </c>
      <c r="E3083" s="1">
        <v>3381.0</v>
      </c>
      <c r="F3083" s="1" t="s">
        <v>117</v>
      </c>
      <c r="G3083" s="1" t="s">
        <v>12887</v>
      </c>
      <c r="H3083" s="1">
        <v>5.0</v>
      </c>
      <c r="I3083" s="2">
        <v>2.0</v>
      </c>
      <c r="J3083" s="2">
        <v>2.0</v>
      </c>
      <c r="K3083" s="2" t="s">
        <v>119</v>
      </c>
      <c r="L3083" s="1"/>
      <c r="M3083" s="1"/>
      <c r="N3083" s="1" t="s">
        <v>78</v>
      </c>
      <c r="O3083" s="1" t="s">
        <v>434</v>
      </c>
      <c r="P3083" s="1" t="s">
        <v>12888</v>
      </c>
      <c r="Q3083" s="3">
        <v>42187.0</v>
      </c>
      <c r="R3083" s="1"/>
      <c r="S3083" s="1"/>
      <c r="T3083" s="1" t="s">
        <v>37</v>
      </c>
      <c r="U3083" s="1"/>
      <c r="V3083" s="1" t="s">
        <v>38</v>
      </c>
      <c r="W3083" s="1">
        <v>43.32317</v>
      </c>
      <c r="X3083" s="1">
        <v>-73.2178778</v>
      </c>
      <c r="Y3083" s="1" t="s">
        <v>12889</v>
      </c>
      <c r="Z3083" s="1"/>
      <c r="AA3083" s="1" t="s">
        <v>40</v>
      </c>
      <c r="AB3083" s="1" t="s">
        <v>3710</v>
      </c>
      <c r="AC3083" s="1">
        <v>5701.0</v>
      </c>
    </row>
    <row r="3084">
      <c r="A3084" s="1" t="str">
        <f>"000QX3"</f>
        <v>000QX3</v>
      </c>
      <c r="B3084" s="1" t="s">
        <v>12890</v>
      </c>
      <c r="C3084" s="1" t="s">
        <v>12891</v>
      </c>
      <c r="D3084" s="1" t="str">
        <f>"8023246036"</f>
        <v>8023246036</v>
      </c>
      <c r="E3084" s="1">
        <v>4891.0</v>
      </c>
      <c r="F3084" s="1" t="s">
        <v>117</v>
      </c>
      <c r="G3084" s="1" t="s">
        <v>12892</v>
      </c>
      <c r="H3084" s="1">
        <v>9.0</v>
      </c>
      <c r="I3084" s="2">
        <v>0.0</v>
      </c>
      <c r="J3084" s="2">
        <v>0.0</v>
      </c>
      <c r="K3084" s="2" t="s">
        <v>119</v>
      </c>
      <c r="L3084" s="1"/>
      <c r="M3084" s="1" t="s">
        <v>12893</v>
      </c>
      <c r="N3084" s="1" t="s">
        <v>57</v>
      </c>
      <c r="O3084" s="1" t="s">
        <v>1633</v>
      </c>
      <c r="P3084" s="1" t="s">
        <v>12894</v>
      </c>
      <c r="Q3084" s="3">
        <v>42187.0</v>
      </c>
      <c r="R3084" s="1"/>
      <c r="S3084" s="1"/>
      <c r="T3084" s="1" t="s">
        <v>37</v>
      </c>
      <c r="U3084" s="1"/>
      <c r="V3084" s="1" t="s">
        <v>38</v>
      </c>
      <c r="W3084" s="1">
        <v>44.321743</v>
      </c>
      <c r="X3084" s="1">
        <v>-73.222031</v>
      </c>
      <c r="Y3084" s="1" t="s">
        <v>12895</v>
      </c>
      <c r="Z3084" s="1"/>
      <c r="AA3084" s="1" t="s">
        <v>40</v>
      </c>
      <c r="AB3084" s="1" t="s">
        <v>1634</v>
      </c>
      <c r="AC3084" s="1">
        <v>5445.0</v>
      </c>
    </row>
    <row r="3085">
      <c r="A3085" s="1" t="str">
        <f>"000QX5"</f>
        <v>000QX5</v>
      </c>
      <c r="B3085" s="1" t="s">
        <v>12896</v>
      </c>
      <c r="C3085" s="1" t="s">
        <v>12897</v>
      </c>
      <c r="D3085" s="1" t="str">
        <f>"8028747117"</f>
        <v>8028747117</v>
      </c>
      <c r="E3085" s="1">
        <v>4892.0</v>
      </c>
      <c r="F3085" s="1" t="s">
        <v>44</v>
      </c>
      <c r="G3085" s="1" t="s">
        <v>12898</v>
      </c>
      <c r="H3085" s="1">
        <v>1.0</v>
      </c>
      <c r="I3085" s="2" t="s">
        <v>119</v>
      </c>
      <c r="J3085" s="2" t="s">
        <v>119</v>
      </c>
      <c r="K3085" s="2" t="s">
        <v>119</v>
      </c>
      <c r="L3085" s="1"/>
      <c r="M3085" s="1" t="s">
        <v>1179</v>
      </c>
      <c r="N3085" s="1" t="s">
        <v>66</v>
      </c>
      <c r="O3085" s="1" t="s">
        <v>751</v>
      </c>
      <c r="P3085" s="1" t="s">
        <v>12899</v>
      </c>
      <c r="Q3085" s="3">
        <v>42187.0</v>
      </c>
      <c r="R3085" s="1"/>
      <c r="S3085" s="1"/>
      <c r="T3085" s="1" t="s">
        <v>37</v>
      </c>
      <c r="U3085" s="1"/>
      <c r="V3085" s="1" t="s">
        <v>38</v>
      </c>
      <c r="W3085" s="1">
        <v>43.100685</v>
      </c>
      <c r="X3085" s="1">
        <v>-72.7890699999999</v>
      </c>
      <c r="Y3085" s="1" t="s">
        <v>12900</v>
      </c>
      <c r="Z3085" s="1"/>
      <c r="AA3085" s="1" t="s">
        <v>40</v>
      </c>
      <c r="AB3085" s="1" t="s">
        <v>754</v>
      </c>
      <c r="AC3085" s="1">
        <v>5343.0</v>
      </c>
    </row>
    <row r="3086">
      <c r="A3086" s="1" t="str">
        <f>"0008B2"</f>
        <v>0008B2</v>
      </c>
      <c r="B3086" s="1" t="s">
        <v>2013</v>
      </c>
      <c r="C3086" s="1" t="s">
        <v>2014</v>
      </c>
      <c r="D3086" s="1" t="str">
        <f>"8027963015"</f>
        <v>8027963015</v>
      </c>
      <c r="E3086" s="1">
        <v>3846.0</v>
      </c>
      <c r="F3086" s="1" t="s">
        <v>117</v>
      </c>
      <c r="G3086" s="1" t="s">
        <v>12901</v>
      </c>
      <c r="H3086" s="1">
        <v>68.0</v>
      </c>
      <c r="I3086" s="2" t="s">
        <v>119</v>
      </c>
      <c r="J3086" s="2">
        <v>28.0</v>
      </c>
      <c r="K3086" s="2" t="s">
        <v>119</v>
      </c>
      <c r="L3086" s="1"/>
      <c r="M3086" s="1">
        <v>5.0</v>
      </c>
      <c r="N3086" s="1" t="s">
        <v>107</v>
      </c>
      <c r="O3086" s="1" t="s">
        <v>2016</v>
      </c>
      <c r="P3086" s="1" t="s">
        <v>12902</v>
      </c>
      <c r="Q3086" s="3">
        <v>42187.0</v>
      </c>
      <c r="R3086" s="1"/>
      <c r="S3086" s="1"/>
      <c r="T3086" s="1" t="s">
        <v>37</v>
      </c>
      <c r="U3086" s="1"/>
      <c r="V3086" s="1" t="s">
        <v>38</v>
      </c>
      <c r="W3086" s="1">
        <v>44.953501</v>
      </c>
      <c r="X3086" s="1">
        <v>-73.281837</v>
      </c>
      <c r="Y3086" s="1" t="s">
        <v>12903</v>
      </c>
      <c r="Z3086" s="1"/>
      <c r="AA3086" s="1" t="s">
        <v>40</v>
      </c>
      <c r="AB3086" s="1" t="s">
        <v>8724</v>
      </c>
      <c r="AC3086" s="1">
        <v>5440.0</v>
      </c>
    </row>
    <row r="3087">
      <c r="A3087" s="1" t="str">
        <f t="shared" ref="A3087:A3088" si="234">"000H3W"</f>
        <v>000H3W</v>
      </c>
      <c r="B3087" s="1" t="s">
        <v>12904</v>
      </c>
      <c r="C3087" s="1" t="s">
        <v>12905</v>
      </c>
      <c r="D3087" s="1" t="str">
        <f t="shared" ref="D3087:D3088" si="235">"8026813322"</f>
        <v>8026813322</v>
      </c>
      <c r="E3087" s="1">
        <v>4327.0</v>
      </c>
      <c r="F3087" s="1" t="s">
        <v>117</v>
      </c>
      <c r="G3087" s="1" t="s">
        <v>12906</v>
      </c>
      <c r="H3087" s="1">
        <v>6.0</v>
      </c>
      <c r="I3087" s="2" t="s">
        <v>119</v>
      </c>
      <c r="J3087" s="2" t="s">
        <v>119</v>
      </c>
      <c r="K3087" s="2" t="s">
        <v>119</v>
      </c>
      <c r="L3087" s="1"/>
      <c r="M3087" s="1" t="s">
        <v>1390</v>
      </c>
      <c r="N3087" s="1" t="s">
        <v>414</v>
      </c>
      <c r="O3087" s="1" t="s">
        <v>3034</v>
      </c>
      <c r="P3087" s="1" t="s">
        <v>12907</v>
      </c>
      <c r="Q3087" s="3">
        <v>42187.0</v>
      </c>
      <c r="R3087" s="1"/>
      <c r="S3087" s="1"/>
      <c r="T3087" s="1" t="s">
        <v>37</v>
      </c>
      <c r="U3087" s="1"/>
      <c r="V3087" s="1" t="s">
        <v>38</v>
      </c>
      <c r="W3087" s="1">
        <v>43.1825381</v>
      </c>
      <c r="X3087" s="1">
        <v>-73.0705807</v>
      </c>
      <c r="Y3087" s="1" t="s">
        <v>12908</v>
      </c>
      <c r="Z3087" s="1"/>
      <c r="AA3087" s="1" t="s">
        <v>40</v>
      </c>
      <c r="AB3087" s="1" t="s">
        <v>3036</v>
      </c>
      <c r="AC3087" s="1">
        <v>5250.0</v>
      </c>
    </row>
    <row r="3088">
      <c r="A3088" s="1" t="str">
        <f t="shared" si="234"/>
        <v>000H3W</v>
      </c>
      <c r="B3088" s="1" t="s">
        <v>12904</v>
      </c>
      <c r="C3088" s="1" t="s">
        <v>12905</v>
      </c>
      <c r="D3088" s="1" t="str">
        <f t="shared" si="235"/>
        <v>8026813322</v>
      </c>
      <c r="E3088" s="1">
        <v>4327.0</v>
      </c>
      <c r="F3088" s="1" t="s">
        <v>117</v>
      </c>
      <c r="G3088" s="1" t="s">
        <v>12909</v>
      </c>
      <c r="H3088" s="1">
        <v>5.0</v>
      </c>
      <c r="I3088" s="2" t="s">
        <v>119</v>
      </c>
      <c r="J3088" s="2" t="s">
        <v>119</v>
      </c>
      <c r="K3088" s="2" t="s">
        <v>119</v>
      </c>
      <c r="L3088" s="1"/>
      <c r="M3088" s="1" t="s">
        <v>1391</v>
      </c>
      <c r="N3088" s="1" t="s">
        <v>414</v>
      </c>
      <c r="O3088" s="1" t="s">
        <v>3034</v>
      </c>
      <c r="P3088" s="1" t="s">
        <v>12907</v>
      </c>
      <c r="Q3088" s="3">
        <v>42187.0</v>
      </c>
      <c r="R3088" s="1"/>
      <c r="S3088" s="1"/>
      <c r="T3088" s="1" t="s">
        <v>37</v>
      </c>
      <c r="U3088" s="1"/>
      <c r="V3088" s="1" t="s">
        <v>38</v>
      </c>
      <c r="W3088" s="1">
        <v>43.1802305</v>
      </c>
      <c r="X3088" s="1">
        <v>-73.2128812999999</v>
      </c>
      <c r="Y3088" s="1" t="s">
        <v>12910</v>
      </c>
      <c r="Z3088" s="1"/>
      <c r="AA3088" s="1" t="s">
        <v>40</v>
      </c>
      <c r="AB3088" s="1" t="s">
        <v>3036</v>
      </c>
      <c r="AC3088" s="1">
        <v>5250.0</v>
      </c>
    </row>
    <row r="3089">
      <c r="A3089" s="1" t="str">
        <f>"000QX8"</f>
        <v>000QX8</v>
      </c>
      <c r="B3089" s="1" t="s">
        <v>12911</v>
      </c>
      <c r="C3089" s="1" t="s">
        <v>12912</v>
      </c>
      <c r="D3089" s="1" t="str">
        <f>"8023790640"</f>
        <v>8023790640</v>
      </c>
      <c r="E3089" s="1">
        <v>4893.0</v>
      </c>
      <c r="F3089" s="1" t="s">
        <v>44</v>
      </c>
      <c r="G3089" s="1" t="s">
        <v>12913</v>
      </c>
      <c r="H3089" s="1">
        <v>1.0</v>
      </c>
      <c r="I3089" s="1"/>
      <c r="J3089" s="1"/>
      <c r="K3089" s="1"/>
      <c r="L3089" s="1"/>
      <c r="M3089" s="1" t="s">
        <v>1390</v>
      </c>
      <c r="N3089" s="1" t="s">
        <v>414</v>
      </c>
      <c r="O3089" s="1" t="s">
        <v>1390</v>
      </c>
      <c r="P3089" s="1" t="s">
        <v>12914</v>
      </c>
      <c r="Q3089" s="3">
        <v>42191.0</v>
      </c>
      <c r="R3089" s="1"/>
      <c r="S3089" s="1"/>
      <c r="T3089" s="1" t="s">
        <v>37</v>
      </c>
      <c r="U3089" s="1"/>
      <c r="V3089" s="1" t="s">
        <v>38</v>
      </c>
      <c r="W3089" s="1">
        <v>43.0663766</v>
      </c>
      <c r="X3089" s="1">
        <v>-73.1570457999999</v>
      </c>
      <c r="Y3089" s="1" t="s">
        <v>12915</v>
      </c>
      <c r="Z3089" s="1"/>
      <c r="AA3089" s="1" t="s">
        <v>40</v>
      </c>
      <c r="AB3089" s="1" t="s">
        <v>1391</v>
      </c>
      <c r="AC3089" s="1">
        <v>5250.0</v>
      </c>
    </row>
    <row r="3090">
      <c r="A3090" s="1" t="str">
        <f>"000QXA"</f>
        <v>000QXA</v>
      </c>
      <c r="B3090" s="1" t="s">
        <v>12916</v>
      </c>
      <c r="C3090" s="1" t="s">
        <v>12917</v>
      </c>
      <c r="D3090" s="1" t="str">
        <f>"5285726952"</f>
        <v>5285726952</v>
      </c>
      <c r="E3090" s="1">
        <v>4894.0</v>
      </c>
      <c r="F3090" s="1" t="s">
        <v>44</v>
      </c>
      <c r="G3090" s="1" t="s">
        <v>12918</v>
      </c>
      <c r="H3090" s="1">
        <v>1.0</v>
      </c>
      <c r="I3090" s="2">
        <v>0.0</v>
      </c>
      <c r="J3090" s="2">
        <v>0.0</v>
      </c>
      <c r="K3090" s="2" t="s">
        <v>119</v>
      </c>
      <c r="L3090" s="2" t="s">
        <v>12919</v>
      </c>
      <c r="M3090" s="1" t="s">
        <v>33</v>
      </c>
      <c r="N3090" s="1" t="s">
        <v>57</v>
      </c>
      <c r="O3090" s="1" t="s">
        <v>175</v>
      </c>
      <c r="P3090" s="1" t="s">
        <v>12920</v>
      </c>
      <c r="Q3090" s="3">
        <v>42191.0</v>
      </c>
      <c r="R3090" s="1"/>
      <c r="S3090" s="1"/>
      <c r="T3090" s="1" t="s">
        <v>37</v>
      </c>
      <c r="U3090" s="1"/>
      <c r="V3090" s="1" t="s">
        <v>38</v>
      </c>
      <c r="W3090" s="1"/>
      <c r="X3090" s="1"/>
      <c r="Y3090" s="1" t="s">
        <v>12921</v>
      </c>
      <c r="Z3090" s="1"/>
      <c r="AA3090" s="1" t="s">
        <v>40</v>
      </c>
      <c r="AB3090" s="1" t="s">
        <v>176</v>
      </c>
      <c r="AC3090" s="1">
        <v>5401.0</v>
      </c>
    </row>
    <row r="3091">
      <c r="A3091" s="1" t="str">
        <f>"000QXC"</f>
        <v>000QXC</v>
      </c>
      <c r="B3091" s="1" t="s">
        <v>12922</v>
      </c>
      <c r="C3091" s="1" t="s">
        <v>12923</v>
      </c>
      <c r="D3091" s="1" t="str">
        <f>"8024752318"</f>
        <v>8024752318</v>
      </c>
      <c r="E3091" s="1">
        <v>4896.0</v>
      </c>
      <c r="F3091" s="1" t="s">
        <v>44</v>
      </c>
      <c r="G3091" s="1" t="s">
        <v>12924</v>
      </c>
      <c r="H3091" s="1">
        <v>4.0</v>
      </c>
      <c r="I3091" s="2" t="s">
        <v>119</v>
      </c>
      <c r="J3091" s="2" t="s">
        <v>119</v>
      </c>
      <c r="K3091" s="2" t="s">
        <v>119</v>
      </c>
      <c r="L3091" s="2" t="s">
        <v>8935</v>
      </c>
      <c r="M3091" s="1"/>
      <c r="N3091" s="1" t="s">
        <v>161</v>
      </c>
      <c r="O3091" s="1" t="s">
        <v>769</v>
      </c>
      <c r="P3091" s="1" t="s">
        <v>12925</v>
      </c>
      <c r="Q3091" s="3">
        <v>42192.0</v>
      </c>
      <c r="R3091" s="1"/>
      <c r="S3091" s="1"/>
      <c r="T3091" s="1" t="s">
        <v>37</v>
      </c>
      <c r="U3091" s="1"/>
      <c r="V3091" s="1" t="s">
        <v>38</v>
      </c>
      <c r="W3091" s="1">
        <v>44.1958552</v>
      </c>
      <c r="X3091" s="1">
        <v>-73.3610416</v>
      </c>
      <c r="Y3091" s="1" t="s">
        <v>12926</v>
      </c>
      <c r="Z3091" s="1"/>
      <c r="AA3091" s="1" t="s">
        <v>40</v>
      </c>
      <c r="AB3091" s="1" t="s">
        <v>6661</v>
      </c>
      <c r="AC3091" s="1">
        <v>5491.0</v>
      </c>
    </row>
    <row r="3092">
      <c r="A3092" s="1" t="str">
        <f>"000QXG"</f>
        <v>000QXG</v>
      </c>
      <c r="B3092" s="1" t="s">
        <v>12927</v>
      </c>
      <c r="C3092" s="1" t="s">
        <v>12928</v>
      </c>
      <c r="D3092" s="1" t="str">
        <f>"8022334297"</f>
        <v>8022334297</v>
      </c>
      <c r="E3092" s="1">
        <v>4897.0</v>
      </c>
      <c r="F3092" s="1" t="s">
        <v>117</v>
      </c>
      <c r="G3092" s="1" t="s">
        <v>12929</v>
      </c>
      <c r="H3092" s="1">
        <v>6.0</v>
      </c>
      <c r="I3092" s="2">
        <v>0.0</v>
      </c>
      <c r="J3092" s="2">
        <v>0.0</v>
      </c>
      <c r="K3092" s="2" t="s">
        <v>119</v>
      </c>
      <c r="L3092" s="1"/>
      <c r="M3092" s="1" t="s">
        <v>12930</v>
      </c>
      <c r="N3092" s="1" t="s">
        <v>57</v>
      </c>
      <c r="O3092" s="1" t="s">
        <v>204</v>
      </c>
      <c r="P3092" s="1" t="s">
        <v>12931</v>
      </c>
      <c r="Q3092" s="3">
        <v>42192.0</v>
      </c>
      <c r="R3092" s="1"/>
      <c r="S3092" s="1"/>
      <c r="T3092" s="1" t="s">
        <v>37</v>
      </c>
      <c r="U3092" s="1"/>
      <c r="V3092" s="1" t="s">
        <v>38</v>
      </c>
      <c r="W3092" s="1">
        <v>44.352914</v>
      </c>
      <c r="X3092" s="1">
        <v>-73.1301869999999</v>
      </c>
      <c r="Y3092" s="1" t="s">
        <v>12932</v>
      </c>
      <c r="Z3092" s="1"/>
      <c r="AA3092" s="1" t="s">
        <v>40</v>
      </c>
      <c r="AB3092" s="1" t="s">
        <v>205</v>
      </c>
      <c r="AC3092" s="1">
        <v>5461.0</v>
      </c>
    </row>
    <row r="3093">
      <c r="A3093" s="1" t="str">
        <f>"0008NG"</f>
        <v>0008NG</v>
      </c>
      <c r="B3093" s="1" t="s">
        <v>2429</v>
      </c>
      <c r="C3093" s="1" t="s">
        <v>2430</v>
      </c>
      <c r="D3093" s="1" t="str">
        <f>"8027931132"</f>
        <v>8027931132</v>
      </c>
      <c r="E3093" s="1">
        <v>4083.0</v>
      </c>
      <c r="F3093" s="1" t="s">
        <v>44</v>
      </c>
      <c r="G3093" s="1" t="s">
        <v>12933</v>
      </c>
      <c r="H3093" s="1">
        <v>1.0</v>
      </c>
      <c r="I3093" s="2" t="s">
        <v>119</v>
      </c>
      <c r="J3093" s="2">
        <v>1.0</v>
      </c>
      <c r="K3093" s="2" t="s">
        <v>119</v>
      </c>
      <c r="L3093" s="1"/>
      <c r="M3093" s="1">
        <v>2.0</v>
      </c>
      <c r="N3093" s="1" t="s">
        <v>135</v>
      </c>
      <c r="O3093" s="1" t="s">
        <v>440</v>
      </c>
      <c r="P3093" s="1" t="s">
        <v>12934</v>
      </c>
      <c r="Q3093" s="3">
        <v>42192.0</v>
      </c>
      <c r="R3093" s="1"/>
      <c r="S3093" s="1"/>
      <c r="T3093" s="1" t="s">
        <v>37</v>
      </c>
      <c r="U3093" s="1"/>
      <c r="V3093" s="1" t="s">
        <v>38</v>
      </c>
      <c r="W3093" s="1">
        <v>44.186409</v>
      </c>
      <c r="X3093" s="1">
        <v>-72.8197779999999</v>
      </c>
      <c r="Y3093" s="1" t="s">
        <v>12935</v>
      </c>
      <c r="Z3093" s="1"/>
      <c r="AA3093" s="1" t="s">
        <v>40</v>
      </c>
      <c r="AB3093" s="1" t="s">
        <v>440</v>
      </c>
      <c r="AC3093" s="1">
        <v>5673.0</v>
      </c>
    </row>
    <row r="3094">
      <c r="A3094" s="1" t="str">
        <f>"000QXH"</f>
        <v>000QXH</v>
      </c>
      <c r="B3094" s="1" t="s">
        <v>12936</v>
      </c>
      <c r="C3094" s="1" t="s">
        <v>12937</v>
      </c>
      <c r="D3094" s="1" t="str">
        <f>"8024344334"</f>
        <v>8024344334</v>
      </c>
      <c r="E3094" s="1">
        <v>4898.0</v>
      </c>
      <c r="F3094" s="1" t="s">
        <v>117</v>
      </c>
      <c r="G3094" s="1" t="s">
        <v>12938</v>
      </c>
      <c r="H3094" s="1">
        <v>2.0</v>
      </c>
      <c r="I3094" s="2">
        <v>2.0</v>
      </c>
      <c r="J3094" s="2">
        <v>2.0</v>
      </c>
      <c r="K3094" s="2" t="s">
        <v>829</v>
      </c>
      <c r="L3094" s="1"/>
      <c r="M3094" s="1">
        <v>1.0</v>
      </c>
      <c r="N3094" s="1" t="s">
        <v>57</v>
      </c>
      <c r="O3094" s="1" t="s">
        <v>201</v>
      </c>
      <c r="P3094" s="1" t="s">
        <v>12939</v>
      </c>
      <c r="Q3094" s="3">
        <v>42192.0</v>
      </c>
      <c r="R3094" s="1"/>
      <c r="S3094" s="1"/>
      <c r="T3094" s="1" t="s">
        <v>37</v>
      </c>
      <c r="U3094" s="1"/>
      <c r="V3094" s="1" t="s">
        <v>38</v>
      </c>
      <c r="W3094" s="1">
        <v>44.371075</v>
      </c>
      <c r="X3094" s="1">
        <v>-72.955772</v>
      </c>
      <c r="Y3094" s="1" t="s">
        <v>12940</v>
      </c>
      <c r="Z3094" s="1"/>
      <c r="AA3094" s="1" t="s">
        <v>40</v>
      </c>
      <c r="AB3094" s="1" t="s">
        <v>202</v>
      </c>
      <c r="AC3094" s="1">
        <v>5477.0</v>
      </c>
    </row>
    <row r="3095">
      <c r="A3095" s="1" t="str">
        <f>"000QXK"</f>
        <v>000QXK</v>
      </c>
      <c r="B3095" s="1" t="s">
        <v>12941</v>
      </c>
      <c r="C3095" s="1" t="s">
        <v>12942</v>
      </c>
      <c r="D3095" s="1" t="str">
        <f>"8023777151"</f>
        <v>8023777151</v>
      </c>
      <c r="E3095" s="1">
        <v>4899.0</v>
      </c>
      <c r="F3095" s="1" t="s">
        <v>117</v>
      </c>
      <c r="G3095" s="1" t="s">
        <v>12943</v>
      </c>
      <c r="H3095" s="1">
        <v>3.0</v>
      </c>
      <c r="I3095" s="2">
        <v>2.0</v>
      </c>
      <c r="J3095" s="2">
        <v>1.0</v>
      </c>
      <c r="K3095" s="2" t="s">
        <v>119</v>
      </c>
      <c r="L3095" s="1"/>
      <c r="M3095" s="1">
        <v>1.0</v>
      </c>
      <c r="N3095" s="1" t="s">
        <v>161</v>
      </c>
      <c r="O3095" s="1" t="s">
        <v>531</v>
      </c>
      <c r="P3095" s="1" t="s">
        <v>12944</v>
      </c>
      <c r="Q3095" s="3">
        <v>42192.0</v>
      </c>
      <c r="R3095" s="1"/>
      <c r="S3095" s="1"/>
      <c r="T3095" s="1" t="s">
        <v>37</v>
      </c>
      <c r="U3095" s="1"/>
      <c r="V3095" s="1" t="s">
        <v>38</v>
      </c>
      <c r="W3095" s="1">
        <v>43.790745</v>
      </c>
      <c r="X3095" s="1">
        <v>-73.3294829999999</v>
      </c>
      <c r="Y3095" s="1" t="s">
        <v>12945</v>
      </c>
      <c r="Z3095" s="1"/>
      <c r="AA3095" s="1" t="s">
        <v>40</v>
      </c>
      <c r="AB3095" s="1" t="s">
        <v>532</v>
      </c>
      <c r="AC3095" s="1">
        <v>5760.0</v>
      </c>
    </row>
    <row r="3096">
      <c r="A3096" s="1" t="str">
        <f t="shared" ref="A3096:A3098" si="236">"000J7N"</f>
        <v>000J7N</v>
      </c>
      <c r="B3096" s="1" t="s">
        <v>8769</v>
      </c>
      <c r="C3096" s="1" t="s">
        <v>8770</v>
      </c>
      <c r="D3096" s="1" t="str">
        <f t="shared" ref="D3096:D3098" si="237">"8023433306"</f>
        <v>8023433306</v>
      </c>
      <c r="E3096" s="1">
        <v>4398.0</v>
      </c>
      <c r="F3096" s="1" t="s">
        <v>31</v>
      </c>
      <c r="G3096" s="1" t="s">
        <v>12946</v>
      </c>
      <c r="H3096" s="1">
        <v>3.0</v>
      </c>
      <c r="I3096" s="1"/>
      <c r="J3096" s="1"/>
      <c r="K3096" s="1"/>
      <c r="L3096" s="1"/>
      <c r="M3096" s="1">
        <v>4.0</v>
      </c>
      <c r="N3096" s="1" t="s">
        <v>57</v>
      </c>
      <c r="O3096" s="1" t="s">
        <v>509</v>
      </c>
      <c r="P3096" s="1" t="s">
        <v>8827</v>
      </c>
      <c r="Q3096" s="3">
        <v>42193.0</v>
      </c>
      <c r="R3096" s="1"/>
      <c r="S3096" s="1"/>
      <c r="T3096" s="1" t="s">
        <v>37</v>
      </c>
      <c r="U3096" s="1"/>
      <c r="V3096" s="1" t="s">
        <v>38</v>
      </c>
      <c r="W3096" s="1">
        <v>44.46806</v>
      </c>
      <c r="X3096" s="1">
        <v>-73.0569259999999</v>
      </c>
      <c r="Y3096" s="1" t="s">
        <v>12947</v>
      </c>
      <c r="Z3096" s="1"/>
      <c r="AA3096" s="1" t="s">
        <v>40</v>
      </c>
      <c r="AB3096" s="1" t="s">
        <v>331</v>
      </c>
      <c r="AC3096" s="1">
        <v>5495.0</v>
      </c>
    </row>
    <row r="3097">
      <c r="A3097" s="1" t="str">
        <f t="shared" si="236"/>
        <v>000J7N</v>
      </c>
      <c r="B3097" s="1" t="s">
        <v>8769</v>
      </c>
      <c r="C3097" s="1" t="s">
        <v>8770</v>
      </c>
      <c r="D3097" s="1" t="str">
        <f t="shared" si="237"/>
        <v>8023433306</v>
      </c>
      <c r="E3097" s="1">
        <v>4398.0</v>
      </c>
      <c r="F3097" s="1" t="s">
        <v>31</v>
      </c>
      <c r="G3097" s="1" t="s">
        <v>12948</v>
      </c>
      <c r="H3097" s="1">
        <v>3.0</v>
      </c>
      <c r="I3097" s="1"/>
      <c r="J3097" s="1"/>
      <c r="K3097" s="1"/>
      <c r="L3097" s="1"/>
      <c r="M3097" s="1">
        <v>5.0</v>
      </c>
      <c r="N3097" s="1" t="s">
        <v>57</v>
      </c>
      <c r="O3097" s="1" t="s">
        <v>745</v>
      </c>
      <c r="P3097" s="1" t="s">
        <v>8827</v>
      </c>
      <c r="Q3097" s="3">
        <v>42193.0</v>
      </c>
      <c r="R3097" s="1"/>
      <c r="S3097" s="1"/>
      <c r="T3097" s="1" t="s">
        <v>37</v>
      </c>
      <c r="U3097" s="1"/>
      <c r="V3097" s="1" t="s">
        <v>38</v>
      </c>
      <c r="W3097" s="1">
        <v>44.499325</v>
      </c>
      <c r="X3097" s="1">
        <v>-72.99813</v>
      </c>
      <c r="Y3097" s="1" t="s">
        <v>12949</v>
      </c>
      <c r="Z3097" s="1"/>
      <c r="AA3097" s="1" t="s">
        <v>40</v>
      </c>
      <c r="AB3097" s="1" t="s">
        <v>746</v>
      </c>
      <c r="AC3097" s="1">
        <v>5465.0</v>
      </c>
    </row>
    <row r="3098">
      <c r="A3098" s="1" t="str">
        <f t="shared" si="236"/>
        <v>000J7N</v>
      </c>
      <c r="B3098" s="1" t="s">
        <v>8769</v>
      </c>
      <c r="C3098" s="1" t="s">
        <v>8770</v>
      </c>
      <c r="D3098" s="1" t="str">
        <f t="shared" si="237"/>
        <v>8023433306</v>
      </c>
      <c r="E3098" s="1">
        <v>4398.0</v>
      </c>
      <c r="F3098" s="1" t="s">
        <v>31</v>
      </c>
      <c r="G3098" s="1" t="s">
        <v>12950</v>
      </c>
      <c r="H3098" s="1">
        <v>3.0</v>
      </c>
      <c r="I3098" s="1"/>
      <c r="J3098" s="1"/>
      <c r="K3098" s="1"/>
      <c r="L3098" s="1"/>
      <c r="M3098" s="1">
        <v>6.0</v>
      </c>
      <c r="N3098" s="1" t="s">
        <v>57</v>
      </c>
      <c r="O3098" s="1" t="s">
        <v>2092</v>
      </c>
      <c r="P3098" s="1" t="s">
        <v>8827</v>
      </c>
      <c r="Q3098" s="3">
        <v>42193.0</v>
      </c>
      <c r="R3098" s="1"/>
      <c r="S3098" s="1"/>
      <c r="T3098" s="1" t="s">
        <v>37</v>
      </c>
      <c r="U3098" s="1"/>
      <c r="V3098" s="1" t="s">
        <v>38</v>
      </c>
      <c r="W3098" s="1">
        <v>44.478226</v>
      </c>
      <c r="X3098" s="1">
        <v>-73.059067</v>
      </c>
      <c r="Y3098" s="1" t="s">
        <v>12951</v>
      </c>
      <c r="Z3098" s="1"/>
      <c r="AA3098" s="1" t="s">
        <v>40</v>
      </c>
      <c r="AB3098" s="1" t="s">
        <v>2093</v>
      </c>
      <c r="AC3098" s="1">
        <v>5452.0</v>
      </c>
    </row>
    <row r="3099">
      <c r="A3099" s="1" t="str">
        <f t="shared" ref="A3099:A3118" si="238">"00088H"</f>
        <v>00088H</v>
      </c>
      <c r="B3099" s="1" t="s">
        <v>2463</v>
      </c>
      <c r="C3099" s="1" t="s">
        <v>2464</v>
      </c>
      <c r="D3099" s="1" t="str">
        <f t="shared" ref="D3099:D3118" si="239">"8027442007"</f>
        <v>8027442007</v>
      </c>
      <c r="E3099" s="1">
        <v>3222.0</v>
      </c>
      <c r="F3099" s="1" t="s">
        <v>117</v>
      </c>
      <c r="G3099" s="1" t="s">
        <v>12952</v>
      </c>
      <c r="H3099" s="1">
        <v>32.0</v>
      </c>
      <c r="I3099" s="1"/>
      <c r="J3099" s="1"/>
      <c r="K3099" s="1"/>
      <c r="L3099" s="1"/>
      <c r="M3099" s="1" t="s">
        <v>12953</v>
      </c>
      <c r="N3099" s="1" t="s">
        <v>107</v>
      </c>
      <c r="O3099" s="1" t="s">
        <v>724</v>
      </c>
      <c r="P3099" s="1" t="s">
        <v>12954</v>
      </c>
      <c r="Q3099" s="3">
        <v>42193.0</v>
      </c>
      <c r="R3099" s="1"/>
      <c r="S3099" s="1"/>
      <c r="T3099" s="1" t="s">
        <v>37</v>
      </c>
      <c r="U3099" s="1"/>
      <c r="V3099" s="1" t="s">
        <v>38</v>
      </c>
      <c r="W3099" s="1">
        <v>44.78532</v>
      </c>
      <c r="X3099" s="1">
        <v>-73.3151</v>
      </c>
      <c r="Y3099" s="1" t="s">
        <v>2083</v>
      </c>
      <c r="Z3099" s="1"/>
      <c r="AA3099" s="1" t="s">
        <v>40</v>
      </c>
      <c r="AB3099" s="1" t="s">
        <v>725</v>
      </c>
      <c r="AC3099" s="1">
        <v>5474.0</v>
      </c>
    </row>
    <row r="3100">
      <c r="A3100" s="1" t="str">
        <f t="shared" si="238"/>
        <v>00088H</v>
      </c>
      <c r="B3100" s="1" t="s">
        <v>2463</v>
      </c>
      <c r="C3100" s="1" t="s">
        <v>2464</v>
      </c>
      <c r="D3100" s="1" t="str">
        <f t="shared" si="239"/>
        <v>8027442007</v>
      </c>
      <c r="E3100" s="1">
        <v>3222.0</v>
      </c>
      <c r="F3100" s="1" t="s">
        <v>117</v>
      </c>
      <c r="G3100" s="1" t="s">
        <v>12955</v>
      </c>
      <c r="H3100" s="1">
        <v>32.0</v>
      </c>
      <c r="I3100" s="1"/>
      <c r="J3100" s="1"/>
      <c r="K3100" s="1"/>
      <c r="L3100" s="1"/>
      <c r="M3100" s="1" t="s">
        <v>12956</v>
      </c>
      <c r="N3100" s="1" t="s">
        <v>107</v>
      </c>
      <c r="O3100" s="1"/>
      <c r="P3100" s="1" t="s">
        <v>12957</v>
      </c>
      <c r="Q3100" s="3">
        <v>42193.0</v>
      </c>
      <c r="R3100" s="1"/>
      <c r="S3100" s="1"/>
      <c r="T3100" s="1" t="s">
        <v>37</v>
      </c>
      <c r="U3100" s="1"/>
      <c r="V3100" s="1" t="s">
        <v>38</v>
      </c>
      <c r="W3100" s="1">
        <v>44.8561466610951</v>
      </c>
      <c r="X3100" s="1">
        <v>-73.2592735291837</v>
      </c>
      <c r="Y3100" s="1" t="s">
        <v>12958</v>
      </c>
      <c r="Z3100" s="1"/>
      <c r="AA3100" s="1" t="s">
        <v>40</v>
      </c>
      <c r="AB3100" s="1" t="s">
        <v>725</v>
      </c>
      <c r="AC3100" s="1">
        <v>5474.0</v>
      </c>
    </row>
    <row r="3101">
      <c r="A3101" s="1" t="str">
        <f t="shared" si="238"/>
        <v>00088H</v>
      </c>
      <c r="B3101" s="1" t="s">
        <v>2463</v>
      </c>
      <c r="C3101" s="1" t="s">
        <v>2464</v>
      </c>
      <c r="D3101" s="1" t="str">
        <f t="shared" si="239"/>
        <v>8027442007</v>
      </c>
      <c r="E3101" s="1">
        <v>3222.0</v>
      </c>
      <c r="F3101" s="1" t="s">
        <v>117</v>
      </c>
      <c r="G3101" s="1" t="s">
        <v>12959</v>
      </c>
      <c r="H3101" s="1">
        <v>32.0</v>
      </c>
      <c r="I3101" s="1"/>
      <c r="J3101" s="1"/>
      <c r="K3101" s="1"/>
      <c r="L3101" s="1"/>
      <c r="M3101" s="1" t="s">
        <v>12960</v>
      </c>
      <c r="N3101" s="1" t="s">
        <v>107</v>
      </c>
      <c r="O3101" s="1" t="s">
        <v>108</v>
      </c>
      <c r="P3101" s="1" t="s">
        <v>12961</v>
      </c>
      <c r="Q3101" s="3">
        <v>42193.0</v>
      </c>
      <c r="R3101" s="1"/>
      <c r="S3101" s="1"/>
      <c r="T3101" s="1" t="s">
        <v>37</v>
      </c>
      <c r="U3101" s="1"/>
      <c r="V3101" s="1" t="s">
        <v>38</v>
      </c>
      <c r="W3101" s="1">
        <v>44.73753</v>
      </c>
      <c r="X3101" s="1">
        <v>-73.2997</v>
      </c>
      <c r="Y3101" s="1" t="s">
        <v>12962</v>
      </c>
      <c r="Z3101" s="1"/>
      <c r="AA3101" s="1" t="s">
        <v>40</v>
      </c>
      <c r="AB3101" s="1" t="s">
        <v>107</v>
      </c>
      <c r="AC3101" s="1">
        <v>5458.0</v>
      </c>
    </row>
    <row r="3102">
      <c r="A3102" s="1" t="str">
        <f t="shared" si="238"/>
        <v>00088H</v>
      </c>
      <c r="B3102" s="1" t="s">
        <v>2463</v>
      </c>
      <c r="C3102" s="1" t="s">
        <v>2464</v>
      </c>
      <c r="D3102" s="1" t="str">
        <f t="shared" si="239"/>
        <v>8027442007</v>
      </c>
      <c r="E3102" s="1">
        <v>3222.0</v>
      </c>
      <c r="F3102" s="1" t="s">
        <v>117</v>
      </c>
      <c r="G3102" s="1" t="s">
        <v>12963</v>
      </c>
      <c r="H3102" s="1">
        <v>32.0</v>
      </c>
      <c r="I3102" s="1"/>
      <c r="J3102" s="1"/>
      <c r="K3102" s="1"/>
      <c r="L3102" s="1"/>
      <c r="M3102" s="1" t="s">
        <v>725</v>
      </c>
      <c r="N3102" s="1" t="s">
        <v>107</v>
      </c>
      <c r="O3102" s="1" t="s">
        <v>724</v>
      </c>
      <c r="P3102" s="1" t="s">
        <v>12964</v>
      </c>
      <c r="Q3102" s="3">
        <v>42193.0</v>
      </c>
      <c r="R3102" s="1"/>
      <c r="S3102" s="1"/>
      <c r="T3102" s="1" t="s">
        <v>37</v>
      </c>
      <c r="U3102" s="1"/>
      <c r="V3102" s="1" t="s">
        <v>38</v>
      </c>
      <c r="W3102" s="1">
        <v>44.8945</v>
      </c>
      <c r="X3102" s="1">
        <v>-73.2430499999999</v>
      </c>
      <c r="Y3102" s="1" t="s">
        <v>12965</v>
      </c>
      <c r="Z3102" s="1"/>
      <c r="AA3102" s="1" t="s">
        <v>40</v>
      </c>
      <c r="AB3102" s="1" t="s">
        <v>725</v>
      </c>
      <c r="AC3102" s="1">
        <v>5474.0</v>
      </c>
    </row>
    <row r="3103">
      <c r="A3103" s="1" t="str">
        <f t="shared" si="238"/>
        <v>00088H</v>
      </c>
      <c r="B3103" s="1" t="s">
        <v>2463</v>
      </c>
      <c r="C3103" s="1" t="s">
        <v>2464</v>
      </c>
      <c r="D3103" s="1" t="str">
        <f t="shared" si="239"/>
        <v>8027442007</v>
      </c>
      <c r="E3103" s="1">
        <v>3222.0</v>
      </c>
      <c r="F3103" s="1" t="s">
        <v>117</v>
      </c>
      <c r="G3103" s="1" t="s">
        <v>12966</v>
      </c>
      <c r="H3103" s="1">
        <v>32.0</v>
      </c>
      <c r="I3103" s="1"/>
      <c r="J3103" s="1"/>
      <c r="K3103" s="1"/>
      <c r="L3103" s="1"/>
      <c r="M3103" s="1" t="s">
        <v>12967</v>
      </c>
      <c r="N3103" s="1" t="s">
        <v>107</v>
      </c>
      <c r="O3103" s="1" t="s">
        <v>2016</v>
      </c>
      <c r="P3103" s="1" t="s">
        <v>12967</v>
      </c>
      <c r="Q3103" s="3">
        <v>42193.0</v>
      </c>
      <c r="R3103" s="1"/>
      <c r="S3103" s="1"/>
      <c r="T3103" s="1" t="s">
        <v>37</v>
      </c>
      <c r="U3103" s="1"/>
      <c r="V3103" s="1" t="s">
        <v>38</v>
      </c>
      <c r="W3103" s="1">
        <v>44.89533</v>
      </c>
      <c r="X3103" s="1">
        <v>-73.2972199999999</v>
      </c>
      <c r="Y3103" s="1" t="s">
        <v>12968</v>
      </c>
      <c r="Z3103" s="1"/>
      <c r="AA3103" s="1" t="s">
        <v>40</v>
      </c>
      <c r="AB3103" s="1" t="s">
        <v>8724</v>
      </c>
      <c r="AC3103" s="1">
        <v>5440.0</v>
      </c>
    </row>
    <row r="3104">
      <c r="A3104" s="1" t="str">
        <f t="shared" si="238"/>
        <v>00088H</v>
      </c>
      <c r="B3104" s="1" t="s">
        <v>2463</v>
      </c>
      <c r="C3104" s="1" t="s">
        <v>2464</v>
      </c>
      <c r="D3104" s="1" t="str">
        <f t="shared" si="239"/>
        <v>8027442007</v>
      </c>
      <c r="E3104" s="1">
        <v>3222.0</v>
      </c>
      <c r="F3104" s="1" t="s">
        <v>117</v>
      </c>
      <c r="G3104" s="1" t="s">
        <v>12969</v>
      </c>
      <c r="H3104" s="1">
        <v>32.0</v>
      </c>
      <c r="I3104" s="1"/>
      <c r="J3104" s="1"/>
      <c r="K3104" s="1"/>
      <c r="L3104" s="1"/>
      <c r="M3104" s="1" t="s">
        <v>12970</v>
      </c>
      <c r="N3104" s="1" t="s">
        <v>107</v>
      </c>
      <c r="O3104" s="1"/>
      <c r="P3104" s="1" t="s">
        <v>12970</v>
      </c>
      <c r="Q3104" s="3">
        <v>42193.0</v>
      </c>
      <c r="R3104" s="1"/>
      <c r="S3104" s="1"/>
      <c r="T3104" s="1" t="s">
        <v>37</v>
      </c>
      <c r="U3104" s="1"/>
      <c r="V3104" s="1" t="s">
        <v>38</v>
      </c>
      <c r="W3104" s="1">
        <v>44.9976468166672</v>
      </c>
      <c r="X3104" s="1">
        <v>-73.3174238206265</v>
      </c>
      <c r="Y3104" s="1" t="s">
        <v>12971</v>
      </c>
      <c r="Z3104" s="1"/>
      <c r="AA3104" s="1" t="s">
        <v>40</v>
      </c>
      <c r="AB3104" s="1" t="s">
        <v>8724</v>
      </c>
      <c r="AC3104" s="1">
        <v>5440.0</v>
      </c>
    </row>
    <row r="3105">
      <c r="A3105" s="1" t="str">
        <f t="shared" si="238"/>
        <v>00088H</v>
      </c>
      <c r="B3105" s="1" t="s">
        <v>2463</v>
      </c>
      <c r="C3105" s="1" t="s">
        <v>2464</v>
      </c>
      <c r="D3105" s="1" t="str">
        <f t="shared" si="239"/>
        <v>8027442007</v>
      </c>
      <c r="E3105" s="1">
        <v>3222.0</v>
      </c>
      <c r="F3105" s="1" t="s">
        <v>117</v>
      </c>
      <c r="G3105" s="1" t="s">
        <v>12972</v>
      </c>
      <c r="H3105" s="1">
        <v>32.0</v>
      </c>
      <c r="I3105" s="1"/>
      <c r="J3105" s="1"/>
      <c r="K3105" s="1"/>
      <c r="L3105" s="1"/>
      <c r="M3105" s="1" t="s">
        <v>1112</v>
      </c>
      <c r="N3105" s="1" t="s">
        <v>47</v>
      </c>
      <c r="O3105" s="1" t="s">
        <v>1112</v>
      </c>
      <c r="P3105" s="1" t="s">
        <v>12973</v>
      </c>
      <c r="Q3105" s="3">
        <v>42193.0</v>
      </c>
      <c r="R3105" s="1"/>
      <c r="S3105" s="1"/>
      <c r="T3105" s="1" t="s">
        <v>37</v>
      </c>
      <c r="U3105" s="1"/>
      <c r="V3105" s="1" t="s">
        <v>38</v>
      </c>
      <c r="W3105" s="1">
        <v>44.9371245738328</v>
      </c>
      <c r="X3105" s="1">
        <v>-73.2185956567264</v>
      </c>
      <c r="Y3105" s="1" t="s">
        <v>12974</v>
      </c>
      <c r="Z3105" s="1"/>
      <c r="AA3105" s="1" t="s">
        <v>40</v>
      </c>
      <c r="AB3105" s="1"/>
      <c r="AC3105" s="1">
        <v>5488.0</v>
      </c>
    </row>
    <row r="3106">
      <c r="A3106" s="1" t="str">
        <f t="shared" si="238"/>
        <v>00088H</v>
      </c>
      <c r="B3106" s="1" t="s">
        <v>2463</v>
      </c>
      <c r="C3106" s="1" t="s">
        <v>2464</v>
      </c>
      <c r="D3106" s="1" t="str">
        <f t="shared" si="239"/>
        <v>8027442007</v>
      </c>
      <c r="E3106" s="1">
        <v>3222.0</v>
      </c>
      <c r="F3106" s="1" t="s">
        <v>117</v>
      </c>
      <c r="G3106" s="1" t="s">
        <v>12975</v>
      </c>
      <c r="H3106" s="1">
        <v>32.0</v>
      </c>
      <c r="I3106" s="1"/>
      <c r="J3106" s="1"/>
      <c r="K3106" s="1"/>
      <c r="L3106" s="1"/>
      <c r="M3106" s="1" t="s">
        <v>12976</v>
      </c>
      <c r="N3106" s="1" t="s">
        <v>47</v>
      </c>
      <c r="O3106" s="1" t="s">
        <v>1112</v>
      </c>
      <c r="P3106" s="1" t="s">
        <v>12976</v>
      </c>
      <c r="Q3106" s="3">
        <v>42193.0</v>
      </c>
      <c r="R3106" s="1"/>
      <c r="S3106" s="1"/>
      <c r="T3106" s="1" t="s">
        <v>37</v>
      </c>
      <c r="U3106" s="1"/>
      <c r="V3106" s="1" t="s">
        <v>38</v>
      </c>
      <c r="W3106" s="1">
        <v>44.97631</v>
      </c>
      <c r="X3106" s="1">
        <v>-73.1776199999999</v>
      </c>
      <c r="Y3106" s="1" t="s">
        <v>12977</v>
      </c>
      <c r="Z3106" s="1"/>
      <c r="AA3106" s="1" t="s">
        <v>40</v>
      </c>
      <c r="AB3106" s="1"/>
      <c r="AC3106" s="1">
        <v>5488.0</v>
      </c>
    </row>
    <row r="3107">
      <c r="A3107" s="1" t="str">
        <f t="shared" si="238"/>
        <v>00088H</v>
      </c>
      <c r="B3107" s="1" t="s">
        <v>2463</v>
      </c>
      <c r="C3107" s="1" t="s">
        <v>2464</v>
      </c>
      <c r="D3107" s="1" t="str">
        <f t="shared" si="239"/>
        <v>8027442007</v>
      </c>
      <c r="E3107" s="1">
        <v>3222.0</v>
      </c>
      <c r="F3107" s="1" t="s">
        <v>117</v>
      </c>
      <c r="G3107" s="1" t="s">
        <v>12978</v>
      </c>
      <c r="H3107" s="1">
        <v>32.0</v>
      </c>
      <c r="I3107" s="1"/>
      <c r="J3107" s="1"/>
      <c r="K3107" s="1"/>
      <c r="L3107" s="1"/>
      <c r="M3107" s="1" t="s">
        <v>12979</v>
      </c>
      <c r="N3107" s="1" t="s">
        <v>47</v>
      </c>
      <c r="O3107" s="1" t="s">
        <v>1112</v>
      </c>
      <c r="P3107" s="1" t="s">
        <v>12979</v>
      </c>
      <c r="Q3107" s="3">
        <v>42193.0</v>
      </c>
      <c r="R3107" s="1"/>
      <c r="S3107" s="1"/>
      <c r="T3107" s="1" t="s">
        <v>37</v>
      </c>
      <c r="U3107" s="1"/>
      <c r="V3107" s="1" t="s">
        <v>38</v>
      </c>
      <c r="W3107" s="1">
        <v>44.94034</v>
      </c>
      <c r="X3107" s="1">
        <v>-73.1469999999999</v>
      </c>
      <c r="Y3107" s="1" t="s">
        <v>12980</v>
      </c>
      <c r="Z3107" s="1"/>
      <c r="AA3107" s="1" t="s">
        <v>40</v>
      </c>
      <c r="AB3107" s="1"/>
      <c r="AC3107" s="1">
        <v>5488.0</v>
      </c>
    </row>
    <row r="3108">
      <c r="A3108" s="1" t="str">
        <f t="shared" si="238"/>
        <v>00088H</v>
      </c>
      <c r="B3108" s="1" t="s">
        <v>2463</v>
      </c>
      <c r="C3108" s="1" t="s">
        <v>2464</v>
      </c>
      <c r="D3108" s="1" t="str">
        <f t="shared" si="239"/>
        <v>8027442007</v>
      </c>
      <c r="E3108" s="1">
        <v>3222.0</v>
      </c>
      <c r="F3108" s="1" t="s">
        <v>117</v>
      </c>
      <c r="G3108" s="1" t="s">
        <v>12981</v>
      </c>
      <c r="H3108" s="1">
        <v>32.0</v>
      </c>
      <c r="I3108" s="1"/>
      <c r="J3108" s="1"/>
      <c r="K3108" s="1"/>
      <c r="L3108" s="1"/>
      <c r="M3108" s="1" t="s">
        <v>12982</v>
      </c>
      <c r="N3108" s="1" t="s">
        <v>47</v>
      </c>
      <c r="O3108" s="1" t="s">
        <v>1112</v>
      </c>
      <c r="P3108" s="1" t="s">
        <v>12982</v>
      </c>
      <c r="Q3108" s="3">
        <v>42193.0</v>
      </c>
      <c r="R3108" s="1"/>
      <c r="S3108" s="1"/>
      <c r="T3108" s="1" t="s">
        <v>37</v>
      </c>
      <c r="U3108" s="1"/>
      <c r="V3108" s="1" t="s">
        <v>38</v>
      </c>
      <c r="W3108" s="1">
        <v>44.90316</v>
      </c>
      <c r="X3108" s="1">
        <v>-73.14696</v>
      </c>
      <c r="Y3108" s="1" t="s">
        <v>12983</v>
      </c>
      <c r="Z3108" s="1"/>
      <c r="AA3108" s="1" t="s">
        <v>40</v>
      </c>
      <c r="AB3108" s="1"/>
      <c r="AC3108" s="1">
        <v>5488.0</v>
      </c>
    </row>
    <row r="3109">
      <c r="A3109" s="1" t="str">
        <f t="shared" si="238"/>
        <v>00088H</v>
      </c>
      <c r="B3109" s="1" t="s">
        <v>2463</v>
      </c>
      <c r="C3109" s="1" t="s">
        <v>2464</v>
      </c>
      <c r="D3109" s="1" t="str">
        <f t="shared" si="239"/>
        <v>8027442007</v>
      </c>
      <c r="E3109" s="1">
        <v>3222.0</v>
      </c>
      <c r="F3109" s="1" t="s">
        <v>117</v>
      </c>
      <c r="G3109" s="1" t="s">
        <v>12984</v>
      </c>
      <c r="H3109" s="1">
        <v>32.0</v>
      </c>
      <c r="I3109" s="1"/>
      <c r="J3109" s="1"/>
      <c r="K3109" s="1"/>
      <c r="L3109" s="1"/>
      <c r="M3109" s="1" t="s">
        <v>12985</v>
      </c>
      <c r="N3109" s="1" t="s">
        <v>47</v>
      </c>
      <c r="O3109" s="1" t="s">
        <v>2889</v>
      </c>
      <c r="P3109" s="1" t="s">
        <v>12985</v>
      </c>
      <c r="Q3109" s="3">
        <v>42194.0</v>
      </c>
      <c r="R3109" s="1"/>
      <c r="S3109" s="1"/>
      <c r="T3109" s="1" t="s">
        <v>37</v>
      </c>
      <c r="U3109" s="1"/>
      <c r="V3109" s="1" t="s">
        <v>38</v>
      </c>
      <c r="W3109" s="1">
        <v>44.96181</v>
      </c>
      <c r="X3109" s="1">
        <v>-73.0168699999999</v>
      </c>
      <c r="Y3109" s="1" t="s">
        <v>12986</v>
      </c>
      <c r="Z3109" s="1"/>
      <c r="AA3109" s="1" t="s">
        <v>40</v>
      </c>
      <c r="AB3109" s="1" t="s">
        <v>2773</v>
      </c>
      <c r="AC3109" s="1">
        <v>5459.0</v>
      </c>
    </row>
    <row r="3110">
      <c r="A3110" s="1" t="str">
        <f t="shared" si="238"/>
        <v>00088H</v>
      </c>
      <c r="B3110" s="1" t="s">
        <v>2463</v>
      </c>
      <c r="C3110" s="1" t="s">
        <v>2464</v>
      </c>
      <c r="D3110" s="1" t="str">
        <f t="shared" si="239"/>
        <v>8027442007</v>
      </c>
      <c r="E3110" s="1">
        <v>3222.0</v>
      </c>
      <c r="F3110" s="1" t="s">
        <v>117</v>
      </c>
      <c r="G3110" s="1" t="s">
        <v>12987</v>
      </c>
      <c r="H3110" s="1">
        <v>32.0</v>
      </c>
      <c r="I3110" s="1"/>
      <c r="J3110" s="1"/>
      <c r="K3110" s="1"/>
      <c r="L3110" s="1"/>
      <c r="M3110" s="1" t="s">
        <v>12988</v>
      </c>
      <c r="N3110" s="1" t="s">
        <v>47</v>
      </c>
      <c r="O3110" s="1" t="s">
        <v>48</v>
      </c>
      <c r="P3110" s="1" t="s">
        <v>12988</v>
      </c>
      <c r="Q3110" s="3">
        <v>42194.0</v>
      </c>
      <c r="R3110" s="1"/>
      <c r="S3110" s="1"/>
      <c r="T3110" s="1" t="s">
        <v>37</v>
      </c>
      <c r="U3110" s="1"/>
      <c r="V3110" s="1" t="s">
        <v>38</v>
      </c>
      <c r="W3110" s="1">
        <v>44.91297</v>
      </c>
      <c r="X3110" s="1">
        <v>-72.86178</v>
      </c>
      <c r="Y3110" s="1" t="s">
        <v>12989</v>
      </c>
      <c r="Z3110" s="1"/>
      <c r="AA3110" s="1" t="s">
        <v>40</v>
      </c>
      <c r="AB3110" s="1" t="s">
        <v>671</v>
      </c>
      <c r="AC3110" s="1">
        <v>5450.0</v>
      </c>
    </row>
    <row r="3111">
      <c r="A3111" s="1" t="str">
        <f t="shared" si="238"/>
        <v>00088H</v>
      </c>
      <c r="B3111" s="1" t="s">
        <v>2463</v>
      </c>
      <c r="C3111" s="1" t="s">
        <v>2464</v>
      </c>
      <c r="D3111" s="1" t="str">
        <f t="shared" si="239"/>
        <v>8027442007</v>
      </c>
      <c r="E3111" s="1">
        <v>3222.0</v>
      </c>
      <c r="F3111" s="1" t="s">
        <v>117</v>
      </c>
      <c r="G3111" s="1" t="s">
        <v>12990</v>
      </c>
      <c r="H3111" s="1">
        <v>32.0</v>
      </c>
      <c r="I3111" s="1"/>
      <c r="J3111" s="1"/>
      <c r="K3111" s="1"/>
      <c r="L3111" s="1"/>
      <c r="M3111" s="1" t="s">
        <v>12991</v>
      </c>
      <c r="N3111" s="1" t="s">
        <v>47</v>
      </c>
      <c r="O3111" s="1" t="s">
        <v>264</v>
      </c>
      <c r="P3111" s="1" t="s">
        <v>12991</v>
      </c>
      <c r="Q3111" s="3">
        <v>42194.0</v>
      </c>
      <c r="R3111" s="1"/>
      <c r="S3111" s="1"/>
      <c r="T3111" s="1" t="s">
        <v>37</v>
      </c>
      <c r="U3111" s="1"/>
      <c r="V3111" s="1" t="s">
        <v>38</v>
      </c>
      <c r="W3111" s="1">
        <v>44.92786</v>
      </c>
      <c r="X3111" s="1">
        <v>-72.7481599999999</v>
      </c>
      <c r="Y3111" s="1" t="s">
        <v>12992</v>
      </c>
      <c r="Z3111" s="1"/>
      <c r="AA3111" s="1" t="s">
        <v>40</v>
      </c>
      <c r="AB3111" s="1" t="s">
        <v>50</v>
      </c>
      <c r="AC3111" s="1">
        <v>5450.0</v>
      </c>
    </row>
    <row r="3112">
      <c r="A3112" s="1" t="str">
        <f t="shared" si="238"/>
        <v>00088H</v>
      </c>
      <c r="B3112" s="1" t="s">
        <v>2463</v>
      </c>
      <c r="C3112" s="1" t="s">
        <v>2464</v>
      </c>
      <c r="D3112" s="1" t="str">
        <f t="shared" si="239"/>
        <v>8027442007</v>
      </c>
      <c r="E3112" s="1">
        <v>3222.0</v>
      </c>
      <c r="F3112" s="1" t="s">
        <v>117</v>
      </c>
      <c r="G3112" s="1" t="s">
        <v>12993</v>
      </c>
      <c r="H3112" s="1">
        <v>32.0</v>
      </c>
      <c r="I3112" s="1"/>
      <c r="J3112" s="1"/>
      <c r="K3112" s="1"/>
      <c r="L3112" s="1"/>
      <c r="M3112" s="1" t="s">
        <v>12994</v>
      </c>
      <c r="N3112" s="1" t="s">
        <v>47</v>
      </c>
      <c r="O3112" s="1" t="s">
        <v>670</v>
      </c>
      <c r="P3112" s="1" t="s">
        <v>12994</v>
      </c>
      <c r="Q3112" s="3">
        <v>42194.0</v>
      </c>
      <c r="R3112" s="1"/>
      <c r="S3112" s="3">
        <v>42172.0</v>
      </c>
      <c r="T3112" s="1" t="s">
        <v>164</v>
      </c>
      <c r="U3112" s="1"/>
      <c r="V3112" s="1" t="s">
        <v>38</v>
      </c>
      <c r="W3112" s="1">
        <v>44.9184735782294</v>
      </c>
      <c r="X3112" s="1">
        <v>-72.8970444202423</v>
      </c>
      <c r="Y3112" s="1" t="s">
        <v>12995</v>
      </c>
      <c r="Z3112" s="1"/>
      <c r="AA3112" s="1" t="s">
        <v>40</v>
      </c>
      <c r="AB3112" s="1" t="s">
        <v>671</v>
      </c>
      <c r="AC3112" s="1">
        <v>5457.0</v>
      </c>
    </row>
    <row r="3113">
      <c r="A3113" s="1" t="str">
        <f t="shared" si="238"/>
        <v>00088H</v>
      </c>
      <c r="B3113" s="1" t="s">
        <v>2463</v>
      </c>
      <c r="C3113" s="1" t="s">
        <v>2464</v>
      </c>
      <c r="D3113" s="1" t="str">
        <f t="shared" si="239"/>
        <v>8027442007</v>
      </c>
      <c r="E3113" s="1">
        <v>3222.0</v>
      </c>
      <c r="F3113" s="1" t="s">
        <v>117</v>
      </c>
      <c r="G3113" s="1" t="s">
        <v>12996</v>
      </c>
      <c r="H3113" s="1">
        <v>32.0</v>
      </c>
      <c r="I3113" s="1"/>
      <c r="J3113" s="1"/>
      <c r="K3113" s="1"/>
      <c r="L3113" s="1"/>
      <c r="M3113" s="1" t="s">
        <v>12997</v>
      </c>
      <c r="N3113" s="1" t="s">
        <v>47</v>
      </c>
      <c r="O3113" s="1" t="s">
        <v>2319</v>
      </c>
      <c r="P3113" s="1" t="s">
        <v>12994</v>
      </c>
      <c r="Q3113" s="3">
        <v>42194.0</v>
      </c>
      <c r="R3113" s="1"/>
      <c r="S3113" s="1"/>
      <c r="T3113" s="1" t="s">
        <v>37</v>
      </c>
      <c r="U3113" s="1"/>
      <c r="V3113" s="1" t="s">
        <v>38</v>
      </c>
      <c r="W3113" s="1"/>
      <c r="X3113" s="1"/>
      <c r="Y3113" s="1" t="s">
        <v>2083</v>
      </c>
      <c r="Z3113" s="1"/>
      <c r="AA3113" s="1" t="s">
        <v>40</v>
      </c>
      <c r="AB3113" s="1" t="s">
        <v>47</v>
      </c>
      <c r="AC3113" s="1">
        <v>0.0</v>
      </c>
    </row>
    <row r="3114">
      <c r="A3114" s="1" t="str">
        <f t="shared" si="238"/>
        <v>00088H</v>
      </c>
      <c r="B3114" s="1" t="s">
        <v>2463</v>
      </c>
      <c r="C3114" s="1" t="s">
        <v>2464</v>
      </c>
      <c r="D3114" s="1" t="str">
        <f t="shared" si="239"/>
        <v>8027442007</v>
      </c>
      <c r="E3114" s="1">
        <v>3222.0</v>
      </c>
      <c r="F3114" s="1" t="s">
        <v>117</v>
      </c>
      <c r="G3114" s="1" t="s">
        <v>12998</v>
      </c>
      <c r="H3114" s="1">
        <v>32.0</v>
      </c>
      <c r="I3114" s="1"/>
      <c r="J3114" s="1"/>
      <c r="K3114" s="1"/>
      <c r="L3114" s="1"/>
      <c r="M3114" s="1" t="s">
        <v>12999</v>
      </c>
      <c r="N3114" s="1" t="s">
        <v>94</v>
      </c>
      <c r="O3114" s="1" t="s">
        <v>95</v>
      </c>
      <c r="P3114" s="1" t="s">
        <v>13000</v>
      </c>
      <c r="Q3114" s="3">
        <v>42194.0</v>
      </c>
      <c r="R3114" s="1"/>
      <c r="S3114" s="3">
        <v>42234.0</v>
      </c>
      <c r="T3114" s="1" t="s">
        <v>37</v>
      </c>
      <c r="U3114" s="1"/>
      <c r="V3114" s="1" t="s">
        <v>38</v>
      </c>
      <c r="W3114" s="1">
        <v>44.89357</v>
      </c>
      <c r="X3114" s="1">
        <v>-72.4135999999999</v>
      </c>
      <c r="Y3114" s="1" t="s">
        <v>13001</v>
      </c>
      <c r="Z3114" s="1"/>
      <c r="AA3114" s="1" t="s">
        <v>40</v>
      </c>
      <c r="AB3114" s="1" t="s">
        <v>490</v>
      </c>
      <c r="AC3114" s="1">
        <v>5868.0</v>
      </c>
    </row>
    <row r="3115">
      <c r="A3115" s="1" t="str">
        <f t="shared" si="238"/>
        <v>00088H</v>
      </c>
      <c r="B3115" s="1" t="s">
        <v>2463</v>
      </c>
      <c r="C3115" s="1" t="s">
        <v>2464</v>
      </c>
      <c r="D3115" s="1" t="str">
        <f t="shared" si="239"/>
        <v>8027442007</v>
      </c>
      <c r="E3115" s="1">
        <v>3222.0</v>
      </c>
      <c r="F3115" s="1" t="s">
        <v>117</v>
      </c>
      <c r="G3115" s="1" t="s">
        <v>13002</v>
      </c>
      <c r="H3115" s="1">
        <v>32.0</v>
      </c>
      <c r="I3115" s="1"/>
      <c r="J3115" s="1"/>
      <c r="K3115" s="1"/>
      <c r="L3115" s="1"/>
      <c r="M3115" s="1" t="s">
        <v>13003</v>
      </c>
      <c r="N3115" s="1" t="s">
        <v>47</v>
      </c>
      <c r="O3115" s="1"/>
      <c r="P3115" s="1" t="s">
        <v>12991</v>
      </c>
      <c r="Q3115" s="3">
        <v>42194.0</v>
      </c>
      <c r="R3115" s="1"/>
      <c r="S3115" s="1"/>
      <c r="T3115" s="1" t="s">
        <v>37</v>
      </c>
      <c r="U3115" s="1"/>
      <c r="V3115" s="1" t="s">
        <v>38</v>
      </c>
      <c r="W3115" s="1">
        <v>44.9664719952036</v>
      </c>
      <c r="X3115" s="1">
        <v>-72.7903804780362</v>
      </c>
      <c r="Y3115" s="1" t="s">
        <v>13004</v>
      </c>
      <c r="Z3115" s="1"/>
      <c r="AA3115" s="1" t="s">
        <v>40</v>
      </c>
      <c r="AB3115" s="1" t="s">
        <v>498</v>
      </c>
      <c r="AC3115" s="1">
        <v>5450.0</v>
      </c>
    </row>
    <row r="3116">
      <c r="A3116" s="1" t="str">
        <f t="shared" si="238"/>
        <v>00088H</v>
      </c>
      <c r="B3116" s="1" t="s">
        <v>2463</v>
      </c>
      <c r="C3116" s="1" t="s">
        <v>2464</v>
      </c>
      <c r="D3116" s="1" t="str">
        <f t="shared" si="239"/>
        <v>8027442007</v>
      </c>
      <c r="E3116" s="1">
        <v>3222.0</v>
      </c>
      <c r="F3116" s="1" t="s">
        <v>117</v>
      </c>
      <c r="G3116" s="1" t="s">
        <v>13005</v>
      </c>
      <c r="H3116" s="1">
        <v>32.0</v>
      </c>
      <c r="I3116" s="1"/>
      <c r="J3116" s="1"/>
      <c r="K3116" s="1"/>
      <c r="L3116" s="1"/>
      <c r="M3116" s="1" t="s">
        <v>8732</v>
      </c>
      <c r="N3116" s="1" t="s">
        <v>47</v>
      </c>
      <c r="O3116" s="1" t="s">
        <v>2889</v>
      </c>
      <c r="P3116" s="1" t="s">
        <v>8732</v>
      </c>
      <c r="Q3116" s="3">
        <v>42194.0</v>
      </c>
      <c r="R3116" s="1"/>
      <c r="S3116" s="1"/>
      <c r="T3116" s="1" t="s">
        <v>37</v>
      </c>
      <c r="U3116" s="1"/>
      <c r="V3116" s="1" t="s">
        <v>38</v>
      </c>
      <c r="W3116" s="1">
        <v>44.94569</v>
      </c>
      <c r="X3116" s="1">
        <v>-73.01093</v>
      </c>
      <c r="Y3116" s="1" t="s">
        <v>13006</v>
      </c>
      <c r="Z3116" s="1"/>
      <c r="AA3116" s="1" t="s">
        <v>40</v>
      </c>
      <c r="AB3116" s="1" t="s">
        <v>2773</v>
      </c>
      <c r="AC3116" s="1">
        <v>5459.0</v>
      </c>
    </row>
    <row r="3117">
      <c r="A3117" s="1" t="str">
        <f t="shared" si="238"/>
        <v>00088H</v>
      </c>
      <c r="B3117" s="1" t="s">
        <v>2463</v>
      </c>
      <c r="C3117" s="1" t="s">
        <v>2464</v>
      </c>
      <c r="D3117" s="1" t="str">
        <f t="shared" si="239"/>
        <v>8027442007</v>
      </c>
      <c r="E3117" s="1">
        <v>3222.0</v>
      </c>
      <c r="F3117" s="1" t="s">
        <v>117</v>
      </c>
      <c r="G3117" s="1" t="s">
        <v>13007</v>
      </c>
      <c r="H3117" s="1">
        <v>32.0</v>
      </c>
      <c r="I3117" s="1"/>
      <c r="J3117" s="1"/>
      <c r="K3117" s="1"/>
      <c r="L3117" s="1"/>
      <c r="M3117" s="1" t="s">
        <v>13008</v>
      </c>
      <c r="N3117" s="1" t="s">
        <v>47</v>
      </c>
      <c r="O3117" s="1" t="s">
        <v>2319</v>
      </c>
      <c r="P3117" s="1" t="s">
        <v>13008</v>
      </c>
      <c r="Q3117" s="3">
        <v>42194.0</v>
      </c>
      <c r="R3117" s="1"/>
      <c r="S3117" s="1"/>
      <c r="T3117" s="1" t="s">
        <v>37</v>
      </c>
      <c r="U3117" s="1"/>
      <c r="V3117" s="1" t="s">
        <v>38</v>
      </c>
      <c r="W3117" s="1">
        <v>44.96906</v>
      </c>
      <c r="X3117" s="1">
        <v>-72.97698</v>
      </c>
      <c r="Y3117" s="1" t="s">
        <v>13009</v>
      </c>
      <c r="Z3117" s="1"/>
      <c r="AA3117" s="1" t="s">
        <v>40</v>
      </c>
      <c r="AB3117" s="1"/>
      <c r="AC3117" s="1">
        <v>5459.0</v>
      </c>
    </row>
    <row r="3118">
      <c r="A3118" s="1" t="str">
        <f t="shared" si="238"/>
        <v>00088H</v>
      </c>
      <c r="B3118" s="1" t="s">
        <v>2463</v>
      </c>
      <c r="C3118" s="1" t="s">
        <v>2464</v>
      </c>
      <c r="D3118" s="1" t="str">
        <f t="shared" si="239"/>
        <v>8027442007</v>
      </c>
      <c r="E3118" s="1">
        <v>3222.0</v>
      </c>
      <c r="F3118" s="1" t="s">
        <v>117</v>
      </c>
      <c r="G3118" s="1" t="s">
        <v>13010</v>
      </c>
      <c r="H3118" s="1">
        <v>32.0</v>
      </c>
      <c r="I3118" s="1"/>
      <c r="J3118" s="1"/>
      <c r="K3118" s="1"/>
      <c r="L3118" s="1"/>
      <c r="M3118" s="1" t="s">
        <v>13011</v>
      </c>
      <c r="N3118" s="1" t="s">
        <v>47</v>
      </c>
      <c r="O3118" s="1" t="s">
        <v>2889</v>
      </c>
      <c r="P3118" s="1" t="s">
        <v>13011</v>
      </c>
      <c r="Q3118" s="3">
        <v>42194.0</v>
      </c>
      <c r="R3118" s="1"/>
      <c r="S3118" s="1"/>
      <c r="T3118" s="1" t="s">
        <v>37</v>
      </c>
      <c r="U3118" s="1"/>
      <c r="V3118" s="1" t="s">
        <v>38</v>
      </c>
      <c r="W3118" s="1">
        <v>44.9741</v>
      </c>
      <c r="X3118" s="1">
        <v>-73.10208</v>
      </c>
      <c r="Y3118" s="1"/>
      <c r="Z3118" s="1"/>
      <c r="AA3118" s="1" t="s">
        <v>40</v>
      </c>
      <c r="AB3118" s="1"/>
      <c r="AC3118" s="1"/>
    </row>
    <row r="3119">
      <c r="A3119" s="1" t="str">
        <f>"000KHK"</f>
        <v>000KHK</v>
      </c>
      <c r="B3119" s="1" t="s">
        <v>10553</v>
      </c>
      <c r="C3119" s="1" t="s">
        <v>10554</v>
      </c>
      <c r="D3119" s="1" t="str">
        <f>"8023755011"</f>
        <v>8023755011</v>
      </c>
      <c r="E3119" s="1">
        <v>4526.0</v>
      </c>
      <c r="F3119" s="1" t="s">
        <v>44</v>
      </c>
      <c r="G3119" s="1" t="s">
        <v>13012</v>
      </c>
      <c r="H3119" s="1">
        <v>1.0</v>
      </c>
      <c r="I3119" s="2">
        <v>0.0</v>
      </c>
      <c r="J3119" s="2">
        <v>0.0</v>
      </c>
      <c r="K3119" s="2" t="s">
        <v>119</v>
      </c>
      <c r="L3119" s="1"/>
      <c r="M3119" s="1">
        <v>2.0</v>
      </c>
      <c r="N3119" s="1" t="s">
        <v>414</v>
      </c>
      <c r="O3119" s="1" t="s">
        <v>415</v>
      </c>
      <c r="P3119" s="1" t="s">
        <v>13013</v>
      </c>
      <c r="Q3119" s="3">
        <v>42195.0</v>
      </c>
      <c r="R3119" s="1"/>
      <c r="S3119" s="1"/>
      <c r="T3119" s="1" t="s">
        <v>37</v>
      </c>
      <c r="U3119" s="1"/>
      <c r="V3119" s="1" t="s">
        <v>38</v>
      </c>
      <c r="W3119" s="1"/>
      <c r="X3119" s="1"/>
      <c r="Y3119" s="1" t="s">
        <v>2083</v>
      </c>
      <c r="Z3119" s="1"/>
      <c r="AA3119" s="1" t="s">
        <v>40</v>
      </c>
      <c r="AB3119" s="1" t="s">
        <v>416</v>
      </c>
      <c r="AC3119" s="1">
        <v>0.0</v>
      </c>
    </row>
    <row r="3120">
      <c r="A3120" s="1" t="str">
        <f>"0007JF"</f>
        <v>0007JF</v>
      </c>
      <c r="B3120" s="1" t="s">
        <v>1204</v>
      </c>
      <c r="C3120" s="1" t="s">
        <v>1205</v>
      </c>
      <c r="D3120" s="1" t="str">
        <f>"8027654637"</f>
        <v>8027654637</v>
      </c>
      <c r="E3120" s="1">
        <v>3122.0</v>
      </c>
      <c r="F3120" s="1" t="s">
        <v>117</v>
      </c>
      <c r="G3120" s="1" t="s">
        <v>13014</v>
      </c>
      <c r="H3120" s="1">
        <v>2.0</v>
      </c>
      <c r="I3120" s="2">
        <v>1.0</v>
      </c>
      <c r="J3120" s="2" t="s">
        <v>119</v>
      </c>
      <c r="K3120" s="2" t="s">
        <v>119</v>
      </c>
      <c r="L3120" s="1"/>
      <c r="M3120" s="1">
        <v>2.0</v>
      </c>
      <c r="N3120" s="1" t="s">
        <v>34</v>
      </c>
      <c r="O3120" s="1" t="s">
        <v>463</v>
      </c>
      <c r="P3120" s="1" t="s">
        <v>13015</v>
      </c>
      <c r="Q3120" s="3">
        <v>42195.0</v>
      </c>
      <c r="R3120" s="1"/>
      <c r="S3120" s="3">
        <v>42894.0</v>
      </c>
      <c r="T3120" s="1" t="s">
        <v>37</v>
      </c>
      <c r="U3120" s="1"/>
      <c r="V3120" s="1" t="s">
        <v>38</v>
      </c>
      <c r="W3120" s="1"/>
      <c r="X3120" s="1"/>
      <c r="Y3120" s="1" t="s">
        <v>2083</v>
      </c>
      <c r="Z3120" s="1"/>
      <c r="AA3120" s="1" t="s">
        <v>40</v>
      </c>
      <c r="AB3120" s="1" t="s">
        <v>466</v>
      </c>
      <c r="AC3120" s="1">
        <v>0.0</v>
      </c>
    </row>
    <row r="3121">
      <c r="A3121" s="1" t="str">
        <f>"000QXQ"</f>
        <v>000QXQ</v>
      </c>
      <c r="B3121" s="1" t="s">
        <v>13016</v>
      </c>
      <c r="C3121" s="1" t="s">
        <v>13017</v>
      </c>
      <c r="D3121" s="1" t="str">
        <f>"9148305361"</f>
        <v>9148305361</v>
      </c>
      <c r="E3121" s="1">
        <v>4900.0</v>
      </c>
      <c r="F3121" s="1" t="s">
        <v>117</v>
      </c>
      <c r="G3121" s="1" t="s">
        <v>13018</v>
      </c>
      <c r="H3121" s="1">
        <v>1.0</v>
      </c>
      <c r="I3121" s="2">
        <v>1.0</v>
      </c>
      <c r="J3121" s="2" t="s">
        <v>119</v>
      </c>
      <c r="K3121" s="2" t="s">
        <v>119</v>
      </c>
      <c r="L3121" s="1"/>
      <c r="M3121" s="1" t="s">
        <v>13019</v>
      </c>
      <c r="N3121" s="1" t="s">
        <v>57</v>
      </c>
      <c r="O3121" s="1" t="s">
        <v>1633</v>
      </c>
      <c r="P3121" s="1" t="s">
        <v>13020</v>
      </c>
      <c r="Q3121" s="3">
        <v>42195.0</v>
      </c>
      <c r="R3121" s="1"/>
      <c r="S3121" s="1"/>
      <c r="T3121" s="1" t="s">
        <v>37</v>
      </c>
      <c r="U3121" s="1"/>
      <c r="V3121" s="1" t="s">
        <v>38</v>
      </c>
      <c r="W3121" s="1">
        <v>44.32416</v>
      </c>
      <c r="X3121" s="1">
        <v>-73.236886</v>
      </c>
      <c r="Y3121" s="1" t="s">
        <v>13021</v>
      </c>
      <c r="Z3121" s="1"/>
      <c r="AA3121" s="1" t="s">
        <v>40</v>
      </c>
      <c r="AB3121" s="1" t="s">
        <v>1634</v>
      </c>
      <c r="AC3121" s="1">
        <v>5445.0</v>
      </c>
    </row>
    <row r="3122">
      <c r="A3122" s="1" t="str">
        <f>"000QXV"</f>
        <v>000QXV</v>
      </c>
      <c r="B3122" s="1" t="s">
        <v>13022</v>
      </c>
      <c r="C3122" s="1" t="s">
        <v>13023</v>
      </c>
      <c r="D3122" s="1" t="str">
        <f>"8022237687"</f>
        <v>8022237687</v>
      </c>
      <c r="E3122" s="1">
        <v>4901.0</v>
      </c>
      <c r="F3122" s="1" t="s">
        <v>117</v>
      </c>
      <c r="G3122" s="1" t="s">
        <v>13024</v>
      </c>
      <c r="H3122" s="1">
        <v>1.0</v>
      </c>
      <c r="I3122" s="2">
        <v>3.0</v>
      </c>
      <c r="J3122" s="2">
        <v>3.0</v>
      </c>
      <c r="K3122" s="2">
        <v>13.0</v>
      </c>
      <c r="L3122" s="2" t="s">
        <v>13025</v>
      </c>
      <c r="M3122" s="1" t="s">
        <v>13022</v>
      </c>
      <c r="N3122" s="1" t="s">
        <v>135</v>
      </c>
      <c r="O3122" s="1" t="s">
        <v>2331</v>
      </c>
      <c r="P3122" s="1" t="s">
        <v>13026</v>
      </c>
      <c r="Q3122" s="3">
        <v>42195.0</v>
      </c>
      <c r="R3122" s="1"/>
      <c r="S3122" s="1"/>
      <c r="T3122" s="1" t="s">
        <v>8597</v>
      </c>
      <c r="U3122" s="1"/>
      <c r="V3122" s="1" t="s">
        <v>38</v>
      </c>
      <c r="W3122" s="1">
        <v>44.2798376</v>
      </c>
      <c r="X3122" s="1">
        <v>-72.7245937</v>
      </c>
      <c r="Y3122" s="1" t="s">
        <v>13027</v>
      </c>
      <c r="Z3122" s="1"/>
      <c r="AA3122" s="1" t="s">
        <v>40</v>
      </c>
      <c r="AB3122" s="1" t="s">
        <v>2332</v>
      </c>
      <c r="AC3122" s="1">
        <v>5660.0</v>
      </c>
    </row>
    <row r="3123">
      <c r="A3123" s="1" t="str">
        <f>"0007J2"</f>
        <v>0007J2</v>
      </c>
      <c r="B3123" s="1" t="s">
        <v>4622</v>
      </c>
      <c r="C3123" s="1" t="s">
        <v>4623</v>
      </c>
      <c r="D3123" s="1" t="str">
        <f>"8028858408"</f>
        <v>8028858408</v>
      </c>
      <c r="E3123" s="1">
        <v>3886.0</v>
      </c>
      <c r="F3123" s="1" t="s">
        <v>117</v>
      </c>
      <c r="G3123" s="1" t="s">
        <v>13028</v>
      </c>
      <c r="H3123" s="1">
        <v>4.0</v>
      </c>
      <c r="I3123" s="2" t="s">
        <v>119</v>
      </c>
      <c r="J3123" s="2" t="s">
        <v>119</v>
      </c>
      <c r="K3123" s="2" t="s">
        <v>119</v>
      </c>
      <c r="L3123" s="1"/>
      <c r="M3123" s="1" t="s">
        <v>13029</v>
      </c>
      <c r="N3123" s="1" t="s">
        <v>34</v>
      </c>
      <c r="O3123" s="1" t="s">
        <v>642</v>
      </c>
      <c r="P3123" s="1" t="s">
        <v>13030</v>
      </c>
      <c r="Q3123" s="3">
        <v>42198.0</v>
      </c>
      <c r="R3123" s="1"/>
      <c r="S3123" s="1"/>
      <c r="T3123" s="1" t="s">
        <v>37</v>
      </c>
      <c r="U3123" s="1"/>
      <c r="V3123" s="1" t="s">
        <v>38</v>
      </c>
      <c r="W3123" s="1">
        <v>43.3138239</v>
      </c>
      <c r="X3123" s="1">
        <v>-72.4672779</v>
      </c>
      <c r="Y3123" s="1" t="s">
        <v>13031</v>
      </c>
      <c r="Z3123" s="1"/>
      <c r="AA3123" s="1" t="s">
        <v>40</v>
      </c>
      <c r="AB3123" s="1" t="s">
        <v>643</v>
      </c>
      <c r="AC3123" s="1">
        <v>5156.0</v>
      </c>
    </row>
    <row r="3124">
      <c r="A3124" s="1" t="str">
        <f>"000QFM"</f>
        <v>000QFM</v>
      </c>
      <c r="B3124" s="1" t="s">
        <v>13032</v>
      </c>
      <c r="C3124" s="1" t="s">
        <v>13033</v>
      </c>
      <c r="D3124" s="1"/>
      <c r="E3124" s="1">
        <v>4790.0</v>
      </c>
      <c r="F3124" s="1" t="s">
        <v>117</v>
      </c>
      <c r="G3124" s="1" t="s">
        <v>13034</v>
      </c>
      <c r="H3124" s="1">
        <v>2.0</v>
      </c>
      <c r="I3124" s="2">
        <v>2.0</v>
      </c>
      <c r="J3124" s="2">
        <v>1.0</v>
      </c>
      <c r="K3124" s="2" t="s">
        <v>119</v>
      </c>
      <c r="L3124" s="1"/>
      <c r="M3124" s="1" t="s">
        <v>13035</v>
      </c>
      <c r="N3124" s="1" t="s">
        <v>66</v>
      </c>
      <c r="O3124" s="1" t="s">
        <v>1136</v>
      </c>
      <c r="P3124" s="1" t="s">
        <v>13036</v>
      </c>
      <c r="Q3124" s="3">
        <v>42198.0</v>
      </c>
      <c r="R3124" s="1"/>
      <c r="S3124" s="1"/>
      <c r="T3124" s="1" t="s">
        <v>37</v>
      </c>
      <c r="U3124" s="1"/>
      <c r="V3124" s="1" t="s">
        <v>38</v>
      </c>
      <c r="W3124" s="1">
        <v>42.816395</v>
      </c>
      <c r="X3124" s="1">
        <v>-72.593025</v>
      </c>
      <c r="Y3124" s="1" t="s">
        <v>13037</v>
      </c>
      <c r="Z3124" s="1"/>
      <c r="AA3124" s="1" t="s">
        <v>40</v>
      </c>
      <c r="AB3124" s="1" t="s">
        <v>1137</v>
      </c>
      <c r="AC3124" s="1">
        <v>5301.0</v>
      </c>
    </row>
    <row r="3125">
      <c r="A3125" s="1" t="str">
        <f>"000QYJ"</f>
        <v>000QYJ</v>
      </c>
      <c r="B3125" s="1" t="s">
        <v>13038</v>
      </c>
      <c r="C3125" s="1" t="s">
        <v>13039</v>
      </c>
      <c r="D3125" s="2">
        <v>8.023991612E9</v>
      </c>
      <c r="E3125" s="1">
        <v>4902.0</v>
      </c>
      <c r="F3125" s="1" t="s">
        <v>117</v>
      </c>
      <c r="G3125" s="1" t="s">
        <v>13040</v>
      </c>
      <c r="H3125" s="1">
        <v>2.0</v>
      </c>
      <c r="I3125" s="2">
        <v>1.0</v>
      </c>
      <c r="J3125" s="2">
        <v>1.0</v>
      </c>
      <c r="K3125" s="2" t="s">
        <v>119</v>
      </c>
      <c r="L3125" s="1"/>
      <c r="M3125" s="1" t="s">
        <v>13041</v>
      </c>
      <c r="N3125" s="1" t="s">
        <v>161</v>
      </c>
      <c r="O3125" s="1" t="s">
        <v>531</v>
      </c>
      <c r="P3125" s="1" t="s">
        <v>13042</v>
      </c>
      <c r="Q3125" s="3">
        <v>42198.0</v>
      </c>
      <c r="R3125" s="1"/>
      <c r="S3125" s="3">
        <v>42223.0</v>
      </c>
      <c r="T3125" s="1" t="s">
        <v>37</v>
      </c>
      <c r="U3125" s="1"/>
      <c r="V3125" s="1" t="s">
        <v>38</v>
      </c>
      <c r="W3125" s="1">
        <v>43.8480185011561</v>
      </c>
      <c r="X3125" s="1">
        <v>-73.2529950141906</v>
      </c>
      <c r="Y3125" s="1" t="s">
        <v>13043</v>
      </c>
      <c r="Z3125" s="1"/>
      <c r="AA3125" s="1" t="s">
        <v>40</v>
      </c>
      <c r="AB3125" s="1" t="s">
        <v>532</v>
      </c>
      <c r="AC3125" s="1">
        <v>5760.0</v>
      </c>
    </row>
    <row r="3126">
      <c r="A3126" s="1" t="str">
        <f>"000QYK"</f>
        <v>000QYK</v>
      </c>
      <c r="B3126" s="1" t="s">
        <v>10037</v>
      </c>
      <c r="C3126" s="1" t="s">
        <v>13044</v>
      </c>
      <c r="D3126" s="1"/>
      <c r="E3126" s="1">
        <v>4903.0</v>
      </c>
      <c r="F3126" s="1" t="s">
        <v>117</v>
      </c>
      <c r="G3126" s="1" t="s">
        <v>13045</v>
      </c>
      <c r="H3126" s="1">
        <v>4.0</v>
      </c>
      <c r="I3126" s="1"/>
      <c r="J3126" s="1"/>
      <c r="K3126" s="1"/>
      <c r="L3126" s="1"/>
      <c r="M3126" s="1" t="s">
        <v>10037</v>
      </c>
      <c r="N3126" s="1" t="s">
        <v>161</v>
      </c>
      <c r="O3126" s="1" t="s">
        <v>769</v>
      </c>
      <c r="P3126" s="1" t="s">
        <v>12925</v>
      </c>
      <c r="Q3126" s="3">
        <v>42199.0</v>
      </c>
      <c r="R3126" s="1"/>
      <c r="S3126" s="1"/>
      <c r="T3126" s="1" t="s">
        <v>37</v>
      </c>
      <c r="U3126" s="1"/>
      <c r="V3126" s="1" t="s">
        <v>38</v>
      </c>
      <c r="W3126" s="1">
        <v>44.1958552</v>
      </c>
      <c r="X3126" s="1">
        <v>-73.3610416</v>
      </c>
      <c r="Y3126" s="1" t="s">
        <v>12926</v>
      </c>
      <c r="Z3126" s="1"/>
      <c r="AA3126" s="1" t="s">
        <v>40</v>
      </c>
      <c r="AB3126" s="1" t="s">
        <v>3581</v>
      </c>
      <c r="AC3126" s="1">
        <v>5491.0</v>
      </c>
    </row>
    <row r="3127">
      <c r="A3127" s="1" t="str">
        <f>"000QX9"</f>
        <v>000QX9</v>
      </c>
      <c r="B3127" s="1" t="s">
        <v>13046</v>
      </c>
      <c r="C3127" s="1" t="s">
        <v>13047</v>
      </c>
      <c r="D3127" s="1" t="str">
        <f>"8022256436"</f>
        <v>8022256436</v>
      </c>
      <c r="E3127" s="1">
        <v>4895.0</v>
      </c>
      <c r="F3127" s="1" t="s">
        <v>31</v>
      </c>
      <c r="G3127" s="1" t="s">
        <v>13048</v>
      </c>
      <c r="H3127" s="1">
        <v>3.0</v>
      </c>
      <c r="I3127" s="1"/>
      <c r="J3127" s="1"/>
      <c r="K3127" s="1"/>
      <c r="L3127" s="1"/>
      <c r="M3127" s="1" t="s">
        <v>33</v>
      </c>
      <c r="N3127" s="1" t="s">
        <v>135</v>
      </c>
      <c r="O3127" s="1" t="s">
        <v>279</v>
      </c>
      <c r="P3127" s="1" t="s">
        <v>13049</v>
      </c>
      <c r="Q3127" s="3">
        <v>42199.0</v>
      </c>
      <c r="R3127" s="1"/>
      <c r="S3127" s="1"/>
      <c r="T3127" s="1" t="s">
        <v>37</v>
      </c>
      <c r="U3127" s="1"/>
      <c r="V3127" s="1" t="s">
        <v>38</v>
      </c>
      <c r="W3127" s="1"/>
      <c r="X3127" s="1"/>
      <c r="Y3127" s="1" t="s">
        <v>13050</v>
      </c>
      <c r="Z3127" s="1"/>
      <c r="AA3127" s="1" t="s">
        <v>40</v>
      </c>
      <c r="AB3127" s="1" t="s">
        <v>281</v>
      </c>
      <c r="AC3127" s="1">
        <v>5602.0</v>
      </c>
    </row>
    <row r="3128">
      <c r="A3128" s="1" t="str">
        <f>"000M83"</f>
        <v>000M83</v>
      </c>
      <c r="B3128" s="1" t="s">
        <v>1435</v>
      </c>
      <c r="C3128" s="1" t="s">
        <v>1436</v>
      </c>
      <c r="D3128" s="1" t="str">
        <f>"8025373294"</f>
        <v>8025373294</v>
      </c>
      <c r="E3128" s="1">
        <v>4622.0</v>
      </c>
      <c r="F3128" s="1" t="s">
        <v>117</v>
      </c>
      <c r="G3128" s="1" t="s">
        <v>13051</v>
      </c>
      <c r="H3128" s="1">
        <v>50.0</v>
      </c>
      <c r="I3128" s="2">
        <v>50.0</v>
      </c>
      <c r="J3128" s="2">
        <v>50.0</v>
      </c>
      <c r="K3128" s="2" t="s">
        <v>119</v>
      </c>
      <c r="L3128" s="1"/>
      <c r="M3128" s="1" t="s">
        <v>13052</v>
      </c>
      <c r="N3128" s="1" t="s">
        <v>78</v>
      </c>
      <c r="O3128" s="1" t="s">
        <v>426</v>
      </c>
      <c r="P3128" s="1" t="s">
        <v>13053</v>
      </c>
      <c r="Q3128" s="3">
        <v>42201.0</v>
      </c>
      <c r="R3128" s="1"/>
      <c r="S3128" s="3">
        <v>42180.0</v>
      </c>
      <c r="T3128" s="1" t="s">
        <v>37</v>
      </c>
      <c r="U3128" s="1"/>
      <c r="V3128" s="1" t="s">
        <v>38</v>
      </c>
      <c r="W3128" s="1">
        <v>43.684849731906</v>
      </c>
      <c r="X3128" s="1">
        <v>-73.3736300468444</v>
      </c>
      <c r="Y3128" s="1" t="s">
        <v>13054</v>
      </c>
      <c r="Z3128" s="1"/>
      <c r="AA3128" s="1" t="s">
        <v>40</v>
      </c>
      <c r="AB3128" s="1" t="s">
        <v>427</v>
      </c>
      <c r="AC3128" s="1">
        <v>0.0</v>
      </c>
    </row>
    <row r="3129">
      <c r="A3129" s="1" t="str">
        <f>"000910"</f>
        <v>000910</v>
      </c>
      <c r="B3129" s="1" t="s">
        <v>6970</v>
      </c>
      <c r="C3129" s="1" t="s">
        <v>6971</v>
      </c>
      <c r="D3129" s="1" t="str">
        <f>"8023723752"</f>
        <v>8023723752</v>
      </c>
      <c r="E3129" s="1">
        <v>3634.0</v>
      </c>
      <c r="F3129" s="1" t="s">
        <v>44</v>
      </c>
      <c r="G3129" s="1" t="s">
        <v>13055</v>
      </c>
      <c r="H3129" s="1">
        <v>1.0</v>
      </c>
      <c r="I3129" s="2" t="s">
        <v>119</v>
      </c>
      <c r="J3129" s="2">
        <v>1.0</v>
      </c>
      <c r="K3129" s="2" t="s">
        <v>119</v>
      </c>
      <c r="L3129" s="1"/>
      <c r="M3129" s="1">
        <v>2.0</v>
      </c>
      <c r="N3129" s="1" t="s">
        <v>107</v>
      </c>
      <c r="O3129" s="1" t="s">
        <v>821</v>
      </c>
      <c r="P3129" s="1" t="s">
        <v>13056</v>
      </c>
      <c r="Q3129" s="3">
        <v>42201.0</v>
      </c>
      <c r="R3129" s="1"/>
      <c r="S3129" s="1"/>
      <c r="T3129" s="1" t="s">
        <v>37</v>
      </c>
      <c r="U3129" s="1"/>
      <c r="V3129" s="1" t="s">
        <v>38</v>
      </c>
      <c r="W3129" s="1">
        <v>44.671146</v>
      </c>
      <c r="X3129" s="1">
        <v>-73.346397</v>
      </c>
      <c r="Y3129" s="1" t="s">
        <v>13057</v>
      </c>
      <c r="Z3129" s="1"/>
      <c r="AA3129" s="1" t="s">
        <v>40</v>
      </c>
      <c r="AB3129" s="1" t="s">
        <v>822</v>
      </c>
      <c r="AC3129" s="1">
        <v>5486.0</v>
      </c>
    </row>
    <row r="3130">
      <c r="A3130" s="1" t="str">
        <f>"0007BK"</f>
        <v>0007BK</v>
      </c>
      <c r="B3130" s="1" t="s">
        <v>13058</v>
      </c>
      <c r="C3130" s="1" t="s">
        <v>13059</v>
      </c>
      <c r="D3130" s="1" t="str">
        <f>"8027637981"</f>
        <v>8027637981</v>
      </c>
      <c r="E3130" s="1">
        <v>585.0</v>
      </c>
      <c r="F3130" s="1" t="s">
        <v>31</v>
      </c>
      <c r="G3130" s="1" t="s">
        <v>13060</v>
      </c>
      <c r="H3130" s="1">
        <v>3.0</v>
      </c>
      <c r="I3130" s="2">
        <v>3.0</v>
      </c>
      <c r="J3130" s="2">
        <v>3.0</v>
      </c>
      <c r="K3130" s="2" t="s">
        <v>119</v>
      </c>
      <c r="L3130" s="1"/>
      <c r="M3130" s="1" t="s">
        <v>33</v>
      </c>
      <c r="N3130" s="1" t="s">
        <v>34</v>
      </c>
      <c r="O3130" s="1"/>
      <c r="P3130" s="1" t="s">
        <v>13061</v>
      </c>
      <c r="Q3130" s="3">
        <v>42201.0</v>
      </c>
      <c r="R3130" s="1"/>
      <c r="S3130" s="3">
        <v>42916.0</v>
      </c>
      <c r="T3130" s="1" t="s">
        <v>37</v>
      </c>
      <c r="U3130" s="1"/>
      <c r="V3130" s="1" t="s">
        <v>38</v>
      </c>
      <c r="W3130" s="1">
        <v>43.8484163</v>
      </c>
      <c r="X3130" s="1">
        <v>-72.5246086999999</v>
      </c>
      <c r="Y3130" s="1" t="s">
        <v>13062</v>
      </c>
      <c r="Z3130" s="1"/>
      <c r="AA3130" s="1" t="s">
        <v>40</v>
      </c>
      <c r="AB3130" s="1" t="s">
        <v>41</v>
      </c>
      <c r="AC3130" s="1">
        <v>5068.0</v>
      </c>
    </row>
    <row r="3131">
      <c r="A3131" s="1" t="str">
        <f>"000QYX"</f>
        <v>000QYX</v>
      </c>
      <c r="B3131" s="1" t="s">
        <v>13063</v>
      </c>
      <c r="C3131" s="1" t="s">
        <v>13064</v>
      </c>
      <c r="D3131" s="1" t="str">
        <f>"8023188191"</f>
        <v>8023188191</v>
      </c>
      <c r="E3131" s="1">
        <v>4904.0</v>
      </c>
      <c r="F3131" s="1" t="s">
        <v>117</v>
      </c>
      <c r="G3131" s="1" t="s">
        <v>13065</v>
      </c>
      <c r="H3131" s="1">
        <v>4.0</v>
      </c>
      <c r="I3131" s="2" t="s">
        <v>119</v>
      </c>
      <c r="J3131" s="2">
        <v>2.0</v>
      </c>
      <c r="K3131" s="2" t="s">
        <v>119</v>
      </c>
      <c r="L3131" s="1"/>
      <c r="M3131" s="1" t="s">
        <v>13066</v>
      </c>
      <c r="N3131" s="1" t="s">
        <v>57</v>
      </c>
      <c r="O3131" s="1" t="s">
        <v>175</v>
      </c>
      <c r="P3131" s="1" t="s">
        <v>13067</v>
      </c>
      <c r="Q3131" s="3">
        <v>42201.0</v>
      </c>
      <c r="R3131" s="1"/>
      <c r="S3131" s="3">
        <v>42548.0</v>
      </c>
      <c r="T3131" s="1" t="s">
        <v>37</v>
      </c>
      <c r="U3131" s="1"/>
      <c r="V3131" s="1" t="s">
        <v>38</v>
      </c>
      <c r="W3131" s="1">
        <v>44.47273</v>
      </c>
      <c r="X3131" s="1">
        <v>-73.21509</v>
      </c>
      <c r="Y3131" s="1" t="s">
        <v>13068</v>
      </c>
      <c r="Z3131" s="1"/>
      <c r="AA3131" s="1" t="s">
        <v>40</v>
      </c>
      <c r="AB3131" s="1" t="s">
        <v>176</v>
      </c>
      <c r="AC3131" s="1">
        <v>5401.0</v>
      </c>
    </row>
    <row r="3132">
      <c r="A3132" s="1" t="str">
        <f>"000QFK"</f>
        <v>000QFK</v>
      </c>
      <c r="B3132" s="1" t="s">
        <v>13069</v>
      </c>
      <c r="C3132" s="1" t="s">
        <v>13070</v>
      </c>
      <c r="D3132" s="1" t="str">
        <f>"8024853244"</f>
        <v>8024853244</v>
      </c>
      <c r="E3132" s="1">
        <v>4789.0</v>
      </c>
      <c r="F3132" s="1" t="s">
        <v>44</v>
      </c>
      <c r="G3132" s="1" t="s">
        <v>13071</v>
      </c>
      <c r="H3132" s="1">
        <v>1.0</v>
      </c>
      <c r="I3132" s="1"/>
      <c r="J3132" s="1"/>
      <c r="K3132" s="1"/>
      <c r="L3132" s="1"/>
      <c r="M3132" s="1" t="s">
        <v>72</v>
      </c>
      <c r="N3132" s="1" t="s">
        <v>135</v>
      </c>
      <c r="O3132" s="1" t="s">
        <v>2243</v>
      </c>
      <c r="P3132" s="1" t="s">
        <v>13072</v>
      </c>
      <c r="Q3132" s="3">
        <v>42202.0</v>
      </c>
      <c r="R3132" s="1"/>
      <c r="S3132" s="1"/>
      <c r="T3132" s="1" t="s">
        <v>37</v>
      </c>
      <c r="U3132" s="1"/>
      <c r="V3132" s="1" t="s">
        <v>38</v>
      </c>
      <c r="W3132" s="1">
        <v>44.068985</v>
      </c>
      <c r="X3132" s="1">
        <v>-72.7452849999999</v>
      </c>
      <c r="Y3132" s="1" t="s">
        <v>13073</v>
      </c>
      <c r="Z3132" s="1"/>
      <c r="AA3132" s="1" t="s">
        <v>40</v>
      </c>
      <c r="AB3132" s="1" t="s">
        <v>2244</v>
      </c>
      <c r="AC3132" s="1">
        <v>5669.0</v>
      </c>
    </row>
    <row r="3133">
      <c r="A3133" s="1" t="str">
        <f t="shared" ref="A3133:A3134" si="240">"000JWN"</f>
        <v>000JWN</v>
      </c>
      <c r="B3133" s="1" t="s">
        <v>13074</v>
      </c>
      <c r="C3133" s="1" t="s">
        <v>13075</v>
      </c>
      <c r="D3133" s="1" t="str">
        <f t="shared" ref="D3133:D3134" si="241">"8022470279"</f>
        <v>8022470279</v>
      </c>
      <c r="E3133" s="1">
        <v>4472.0</v>
      </c>
      <c r="F3133" s="1" t="s">
        <v>117</v>
      </c>
      <c r="G3133" s="1" t="s">
        <v>13076</v>
      </c>
      <c r="H3133" s="1">
        <v>2.0</v>
      </c>
      <c r="I3133" s="2" t="s">
        <v>119</v>
      </c>
      <c r="J3133" s="2" t="s">
        <v>119</v>
      </c>
      <c r="K3133" s="2" t="s">
        <v>119</v>
      </c>
      <c r="L3133" s="1"/>
      <c r="M3133" s="1">
        <v>2.0</v>
      </c>
      <c r="N3133" s="1" t="s">
        <v>78</v>
      </c>
      <c r="O3133" s="1" t="s">
        <v>2574</v>
      </c>
      <c r="P3133" s="1" t="s">
        <v>13077</v>
      </c>
      <c r="Q3133" s="3">
        <v>42205.0</v>
      </c>
      <c r="R3133" s="1"/>
      <c r="S3133" s="1"/>
      <c r="T3133" s="1" t="s">
        <v>37</v>
      </c>
      <c r="U3133" s="1"/>
      <c r="V3133" s="1" t="s">
        <v>38</v>
      </c>
      <c r="W3133" s="1">
        <v>43.818419</v>
      </c>
      <c r="X3133" s="1">
        <v>-73.1203489999999</v>
      </c>
      <c r="Y3133" s="1" t="s">
        <v>13078</v>
      </c>
      <c r="Z3133" s="1"/>
      <c r="AA3133" s="1" t="s">
        <v>40</v>
      </c>
      <c r="AB3133" s="1" t="s">
        <v>2575</v>
      </c>
      <c r="AC3133" s="1">
        <v>5733.0</v>
      </c>
    </row>
    <row r="3134">
      <c r="A3134" s="1" t="str">
        <f t="shared" si="240"/>
        <v>000JWN</v>
      </c>
      <c r="B3134" s="1" t="s">
        <v>13074</v>
      </c>
      <c r="C3134" s="1" t="s">
        <v>13075</v>
      </c>
      <c r="D3134" s="1" t="str">
        <f t="shared" si="241"/>
        <v>8022470279</v>
      </c>
      <c r="E3134" s="1">
        <v>4472.0</v>
      </c>
      <c r="F3134" s="1" t="s">
        <v>117</v>
      </c>
      <c r="G3134" s="1" t="s">
        <v>13079</v>
      </c>
      <c r="H3134" s="1">
        <v>2.0</v>
      </c>
      <c r="I3134" s="2">
        <v>1.0</v>
      </c>
      <c r="J3134" s="2" t="s">
        <v>119</v>
      </c>
      <c r="K3134" s="2" t="s">
        <v>119</v>
      </c>
      <c r="L3134" s="1"/>
      <c r="M3134" s="1">
        <v>3.0</v>
      </c>
      <c r="N3134" s="1" t="s">
        <v>161</v>
      </c>
      <c r="O3134" s="1" t="s">
        <v>531</v>
      </c>
      <c r="P3134" s="1" t="s">
        <v>13080</v>
      </c>
      <c r="Q3134" s="3">
        <v>42205.0</v>
      </c>
      <c r="R3134" s="1"/>
      <c r="S3134" s="1"/>
      <c r="T3134" s="1" t="s">
        <v>37</v>
      </c>
      <c r="U3134" s="1"/>
      <c r="V3134" s="1" t="s">
        <v>38</v>
      </c>
      <c r="W3134" s="1">
        <v>43.840672</v>
      </c>
      <c r="X3134" s="1">
        <v>-73.267776</v>
      </c>
      <c r="Y3134" s="1" t="s">
        <v>13081</v>
      </c>
      <c r="Z3134" s="1"/>
      <c r="AA3134" s="1" t="s">
        <v>40</v>
      </c>
      <c r="AB3134" s="1" t="s">
        <v>532</v>
      </c>
      <c r="AC3134" s="1">
        <v>5760.0</v>
      </c>
    </row>
    <row r="3135">
      <c r="A3135" s="1" t="str">
        <f>"0008AP"</f>
        <v>0008AP</v>
      </c>
      <c r="B3135" s="1" t="s">
        <v>5141</v>
      </c>
      <c r="C3135" s="1" t="s">
        <v>5142</v>
      </c>
      <c r="D3135" s="1" t="str">
        <f>"8024339897"</f>
        <v>8024339897</v>
      </c>
      <c r="E3135" s="1">
        <v>3868.0</v>
      </c>
      <c r="F3135" s="1" t="s">
        <v>117</v>
      </c>
      <c r="G3135" s="1" t="s">
        <v>13082</v>
      </c>
      <c r="H3135" s="1">
        <v>2.0</v>
      </c>
      <c r="I3135" s="1"/>
      <c r="J3135" s="1"/>
      <c r="K3135" s="1"/>
      <c r="L3135" s="1"/>
      <c r="M3135" s="1">
        <v>2.0</v>
      </c>
      <c r="N3135" s="1" t="s">
        <v>135</v>
      </c>
      <c r="O3135" s="1" t="s">
        <v>279</v>
      </c>
      <c r="P3135" s="1" t="s">
        <v>13083</v>
      </c>
      <c r="Q3135" s="3">
        <v>42205.0</v>
      </c>
      <c r="R3135" s="1"/>
      <c r="S3135" s="1"/>
      <c r="T3135" s="1" t="s">
        <v>37</v>
      </c>
      <c r="U3135" s="1"/>
      <c r="V3135" s="1" t="s">
        <v>38</v>
      </c>
      <c r="W3135" s="1">
        <v>44.1978703</v>
      </c>
      <c r="X3135" s="1">
        <v>-72.5686693999999</v>
      </c>
      <c r="Y3135" s="1" t="s">
        <v>13084</v>
      </c>
      <c r="Z3135" s="1"/>
      <c r="AA3135" s="1" t="s">
        <v>40</v>
      </c>
      <c r="AB3135" s="1" t="s">
        <v>281</v>
      </c>
      <c r="AC3135" s="1">
        <v>5602.0</v>
      </c>
    </row>
    <row r="3136">
      <c r="A3136" s="1" t="str">
        <f>"00085P"</f>
        <v>00085P</v>
      </c>
      <c r="B3136" s="1" t="s">
        <v>812</v>
      </c>
      <c r="C3136" s="1" t="s">
        <v>813</v>
      </c>
      <c r="D3136" s="1" t="str">
        <f>"8028993978"</f>
        <v>8028993978</v>
      </c>
      <c r="E3136" s="1">
        <v>3071.0</v>
      </c>
      <c r="F3136" s="1" t="s">
        <v>117</v>
      </c>
      <c r="G3136" s="1" t="s">
        <v>13085</v>
      </c>
      <c r="H3136" s="1">
        <v>1.0</v>
      </c>
      <c r="I3136" s="2" t="s">
        <v>119</v>
      </c>
      <c r="J3136" s="2">
        <v>1.0</v>
      </c>
      <c r="K3136" s="2" t="s">
        <v>119</v>
      </c>
      <c r="L3136" s="1"/>
      <c r="M3136" s="1">
        <v>4.0</v>
      </c>
      <c r="N3136" s="1" t="s">
        <v>57</v>
      </c>
      <c r="O3136" s="1" t="s">
        <v>745</v>
      </c>
      <c r="P3136" s="1" t="s">
        <v>13086</v>
      </c>
      <c r="Q3136" s="3">
        <v>42205.0</v>
      </c>
      <c r="R3136" s="1"/>
      <c r="S3136" s="1"/>
      <c r="T3136" s="1" t="s">
        <v>37</v>
      </c>
      <c r="U3136" s="1"/>
      <c r="V3136" s="1" t="s">
        <v>38</v>
      </c>
      <c r="W3136" s="1">
        <v>44.5033392</v>
      </c>
      <c r="X3136" s="1">
        <v>-73.0013541</v>
      </c>
      <c r="Y3136" s="1" t="s">
        <v>13087</v>
      </c>
      <c r="Z3136" s="1"/>
      <c r="AA3136" s="1" t="s">
        <v>40</v>
      </c>
      <c r="AB3136" s="1" t="s">
        <v>746</v>
      </c>
      <c r="AC3136" s="1">
        <v>5465.0</v>
      </c>
    </row>
    <row r="3137">
      <c r="A3137" s="1" t="str">
        <f>"000QZ3"</f>
        <v>000QZ3</v>
      </c>
      <c r="B3137" s="1" t="s">
        <v>13088</v>
      </c>
      <c r="C3137" s="1" t="s">
        <v>13089</v>
      </c>
      <c r="D3137" s="1" t="str">
        <f>"8027854710"</f>
        <v>8027854710</v>
      </c>
      <c r="E3137" s="1">
        <v>4905.0</v>
      </c>
      <c r="F3137" s="1" t="s">
        <v>117</v>
      </c>
      <c r="G3137" s="1" t="s">
        <v>13090</v>
      </c>
      <c r="H3137" s="1">
        <v>1.0</v>
      </c>
      <c r="I3137" s="2" t="s">
        <v>119</v>
      </c>
      <c r="J3137" s="2">
        <v>1.0</v>
      </c>
      <c r="K3137" s="2" t="s">
        <v>119</v>
      </c>
      <c r="L3137" s="1"/>
      <c r="M3137" s="1" t="s">
        <v>13091</v>
      </c>
      <c r="N3137" s="1" t="s">
        <v>142</v>
      </c>
      <c r="O3137" s="1" t="s">
        <v>143</v>
      </c>
      <c r="P3137" s="1" t="s">
        <v>13092</v>
      </c>
      <c r="Q3137" s="3">
        <v>42205.0</v>
      </c>
      <c r="R3137" s="1"/>
      <c r="S3137" s="3">
        <v>42972.0</v>
      </c>
      <c r="T3137" s="1" t="s">
        <v>37</v>
      </c>
      <c r="U3137" s="1"/>
      <c r="V3137" s="1" t="s">
        <v>38</v>
      </c>
      <c r="W3137" s="1">
        <v>43.807484</v>
      </c>
      <c r="X3137" s="1">
        <v>-72.270775</v>
      </c>
      <c r="Y3137" s="1" t="s">
        <v>13093</v>
      </c>
      <c r="Z3137" s="1"/>
      <c r="AA3137" s="1" t="s">
        <v>40</v>
      </c>
      <c r="AB3137" s="1" t="s">
        <v>9100</v>
      </c>
      <c r="AC3137" s="1">
        <v>5075.0</v>
      </c>
    </row>
    <row r="3138">
      <c r="A3138" s="1" t="str">
        <f>"000840"</f>
        <v>000840</v>
      </c>
      <c r="B3138" s="1" t="s">
        <v>1138</v>
      </c>
      <c r="C3138" s="1" t="s">
        <v>1139</v>
      </c>
      <c r="D3138" s="1" t="str">
        <f>"8022234342"</f>
        <v>8022234342</v>
      </c>
      <c r="E3138" s="1">
        <v>3866.0</v>
      </c>
      <c r="F3138" s="1" t="s">
        <v>117</v>
      </c>
      <c r="G3138" s="1" t="s">
        <v>13094</v>
      </c>
      <c r="H3138" s="1">
        <v>10.0</v>
      </c>
      <c r="I3138" s="2">
        <v>5.0</v>
      </c>
      <c r="J3138" s="2">
        <v>4.0</v>
      </c>
      <c r="K3138" s="2">
        <v>35.0</v>
      </c>
      <c r="L3138" s="1"/>
      <c r="M3138" s="1" t="s">
        <v>13095</v>
      </c>
      <c r="N3138" s="1" t="s">
        <v>135</v>
      </c>
      <c r="O3138" s="1" t="s">
        <v>279</v>
      </c>
      <c r="P3138" s="1" t="s">
        <v>13096</v>
      </c>
      <c r="Q3138" s="3">
        <v>42207.0</v>
      </c>
      <c r="R3138" s="1"/>
      <c r="S3138" s="1"/>
      <c r="T3138" s="1" t="s">
        <v>37</v>
      </c>
      <c r="U3138" s="1"/>
      <c r="V3138" s="1" t="s">
        <v>38</v>
      </c>
      <c r="W3138" s="1">
        <v>44.210999</v>
      </c>
      <c r="X3138" s="1">
        <v>-72.6401819999999</v>
      </c>
      <c r="Y3138" s="1" t="s">
        <v>13097</v>
      </c>
      <c r="Z3138" s="1"/>
      <c r="AA3138" s="1" t="s">
        <v>40</v>
      </c>
      <c r="AB3138" s="1" t="s">
        <v>281</v>
      </c>
      <c r="AC3138" s="1">
        <v>5602.0</v>
      </c>
    </row>
    <row r="3139">
      <c r="A3139" s="1" t="str">
        <f t="shared" ref="A3139:A3140" si="242">"000AWC"</f>
        <v>000AWC</v>
      </c>
      <c r="B3139" s="1" t="s">
        <v>13098</v>
      </c>
      <c r="C3139" s="1" t="s">
        <v>13099</v>
      </c>
      <c r="D3139" s="1" t="str">
        <f t="shared" ref="D3139:D3140" si="243">"8028861237"</f>
        <v>8028861237</v>
      </c>
      <c r="E3139" s="1">
        <v>4213.0</v>
      </c>
      <c r="F3139" s="1" t="s">
        <v>117</v>
      </c>
      <c r="G3139" s="1" t="s">
        <v>13100</v>
      </c>
      <c r="H3139" s="1">
        <v>1.0</v>
      </c>
      <c r="I3139" s="2" t="s">
        <v>119</v>
      </c>
      <c r="J3139" s="2" t="s">
        <v>119</v>
      </c>
      <c r="K3139" s="2" t="s">
        <v>119</v>
      </c>
      <c r="L3139" s="1"/>
      <c r="M3139" s="1" t="s">
        <v>13101</v>
      </c>
      <c r="N3139" s="1" t="s">
        <v>34</v>
      </c>
      <c r="O3139" s="1" t="s">
        <v>642</v>
      </c>
      <c r="P3139" s="1" t="s">
        <v>13102</v>
      </c>
      <c r="Q3139" s="3">
        <v>42209.0</v>
      </c>
      <c r="R3139" s="1"/>
      <c r="S3139" s="1"/>
      <c r="T3139" s="1" t="s">
        <v>37</v>
      </c>
      <c r="U3139" s="1"/>
      <c r="V3139" s="1" t="s">
        <v>38</v>
      </c>
      <c r="W3139" s="1">
        <v>43.332409</v>
      </c>
      <c r="X3139" s="1">
        <v>-72.518524</v>
      </c>
      <c r="Y3139" s="1" t="s">
        <v>13103</v>
      </c>
      <c r="Z3139" s="1"/>
      <c r="AA3139" s="1" t="s">
        <v>40</v>
      </c>
      <c r="AB3139" s="1" t="s">
        <v>13104</v>
      </c>
      <c r="AC3139" s="1">
        <v>5150.0</v>
      </c>
    </row>
    <row r="3140">
      <c r="A3140" s="1" t="str">
        <f t="shared" si="242"/>
        <v>000AWC</v>
      </c>
      <c r="B3140" s="1" t="s">
        <v>13098</v>
      </c>
      <c r="C3140" s="1" t="s">
        <v>13099</v>
      </c>
      <c r="D3140" s="1" t="str">
        <f t="shared" si="243"/>
        <v>8028861237</v>
      </c>
      <c r="E3140" s="1">
        <v>4213.0</v>
      </c>
      <c r="F3140" s="1" t="s">
        <v>117</v>
      </c>
      <c r="G3140" s="1" t="s">
        <v>13105</v>
      </c>
      <c r="H3140" s="1">
        <v>1.0</v>
      </c>
      <c r="I3140" s="2">
        <v>1.0</v>
      </c>
      <c r="J3140" s="2" t="s">
        <v>119</v>
      </c>
      <c r="K3140" s="2" t="s">
        <v>119</v>
      </c>
      <c r="L3140" s="1"/>
      <c r="M3140" s="1" t="s">
        <v>13106</v>
      </c>
      <c r="N3140" s="1" t="s">
        <v>34</v>
      </c>
      <c r="O3140" s="1" t="s">
        <v>565</v>
      </c>
      <c r="P3140" s="1" t="s">
        <v>13107</v>
      </c>
      <c r="Q3140" s="3">
        <v>42209.0</v>
      </c>
      <c r="R3140" s="1"/>
      <c r="S3140" s="1"/>
      <c r="T3140" s="1" t="s">
        <v>37</v>
      </c>
      <c r="U3140" s="1"/>
      <c r="V3140" s="1" t="s">
        <v>38</v>
      </c>
      <c r="W3140" s="1">
        <v>43.2831371</v>
      </c>
      <c r="X3140" s="1">
        <v>-72.5654792999999</v>
      </c>
      <c r="Y3140" s="1" t="s">
        <v>13108</v>
      </c>
      <c r="Z3140" s="1"/>
      <c r="AA3140" s="1" t="s">
        <v>40</v>
      </c>
      <c r="AB3140" s="1" t="s">
        <v>566</v>
      </c>
      <c r="AC3140" s="1">
        <v>5143.0</v>
      </c>
    </row>
    <row r="3141">
      <c r="A3141" s="1" t="str">
        <f>"000QZF"</f>
        <v>000QZF</v>
      </c>
      <c r="B3141" s="1" t="s">
        <v>13109</v>
      </c>
      <c r="C3141" s="1" t="s">
        <v>13110</v>
      </c>
      <c r="D3141" s="1" t="str">
        <f>"8024534917"</f>
        <v>8024534917</v>
      </c>
      <c r="E3141" s="1">
        <v>4906.0</v>
      </c>
      <c r="F3141" s="1" t="s">
        <v>117</v>
      </c>
      <c r="G3141" s="1" t="s">
        <v>13111</v>
      </c>
      <c r="H3141" s="1">
        <v>3.0</v>
      </c>
      <c r="I3141" s="2">
        <v>2.0</v>
      </c>
      <c r="J3141" s="2">
        <v>2.0</v>
      </c>
      <c r="K3141" s="2" t="s">
        <v>119</v>
      </c>
      <c r="L3141" s="1"/>
      <c r="M3141" s="1" t="s">
        <v>13112</v>
      </c>
      <c r="N3141" s="1" t="s">
        <v>161</v>
      </c>
      <c r="O3141" s="1" t="s">
        <v>394</v>
      </c>
      <c r="P3141" s="1" t="s">
        <v>13113</v>
      </c>
      <c r="Q3141" s="3">
        <v>42212.0</v>
      </c>
      <c r="R3141" s="1"/>
      <c r="S3141" s="1"/>
      <c r="T3141" s="1" t="s">
        <v>37</v>
      </c>
      <c r="U3141" s="1"/>
      <c r="V3141" s="1" t="s">
        <v>38</v>
      </c>
      <c r="W3141" s="1">
        <v>44.2660339</v>
      </c>
      <c r="X3141" s="1">
        <v>-73.116868</v>
      </c>
      <c r="Y3141" s="1" t="s">
        <v>13114</v>
      </c>
      <c r="Z3141" s="1"/>
      <c r="AA3141" s="1" t="s">
        <v>40</v>
      </c>
      <c r="AB3141" s="1" t="s">
        <v>13115</v>
      </c>
      <c r="AC3141" s="1">
        <v>5443.0</v>
      </c>
    </row>
    <row r="3142">
      <c r="A3142" s="1" t="str">
        <f>"000QZG"</f>
        <v>000QZG</v>
      </c>
      <c r="B3142" s="1" t="s">
        <v>13116</v>
      </c>
      <c r="C3142" s="1" t="s">
        <v>13117</v>
      </c>
      <c r="D3142" s="1" t="str">
        <f>"3157172969"</f>
        <v>3157172969</v>
      </c>
      <c r="E3142" s="1">
        <v>4907.0</v>
      </c>
      <c r="F3142" s="1" t="s">
        <v>31</v>
      </c>
      <c r="G3142" s="1" t="s">
        <v>13118</v>
      </c>
      <c r="H3142" s="1">
        <v>2.0</v>
      </c>
      <c r="I3142" s="1"/>
      <c r="J3142" s="1"/>
      <c r="K3142" s="1"/>
      <c r="L3142" s="1"/>
      <c r="M3142" s="1" t="s">
        <v>13119</v>
      </c>
      <c r="N3142" s="1" t="s">
        <v>142</v>
      </c>
      <c r="O3142" s="1" t="s">
        <v>474</v>
      </c>
      <c r="P3142" s="1" t="s">
        <v>13120</v>
      </c>
      <c r="Q3142" s="3">
        <v>42212.0</v>
      </c>
      <c r="R3142" s="1"/>
      <c r="S3142" s="1"/>
      <c r="T3142" s="1" t="s">
        <v>37</v>
      </c>
      <c r="U3142" s="1"/>
      <c r="V3142" s="1" t="s">
        <v>38</v>
      </c>
      <c r="W3142" s="1">
        <v>43.928436</v>
      </c>
      <c r="X3142" s="1">
        <v>-72.662148</v>
      </c>
      <c r="Y3142" s="1" t="s">
        <v>13121</v>
      </c>
      <c r="Z3142" s="1"/>
      <c r="AA3142" s="1" t="s">
        <v>40</v>
      </c>
      <c r="AB3142" s="1" t="s">
        <v>475</v>
      </c>
      <c r="AC3142" s="1">
        <v>5060.0</v>
      </c>
    </row>
    <row r="3143">
      <c r="A3143" s="1" t="str">
        <f>"0004D1"</f>
        <v>0004D1</v>
      </c>
      <c r="B3143" s="1" t="s">
        <v>13122</v>
      </c>
      <c r="C3143" s="1" t="s">
        <v>13123</v>
      </c>
      <c r="D3143" s="1" t="str">
        <f>"8024725797"</f>
        <v>8024725797</v>
      </c>
      <c r="E3143" s="1">
        <v>4908.0</v>
      </c>
      <c r="F3143" s="1" t="s">
        <v>117</v>
      </c>
      <c r="G3143" s="1" t="s">
        <v>13124</v>
      </c>
      <c r="H3143" s="1">
        <v>2.0</v>
      </c>
      <c r="I3143" s="2">
        <v>0.0</v>
      </c>
      <c r="J3143" s="2">
        <v>0.0</v>
      </c>
      <c r="K3143" s="2" t="s">
        <v>119</v>
      </c>
      <c r="L3143" s="1"/>
      <c r="M3143" s="1" t="s">
        <v>13125</v>
      </c>
      <c r="N3143" s="1" t="s">
        <v>128</v>
      </c>
      <c r="O3143" s="1" t="s">
        <v>887</v>
      </c>
      <c r="P3143" s="1" t="s">
        <v>13126</v>
      </c>
      <c r="Q3143" s="3">
        <v>42214.0</v>
      </c>
      <c r="R3143" s="1"/>
      <c r="S3143" s="1"/>
      <c r="T3143" s="1" t="s">
        <v>37</v>
      </c>
      <c r="U3143" s="1"/>
      <c r="V3143" s="1" t="s">
        <v>38</v>
      </c>
      <c r="W3143" s="1">
        <v>44.4617929</v>
      </c>
      <c r="X3143" s="1">
        <v>-72.3100701999999</v>
      </c>
      <c r="Y3143" s="1" t="s">
        <v>13127</v>
      </c>
      <c r="Z3143" s="1"/>
      <c r="AA3143" s="1" t="s">
        <v>40</v>
      </c>
      <c r="AB3143" s="1" t="s">
        <v>888</v>
      </c>
      <c r="AC3143" s="1">
        <v>5836.0</v>
      </c>
    </row>
    <row r="3144">
      <c r="A3144" s="1" t="str">
        <f>"000V05"</f>
        <v>000V05</v>
      </c>
      <c r="B3144" s="1" t="s">
        <v>13128</v>
      </c>
      <c r="C3144" s="1" t="s">
        <v>13129</v>
      </c>
      <c r="D3144" s="1" t="str">
        <f>"8025240127"</f>
        <v>8025240127</v>
      </c>
      <c r="E3144" s="1">
        <v>4909.0</v>
      </c>
      <c r="F3144" s="1" t="s">
        <v>117</v>
      </c>
      <c r="G3144" s="1" t="s">
        <v>13130</v>
      </c>
      <c r="H3144" s="1">
        <v>4.0</v>
      </c>
      <c r="I3144" s="2">
        <v>0.0</v>
      </c>
      <c r="J3144" s="2">
        <v>4.0</v>
      </c>
      <c r="K3144" s="2">
        <v>0.0</v>
      </c>
      <c r="L3144" s="1"/>
      <c r="M3144" s="1" t="s">
        <v>13131</v>
      </c>
      <c r="N3144" s="1" t="s">
        <v>47</v>
      </c>
      <c r="O3144" s="1" t="s">
        <v>582</v>
      </c>
      <c r="P3144" s="1" t="s">
        <v>13132</v>
      </c>
      <c r="Q3144" s="3">
        <v>42214.0</v>
      </c>
      <c r="R3144" s="1"/>
      <c r="S3144" s="1"/>
      <c r="T3144" s="1" t="s">
        <v>37</v>
      </c>
      <c r="U3144" s="1"/>
      <c r="V3144" s="1" t="s">
        <v>38</v>
      </c>
      <c r="W3144" s="1">
        <v>44.777279</v>
      </c>
      <c r="X3144" s="1">
        <v>-73.145737</v>
      </c>
      <c r="Y3144" s="1" t="s">
        <v>13133</v>
      </c>
      <c r="Z3144" s="1"/>
      <c r="AA3144" s="1" t="s">
        <v>40</v>
      </c>
      <c r="AB3144" s="1" t="s">
        <v>583</v>
      </c>
      <c r="AC3144" s="1">
        <v>5468.0</v>
      </c>
    </row>
    <row r="3145">
      <c r="A3145" s="1" t="str">
        <f t="shared" ref="A3145:A3148" si="244">"0007K0"</f>
        <v>0007K0</v>
      </c>
      <c r="B3145" s="1" t="s">
        <v>2767</v>
      </c>
      <c r="C3145" s="1" t="s">
        <v>2768</v>
      </c>
      <c r="D3145" s="1" t="str">
        <f t="shared" ref="D3145:D3148" si="245">"8023887724"</f>
        <v>8023887724</v>
      </c>
      <c r="E3145" s="1">
        <v>851.0</v>
      </c>
      <c r="F3145" s="1" t="s">
        <v>117</v>
      </c>
      <c r="G3145" s="1" t="s">
        <v>13134</v>
      </c>
      <c r="H3145" s="1">
        <v>21.0</v>
      </c>
      <c r="I3145" s="2" t="s">
        <v>119</v>
      </c>
      <c r="J3145" s="2" t="s">
        <v>119</v>
      </c>
      <c r="K3145" s="2" t="s">
        <v>119</v>
      </c>
      <c r="L3145" s="1"/>
      <c r="M3145" s="1" t="s">
        <v>13135</v>
      </c>
      <c r="N3145" s="1" t="s">
        <v>49</v>
      </c>
      <c r="O3145" s="1"/>
      <c r="P3145" s="1" t="s">
        <v>13135</v>
      </c>
      <c r="Q3145" s="3">
        <v>36892.0</v>
      </c>
      <c r="R3145" s="1"/>
      <c r="S3145" s="3">
        <v>39736.0</v>
      </c>
      <c r="T3145" s="1" t="s">
        <v>37</v>
      </c>
      <c r="U3145" s="1"/>
      <c r="V3145" s="1" t="s">
        <v>38</v>
      </c>
      <c r="W3145" s="1">
        <v>44.7946486834102</v>
      </c>
      <c r="X3145" s="1">
        <v>-73.0326340883039</v>
      </c>
      <c r="Y3145" s="1" t="s">
        <v>13136</v>
      </c>
      <c r="Z3145" s="1"/>
      <c r="AA3145" s="1" t="s">
        <v>40</v>
      </c>
      <c r="AB3145" s="1" t="s">
        <v>102</v>
      </c>
      <c r="AC3145" s="1">
        <v>5455.0</v>
      </c>
    </row>
    <row r="3146">
      <c r="A3146" s="1" t="str">
        <f t="shared" si="244"/>
        <v>0007K0</v>
      </c>
      <c r="B3146" s="1" t="s">
        <v>2767</v>
      </c>
      <c r="C3146" s="1" t="s">
        <v>2768</v>
      </c>
      <c r="D3146" s="1" t="str">
        <f t="shared" si="245"/>
        <v>8023887724</v>
      </c>
      <c r="E3146" s="1">
        <v>851.0</v>
      </c>
      <c r="F3146" s="1" t="s">
        <v>117</v>
      </c>
      <c r="G3146" s="1" t="s">
        <v>13137</v>
      </c>
      <c r="H3146" s="1">
        <v>30.0</v>
      </c>
      <c r="I3146" s="2" t="s">
        <v>119</v>
      </c>
      <c r="J3146" s="2" t="s">
        <v>119</v>
      </c>
      <c r="K3146" s="2" t="s">
        <v>119</v>
      </c>
      <c r="L3146" s="1"/>
      <c r="M3146" s="1"/>
      <c r="N3146" s="1" t="s">
        <v>57</v>
      </c>
      <c r="O3146" s="1" t="s">
        <v>238</v>
      </c>
      <c r="P3146" s="1" t="s">
        <v>13138</v>
      </c>
      <c r="Q3146" s="3">
        <v>36892.0</v>
      </c>
      <c r="R3146" s="1"/>
      <c r="S3146" s="3">
        <v>39624.0</v>
      </c>
      <c r="T3146" s="1" t="s">
        <v>37</v>
      </c>
      <c r="U3146" s="1"/>
      <c r="V3146" s="1" t="s">
        <v>38</v>
      </c>
      <c r="W3146" s="1">
        <v>44.3697786824929</v>
      </c>
      <c r="X3146" s="1">
        <v>-73.2421119458321</v>
      </c>
      <c r="Y3146" s="1" t="s">
        <v>13139</v>
      </c>
      <c r="Z3146" s="1"/>
      <c r="AA3146" s="1" t="s">
        <v>40</v>
      </c>
      <c r="AB3146" s="1" t="s">
        <v>239</v>
      </c>
      <c r="AC3146" s="1">
        <v>5482.0</v>
      </c>
    </row>
    <row r="3147">
      <c r="A3147" s="1" t="str">
        <f t="shared" si="244"/>
        <v>0007K0</v>
      </c>
      <c r="B3147" s="1" t="s">
        <v>2767</v>
      </c>
      <c r="C3147" s="1" t="s">
        <v>2768</v>
      </c>
      <c r="D3147" s="1" t="str">
        <f t="shared" si="245"/>
        <v>8023887724</v>
      </c>
      <c r="E3147" s="1">
        <v>851.0</v>
      </c>
      <c r="F3147" s="1" t="s">
        <v>117</v>
      </c>
      <c r="G3147" s="1" t="s">
        <v>13140</v>
      </c>
      <c r="H3147" s="1">
        <v>36.0</v>
      </c>
      <c r="I3147" s="2" t="s">
        <v>119</v>
      </c>
      <c r="J3147" s="2" t="s">
        <v>119</v>
      </c>
      <c r="K3147" s="2" t="s">
        <v>119</v>
      </c>
      <c r="L3147" s="1"/>
      <c r="M3147" s="1" t="s">
        <v>13141</v>
      </c>
      <c r="N3147" s="1" t="s">
        <v>49</v>
      </c>
      <c r="O3147" s="1"/>
      <c r="P3147" s="1" t="s">
        <v>13142</v>
      </c>
      <c r="Q3147" s="3">
        <v>36892.0</v>
      </c>
      <c r="R3147" s="1"/>
      <c r="S3147" s="3">
        <v>42947.0</v>
      </c>
      <c r="T3147" s="1" t="s">
        <v>37</v>
      </c>
      <c r="U3147" s="1"/>
      <c r="V3147" s="1" t="s">
        <v>38</v>
      </c>
      <c r="W3147" s="1">
        <v>44.3390968107302</v>
      </c>
      <c r="X3147" s="1">
        <v>-73.2203951052781</v>
      </c>
      <c r="Y3147" s="1" t="s">
        <v>13143</v>
      </c>
      <c r="Z3147" s="1"/>
      <c r="AA3147" s="1" t="s">
        <v>40</v>
      </c>
      <c r="AB3147" s="1" t="s">
        <v>1634</v>
      </c>
      <c r="AC3147" s="1">
        <v>5445.0</v>
      </c>
    </row>
    <row r="3148">
      <c r="A3148" s="1" t="str">
        <f t="shared" si="244"/>
        <v>0007K0</v>
      </c>
      <c r="B3148" s="1" t="s">
        <v>2767</v>
      </c>
      <c r="C3148" s="1" t="s">
        <v>2768</v>
      </c>
      <c r="D3148" s="1" t="str">
        <f t="shared" si="245"/>
        <v>8023887724</v>
      </c>
      <c r="E3148" s="1">
        <v>851.0</v>
      </c>
      <c r="F3148" s="1" t="s">
        <v>117</v>
      </c>
      <c r="G3148" s="1" t="s">
        <v>13144</v>
      </c>
      <c r="H3148" s="1">
        <v>12.0</v>
      </c>
      <c r="I3148" s="2" t="s">
        <v>119</v>
      </c>
      <c r="J3148" s="2" t="s">
        <v>119</v>
      </c>
      <c r="K3148" s="2" t="s">
        <v>119</v>
      </c>
      <c r="L3148" s="1"/>
      <c r="M3148" s="1" t="s">
        <v>13145</v>
      </c>
      <c r="N3148" s="1" t="s">
        <v>57</v>
      </c>
      <c r="O3148" s="1" t="s">
        <v>559</v>
      </c>
      <c r="P3148" s="1" t="s">
        <v>13146</v>
      </c>
      <c r="Q3148" s="3">
        <v>42215.0</v>
      </c>
      <c r="R3148" s="1"/>
      <c r="S3148" s="1"/>
      <c r="T3148" s="1" t="s">
        <v>37</v>
      </c>
      <c r="U3148" s="1"/>
      <c r="V3148" s="1" t="s">
        <v>38</v>
      </c>
      <c r="W3148" s="1">
        <v>44.5352911920097</v>
      </c>
      <c r="X3148" s="1">
        <v>-73.1685503467451</v>
      </c>
      <c r="Y3148" s="1" t="s">
        <v>13147</v>
      </c>
      <c r="Z3148" s="1"/>
      <c r="AA3148" s="1" t="s">
        <v>40</v>
      </c>
      <c r="AB3148" s="1" t="s">
        <v>560</v>
      </c>
      <c r="AC3148" s="1">
        <v>0.0</v>
      </c>
    </row>
    <row r="3149">
      <c r="A3149" s="1" t="str">
        <f>"000V0F"</f>
        <v>000V0F</v>
      </c>
      <c r="B3149" s="1" t="s">
        <v>13148</v>
      </c>
      <c r="C3149" s="1" t="s">
        <v>13149</v>
      </c>
      <c r="D3149" s="1" t="str">
        <f>"8023633552"</f>
        <v>8023633552</v>
      </c>
      <c r="E3149" s="1">
        <v>4910.0</v>
      </c>
      <c r="F3149" s="1" t="s">
        <v>117</v>
      </c>
      <c r="G3149" s="1" t="s">
        <v>13150</v>
      </c>
      <c r="H3149" s="1">
        <v>4.0</v>
      </c>
      <c r="I3149" s="1"/>
      <c r="J3149" s="1"/>
      <c r="K3149" s="1"/>
      <c r="L3149" s="1"/>
      <c r="M3149" s="1" t="s">
        <v>33</v>
      </c>
      <c r="N3149" s="1" t="s">
        <v>49</v>
      </c>
      <c r="O3149" s="1"/>
      <c r="P3149" s="1" t="s">
        <v>13151</v>
      </c>
      <c r="Q3149" s="3">
        <v>42219.0</v>
      </c>
      <c r="R3149" s="1"/>
      <c r="S3149" s="1"/>
      <c r="T3149" s="1" t="s">
        <v>37</v>
      </c>
      <c r="U3149" s="1"/>
      <c r="V3149" s="1" t="s">
        <v>38</v>
      </c>
      <c r="W3149" s="1"/>
      <c r="X3149" s="1"/>
      <c r="Y3149" s="1" t="s">
        <v>13152</v>
      </c>
      <c r="Z3149" s="1"/>
      <c r="AA3149" s="1" t="s">
        <v>40</v>
      </c>
      <c r="AB3149" s="1" t="s">
        <v>181</v>
      </c>
      <c r="AC3149" s="1">
        <v>5487.0</v>
      </c>
    </row>
    <row r="3150">
      <c r="A3150" s="1" t="str">
        <f>"000V0G"</f>
        <v>000V0G</v>
      </c>
      <c r="B3150" s="1" t="s">
        <v>13153</v>
      </c>
      <c r="C3150" s="1" t="s">
        <v>13154</v>
      </c>
      <c r="D3150" s="1" t="str">
        <f>"8028700361"</f>
        <v>8028700361</v>
      </c>
      <c r="E3150" s="1">
        <v>4911.0</v>
      </c>
      <c r="F3150" s="1" t="s">
        <v>31</v>
      </c>
      <c r="G3150" s="1" t="s">
        <v>13155</v>
      </c>
      <c r="H3150" s="1">
        <v>5.0</v>
      </c>
      <c r="I3150" s="1"/>
      <c r="J3150" s="1"/>
      <c r="K3150" s="1"/>
      <c r="L3150" s="1"/>
      <c r="M3150" s="1"/>
      <c r="N3150" s="1" t="s">
        <v>161</v>
      </c>
      <c r="O3150" s="1"/>
      <c r="P3150" s="1"/>
      <c r="Q3150" s="3">
        <v>42219.0</v>
      </c>
      <c r="R3150" s="1"/>
      <c r="S3150" s="1"/>
      <c r="T3150" s="1" t="s">
        <v>37</v>
      </c>
      <c r="U3150" s="1"/>
      <c r="V3150" s="1" t="s">
        <v>38</v>
      </c>
      <c r="W3150" s="1">
        <v>44.0621025900112</v>
      </c>
      <c r="X3150" s="1">
        <v>-73.1510978937149</v>
      </c>
      <c r="Y3150" s="1" t="s">
        <v>13156</v>
      </c>
      <c r="Z3150" s="1"/>
      <c r="AA3150" s="1" t="s">
        <v>40</v>
      </c>
      <c r="AB3150" s="1" t="s">
        <v>186</v>
      </c>
      <c r="AC3150" s="1">
        <v>5472.0</v>
      </c>
    </row>
    <row r="3151">
      <c r="A3151" s="1" t="str">
        <f>"000V0P"</f>
        <v>000V0P</v>
      </c>
      <c r="B3151" s="1" t="s">
        <v>13157</v>
      </c>
      <c r="C3151" s="1" t="s">
        <v>13158</v>
      </c>
      <c r="D3151" s="1" t="str">
        <f>"8022951121"</f>
        <v>8022951121</v>
      </c>
      <c r="E3151" s="1">
        <v>4912.0</v>
      </c>
      <c r="F3151" s="1" t="s">
        <v>117</v>
      </c>
      <c r="G3151" s="1" t="s">
        <v>13159</v>
      </c>
      <c r="H3151" s="1">
        <v>3.0</v>
      </c>
      <c r="I3151" s="2">
        <v>1.0</v>
      </c>
      <c r="J3151" s="2">
        <v>1.0</v>
      </c>
      <c r="K3151" s="2" t="s">
        <v>119</v>
      </c>
      <c r="L3151" s="1"/>
      <c r="M3151" s="1" t="s">
        <v>13160</v>
      </c>
      <c r="N3151" s="1" t="s">
        <v>34</v>
      </c>
      <c r="O3151" s="1"/>
      <c r="P3151" s="1" t="s">
        <v>13161</v>
      </c>
      <c r="Q3151" s="3">
        <v>42222.0</v>
      </c>
      <c r="R3151" s="1"/>
      <c r="S3151" s="1"/>
      <c r="T3151" s="1" t="s">
        <v>37</v>
      </c>
      <c r="U3151" s="1"/>
      <c r="V3151" s="1" t="s">
        <v>38</v>
      </c>
      <c r="W3151" s="1">
        <v>43.678802</v>
      </c>
      <c r="X3151" s="1">
        <v>-72.3454279999999</v>
      </c>
      <c r="Y3151" s="1" t="s">
        <v>13162</v>
      </c>
      <c r="Z3151" s="1"/>
      <c r="AA3151" s="1" t="s">
        <v>40</v>
      </c>
      <c r="AB3151" s="1" t="s">
        <v>8959</v>
      </c>
      <c r="AC3151" s="1">
        <v>5001.0</v>
      </c>
    </row>
    <row r="3152">
      <c r="A3152" s="1" t="str">
        <f>"000V0V"</f>
        <v>000V0V</v>
      </c>
      <c r="B3152" s="1" t="s">
        <v>13163</v>
      </c>
      <c r="C3152" s="1" t="s">
        <v>13164</v>
      </c>
      <c r="D3152" s="1" t="str">
        <f>"4133467020"</f>
        <v>4133467020</v>
      </c>
      <c r="E3152" s="1">
        <v>4913.0</v>
      </c>
      <c r="F3152" s="1" t="s">
        <v>117</v>
      </c>
      <c r="G3152" s="1" t="s">
        <v>13165</v>
      </c>
      <c r="H3152" s="1">
        <v>3.0</v>
      </c>
      <c r="I3152" s="2" t="s">
        <v>119</v>
      </c>
      <c r="J3152" s="2">
        <v>7.0</v>
      </c>
      <c r="K3152" s="2" t="s">
        <v>119</v>
      </c>
      <c r="L3152" s="1"/>
      <c r="M3152" s="1" t="s">
        <v>720</v>
      </c>
      <c r="N3152" s="1" t="s">
        <v>414</v>
      </c>
      <c r="O3152" s="1" t="s">
        <v>720</v>
      </c>
      <c r="P3152" s="1" t="s">
        <v>13166</v>
      </c>
      <c r="Q3152" s="3">
        <v>42223.0</v>
      </c>
      <c r="R3152" s="1"/>
      <c r="S3152" s="3">
        <v>42828.0</v>
      </c>
      <c r="T3152" s="1" t="s">
        <v>37</v>
      </c>
      <c r="U3152" s="1"/>
      <c r="V3152" s="1" t="s">
        <v>38</v>
      </c>
      <c r="W3152" s="1">
        <v>42.883423</v>
      </c>
      <c r="X3152" s="1">
        <v>-73.222931</v>
      </c>
      <c r="Y3152" s="1" t="s">
        <v>13167</v>
      </c>
      <c r="Z3152" s="1"/>
      <c r="AA3152" s="1" t="s">
        <v>40</v>
      </c>
      <c r="AB3152" s="1" t="s">
        <v>414</v>
      </c>
      <c r="AC3152" s="1">
        <v>5201.0</v>
      </c>
    </row>
    <row r="3153">
      <c r="A3153" s="1" t="str">
        <f>"000V14"</f>
        <v>000V14</v>
      </c>
      <c r="B3153" s="1" t="s">
        <v>13168</v>
      </c>
      <c r="C3153" s="1" t="s">
        <v>13169</v>
      </c>
      <c r="D3153" s="1" t="str">
        <f>"8023252211"</f>
        <v>8023252211</v>
      </c>
      <c r="E3153" s="1">
        <v>4914.0</v>
      </c>
      <c r="F3153" s="1" t="s">
        <v>44</v>
      </c>
      <c r="G3153" s="1" t="s">
        <v>13170</v>
      </c>
      <c r="H3153" s="1">
        <v>2.0</v>
      </c>
      <c r="I3153" s="1"/>
      <c r="J3153" s="1"/>
      <c r="K3153" s="1"/>
      <c r="L3153" s="1"/>
      <c r="M3153" s="1">
        <v>1.0</v>
      </c>
      <c r="N3153" s="1" t="s">
        <v>78</v>
      </c>
      <c r="O3153" s="1" t="s">
        <v>434</v>
      </c>
      <c r="P3153" s="1" t="s">
        <v>13171</v>
      </c>
      <c r="Q3153" s="3">
        <v>42226.0</v>
      </c>
      <c r="R3153" s="1"/>
      <c r="S3153" s="1"/>
      <c r="T3153" s="1" t="s">
        <v>37</v>
      </c>
      <c r="U3153" s="1"/>
      <c r="V3153" s="1" t="s">
        <v>38</v>
      </c>
      <c r="W3153" s="1">
        <v>43.375252</v>
      </c>
      <c r="X3153" s="1">
        <v>-73.126976</v>
      </c>
      <c r="Y3153" s="1" t="s">
        <v>13172</v>
      </c>
      <c r="Z3153" s="1"/>
      <c r="AA3153" s="1" t="s">
        <v>40</v>
      </c>
      <c r="AB3153" s="1" t="s">
        <v>435</v>
      </c>
      <c r="AC3153" s="1">
        <v>5761.0</v>
      </c>
    </row>
    <row r="3154">
      <c r="A3154" s="1" t="str">
        <f>"000JX2"</f>
        <v>000JX2</v>
      </c>
      <c r="B3154" s="1" t="s">
        <v>10399</v>
      </c>
      <c r="C3154" s="1" t="s">
        <v>10400</v>
      </c>
      <c r="D3154" s="1"/>
      <c r="E3154" s="1">
        <v>4481.0</v>
      </c>
      <c r="F3154" s="1" t="s">
        <v>117</v>
      </c>
      <c r="G3154" s="1" t="s">
        <v>13173</v>
      </c>
      <c r="H3154" s="1">
        <v>2.0</v>
      </c>
      <c r="I3154" s="2" t="s">
        <v>119</v>
      </c>
      <c r="J3154" s="2" t="s">
        <v>119</v>
      </c>
      <c r="K3154" s="2" t="s">
        <v>119</v>
      </c>
      <c r="L3154" s="1"/>
      <c r="M3154" s="1">
        <v>2.0</v>
      </c>
      <c r="N3154" s="1" t="s">
        <v>34</v>
      </c>
      <c r="O3154" s="1" t="s">
        <v>85</v>
      </c>
      <c r="P3154" s="1" t="s">
        <v>13174</v>
      </c>
      <c r="Q3154" s="3">
        <v>42229.0</v>
      </c>
      <c r="R3154" s="1"/>
      <c r="S3154" s="1"/>
      <c r="T3154" s="1" t="s">
        <v>37</v>
      </c>
      <c r="U3154" s="1"/>
      <c r="V3154" s="1" t="s">
        <v>38</v>
      </c>
      <c r="W3154" s="1">
        <v>43.5189463</v>
      </c>
      <c r="X3154" s="1">
        <v>-72.4022995</v>
      </c>
      <c r="Y3154" s="1" t="s">
        <v>13175</v>
      </c>
      <c r="Z3154" s="1"/>
      <c r="AA3154" s="1" t="s">
        <v>40</v>
      </c>
      <c r="AB3154" s="1" t="s">
        <v>86</v>
      </c>
      <c r="AC3154" s="1">
        <v>5089.0</v>
      </c>
    </row>
    <row r="3155">
      <c r="A3155" s="1" t="str">
        <f>"000MMA"</f>
        <v>000MMA</v>
      </c>
      <c r="B3155" s="1" t="s">
        <v>13176</v>
      </c>
      <c r="C3155" s="1" t="s">
        <v>13177</v>
      </c>
      <c r="D3155" s="1" t="str">
        <f>"8022642164"</f>
        <v>8022642164</v>
      </c>
      <c r="E3155" s="1">
        <v>4915.0</v>
      </c>
      <c r="F3155" s="1" t="s">
        <v>31</v>
      </c>
      <c r="G3155" s="1" t="s">
        <v>13178</v>
      </c>
      <c r="H3155" s="1">
        <v>2.0</v>
      </c>
      <c r="I3155" s="1"/>
      <c r="J3155" s="1"/>
      <c r="K3155" s="1"/>
      <c r="L3155" s="1"/>
      <c r="M3155" s="1" t="s">
        <v>13179</v>
      </c>
      <c r="N3155" s="1" t="s">
        <v>57</v>
      </c>
      <c r="O3155" s="1"/>
      <c r="P3155" s="1" t="s">
        <v>2085</v>
      </c>
      <c r="Q3155" s="3">
        <v>42240.0</v>
      </c>
      <c r="R3155" s="1"/>
      <c r="S3155" s="1"/>
      <c r="T3155" s="1" t="s">
        <v>37</v>
      </c>
      <c r="U3155" s="1"/>
      <c r="V3155" s="1" t="s">
        <v>38</v>
      </c>
      <c r="W3155" s="1"/>
      <c r="X3155" s="1"/>
      <c r="Y3155" s="1" t="s">
        <v>13180</v>
      </c>
      <c r="Z3155" s="1"/>
      <c r="AA3155" s="1" t="s">
        <v>40</v>
      </c>
      <c r="AB3155" s="1" t="s">
        <v>176</v>
      </c>
      <c r="AC3155" s="1">
        <v>5401.0</v>
      </c>
    </row>
    <row r="3156">
      <c r="A3156" s="1" t="str">
        <f>"000V2J"</f>
        <v>000V2J</v>
      </c>
      <c r="B3156" s="1" t="s">
        <v>13181</v>
      </c>
      <c r="C3156" s="1" t="s">
        <v>13182</v>
      </c>
      <c r="D3156" s="1" t="str">
        <f>"8024633222"</f>
        <v>8024633222</v>
      </c>
      <c r="E3156" s="1">
        <v>4916.0</v>
      </c>
      <c r="F3156" s="1" t="s">
        <v>117</v>
      </c>
      <c r="G3156" s="1" t="s">
        <v>13183</v>
      </c>
      <c r="H3156" s="1">
        <v>2.0</v>
      </c>
      <c r="I3156" s="2">
        <v>2.0</v>
      </c>
      <c r="J3156" s="2">
        <v>2.0</v>
      </c>
      <c r="K3156" s="2" t="s">
        <v>119</v>
      </c>
      <c r="L3156" s="1"/>
      <c r="M3156" s="1">
        <v>1.0</v>
      </c>
      <c r="N3156" s="1" t="s">
        <v>66</v>
      </c>
      <c r="O3156" s="1" t="s">
        <v>1199</v>
      </c>
      <c r="P3156" s="1" t="s">
        <v>13184</v>
      </c>
      <c r="Q3156" s="3">
        <v>42242.0</v>
      </c>
      <c r="R3156" s="1"/>
      <c r="S3156" s="1"/>
      <c r="T3156" s="1" t="s">
        <v>37</v>
      </c>
      <c r="U3156" s="1"/>
      <c r="V3156" s="1" t="s">
        <v>38</v>
      </c>
      <c r="W3156" s="1">
        <v>43.201633</v>
      </c>
      <c r="X3156" s="1">
        <v>-72.4517439999999</v>
      </c>
      <c r="Y3156" s="1" t="s">
        <v>13185</v>
      </c>
      <c r="Z3156" s="1"/>
      <c r="AA3156" s="1" t="s">
        <v>40</v>
      </c>
      <c r="AB3156" s="1" t="s">
        <v>1200</v>
      </c>
      <c r="AC3156" s="1">
        <v>5101.0</v>
      </c>
    </row>
    <row r="3157">
      <c r="A3157" s="1" t="str">
        <f>"0007JW"</f>
        <v>0007JW</v>
      </c>
      <c r="B3157" s="1" t="s">
        <v>3500</v>
      </c>
      <c r="C3157" s="1" t="s">
        <v>3501</v>
      </c>
      <c r="D3157" s="1" t="str">
        <f>"8027592572"</f>
        <v>8027592572</v>
      </c>
      <c r="E3157" s="1">
        <v>3097.0</v>
      </c>
      <c r="F3157" s="1" t="s">
        <v>117</v>
      </c>
      <c r="G3157" s="1" t="s">
        <v>13186</v>
      </c>
      <c r="H3157" s="1">
        <v>3.0</v>
      </c>
      <c r="I3157" s="2" t="s">
        <v>119</v>
      </c>
      <c r="J3157" s="2">
        <v>2.0</v>
      </c>
      <c r="K3157" s="2" t="s">
        <v>119</v>
      </c>
      <c r="L3157" s="1"/>
      <c r="M3157" s="1" t="s">
        <v>13187</v>
      </c>
      <c r="N3157" s="1" t="s">
        <v>57</v>
      </c>
      <c r="O3157" s="1" t="s">
        <v>58</v>
      </c>
      <c r="P3157" s="1" t="s">
        <v>3505</v>
      </c>
      <c r="Q3157" s="3">
        <v>42242.0</v>
      </c>
      <c r="R3157" s="1"/>
      <c r="S3157" s="1"/>
      <c r="T3157" s="1" t="s">
        <v>37</v>
      </c>
      <c r="U3157" s="1"/>
      <c r="V3157" s="1" t="s">
        <v>38</v>
      </c>
      <c r="W3157" s="1">
        <v>44.1202871</v>
      </c>
      <c r="X3157" s="1">
        <v>-73.2935665</v>
      </c>
      <c r="Y3157" s="1" t="s">
        <v>13188</v>
      </c>
      <c r="Z3157" s="1"/>
      <c r="AA3157" s="1" t="s">
        <v>40</v>
      </c>
      <c r="AB3157" s="1" t="s">
        <v>3581</v>
      </c>
      <c r="AC3157" s="1" t="s">
        <v>13189</v>
      </c>
    </row>
    <row r="3158">
      <c r="A3158" s="1" t="str">
        <f t="shared" ref="A3158:A3164" si="246">"00081Y"</f>
        <v>00081Y</v>
      </c>
      <c r="B3158" s="1" t="s">
        <v>1108</v>
      </c>
      <c r="C3158" s="1" t="s">
        <v>1109</v>
      </c>
      <c r="D3158" s="1" t="str">
        <f t="shared" ref="D3158:D3164" si="247">"8025242433"</f>
        <v>8025242433</v>
      </c>
      <c r="E3158" s="1">
        <v>1523.0</v>
      </c>
      <c r="F3158" s="1" t="s">
        <v>117</v>
      </c>
      <c r="G3158" s="1" t="s">
        <v>13190</v>
      </c>
      <c r="H3158" s="1">
        <v>25.0</v>
      </c>
      <c r="I3158" s="2" t="s">
        <v>119</v>
      </c>
      <c r="J3158" s="2" t="s">
        <v>119</v>
      </c>
      <c r="K3158" s="2" t="s">
        <v>119</v>
      </c>
      <c r="L3158" s="1"/>
      <c r="M3158" s="1" t="s">
        <v>13191</v>
      </c>
      <c r="N3158" s="1" t="s">
        <v>47</v>
      </c>
      <c r="O3158" s="1" t="s">
        <v>2889</v>
      </c>
      <c r="P3158" s="1" t="s">
        <v>13192</v>
      </c>
      <c r="Q3158" s="3">
        <v>42249.0</v>
      </c>
      <c r="R3158" s="1"/>
      <c r="S3158" s="1"/>
      <c r="T3158" s="1" t="s">
        <v>37</v>
      </c>
      <c r="U3158" s="1"/>
      <c r="V3158" s="1" t="s">
        <v>38</v>
      </c>
      <c r="W3158" s="1">
        <v>44.98312794</v>
      </c>
      <c r="X3158" s="1">
        <v>-73.08135076</v>
      </c>
      <c r="Y3158" s="1"/>
      <c r="Z3158" s="1"/>
      <c r="AA3158" s="1" t="s">
        <v>40</v>
      </c>
      <c r="AB3158" s="1"/>
      <c r="AC3158" s="1"/>
    </row>
    <row r="3159">
      <c r="A3159" s="1" t="str">
        <f t="shared" si="246"/>
        <v>00081Y</v>
      </c>
      <c r="B3159" s="1" t="s">
        <v>1108</v>
      </c>
      <c r="C3159" s="1" t="s">
        <v>1109</v>
      </c>
      <c r="D3159" s="1" t="str">
        <f t="shared" si="247"/>
        <v>8025242433</v>
      </c>
      <c r="E3159" s="1">
        <v>1523.0</v>
      </c>
      <c r="F3159" s="1" t="s">
        <v>117</v>
      </c>
      <c r="G3159" s="1" t="s">
        <v>13193</v>
      </c>
      <c r="H3159" s="1">
        <v>25.0</v>
      </c>
      <c r="I3159" s="2" t="s">
        <v>119</v>
      </c>
      <c r="J3159" s="2" t="s">
        <v>119</v>
      </c>
      <c r="K3159" s="2" t="s">
        <v>119</v>
      </c>
      <c r="L3159" s="1"/>
      <c r="M3159" s="1" t="s">
        <v>13194</v>
      </c>
      <c r="N3159" s="1" t="s">
        <v>47</v>
      </c>
      <c r="O3159" s="1"/>
      <c r="P3159" s="1" t="s">
        <v>13195</v>
      </c>
      <c r="Q3159" s="3">
        <v>42249.0</v>
      </c>
      <c r="R3159" s="1"/>
      <c r="S3159" s="1"/>
      <c r="T3159" s="1" t="s">
        <v>37</v>
      </c>
      <c r="U3159" s="1"/>
      <c r="V3159" s="1" t="s">
        <v>38</v>
      </c>
      <c r="W3159" s="1">
        <v>44.7371</v>
      </c>
      <c r="X3159" s="1">
        <v>-73.016905</v>
      </c>
      <c r="Y3159" s="1" t="s">
        <v>13196</v>
      </c>
      <c r="Z3159" s="1"/>
      <c r="AA3159" s="1" t="s">
        <v>40</v>
      </c>
      <c r="AB3159" s="1" t="s">
        <v>381</v>
      </c>
      <c r="AC3159" s="1">
        <v>5454.0</v>
      </c>
    </row>
    <row r="3160">
      <c r="A3160" s="1" t="str">
        <f t="shared" si="246"/>
        <v>00081Y</v>
      </c>
      <c r="B3160" s="1" t="s">
        <v>1108</v>
      </c>
      <c r="C3160" s="1" t="s">
        <v>1109</v>
      </c>
      <c r="D3160" s="1" t="str">
        <f t="shared" si="247"/>
        <v>8025242433</v>
      </c>
      <c r="E3160" s="1">
        <v>1523.0</v>
      </c>
      <c r="F3160" s="1" t="s">
        <v>117</v>
      </c>
      <c r="G3160" s="1" t="s">
        <v>13197</v>
      </c>
      <c r="H3160" s="1">
        <v>25.0</v>
      </c>
      <c r="I3160" s="2" t="s">
        <v>119</v>
      </c>
      <c r="J3160" s="2" t="s">
        <v>119</v>
      </c>
      <c r="K3160" s="2" t="s">
        <v>119</v>
      </c>
      <c r="L3160" s="1"/>
      <c r="M3160" s="1" t="s">
        <v>2819</v>
      </c>
      <c r="N3160" s="1" t="s">
        <v>47</v>
      </c>
      <c r="O3160" s="1" t="s">
        <v>2753</v>
      </c>
      <c r="P3160" s="1" t="s">
        <v>13198</v>
      </c>
      <c r="Q3160" s="3">
        <v>42249.0</v>
      </c>
      <c r="R3160" s="1"/>
      <c r="S3160" s="1"/>
      <c r="T3160" s="1" t="s">
        <v>37</v>
      </c>
      <c r="U3160" s="1"/>
      <c r="V3160" s="1" t="s">
        <v>38</v>
      </c>
      <c r="W3160" s="1">
        <v>44.84970716</v>
      </c>
      <c r="X3160" s="1">
        <v>-73.14486294</v>
      </c>
      <c r="Y3160" s="1"/>
      <c r="Z3160" s="1"/>
      <c r="AA3160" s="1" t="s">
        <v>40</v>
      </c>
      <c r="AB3160" s="1"/>
      <c r="AC3160" s="1"/>
    </row>
    <row r="3161">
      <c r="A3161" s="1" t="str">
        <f t="shared" si="246"/>
        <v>00081Y</v>
      </c>
      <c r="B3161" s="1" t="s">
        <v>1108</v>
      </c>
      <c r="C3161" s="1" t="s">
        <v>1109</v>
      </c>
      <c r="D3161" s="1" t="str">
        <f t="shared" si="247"/>
        <v>8025242433</v>
      </c>
      <c r="E3161" s="1">
        <v>1523.0</v>
      </c>
      <c r="F3161" s="1" t="s">
        <v>117</v>
      </c>
      <c r="G3161" s="1" t="s">
        <v>13199</v>
      </c>
      <c r="H3161" s="1">
        <v>20.0</v>
      </c>
      <c r="I3161" s="2" t="s">
        <v>119</v>
      </c>
      <c r="J3161" s="2" t="s">
        <v>119</v>
      </c>
      <c r="K3161" s="2" t="s">
        <v>119</v>
      </c>
      <c r="L3161" s="1"/>
      <c r="M3161" s="1" t="s">
        <v>13200</v>
      </c>
      <c r="N3161" s="1" t="s">
        <v>47</v>
      </c>
      <c r="O3161" s="1" t="s">
        <v>378</v>
      </c>
      <c r="P3161" s="1" t="s">
        <v>13195</v>
      </c>
      <c r="Q3161" s="3">
        <v>42249.0</v>
      </c>
      <c r="R3161" s="1"/>
      <c r="S3161" s="1"/>
      <c r="T3161" s="1" t="s">
        <v>37</v>
      </c>
      <c r="U3161" s="1"/>
      <c r="V3161" s="1" t="s">
        <v>38</v>
      </c>
      <c r="W3161" s="1">
        <v>44.749317</v>
      </c>
      <c r="X3161" s="1">
        <v>-73.004547</v>
      </c>
      <c r="Y3161" s="1"/>
      <c r="Z3161" s="1"/>
      <c r="AA3161" s="1" t="s">
        <v>40</v>
      </c>
      <c r="AB3161" s="1"/>
      <c r="AC3161" s="1"/>
    </row>
    <row r="3162">
      <c r="A3162" s="1" t="str">
        <f t="shared" si="246"/>
        <v>00081Y</v>
      </c>
      <c r="B3162" s="1" t="s">
        <v>1108</v>
      </c>
      <c r="C3162" s="1" t="s">
        <v>1109</v>
      </c>
      <c r="D3162" s="1" t="str">
        <f t="shared" si="247"/>
        <v>8025242433</v>
      </c>
      <c r="E3162" s="1">
        <v>1523.0</v>
      </c>
      <c r="F3162" s="1" t="s">
        <v>117</v>
      </c>
      <c r="G3162" s="1" t="s">
        <v>13201</v>
      </c>
      <c r="H3162" s="1">
        <v>30.0</v>
      </c>
      <c r="I3162" s="2" t="s">
        <v>119</v>
      </c>
      <c r="J3162" s="2" t="s">
        <v>119</v>
      </c>
      <c r="K3162" s="2" t="s">
        <v>119</v>
      </c>
      <c r="L3162" s="1"/>
      <c r="M3162" s="1" t="s">
        <v>2894</v>
      </c>
      <c r="N3162" s="1" t="s">
        <v>47</v>
      </c>
      <c r="O3162" s="1" t="s">
        <v>2889</v>
      </c>
      <c r="P3162" s="1" t="s">
        <v>2894</v>
      </c>
      <c r="Q3162" s="3">
        <v>42249.0</v>
      </c>
      <c r="R3162" s="1"/>
      <c r="S3162" s="1"/>
      <c r="T3162" s="1" t="s">
        <v>37</v>
      </c>
      <c r="U3162" s="1"/>
      <c r="V3162" s="1" t="s">
        <v>38</v>
      </c>
      <c r="W3162" s="1">
        <v>44.945264</v>
      </c>
      <c r="X3162" s="1">
        <v>-73.029024</v>
      </c>
      <c r="Y3162" s="1"/>
      <c r="Z3162" s="1"/>
      <c r="AA3162" s="1" t="s">
        <v>40</v>
      </c>
      <c r="AB3162" s="1"/>
      <c r="AC3162" s="1"/>
    </row>
    <row r="3163">
      <c r="A3163" s="1" t="str">
        <f t="shared" si="246"/>
        <v>00081Y</v>
      </c>
      <c r="B3163" s="1" t="s">
        <v>1108</v>
      </c>
      <c r="C3163" s="1" t="s">
        <v>1109</v>
      </c>
      <c r="D3163" s="1" t="str">
        <f t="shared" si="247"/>
        <v>8025242433</v>
      </c>
      <c r="E3163" s="1">
        <v>1523.0</v>
      </c>
      <c r="F3163" s="1" t="s">
        <v>117</v>
      </c>
      <c r="G3163" s="1" t="s">
        <v>13202</v>
      </c>
      <c r="H3163" s="1">
        <v>500.0</v>
      </c>
      <c r="I3163" s="2" t="s">
        <v>119</v>
      </c>
      <c r="J3163" s="2" t="s">
        <v>119</v>
      </c>
      <c r="K3163" s="2" t="s">
        <v>119</v>
      </c>
      <c r="L3163" s="1"/>
      <c r="M3163" s="1" t="s">
        <v>13203</v>
      </c>
      <c r="N3163" s="1" t="s">
        <v>47</v>
      </c>
      <c r="O3163" s="1"/>
      <c r="P3163" s="1" t="s">
        <v>13204</v>
      </c>
      <c r="Q3163" s="3">
        <v>42249.0</v>
      </c>
      <c r="R3163" s="1"/>
      <c r="S3163" s="3">
        <v>42919.0</v>
      </c>
      <c r="T3163" s="1" t="s">
        <v>37</v>
      </c>
      <c r="U3163" s="1"/>
      <c r="V3163" s="1" t="s">
        <v>38</v>
      </c>
      <c r="W3163" s="1">
        <v>44.844848</v>
      </c>
      <c r="X3163" s="1">
        <v>-73.1216039999999</v>
      </c>
      <c r="Y3163" s="1" t="s">
        <v>13205</v>
      </c>
      <c r="Z3163" s="1"/>
      <c r="AA3163" s="1" t="s">
        <v>40</v>
      </c>
      <c r="AB3163" s="1" t="s">
        <v>2837</v>
      </c>
      <c r="AC3163" s="1">
        <v>5478.0</v>
      </c>
    </row>
    <row r="3164">
      <c r="A3164" s="1" t="str">
        <f t="shared" si="246"/>
        <v>00081Y</v>
      </c>
      <c r="B3164" s="1" t="s">
        <v>1108</v>
      </c>
      <c r="C3164" s="1" t="s">
        <v>1109</v>
      </c>
      <c r="D3164" s="1" t="str">
        <f t="shared" si="247"/>
        <v>8025242433</v>
      </c>
      <c r="E3164" s="1">
        <v>1523.0</v>
      </c>
      <c r="F3164" s="1" t="s">
        <v>117</v>
      </c>
      <c r="G3164" s="1" t="s">
        <v>13206</v>
      </c>
      <c r="H3164" s="1">
        <v>50.0</v>
      </c>
      <c r="I3164" s="2" t="s">
        <v>119</v>
      </c>
      <c r="J3164" s="2" t="s">
        <v>119</v>
      </c>
      <c r="K3164" s="2" t="s">
        <v>119</v>
      </c>
      <c r="L3164" s="1"/>
      <c r="M3164" s="1" t="s">
        <v>13207</v>
      </c>
      <c r="N3164" s="1" t="s">
        <v>47</v>
      </c>
      <c r="O3164" s="1" t="s">
        <v>2319</v>
      </c>
      <c r="P3164" s="1" t="s">
        <v>13208</v>
      </c>
      <c r="Q3164" s="3">
        <v>42249.0</v>
      </c>
      <c r="R3164" s="1"/>
      <c r="S3164" s="1"/>
      <c r="T3164" s="1" t="s">
        <v>37</v>
      </c>
      <c r="U3164" s="1"/>
      <c r="V3164" s="1" t="s">
        <v>38</v>
      </c>
      <c r="W3164" s="1">
        <v>44.968974</v>
      </c>
      <c r="X3164" s="1">
        <v>-72.95226</v>
      </c>
      <c r="Y3164" s="1" t="s">
        <v>13209</v>
      </c>
      <c r="Z3164" s="1"/>
      <c r="AA3164" s="1" t="s">
        <v>40</v>
      </c>
      <c r="AB3164" s="1" t="s">
        <v>47</v>
      </c>
      <c r="AC3164" s="1">
        <v>5457.0</v>
      </c>
    </row>
    <row r="3165">
      <c r="A3165" s="1" t="str">
        <f>"000V3X"</f>
        <v>000V3X</v>
      </c>
      <c r="B3165" s="1" t="s">
        <v>13210</v>
      </c>
      <c r="C3165" s="1" t="s">
        <v>13211</v>
      </c>
      <c r="D3165" s="1" t="str">
        <f>"8024462486"</f>
        <v>8024462486</v>
      </c>
      <c r="E3165" s="1">
        <v>4917.0</v>
      </c>
      <c r="F3165" s="1" t="s">
        <v>117</v>
      </c>
      <c r="G3165" s="1" t="s">
        <v>13212</v>
      </c>
      <c r="H3165" s="1">
        <v>2.0</v>
      </c>
      <c r="I3165" s="2">
        <v>2.0</v>
      </c>
      <c r="J3165" s="2">
        <v>2.0</v>
      </c>
      <c r="K3165" s="2">
        <v>0.0</v>
      </c>
      <c r="L3165" s="1"/>
      <c r="M3165" s="1">
        <v>1.0</v>
      </c>
      <c r="N3165" s="1" t="s">
        <v>78</v>
      </c>
      <c r="O3165" s="1" t="s">
        <v>251</v>
      </c>
      <c r="P3165" s="1" t="s">
        <v>13213</v>
      </c>
      <c r="Q3165" s="3">
        <v>42255.0</v>
      </c>
      <c r="R3165" s="1"/>
      <c r="S3165" s="1"/>
      <c r="T3165" s="1" t="s">
        <v>37</v>
      </c>
      <c r="U3165" s="1"/>
      <c r="V3165" s="1" t="s">
        <v>38</v>
      </c>
      <c r="W3165" s="1">
        <v>43.400084</v>
      </c>
      <c r="X3165" s="1">
        <v>-73.038987</v>
      </c>
      <c r="Y3165" s="1" t="s">
        <v>13214</v>
      </c>
      <c r="Z3165" s="1"/>
      <c r="AA3165" s="1" t="s">
        <v>40</v>
      </c>
      <c r="AB3165" s="1" t="s">
        <v>1127</v>
      </c>
      <c r="AC3165" s="1">
        <v>5773.0</v>
      </c>
    </row>
    <row r="3166">
      <c r="A3166" s="1" t="str">
        <f>"000V44"</f>
        <v>000V44</v>
      </c>
      <c r="B3166" s="1" t="s">
        <v>13215</v>
      </c>
      <c r="C3166" s="1" t="s">
        <v>13216</v>
      </c>
      <c r="D3166" s="1" t="str">
        <f>"8023471780"</f>
        <v>8023471780</v>
      </c>
      <c r="E3166" s="1">
        <v>4918.0</v>
      </c>
      <c r="F3166" s="1" t="s">
        <v>44</v>
      </c>
      <c r="G3166" s="1" t="s">
        <v>13217</v>
      </c>
      <c r="H3166" s="1">
        <v>1.0</v>
      </c>
      <c r="I3166" s="1"/>
      <c r="J3166" s="1"/>
      <c r="K3166" s="1"/>
      <c r="L3166" s="1"/>
      <c r="M3166" s="1" t="s">
        <v>13218</v>
      </c>
      <c r="N3166" s="1" t="s">
        <v>47</v>
      </c>
      <c r="O3166" s="1" t="s">
        <v>599</v>
      </c>
      <c r="P3166" s="1" t="s">
        <v>13219</v>
      </c>
      <c r="Q3166" s="3">
        <v>42257.0</v>
      </c>
      <c r="R3166" s="1"/>
      <c r="S3166" s="1"/>
      <c r="T3166" s="1" t="s">
        <v>37</v>
      </c>
      <c r="U3166" s="1"/>
      <c r="V3166" s="1" t="s">
        <v>38</v>
      </c>
      <c r="W3166" s="1">
        <v>44.8784032</v>
      </c>
      <c r="X3166" s="1">
        <v>-72.6072313999999</v>
      </c>
      <c r="Y3166" s="1" t="s">
        <v>13220</v>
      </c>
      <c r="Z3166" s="1"/>
      <c r="AA3166" s="1" t="s">
        <v>40</v>
      </c>
      <c r="AB3166" s="1" t="s">
        <v>11224</v>
      </c>
      <c r="AC3166" s="1">
        <v>5471.0</v>
      </c>
    </row>
    <row r="3167">
      <c r="A3167" s="1" t="str">
        <f>"000V4D"</f>
        <v>000V4D</v>
      </c>
      <c r="B3167" s="1" t="s">
        <v>13221</v>
      </c>
      <c r="C3167" s="1" t="s">
        <v>13222</v>
      </c>
      <c r="D3167" s="1" t="str">
        <f>"8022852290"</f>
        <v>8022852290</v>
      </c>
      <c r="E3167" s="1">
        <v>4919.0</v>
      </c>
      <c r="F3167" s="1" t="s">
        <v>117</v>
      </c>
      <c r="G3167" s="1" t="s">
        <v>13223</v>
      </c>
      <c r="H3167" s="1">
        <v>14.0</v>
      </c>
      <c r="I3167" s="2">
        <v>16.0</v>
      </c>
      <c r="J3167" s="2" t="s">
        <v>119</v>
      </c>
      <c r="K3167" s="2" t="s">
        <v>119</v>
      </c>
      <c r="L3167" s="1"/>
      <c r="M3167" s="1" t="s">
        <v>13221</v>
      </c>
      <c r="N3167" s="1" t="s">
        <v>47</v>
      </c>
      <c r="O3167" s="1" t="s">
        <v>2319</v>
      </c>
      <c r="P3167" s="1" t="s">
        <v>13224</v>
      </c>
      <c r="Q3167" s="3">
        <v>42262.0</v>
      </c>
      <c r="R3167" s="1"/>
      <c r="S3167" s="1"/>
      <c r="T3167" s="1" t="s">
        <v>37</v>
      </c>
      <c r="U3167" s="1"/>
      <c r="V3167" s="1" t="s">
        <v>38</v>
      </c>
      <c r="W3167" s="1">
        <v>44.9968911</v>
      </c>
      <c r="X3167" s="1">
        <v>-72.9090117</v>
      </c>
      <c r="Y3167" s="1" t="s">
        <v>13225</v>
      </c>
      <c r="Z3167" s="1"/>
      <c r="AA3167" s="1" t="s">
        <v>40</v>
      </c>
      <c r="AB3167" s="1" t="s">
        <v>47</v>
      </c>
      <c r="AC3167" s="1">
        <v>5457.0</v>
      </c>
    </row>
    <row r="3168">
      <c r="A3168" s="1" t="str">
        <f t="shared" ref="A3168:A3172" si="248">"000V4G"</f>
        <v>000V4G</v>
      </c>
      <c r="B3168" s="1" t="s">
        <v>13226</v>
      </c>
      <c r="C3168" s="1" t="s">
        <v>13227</v>
      </c>
      <c r="D3168" s="1" t="str">
        <f t="shared" ref="D3168:D3172" si="249">"8027632439"</f>
        <v>8027632439</v>
      </c>
      <c r="E3168" s="1">
        <v>4920.0</v>
      </c>
      <c r="F3168" s="1" t="s">
        <v>31</v>
      </c>
      <c r="G3168" s="1" t="s">
        <v>13228</v>
      </c>
      <c r="H3168" s="1">
        <v>15.0</v>
      </c>
      <c r="I3168" s="2" t="s">
        <v>119</v>
      </c>
      <c r="J3168" s="2" t="s">
        <v>119</v>
      </c>
      <c r="K3168" s="2" t="s">
        <v>119</v>
      </c>
      <c r="L3168" s="1"/>
      <c r="M3168" s="1" t="s">
        <v>13229</v>
      </c>
      <c r="N3168" s="1" t="s">
        <v>34</v>
      </c>
      <c r="O3168" s="1" t="s">
        <v>295</v>
      </c>
      <c r="P3168" s="1" t="s">
        <v>4405</v>
      </c>
      <c r="Q3168" s="3">
        <v>42263.0</v>
      </c>
      <c r="R3168" s="1"/>
      <c r="S3168" s="1"/>
      <c r="T3168" s="1" t="s">
        <v>37</v>
      </c>
      <c r="U3168" s="1"/>
      <c r="V3168" s="1" t="s">
        <v>38</v>
      </c>
      <c r="W3168" s="1"/>
      <c r="X3168" s="1"/>
      <c r="Y3168" s="1" t="s">
        <v>13230</v>
      </c>
      <c r="Z3168" s="1"/>
      <c r="AA3168" s="1" t="s">
        <v>40</v>
      </c>
      <c r="AB3168" s="1" t="s">
        <v>13231</v>
      </c>
      <c r="AC3168" s="1">
        <v>5068.0</v>
      </c>
    </row>
    <row r="3169">
      <c r="A3169" s="1" t="str">
        <f t="shared" si="248"/>
        <v>000V4G</v>
      </c>
      <c r="B3169" s="1" t="s">
        <v>13226</v>
      </c>
      <c r="C3169" s="1" t="s">
        <v>13227</v>
      </c>
      <c r="D3169" s="1" t="str">
        <f t="shared" si="249"/>
        <v>8027632439</v>
      </c>
      <c r="E3169" s="1">
        <v>4920.0</v>
      </c>
      <c r="F3169" s="1" t="s">
        <v>31</v>
      </c>
      <c r="G3169" s="1" t="s">
        <v>13232</v>
      </c>
      <c r="H3169" s="1">
        <v>7.0</v>
      </c>
      <c r="I3169" s="2" t="s">
        <v>119</v>
      </c>
      <c r="J3169" s="2" t="s">
        <v>119</v>
      </c>
      <c r="K3169" s="2" t="s">
        <v>119</v>
      </c>
      <c r="L3169" s="1"/>
      <c r="M3169" s="1" t="s">
        <v>13233</v>
      </c>
      <c r="N3169" s="1" t="s">
        <v>142</v>
      </c>
      <c r="O3169" s="1" t="s">
        <v>474</v>
      </c>
      <c r="P3169" s="1" t="s">
        <v>13234</v>
      </c>
      <c r="Q3169" s="3">
        <v>42263.0</v>
      </c>
      <c r="R3169" s="1"/>
      <c r="S3169" s="1"/>
      <c r="T3169" s="1" t="s">
        <v>37</v>
      </c>
      <c r="U3169" s="1"/>
      <c r="V3169" s="1" t="s">
        <v>38</v>
      </c>
      <c r="W3169" s="1"/>
      <c r="X3169" s="1"/>
      <c r="Y3169" s="1" t="s">
        <v>13233</v>
      </c>
      <c r="Z3169" s="1"/>
      <c r="AA3169" s="1" t="s">
        <v>40</v>
      </c>
      <c r="AB3169" s="1" t="s">
        <v>13235</v>
      </c>
      <c r="AC3169" s="1">
        <v>5060.0</v>
      </c>
    </row>
    <row r="3170">
      <c r="A3170" s="1" t="str">
        <f t="shared" si="248"/>
        <v>000V4G</v>
      </c>
      <c r="B3170" s="1" t="s">
        <v>13226</v>
      </c>
      <c r="C3170" s="1" t="s">
        <v>13227</v>
      </c>
      <c r="D3170" s="1" t="str">
        <f t="shared" si="249"/>
        <v>8027632439</v>
      </c>
      <c r="E3170" s="1">
        <v>4920.0</v>
      </c>
      <c r="F3170" s="1" t="s">
        <v>31</v>
      </c>
      <c r="G3170" s="1" t="s">
        <v>13236</v>
      </c>
      <c r="H3170" s="1">
        <v>15.0</v>
      </c>
      <c r="I3170" s="2" t="s">
        <v>119</v>
      </c>
      <c r="J3170" s="2" t="s">
        <v>119</v>
      </c>
      <c r="K3170" s="2" t="s">
        <v>119</v>
      </c>
      <c r="L3170" s="1"/>
      <c r="M3170" s="1" t="s">
        <v>13237</v>
      </c>
      <c r="N3170" s="1" t="s">
        <v>142</v>
      </c>
      <c r="O3170" s="1" t="s">
        <v>474</v>
      </c>
      <c r="P3170" s="1" t="s">
        <v>13237</v>
      </c>
      <c r="Q3170" s="3">
        <v>42263.0</v>
      </c>
      <c r="R3170" s="1"/>
      <c r="S3170" s="1"/>
      <c r="T3170" s="1" t="s">
        <v>37</v>
      </c>
      <c r="U3170" s="1"/>
      <c r="V3170" s="1" t="s">
        <v>38</v>
      </c>
      <c r="W3170" s="1"/>
      <c r="X3170" s="1"/>
      <c r="Y3170" s="1" t="s">
        <v>13238</v>
      </c>
      <c r="Z3170" s="1"/>
      <c r="AA3170" s="1" t="s">
        <v>40</v>
      </c>
      <c r="AB3170" s="1" t="s">
        <v>736</v>
      </c>
      <c r="AC3170" s="1">
        <v>5060.0</v>
      </c>
    </row>
    <row r="3171">
      <c r="A3171" s="1" t="str">
        <f t="shared" si="248"/>
        <v>000V4G</v>
      </c>
      <c r="B3171" s="1" t="s">
        <v>13226</v>
      </c>
      <c r="C3171" s="1" t="s">
        <v>13227</v>
      </c>
      <c r="D3171" s="1" t="str">
        <f t="shared" si="249"/>
        <v>8027632439</v>
      </c>
      <c r="E3171" s="1">
        <v>4920.0</v>
      </c>
      <c r="F3171" s="1" t="s">
        <v>31</v>
      </c>
      <c r="G3171" s="1" t="s">
        <v>13239</v>
      </c>
      <c r="H3171" s="1">
        <v>15.0</v>
      </c>
      <c r="I3171" s="2" t="s">
        <v>119</v>
      </c>
      <c r="J3171" s="2" t="s">
        <v>119</v>
      </c>
      <c r="K3171" s="2" t="s">
        <v>119</v>
      </c>
      <c r="L3171" s="1"/>
      <c r="M3171" s="1" t="s">
        <v>13240</v>
      </c>
      <c r="N3171" s="1" t="s">
        <v>142</v>
      </c>
      <c r="O3171" s="1" t="s">
        <v>2376</v>
      </c>
      <c r="P3171" s="1" t="s">
        <v>13241</v>
      </c>
      <c r="Q3171" s="3">
        <v>42263.0</v>
      </c>
      <c r="R3171" s="1"/>
      <c r="S3171" s="1"/>
      <c r="T3171" s="1" t="s">
        <v>37</v>
      </c>
      <c r="U3171" s="1"/>
      <c r="V3171" s="1" t="s">
        <v>38</v>
      </c>
      <c r="W3171" s="1"/>
      <c r="X3171" s="1"/>
      <c r="Y3171" s="1" t="s">
        <v>13240</v>
      </c>
      <c r="Z3171" s="1"/>
      <c r="AA3171" s="1" t="s">
        <v>40</v>
      </c>
      <c r="AB3171" s="1" t="s">
        <v>475</v>
      </c>
      <c r="AC3171" s="1">
        <v>5060.0</v>
      </c>
    </row>
    <row r="3172">
      <c r="A3172" s="1" t="str">
        <f t="shared" si="248"/>
        <v>000V4G</v>
      </c>
      <c r="B3172" s="1" t="s">
        <v>13226</v>
      </c>
      <c r="C3172" s="1" t="s">
        <v>13227</v>
      </c>
      <c r="D3172" s="1" t="str">
        <f t="shared" si="249"/>
        <v>8027632439</v>
      </c>
      <c r="E3172" s="1">
        <v>4920.0</v>
      </c>
      <c r="F3172" s="1" t="s">
        <v>31</v>
      </c>
      <c r="G3172" s="1" t="s">
        <v>13242</v>
      </c>
      <c r="H3172" s="1">
        <v>15.0</v>
      </c>
      <c r="I3172" s="2" t="s">
        <v>119</v>
      </c>
      <c r="J3172" s="2" t="s">
        <v>119</v>
      </c>
      <c r="K3172" s="2" t="s">
        <v>119</v>
      </c>
      <c r="L3172" s="1"/>
      <c r="M3172" s="1" t="s">
        <v>13243</v>
      </c>
      <c r="N3172" s="1" t="s">
        <v>142</v>
      </c>
      <c r="O3172" s="1" t="s">
        <v>474</v>
      </c>
      <c r="P3172" s="1" t="s">
        <v>13244</v>
      </c>
      <c r="Q3172" s="3">
        <v>42263.0</v>
      </c>
      <c r="R3172" s="1"/>
      <c r="S3172" s="1"/>
      <c r="T3172" s="1" t="s">
        <v>37</v>
      </c>
      <c r="U3172" s="1"/>
      <c r="V3172" s="1" t="s">
        <v>38</v>
      </c>
      <c r="W3172" s="1"/>
      <c r="X3172" s="1"/>
      <c r="Y3172" s="1" t="s">
        <v>13243</v>
      </c>
      <c r="Z3172" s="1"/>
      <c r="AA3172" s="1" t="s">
        <v>40</v>
      </c>
      <c r="AB3172" s="1" t="s">
        <v>475</v>
      </c>
      <c r="AC3172" s="1">
        <v>5060.0</v>
      </c>
    </row>
    <row r="3173">
      <c r="A3173" s="1" t="str">
        <f>"000V4W"</f>
        <v>000V4W</v>
      </c>
      <c r="B3173" s="1" t="s">
        <v>13245</v>
      </c>
      <c r="C3173" s="1" t="s">
        <v>13246</v>
      </c>
      <c r="D3173" s="1" t="str">
        <f>"8027632183"</f>
        <v>8027632183</v>
      </c>
      <c r="E3173" s="1">
        <v>4921.0</v>
      </c>
      <c r="F3173" s="1" t="s">
        <v>117</v>
      </c>
      <c r="G3173" s="1" t="s">
        <v>13247</v>
      </c>
      <c r="H3173" s="1">
        <v>11.0</v>
      </c>
      <c r="I3173" s="2" t="s">
        <v>119</v>
      </c>
      <c r="J3173" s="2" t="s">
        <v>119</v>
      </c>
      <c r="K3173" s="4">
        <v>42990.0</v>
      </c>
      <c r="L3173" s="2" t="s">
        <v>13248</v>
      </c>
      <c r="M3173" s="1" t="s">
        <v>13249</v>
      </c>
      <c r="N3173" s="1" t="s">
        <v>34</v>
      </c>
      <c r="O3173" s="1" t="s">
        <v>35</v>
      </c>
      <c r="P3173" s="1" t="s">
        <v>13250</v>
      </c>
      <c r="Q3173" s="3">
        <v>42268.0</v>
      </c>
      <c r="R3173" s="1"/>
      <c r="S3173" s="3">
        <v>42922.0</v>
      </c>
      <c r="T3173" s="1" t="s">
        <v>37</v>
      </c>
      <c r="U3173" s="1"/>
      <c r="V3173" s="1" t="s">
        <v>38</v>
      </c>
      <c r="W3173" s="1">
        <v>43.781759</v>
      </c>
      <c r="X3173" s="1">
        <v>-72.520892</v>
      </c>
      <c r="Y3173" s="1" t="s">
        <v>13251</v>
      </c>
      <c r="Z3173" s="1"/>
      <c r="AA3173" s="1" t="s">
        <v>40</v>
      </c>
      <c r="AB3173" s="1" t="s">
        <v>41</v>
      </c>
      <c r="AC3173" s="1">
        <v>5068.0</v>
      </c>
    </row>
    <row r="3174">
      <c r="A3174" s="1" t="str">
        <f>"000V4X"</f>
        <v>000V4X</v>
      </c>
      <c r="B3174" s="1" t="s">
        <v>13252</v>
      </c>
      <c r="C3174" s="1" t="s">
        <v>13253</v>
      </c>
      <c r="D3174" s="1" t="str">
        <f>"8022476057"</f>
        <v>8022476057</v>
      </c>
      <c r="E3174" s="1">
        <v>4922.0</v>
      </c>
      <c r="F3174" s="1" t="s">
        <v>117</v>
      </c>
      <c r="G3174" s="1" t="s">
        <v>13254</v>
      </c>
      <c r="H3174" s="1">
        <v>1.0</v>
      </c>
      <c r="I3174" s="2">
        <v>0.0</v>
      </c>
      <c r="J3174" s="2">
        <v>0.0</v>
      </c>
      <c r="K3174" s="2">
        <v>0.0</v>
      </c>
      <c r="L3174" s="1"/>
      <c r="M3174" s="1" t="s">
        <v>13255</v>
      </c>
      <c r="N3174" s="1" t="s">
        <v>78</v>
      </c>
      <c r="O3174" s="1" t="s">
        <v>2574</v>
      </c>
      <c r="P3174" s="1" t="s">
        <v>13256</v>
      </c>
      <c r="Q3174" s="3">
        <v>42268.0</v>
      </c>
      <c r="R3174" s="1"/>
      <c r="S3174" s="3">
        <v>42258.0</v>
      </c>
      <c r="T3174" s="1" t="s">
        <v>37</v>
      </c>
      <c r="U3174" s="1"/>
      <c r="V3174" s="1" t="s">
        <v>38</v>
      </c>
      <c r="W3174" s="1">
        <v>43.7829848830542</v>
      </c>
      <c r="X3174" s="1">
        <v>-73.0785548686981</v>
      </c>
      <c r="Y3174" s="1" t="s">
        <v>13257</v>
      </c>
      <c r="Z3174" s="1"/>
      <c r="AA3174" s="1" t="s">
        <v>40</v>
      </c>
      <c r="AB3174" s="1" t="s">
        <v>2575</v>
      </c>
      <c r="AC3174" s="1">
        <v>5733.0</v>
      </c>
    </row>
    <row r="3175">
      <c r="A3175" s="1" t="str">
        <f t="shared" ref="A3175:A3183" si="250">"000V4Y"</f>
        <v>000V4Y</v>
      </c>
      <c r="B3175" s="1" t="s">
        <v>13258</v>
      </c>
      <c r="C3175" s="1" t="s">
        <v>13259</v>
      </c>
      <c r="D3175" s="1" t="str">
        <f t="shared" ref="D3175:D3183" si="251">"8025985249"</f>
        <v>8025985249</v>
      </c>
      <c r="E3175" s="1">
        <v>4923.0</v>
      </c>
      <c r="F3175" s="1" t="s">
        <v>117</v>
      </c>
      <c r="G3175" s="1" t="s">
        <v>13260</v>
      </c>
      <c r="H3175" s="1">
        <v>2.0</v>
      </c>
      <c r="I3175" s="2">
        <v>1.0</v>
      </c>
      <c r="J3175" s="2">
        <v>1.0</v>
      </c>
      <c r="K3175" s="2" t="s">
        <v>119</v>
      </c>
      <c r="L3175" s="2" t="s">
        <v>13261</v>
      </c>
      <c r="M3175" s="1" t="s">
        <v>13262</v>
      </c>
      <c r="N3175" s="1" t="s">
        <v>57</v>
      </c>
      <c r="O3175" s="1" t="s">
        <v>559</v>
      </c>
      <c r="P3175" s="1" t="s">
        <v>13263</v>
      </c>
      <c r="Q3175" s="3">
        <v>42272.0</v>
      </c>
      <c r="R3175" s="1"/>
      <c r="S3175" s="1"/>
      <c r="T3175" s="1" t="s">
        <v>37</v>
      </c>
      <c r="U3175" s="1"/>
      <c r="V3175" s="1" t="s">
        <v>38</v>
      </c>
      <c r="W3175" s="1">
        <v>44.602818</v>
      </c>
      <c r="X3175" s="1">
        <v>-73.213432</v>
      </c>
      <c r="Y3175" s="1" t="s">
        <v>13264</v>
      </c>
      <c r="Z3175" s="1"/>
      <c r="AA3175" s="1" t="s">
        <v>40</v>
      </c>
      <c r="AB3175" s="1" t="s">
        <v>560</v>
      </c>
      <c r="AC3175" s="1">
        <v>5446.0</v>
      </c>
    </row>
    <row r="3176">
      <c r="A3176" s="1" t="str">
        <f t="shared" si="250"/>
        <v>000V4Y</v>
      </c>
      <c r="B3176" s="1" t="s">
        <v>13258</v>
      </c>
      <c r="C3176" s="1" t="s">
        <v>13259</v>
      </c>
      <c r="D3176" s="1" t="str">
        <f t="shared" si="251"/>
        <v>8025985249</v>
      </c>
      <c r="E3176" s="1">
        <v>4923.0</v>
      </c>
      <c r="F3176" s="1" t="s">
        <v>117</v>
      </c>
      <c r="G3176" s="1" t="s">
        <v>13265</v>
      </c>
      <c r="H3176" s="1">
        <v>8.0</v>
      </c>
      <c r="I3176" s="2">
        <v>3.0</v>
      </c>
      <c r="J3176" s="2">
        <v>2.0</v>
      </c>
      <c r="K3176" s="2" t="s">
        <v>119</v>
      </c>
      <c r="L3176" s="2" t="s">
        <v>13261</v>
      </c>
      <c r="M3176" s="1" t="s">
        <v>13266</v>
      </c>
      <c r="N3176" s="1" t="s">
        <v>107</v>
      </c>
      <c r="O3176" s="1" t="s">
        <v>821</v>
      </c>
      <c r="P3176" s="1" t="s">
        <v>13267</v>
      </c>
      <c r="Q3176" s="3">
        <v>42272.0</v>
      </c>
      <c r="R3176" s="1"/>
      <c r="S3176" s="1"/>
      <c r="T3176" s="1" t="s">
        <v>37</v>
      </c>
      <c r="U3176" s="1"/>
      <c r="V3176" s="1" t="s">
        <v>38</v>
      </c>
      <c r="W3176" s="1">
        <v>44.639607</v>
      </c>
      <c r="X3176" s="1">
        <v>-73.269563</v>
      </c>
      <c r="Y3176" s="1" t="s">
        <v>13268</v>
      </c>
      <c r="Z3176" s="1"/>
      <c r="AA3176" s="1" t="s">
        <v>40</v>
      </c>
      <c r="AB3176" s="1" t="s">
        <v>822</v>
      </c>
      <c r="AC3176" s="1">
        <v>5486.0</v>
      </c>
    </row>
    <row r="3177">
      <c r="A3177" s="1" t="str">
        <f t="shared" si="250"/>
        <v>000V4Y</v>
      </c>
      <c r="B3177" s="1" t="s">
        <v>13258</v>
      </c>
      <c r="C3177" s="1" t="s">
        <v>13259</v>
      </c>
      <c r="D3177" s="1" t="str">
        <f t="shared" si="251"/>
        <v>8025985249</v>
      </c>
      <c r="E3177" s="1">
        <v>4923.0</v>
      </c>
      <c r="F3177" s="1" t="s">
        <v>117</v>
      </c>
      <c r="G3177" s="1" t="s">
        <v>13269</v>
      </c>
      <c r="H3177" s="1">
        <v>2.0</v>
      </c>
      <c r="I3177" s="2">
        <v>1.0</v>
      </c>
      <c r="J3177" s="2">
        <v>1.0</v>
      </c>
      <c r="K3177" s="2" t="s">
        <v>119</v>
      </c>
      <c r="L3177" s="2" t="s">
        <v>13261</v>
      </c>
      <c r="M3177" s="1" t="s">
        <v>13270</v>
      </c>
      <c r="N3177" s="1" t="s">
        <v>107</v>
      </c>
      <c r="O3177" s="1" t="s">
        <v>821</v>
      </c>
      <c r="P3177" s="1" t="s">
        <v>13271</v>
      </c>
      <c r="Q3177" s="3">
        <v>42272.0</v>
      </c>
      <c r="R3177" s="1"/>
      <c r="S3177" s="1"/>
      <c r="T3177" s="1" t="s">
        <v>37</v>
      </c>
      <c r="U3177" s="1"/>
      <c r="V3177" s="1" t="s">
        <v>38</v>
      </c>
      <c r="W3177" s="1">
        <v>44.6175609999999</v>
      </c>
      <c r="X3177" s="1">
        <v>-73.3021469999999</v>
      </c>
      <c r="Y3177" s="1" t="s">
        <v>13272</v>
      </c>
      <c r="Z3177" s="1"/>
      <c r="AA3177" s="1" t="s">
        <v>40</v>
      </c>
      <c r="AB3177" s="1" t="s">
        <v>822</v>
      </c>
      <c r="AC3177" s="1">
        <v>5486.0</v>
      </c>
    </row>
    <row r="3178">
      <c r="A3178" s="1" t="str">
        <f t="shared" si="250"/>
        <v>000V4Y</v>
      </c>
      <c r="B3178" s="1" t="s">
        <v>13258</v>
      </c>
      <c r="C3178" s="1" t="s">
        <v>13259</v>
      </c>
      <c r="D3178" s="1" t="str">
        <f t="shared" si="251"/>
        <v>8025985249</v>
      </c>
      <c r="E3178" s="1">
        <v>4923.0</v>
      </c>
      <c r="F3178" s="1" t="s">
        <v>117</v>
      </c>
      <c r="G3178" s="1" t="s">
        <v>13273</v>
      </c>
      <c r="H3178" s="1">
        <v>1.0</v>
      </c>
      <c r="I3178" s="2">
        <v>1.0</v>
      </c>
      <c r="J3178" s="2">
        <v>1.0</v>
      </c>
      <c r="K3178" s="2" t="s">
        <v>119</v>
      </c>
      <c r="L3178" s="2" t="s">
        <v>13261</v>
      </c>
      <c r="M3178" s="1" t="s">
        <v>13274</v>
      </c>
      <c r="N3178" s="1" t="s">
        <v>107</v>
      </c>
      <c r="O3178" s="1" t="s">
        <v>821</v>
      </c>
      <c r="P3178" s="1" t="s">
        <v>13275</v>
      </c>
      <c r="Q3178" s="3">
        <v>42272.0</v>
      </c>
      <c r="R3178" s="1"/>
      <c r="S3178" s="1"/>
      <c r="T3178" s="1" t="s">
        <v>37</v>
      </c>
      <c r="U3178" s="1"/>
      <c r="V3178" s="1" t="s">
        <v>38</v>
      </c>
      <c r="W3178" s="1">
        <v>44.645008</v>
      </c>
      <c r="X3178" s="1">
        <v>-73.3136829999999</v>
      </c>
      <c r="Y3178" s="1" t="s">
        <v>13276</v>
      </c>
      <c r="Z3178" s="1"/>
      <c r="AA3178" s="1" t="s">
        <v>40</v>
      </c>
      <c r="AB3178" s="1" t="s">
        <v>822</v>
      </c>
      <c r="AC3178" s="1">
        <v>5486.0</v>
      </c>
    </row>
    <row r="3179">
      <c r="A3179" s="1" t="str">
        <f t="shared" si="250"/>
        <v>000V4Y</v>
      </c>
      <c r="B3179" s="1" t="s">
        <v>13258</v>
      </c>
      <c r="C3179" s="1" t="s">
        <v>13259</v>
      </c>
      <c r="D3179" s="1" t="str">
        <f t="shared" si="251"/>
        <v>8025985249</v>
      </c>
      <c r="E3179" s="1">
        <v>4923.0</v>
      </c>
      <c r="F3179" s="1" t="s">
        <v>117</v>
      </c>
      <c r="G3179" s="1" t="s">
        <v>13277</v>
      </c>
      <c r="H3179" s="1">
        <v>3.0</v>
      </c>
      <c r="I3179" s="2">
        <v>4.0</v>
      </c>
      <c r="J3179" s="2">
        <v>3.0</v>
      </c>
      <c r="K3179" s="2" t="s">
        <v>119</v>
      </c>
      <c r="L3179" s="2" t="s">
        <v>13261</v>
      </c>
      <c r="M3179" s="1" t="s">
        <v>13278</v>
      </c>
      <c r="N3179" s="1" t="s">
        <v>107</v>
      </c>
      <c r="O3179" s="1" t="s">
        <v>108</v>
      </c>
      <c r="P3179" s="1" t="s">
        <v>13279</v>
      </c>
      <c r="Q3179" s="3">
        <v>42272.0</v>
      </c>
      <c r="R3179" s="1"/>
      <c r="S3179" s="1"/>
      <c r="T3179" s="1" t="s">
        <v>37</v>
      </c>
      <c r="U3179" s="1"/>
      <c r="V3179" s="1" t="s">
        <v>38</v>
      </c>
      <c r="W3179" s="1">
        <v>44.744068</v>
      </c>
      <c r="X3179" s="1">
        <v>-73.26207</v>
      </c>
      <c r="Y3179" s="1" t="s">
        <v>13280</v>
      </c>
      <c r="Z3179" s="1"/>
      <c r="AA3179" s="1" t="s">
        <v>40</v>
      </c>
      <c r="AB3179" s="1" t="s">
        <v>107</v>
      </c>
      <c r="AC3179" s="1">
        <v>5458.0</v>
      </c>
    </row>
    <row r="3180">
      <c r="A3180" s="1" t="str">
        <f t="shared" si="250"/>
        <v>000V4Y</v>
      </c>
      <c r="B3180" s="1" t="s">
        <v>13258</v>
      </c>
      <c r="C3180" s="1" t="s">
        <v>13259</v>
      </c>
      <c r="D3180" s="1" t="str">
        <f t="shared" si="251"/>
        <v>8025985249</v>
      </c>
      <c r="E3180" s="1">
        <v>4923.0</v>
      </c>
      <c r="F3180" s="1" t="s">
        <v>117</v>
      </c>
      <c r="G3180" s="1" t="s">
        <v>13281</v>
      </c>
      <c r="H3180" s="1">
        <v>6.0</v>
      </c>
      <c r="I3180" s="2">
        <v>6.0</v>
      </c>
      <c r="J3180" s="2">
        <v>5.0</v>
      </c>
      <c r="K3180" s="2" t="s">
        <v>119</v>
      </c>
      <c r="L3180" s="2" t="s">
        <v>13261</v>
      </c>
      <c r="M3180" s="1" t="s">
        <v>13282</v>
      </c>
      <c r="N3180" s="1" t="s">
        <v>107</v>
      </c>
      <c r="O3180" s="1" t="s">
        <v>108</v>
      </c>
      <c r="P3180" s="1" t="s">
        <v>13283</v>
      </c>
      <c r="Q3180" s="3">
        <v>42272.0</v>
      </c>
      <c r="R3180" s="1"/>
      <c r="S3180" s="1"/>
      <c r="T3180" s="1" t="s">
        <v>37</v>
      </c>
      <c r="U3180" s="1"/>
      <c r="V3180" s="1" t="s">
        <v>38</v>
      </c>
      <c r="W3180" s="1">
        <v>44.7265723</v>
      </c>
      <c r="X3180" s="1">
        <v>-73.3233827999999</v>
      </c>
      <c r="Y3180" s="1" t="s">
        <v>13284</v>
      </c>
      <c r="Z3180" s="1"/>
      <c r="AA3180" s="1" t="s">
        <v>40</v>
      </c>
      <c r="AB3180" s="1" t="s">
        <v>107</v>
      </c>
      <c r="AC3180" s="1">
        <v>5458.0</v>
      </c>
    </row>
    <row r="3181">
      <c r="A3181" s="1" t="str">
        <f t="shared" si="250"/>
        <v>000V4Y</v>
      </c>
      <c r="B3181" s="1" t="s">
        <v>13258</v>
      </c>
      <c r="C3181" s="1" t="s">
        <v>13259</v>
      </c>
      <c r="D3181" s="1" t="str">
        <f t="shared" si="251"/>
        <v>8025985249</v>
      </c>
      <c r="E3181" s="1">
        <v>4923.0</v>
      </c>
      <c r="F3181" s="1" t="s">
        <v>117</v>
      </c>
      <c r="G3181" s="1" t="s">
        <v>13285</v>
      </c>
      <c r="H3181" s="1">
        <v>4.0</v>
      </c>
      <c r="I3181" s="2">
        <v>1.0</v>
      </c>
      <c r="J3181" s="2">
        <v>1.0</v>
      </c>
      <c r="K3181" s="2" t="s">
        <v>119</v>
      </c>
      <c r="L3181" s="2" t="s">
        <v>13261</v>
      </c>
      <c r="M3181" s="1" t="s">
        <v>13286</v>
      </c>
      <c r="N3181" s="1" t="s">
        <v>107</v>
      </c>
      <c r="O3181" s="1" t="s">
        <v>2016</v>
      </c>
      <c r="P3181" s="1" t="s">
        <v>13287</v>
      </c>
      <c r="Q3181" s="3">
        <v>42272.0</v>
      </c>
      <c r="R3181" s="1"/>
      <c r="S3181" s="1"/>
      <c r="T3181" s="1" t="s">
        <v>37</v>
      </c>
      <c r="U3181" s="1"/>
      <c r="V3181" s="1" t="s">
        <v>38</v>
      </c>
      <c r="W3181" s="1">
        <v>44.8857793</v>
      </c>
      <c r="X3181" s="1">
        <v>-73.2777767999999</v>
      </c>
      <c r="Y3181" s="1" t="s">
        <v>13288</v>
      </c>
      <c r="Z3181" s="1"/>
      <c r="AA3181" s="1" t="s">
        <v>40</v>
      </c>
      <c r="AB3181" s="1" t="s">
        <v>8724</v>
      </c>
      <c r="AC3181" s="1">
        <v>5440.0</v>
      </c>
    </row>
    <row r="3182">
      <c r="A3182" s="1" t="str">
        <f t="shared" si="250"/>
        <v>000V4Y</v>
      </c>
      <c r="B3182" s="1" t="s">
        <v>13258</v>
      </c>
      <c r="C3182" s="1" t="s">
        <v>13259</v>
      </c>
      <c r="D3182" s="1" t="str">
        <f t="shared" si="251"/>
        <v>8025985249</v>
      </c>
      <c r="E3182" s="1">
        <v>4923.0</v>
      </c>
      <c r="F3182" s="1" t="s">
        <v>117</v>
      </c>
      <c r="G3182" s="1" t="s">
        <v>13289</v>
      </c>
      <c r="H3182" s="1">
        <v>7.0</v>
      </c>
      <c r="I3182" s="2">
        <v>5.0</v>
      </c>
      <c r="J3182" s="2">
        <v>4.0</v>
      </c>
      <c r="K3182" s="2" t="s">
        <v>119</v>
      </c>
      <c r="L3182" s="2" t="s">
        <v>13261</v>
      </c>
      <c r="M3182" s="1" t="s">
        <v>13290</v>
      </c>
      <c r="N3182" s="1" t="s">
        <v>107</v>
      </c>
      <c r="O3182" s="1" t="s">
        <v>724</v>
      </c>
      <c r="P3182" s="1" t="s">
        <v>13291</v>
      </c>
      <c r="Q3182" s="3">
        <v>42272.0</v>
      </c>
      <c r="R3182" s="1"/>
      <c r="S3182" s="1"/>
      <c r="T3182" s="1" t="s">
        <v>37</v>
      </c>
      <c r="U3182" s="1"/>
      <c r="V3182" s="1" t="s">
        <v>38</v>
      </c>
      <c r="W3182" s="1">
        <v>44.7851905</v>
      </c>
      <c r="X3182" s="1">
        <v>-73.2931962999999</v>
      </c>
      <c r="Y3182" s="1" t="s">
        <v>13292</v>
      </c>
      <c r="Z3182" s="1"/>
      <c r="AA3182" s="1" t="s">
        <v>40</v>
      </c>
      <c r="AB3182" s="1" t="s">
        <v>725</v>
      </c>
      <c r="AC3182" s="1">
        <v>5474.0</v>
      </c>
    </row>
    <row r="3183">
      <c r="A3183" s="1" t="str">
        <f t="shared" si="250"/>
        <v>000V4Y</v>
      </c>
      <c r="B3183" s="1" t="s">
        <v>13258</v>
      </c>
      <c r="C3183" s="1" t="s">
        <v>13259</v>
      </c>
      <c r="D3183" s="1" t="str">
        <f t="shared" si="251"/>
        <v>8025985249</v>
      </c>
      <c r="E3183" s="1">
        <v>4923.0</v>
      </c>
      <c r="F3183" s="1" t="s">
        <v>117</v>
      </c>
      <c r="G3183" s="1" t="s">
        <v>13293</v>
      </c>
      <c r="H3183" s="1">
        <v>2.0</v>
      </c>
      <c r="I3183" s="2">
        <v>0.0</v>
      </c>
      <c r="J3183" s="2">
        <v>0.0</v>
      </c>
      <c r="K3183" s="2" t="s">
        <v>119</v>
      </c>
      <c r="L3183" s="2" t="s">
        <v>13261</v>
      </c>
      <c r="M3183" s="1" t="s">
        <v>13294</v>
      </c>
      <c r="N3183" s="1" t="s">
        <v>107</v>
      </c>
      <c r="O3183" s="1" t="s">
        <v>108</v>
      </c>
      <c r="P3183" s="1" t="s">
        <v>13295</v>
      </c>
      <c r="Q3183" s="3">
        <v>42272.0</v>
      </c>
      <c r="R3183" s="1"/>
      <c r="S3183" s="1"/>
      <c r="T3183" s="1" t="s">
        <v>37</v>
      </c>
      <c r="U3183" s="1"/>
      <c r="V3183" s="1" t="s">
        <v>38</v>
      </c>
      <c r="W3183" s="1">
        <v>44.735743</v>
      </c>
      <c r="X3183" s="1">
        <v>-73.3091749999999</v>
      </c>
      <c r="Y3183" s="1" t="s">
        <v>13296</v>
      </c>
      <c r="Z3183" s="1"/>
      <c r="AA3183" s="1" t="s">
        <v>40</v>
      </c>
      <c r="AB3183" s="1" t="s">
        <v>107</v>
      </c>
      <c r="AC3183" s="1">
        <v>5458.0</v>
      </c>
    </row>
    <row r="3184">
      <c r="A3184" s="1" t="str">
        <f>"000V53"</f>
        <v>000V53</v>
      </c>
      <c r="B3184" s="1" t="s">
        <v>13297</v>
      </c>
      <c r="C3184" s="1" t="s">
        <v>13298</v>
      </c>
      <c r="D3184" s="1" t="str">
        <f>"8028886261"</f>
        <v>8028886261</v>
      </c>
      <c r="E3184" s="1">
        <v>4924.0</v>
      </c>
      <c r="F3184" s="1" t="s">
        <v>31</v>
      </c>
      <c r="G3184" s="1" t="s">
        <v>13299</v>
      </c>
      <c r="H3184" s="1">
        <v>6.0</v>
      </c>
      <c r="I3184" s="1"/>
      <c r="J3184" s="1"/>
      <c r="K3184" s="1"/>
      <c r="L3184" s="1"/>
      <c r="M3184" s="1">
        <v>1.0</v>
      </c>
      <c r="N3184" s="1" t="s">
        <v>213</v>
      </c>
      <c r="O3184" s="1" t="s">
        <v>2562</v>
      </c>
      <c r="P3184" s="1" t="s">
        <v>13300</v>
      </c>
      <c r="Q3184" s="3">
        <v>42275.0</v>
      </c>
      <c r="R3184" s="1"/>
      <c r="S3184" s="1"/>
      <c r="T3184" s="1" t="s">
        <v>37</v>
      </c>
      <c r="U3184" s="1"/>
      <c r="V3184" s="1" t="s">
        <v>38</v>
      </c>
      <c r="W3184" s="1">
        <v>44.5077209</v>
      </c>
      <c r="X3184" s="1">
        <v>-72.4658198999999</v>
      </c>
      <c r="Y3184" s="1" t="s">
        <v>13301</v>
      </c>
      <c r="Z3184" s="1"/>
      <c r="AA3184" s="1" t="s">
        <v>40</v>
      </c>
      <c r="AB3184" s="1" t="s">
        <v>2563</v>
      </c>
      <c r="AC3184" s="1">
        <v>5680.0</v>
      </c>
    </row>
    <row r="3185">
      <c r="A3185" s="1" t="str">
        <f>"000BVJ"</f>
        <v>000BVJ</v>
      </c>
      <c r="B3185" s="1" t="s">
        <v>13302</v>
      </c>
      <c r="C3185" s="1" t="s">
        <v>13303</v>
      </c>
      <c r="D3185" s="1" t="str">
        <f>"8025869644"</f>
        <v>8025869644</v>
      </c>
      <c r="E3185" s="1">
        <v>4925.0</v>
      </c>
      <c r="F3185" s="1" t="s">
        <v>44</v>
      </c>
      <c r="G3185" s="1" t="s">
        <v>13304</v>
      </c>
      <c r="H3185" s="1">
        <v>1.0</v>
      </c>
      <c r="I3185" s="1"/>
      <c r="J3185" s="1"/>
      <c r="K3185" s="1"/>
      <c r="L3185" s="1"/>
      <c r="M3185" s="1" t="s">
        <v>33</v>
      </c>
      <c r="N3185" s="1" t="s">
        <v>94</v>
      </c>
      <c r="O3185" s="1" t="s">
        <v>1688</v>
      </c>
      <c r="P3185" s="1" t="s">
        <v>13305</v>
      </c>
      <c r="Q3185" s="3">
        <v>42275.0</v>
      </c>
      <c r="R3185" s="1"/>
      <c r="S3185" s="1"/>
      <c r="T3185" s="1" t="s">
        <v>37</v>
      </c>
      <c r="U3185" s="1"/>
      <c r="V3185" s="1" t="s">
        <v>38</v>
      </c>
      <c r="W3185" s="1"/>
      <c r="X3185" s="1"/>
      <c r="Y3185" s="1" t="s">
        <v>3944</v>
      </c>
      <c r="Z3185" s="1"/>
      <c r="AA3185" s="1" t="s">
        <v>40</v>
      </c>
      <c r="AB3185" s="1" t="s">
        <v>1690</v>
      </c>
      <c r="AC3185" s="1">
        <v>5826.0</v>
      </c>
    </row>
    <row r="3186">
      <c r="A3186" s="1" t="str">
        <f>"00090Q"</f>
        <v>00090Q</v>
      </c>
      <c r="B3186" s="1" t="s">
        <v>6940</v>
      </c>
      <c r="C3186" s="1" t="s">
        <v>6941</v>
      </c>
      <c r="D3186" s="1" t="str">
        <f>"8024292064"</f>
        <v>8024292064</v>
      </c>
      <c r="E3186" s="1">
        <v>3603.0</v>
      </c>
      <c r="F3186" s="1" t="s">
        <v>31</v>
      </c>
      <c r="G3186" s="1" t="s">
        <v>13306</v>
      </c>
      <c r="H3186" s="1">
        <v>6.0</v>
      </c>
      <c r="I3186" s="1"/>
      <c r="J3186" s="1"/>
      <c r="K3186" s="1"/>
      <c r="L3186" s="1"/>
      <c r="M3186" s="1" t="s">
        <v>13307</v>
      </c>
      <c r="N3186" s="1" t="s">
        <v>142</v>
      </c>
      <c r="O3186" s="1" t="s">
        <v>227</v>
      </c>
      <c r="P3186" s="1" t="s">
        <v>13308</v>
      </c>
      <c r="Q3186" s="3">
        <v>42278.0</v>
      </c>
      <c r="R3186" s="1"/>
      <c r="S3186" s="3">
        <v>42271.0</v>
      </c>
      <c r="T3186" s="1" t="s">
        <v>37</v>
      </c>
      <c r="U3186" s="1"/>
      <c r="V3186" s="1" t="s">
        <v>38</v>
      </c>
      <c r="W3186" s="1">
        <v>43.9514128643199</v>
      </c>
      <c r="X3186" s="1">
        <v>-72.114987373352</v>
      </c>
      <c r="Y3186" s="1" t="s">
        <v>13309</v>
      </c>
      <c r="Z3186" s="1"/>
      <c r="AA3186" s="1" t="s">
        <v>40</v>
      </c>
      <c r="AB3186" s="1" t="s">
        <v>228</v>
      </c>
      <c r="AC3186" s="1">
        <v>5085.0</v>
      </c>
    </row>
    <row r="3187">
      <c r="A3187" s="1" t="str">
        <f>"000V5J"</f>
        <v>000V5J</v>
      </c>
      <c r="B3187" s="1" t="s">
        <v>13310</v>
      </c>
      <c r="C3187" s="1" t="s">
        <v>13311</v>
      </c>
      <c r="D3187" s="1"/>
      <c r="E3187" s="1">
        <v>4926.0</v>
      </c>
      <c r="F3187" s="1" t="s">
        <v>31</v>
      </c>
      <c r="G3187" s="1" t="s">
        <v>13312</v>
      </c>
      <c r="H3187" s="1">
        <v>1.0</v>
      </c>
      <c r="I3187" s="1"/>
      <c r="J3187" s="1"/>
      <c r="K3187" s="1"/>
      <c r="L3187" s="1"/>
      <c r="M3187" s="1" t="s">
        <v>33</v>
      </c>
      <c r="N3187" s="1" t="s">
        <v>414</v>
      </c>
      <c r="O3187" s="1" t="s">
        <v>720</v>
      </c>
      <c r="P3187" s="1" t="s">
        <v>13313</v>
      </c>
      <c r="Q3187" s="3">
        <v>42282.0</v>
      </c>
      <c r="R3187" s="1"/>
      <c r="S3187" s="1"/>
      <c r="T3187" s="1" t="s">
        <v>37</v>
      </c>
      <c r="U3187" s="1"/>
      <c r="V3187" s="1" t="s">
        <v>38</v>
      </c>
      <c r="W3187" s="1"/>
      <c r="X3187" s="1"/>
      <c r="Y3187" s="1" t="s">
        <v>13314</v>
      </c>
      <c r="Z3187" s="1"/>
      <c r="AA3187" s="1" t="s">
        <v>40</v>
      </c>
      <c r="AB3187" s="1" t="s">
        <v>1161</v>
      </c>
      <c r="AC3187" s="1">
        <v>5262.0</v>
      </c>
    </row>
    <row r="3188">
      <c r="A3188" s="1" t="str">
        <f>"000V5K"</f>
        <v>000V5K</v>
      </c>
      <c r="B3188" s="1" t="s">
        <v>13315</v>
      </c>
      <c r="C3188" s="1" t="s">
        <v>13316</v>
      </c>
      <c r="D3188" s="1" t="str">
        <f>"8024222600"</f>
        <v>8024222600</v>
      </c>
      <c r="E3188" s="1">
        <v>4927.0</v>
      </c>
      <c r="F3188" s="1" t="s">
        <v>117</v>
      </c>
      <c r="G3188" s="1" t="s">
        <v>13317</v>
      </c>
      <c r="H3188" s="1">
        <v>1.0</v>
      </c>
      <c r="I3188" s="2" t="s">
        <v>119</v>
      </c>
      <c r="J3188" s="2">
        <v>4.0</v>
      </c>
      <c r="K3188" s="2" t="s">
        <v>119</v>
      </c>
      <c r="L3188" s="1"/>
      <c r="M3188" s="1" t="s">
        <v>13318</v>
      </c>
      <c r="N3188" s="1" t="s">
        <v>34</v>
      </c>
      <c r="O3188" s="1" t="s">
        <v>958</v>
      </c>
      <c r="P3188" s="1" t="s">
        <v>13319</v>
      </c>
      <c r="Q3188" s="3">
        <v>42282.0</v>
      </c>
      <c r="R3188" s="1"/>
      <c r="S3188" s="1"/>
      <c r="T3188" s="1" t="s">
        <v>37</v>
      </c>
      <c r="U3188" s="1"/>
      <c r="V3188" s="1" t="s">
        <v>38</v>
      </c>
      <c r="W3188" s="1">
        <v>43.5312564</v>
      </c>
      <c r="X3188" s="1">
        <v>-72.7460543999999</v>
      </c>
      <c r="Y3188" s="1" t="s">
        <v>13320</v>
      </c>
      <c r="Z3188" s="1"/>
      <c r="AA3188" s="1" t="s">
        <v>40</v>
      </c>
      <c r="AB3188" s="1" t="s">
        <v>959</v>
      </c>
      <c r="AC3188" s="1">
        <v>3264.0</v>
      </c>
    </row>
    <row r="3189">
      <c r="A3189" s="1" t="str">
        <f>"000V6B"</f>
        <v>000V6B</v>
      </c>
      <c r="B3189" s="1" t="s">
        <v>13321</v>
      </c>
      <c r="C3189" s="1" t="s">
        <v>13322</v>
      </c>
      <c r="D3189" s="1"/>
      <c r="E3189" s="1">
        <v>4928.0</v>
      </c>
      <c r="F3189" s="1" t="s">
        <v>117</v>
      </c>
      <c r="G3189" s="1" t="s">
        <v>13323</v>
      </c>
      <c r="H3189" s="1">
        <v>2.0</v>
      </c>
      <c r="I3189" s="2">
        <v>1.0</v>
      </c>
      <c r="J3189" s="2">
        <v>1.0</v>
      </c>
      <c r="K3189" s="2" t="s">
        <v>119</v>
      </c>
      <c r="L3189" s="1"/>
      <c r="M3189" s="1">
        <v>1.0</v>
      </c>
      <c r="N3189" s="1" t="s">
        <v>213</v>
      </c>
      <c r="O3189" s="1" t="s">
        <v>365</v>
      </c>
      <c r="P3189" s="1" t="s">
        <v>13324</v>
      </c>
      <c r="Q3189" s="3">
        <v>42296.0</v>
      </c>
      <c r="R3189" s="1"/>
      <c r="S3189" s="1"/>
      <c r="T3189" s="1" t="s">
        <v>37</v>
      </c>
      <c r="U3189" s="1"/>
      <c r="V3189" s="1" t="s">
        <v>38</v>
      </c>
      <c r="W3189" s="1">
        <v>44.502334</v>
      </c>
      <c r="X3189" s="1">
        <v>-72.7112839999999</v>
      </c>
      <c r="Y3189" s="1" t="s">
        <v>13325</v>
      </c>
      <c r="Z3189" s="1"/>
      <c r="AA3189" s="1" t="s">
        <v>40</v>
      </c>
      <c r="AB3189" s="1" t="s">
        <v>10075</v>
      </c>
      <c r="AC3189" s="1">
        <v>5672.0</v>
      </c>
    </row>
    <row r="3190">
      <c r="A3190" s="1" t="str">
        <f>"000G9M"</f>
        <v>000G9M</v>
      </c>
      <c r="B3190" s="1" t="s">
        <v>13326</v>
      </c>
      <c r="C3190" s="1" t="s">
        <v>13327</v>
      </c>
      <c r="D3190" s="1" t="str">
        <f>"8028993785"</f>
        <v>8028993785</v>
      </c>
      <c r="E3190" s="1">
        <v>4247.0</v>
      </c>
      <c r="F3190" s="1" t="s">
        <v>31</v>
      </c>
      <c r="G3190" s="1" t="s">
        <v>13328</v>
      </c>
      <c r="H3190" s="1">
        <v>1.0</v>
      </c>
      <c r="I3190" s="1"/>
      <c r="J3190" s="1"/>
      <c r="K3190" s="1"/>
      <c r="L3190" s="1"/>
      <c r="M3190" s="1">
        <v>1.0</v>
      </c>
      <c r="N3190" s="1" t="s">
        <v>57</v>
      </c>
      <c r="O3190" s="1" t="s">
        <v>745</v>
      </c>
      <c r="P3190" s="1" t="s">
        <v>13329</v>
      </c>
      <c r="Q3190" s="3">
        <v>42304.0</v>
      </c>
      <c r="R3190" s="1"/>
      <c r="S3190" s="1"/>
      <c r="T3190" s="1" t="s">
        <v>37</v>
      </c>
      <c r="U3190" s="1"/>
      <c r="V3190" s="1" t="s">
        <v>38</v>
      </c>
      <c r="W3190" s="1">
        <v>44.452899</v>
      </c>
      <c r="X3190" s="1">
        <v>-72.9664728999999</v>
      </c>
      <c r="Y3190" s="1" t="s">
        <v>13330</v>
      </c>
      <c r="Z3190" s="1"/>
      <c r="AA3190" s="1" t="s">
        <v>40</v>
      </c>
      <c r="AB3190" s="1" t="s">
        <v>746</v>
      </c>
      <c r="AC3190" s="1">
        <v>5465.0</v>
      </c>
    </row>
    <row r="3191">
      <c r="A3191" s="1" t="str">
        <f>"00075N"</f>
        <v>00075N</v>
      </c>
      <c r="B3191" s="1" t="s">
        <v>5929</v>
      </c>
      <c r="C3191" s="1" t="s">
        <v>5930</v>
      </c>
      <c r="D3191" s="1" t="str">
        <f>"8024331603"</f>
        <v>8024331603</v>
      </c>
      <c r="E3191" s="1">
        <v>3091.0</v>
      </c>
      <c r="F3191" s="1" t="s">
        <v>117</v>
      </c>
      <c r="G3191" s="1" t="s">
        <v>13331</v>
      </c>
      <c r="H3191" s="1">
        <v>1.0</v>
      </c>
      <c r="I3191" s="2">
        <v>1.0</v>
      </c>
      <c r="J3191" s="2" t="s">
        <v>119</v>
      </c>
      <c r="K3191" s="2" t="s">
        <v>119</v>
      </c>
      <c r="L3191" s="1"/>
      <c r="M3191" s="1">
        <v>2.0</v>
      </c>
      <c r="N3191" s="1" t="s">
        <v>135</v>
      </c>
      <c r="O3191" s="1" t="s">
        <v>9574</v>
      </c>
      <c r="P3191" s="1" t="s">
        <v>13332</v>
      </c>
      <c r="Q3191" s="3">
        <v>42304.0</v>
      </c>
      <c r="R3191" s="1"/>
      <c r="S3191" s="1"/>
      <c r="T3191" s="1" t="s">
        <v>37</v>
      </c>
      <c r="U3191" s="1"/>
      <c r="V3191" s="1" t="s">
        <v>38</v>
      </c>
      <c r="W3191" s="1">
        <v>44.1555493</v>
      </c>
      <c r="X3191" s="1">
        <v>-72.4533371</v>
      </c>
      <c r="Y3191" s="1" t="s">
        <v>13333</v>
      </c>
      <c r="Z3191" s="1"/>
      <c r="AA3191" s="1" t="s">
        <v>40</v>
      </c>
      <c r="AB3191" s="1" t="s">
        <v>11065</v>
      </c>
      <c r="AC3191" s="1">
        <v>5641.0</v>
      </c>
    </row>
    <row r="3192">
      <c r="A3192" s="1" t="str">
        <f t="shared" ref="A3192:A3193" si="252">"000V6Y"</f>
        <v>000V6Y</v>
      </c>
      <c r="B3192" s="1" t="s">
        <v>13334</v>
      </c>
      <c r="C3192" s="1" t="s">
        <v>13335</v>
      </c>
      <c r="D3192" s="1" t="str">
        <f t="shared" ref="D3192:D3193" si="253">"8027289632"</f>
        <v>8027289632</v>
      </c>
      <c r="E3192" s="1">
        <v>4929.0</v>
      </c>
      <c r="F3192" s="1" t="s">
        <v>117</v>
      </c>
      <c r="G3192" s="1" t="s">
        <v>13336</v>
      </c>
      <c r="H3192" s="1">
        <v>1.0</v>
      </c>
      <c r="I3192" s="2">
        <v>2.0</v>
      </c>
      <c r="J3192" s="2">
        <v>15.0</v>
      </c>
      <c r="K3192" s="2" t="s">
        <v>119</v>
      </c>
      <c r="L3192" s="1"/>
      <c r="M3192" s="1" t="s">
        <v>13337</v>
      </c>
      <c r="N3192" s="1" t="s">
        <v>142</v>
      </c>
      <c r="O3192" s="1" t="s">
        <v>359</v>
      </c>
      <c r="P3192" s="1" t="s">
        <v>13338</v>
      </c>
      <c r="Q3192" s="3">
        <v>42305.0</v>
      </c>
      <c r="R3192" s="1"/>
      <c r="S3192" s="3">
        <v>42943.0</v>
      </c>
      <c r="T3192" s="1" t="s">
        <v>37</v>
      </c>
      <c r="U3192" s="1"/>
      <c r="V3192" s="1" t="s">
        <v>38</v>
      </c>
      <c r="W3192" s="1">
        <v>43.951961</v>
      </c>
      <c r="X3192" s="1">
        <v>-72.7186419999999</v>
      </c>
      <c r="Y3192" s="1" t="s">
        <v>13339</v>
      </c>
      <c r="Z3192" s="1"/>
      <c r="AA3192" s="1" t="s">
        <v>40</v>
      </c>
      <c r="AB3192" s="1" t="s">
        <v>361</v>
      </c>
      <c r="AC3192" s="1">
        <v>5060.0</v>
      </c>
    </row>
    <row r="3193">
      <c r="A3193" s="1" t="str">
        <f t="shared" si="252"/>
        <v>000V6Y</v>
      </c>
      <c r="B3193" s="1" t="s">
        <v>13334</v>
      </c>
      <c r="C3193" s="1" t="s">
        <v>13335</v>
      </c>
      <c r="D3193" s="1" t="str">
        <f t="shared" si="253"/>
        <v>8027289632</v>
      </c>
      <c r="E3193" s="1">
        <v>4929.0</v>
      </c>
      <c r="F3193" s="1" t="s">
        <v>117</v>
      </c>
      <c r="G3193" s="1" t="s">
        <v>13340</v>
      </c>
      <c r="H3193" s="1">
        <v>11.0</v>
      </c>
      <c r="I3193" s="2">
        <v>0.0</v>
      </c>
      <c r="J3193" s="2">
        <v>3.0</v>
      </c>
      <c r="K3193" s="2" t="s">
        <v>119</v>
      </c>
      <c r="L3193" s="1"/>
      <c r="M3193" s="1" t="s">
        <v>13341</v>
      </c>
      <c r="N3193" s="1" t="s">
        <v>34</v>
      </c>
      <c r="O3193" s="1" t="s">
        <v>150</v>
      </c>
      <c r="P3193" s="1" t="s">
        <v>13338</v>
      </c>
      <c r="Q3193" s="3">
        <v>42305.0</v>
      </c>
      <c r="R3193" s="1"/>
      <c r="S3193" s="3">
        <v>42958.0</v>
      </c>
      <c r="T3193" s="1" t="s">
        <v>8597</v>
      </c>
      <c r="U3193" s="1"/>
      <c r="V3193" s="1" t="s">
        <v>38</v>
      </c>
      <c r="W3193" s="1">
        <v>43.8697031</v>
      </c>
      <c r="X3193" s="1">
        <v>-72.6446071</v>
      </c>
      <c r="Y3193" s="1" t="s">
        <v>13342</v>
      </c>
      <c r="Z3193" s="1"/>
      <c r="AA3193" s="1" t="s">
        <v>40</v>
      </c>
      <c r="AB3193" s="1" t="s">
        <v>151</v>
      </c>
      <c r="AC3193" s="1">
        <v>5032.0</v>
      </c>
    </row>
    <row r="3194">
      <c r="A3194" s="1" t="str">
        <f>"000926"</f>
        <v>000926</v>
      </c>
      <c r="B3194" s="1" t="s">
        <v>13343</v>
      </c>
      <c r="C3194" s="1" t="s">
        <v>13344</v>
      </c>
      <c r="D3194" s="1" t="str">
        <f>"8022973998"</f>
        <v>8022973998</v>
      </c>
      <c r="E3194" s="1">
        <v>3761.0</v>
      </c>
      <c r="F3194" s="1" t="s">
        <v>31</v>
      </c>
      <c r="G3194" s="1" t="s">
        <v>13345</v>
      </c>
      <c r="H3194" s="1">
        <v>3.0</v>
      </c>
      <c r="I3194" s="1"/>
      <c r="J3194" s="1"/>
      <c r="K3194" s="1"/>
      <c r="L3194" s="1"/>
      <c r="M3194" s="1" t="s">
        <v>13346</v>
      </c>
      <c r="N3194" s="1" t="s">
        <v>66</v>
      </c>
      <c r="O3194" s="1"/>
      <c r="P3194" s="1" t="s">
        <v>13347</v>
      </c>
      <c r="Q3194" s="3">
        <v>42306.0</v>
      </c>
      <c r="R3194" s="1"/>
      <c r="S3194" s="1"/>
      <c r="T3194" s="1" t="s">
        <v>37</v>
      </c>
      <c r="U3194" s="1"/>
      <c r="V3194" s="1" t="s">
        <v>38</v>
      </c>
      <c r="W3194" s="1">
        <v>43.06238</v>
      </c>
      <c r="X3194" s="1">
        <v>-72.5055499999999</v>
      </c>
      <c r="Y3194" s="1" t="s">
        <v>13348</v>
      </c>
      <c r="Z3194" s="1"/>
      <c r="AA3194" s="1" t="s">
        <v>40</v>
      </c>
      <c r="AB3194" s="1" t="s">
        <v>754</v>
      </c>
      <c r="AC3194" s="1">
        <v>5346.0</v>
      </c>
    </row>
    <row r="3195">
      <c r="A3195" s="1" t="str">
        <f>"000V6Z"</f>
        <v>000V6Z</v>
      </c>
      <c r="B3195" s="1" t="s">
        <v>13349</v>
      </c>
      <c r="C3195" s="1" t="s">
        <v>13350</v>
      </c>
      <c r="D3195" s="1" t="str">
        <f>"8024467004"</f>
        <v>8024467004</v>
      </c>
      <c r="E3195" s="1">
        <v>4930.0</v>
      </c>
      <c r="F3195" s="1" t="s">
        <v>117</v>
      </c>
      <c r="G3195" s="1" t="s">
        <v>13351</v>
      </c>
      <c r="H3195" s="1">
        <v>2.0</v>
      </c>
      <c r="I3195" s="2">
        <v>4.0</v>
      </c>
      <c r="J3195" s="2">
        <v>2.0</v>
      </c>
      <c r="K3195" s="2" t="s">
        <v>119</v>
      </c>
      <c r="L3195" s="1"/>
      <c r="M3195" s="1" t="s">
        <v>13352</v>
      </c>
      <c r="N3195" s="1" t="s">
        <v>78</v>
      </c>
      <c r="O3195" s="1" t="s">
        <v>1124</v>
      </c>
      <c r="P3195" s="1" t="s">
        <v>13353</v>
      </c>
      <c r="Q3195" s="3">
        <v>42311.0</v>
      </c>
      <c r="R3195" s="1"/>
      <c r="S3195" s="1"/>
      <c r="T3195" s="1" t="s">
        <v>37</v>
      </c>
      <c r="U3195" s="1"/>
      <c r="V3195" s="1" t="s">
        <v>38</v>
      </c>
      <c r="W3195" s="1">
        <v>43.407959</v>
      </c>
      <c r="X3195" s="1">
        <v>-73.0028479999999</v>
      </c>
      <c r="Y3195" s="1" t="s">
        <v>13354</v>
      </c>
      <c r="Z3195" s="1"/>
      <c r="AA3195" s="1" t="s">
        <v>40</v>
      </c>
      <c r="AB3195" s="1" t="s">
        <v>1127</v>
      </c>
      <c r="AC3195" s="1">
        <v>5773.0</v>
      </c>
    </row>
    <row r="3196">
      <c r="A3196" s="1" t="str">
        <f>"000KMD"</f>
        <v>000KMD</v>
      </c>
      <c r="B3196" s="1" t="s">
        <v>13355</v>
      </c>
      <c r="C3196" s="1" t="s">
        <v>13356</v>
      </c>
      <c r="D3196" s="1" t="str">
        <f>"8028642407"</f>
        <v>8028642407</v>
      </c>
      <c r="E3196" s="1">
        <v>4563.0</v>
      </c>
      <c r="F3196" s="1" t="s">
        <v>117</v>
      </c>
      <c r="G3196" s="1" t="s">
        <v>13357</v>
      </c>
      <c r="H3196" s="1">
        <v>4.0</v>
      </c>
      <c r="I3196" s="2">
        <v>4.0</v>
      </c>
      <c r="J3196" s="2">
        <v>4.0</v>
      </c>
      <c r="K3196" s="2">
        <v>0.0</v>
      </c>
      <c r="L3196" s="1"/>
      <c r="M3196" s="1" t="s">
        <v>13358</v>
      </c>
      <c r="N3196" s="1" t="s">
        <v>57</v>
      </c>
      <c r="O3196" s="1" t="s">
        <v>2092</v>
      </c>
      <c r="P3196" s="1" t="s">
        <v>13359</v>
      </c>
      <c r="Q3196" s="3">
        <v>42311.0</v>
      </c>
      <c r="R3196" s="1"/>
      <c r="S3196" s="1"/>
      <c r="T3196" s="1" t="s">
        <v>37</v>
      </c>
      <c r="U3196" s="1"/>
      <c r="V3196" s="1" t="s">
        <v>38</v>
      </c>
      <c r="W3196" s="1"/>
      <c r="X3196" s="1"/>
      <c r="Y3196" s="1" t="s">
        <v>13358</v>
      </c>
      <c r="Z3196" s="1"/>
      <c r="AA3196" s="1" t="s">
        <v>40</v>
      </c>
      <c r="AB3196" s="1" t="s">
        <v>2093</v>
      </c>
      <c r="AC3196" s="1">
        <v>5495.0</v>
      </c>
    </row>
    <row r="3197">
      <c r="A3197" s="1" t="str">
        <f>"00094X"</f>
        <v>00094X</v>
      </c>
      <c r="B3197" s="1" t="s">
        <v>8605</v>
      </c>
      <c r="C3197" s="1" t="s">
        <v>8606</v>
      </c>
      <c r="D3197" s="1" t="str">
        <f>"8024767951"</f>
        <v>8024767951</v>
      </c>
      <c r="E3197" s="1">
        <v>3890.0</v>
      </c>
      <c r="F3197" s="1" t="s">
        <v>31</v>
      </c>
      <c r="G3197" s="1" t="s">
        <v>13360</v>
      </c>
      <c r="H3197" s="1">
        <v>5.0</v>
      </c>
      <c r="I3197" s="1"/>
      <c r="J3197" s="1"/>
      <c r="K3197" s="1"/>
      <c r="L3197" s="1"/>
      <c r="M3197" s="1">
        <v>2.0</v>
      </c>
      <c r="N3197" s="1" t="s">
        <v>135</v>
      </c>
      <c r="O3197" s="1" t="s">
        <v>343</v>
      </c>
      <c r="P3197" s="1" t="s">
        <v>13361</v>
      </c>
      <c r="Q3197" s="3">
        <v>42311.0</v>
      </c>
      <c r="R3197" s="1"/>
      <c r="S3197" s="1"/>
      <c r="T3197" s="1" t="s">
        <v>37</v>
      </c>
      <c r="U3197" s="1"/>
      <c r="V3197" s="1" t="s">
        <v>38</v>
      </c>
      <c r="W3197" s="1">
        <v>44.198928</v>
      </c>
      <c r="X3197" s="1">
        <v>-72.475763</v>
      </c>
      <c r="Y3197" s="1" t="s">
        <v>13362</v>
      </c>
      <c r="Z3197" s="1"/>
      <c r="AA3197" s="1" t="s">
        <v>40</v>
      </c>
      <c r="AB3197" s="1" t="s">
        <v>4019</v>
      </c>
      <c r="AC3197" s="1">
        <v>5641.0</v>
      </c>
    </row>
    <row r="3198">
      <c r="A3198" s="1" t="str">
        <f>"000HA6"</f>
        <v>000HA6</v>
      </c>
      <c r="B3198" s="1" t="s">
        <v>9954</v>
      </c>
      <c r="C3198" s="1" t="s">
        <v>9955</v>
      </c>
      <c r="D3198" s="1" t="str">
        <f>"8028932654"</f>
        <v>8028932654</v>
      </c>
      <c r="E3198" s="1">
        <v>4356.0</v>
      </c>
      <c r="F3198" s="1" t="s">
        <v>117</v>
      </c>
      <c r="G3198" s="1" t="s">
        <v>13363</v>
      </c>
      <c r="H3198" s="1">
        <v>0.0</v>
      </c>
      <c r="I3198" s="2" t="s">
        <v>119</v>
      </c>
      <c r="J3198" s="2" t="s">
        <v>119</v>
      </c>
      <c r="K3198" s="2" t="s">
        <v>119</v>
      </c>
      <c r="L3198" s="1"/>
      <c r="M3198" s="1" t="s">
        <v>13364</v>
      </c>
      <c r="N3198" s="1" t="s">
        <v>57</v>
      </c>
      <c r="O3198" s="1" t="s">
        <v>256</v>
      </c>
      <c r="P3198" s="1" t="s">
        <v>13365</v>
      </c>
      <c r="Q3198" s="3">
        <v>42311.0</v>
      </c>
      <c r="R3198" s="1"/>
      <c r="S3198" s="3">
        <v>42599.0</v>
      </c>
      <c r="T3198" s="1" t="s">
        <v>37</v>
      </c>
      <c r="U3198" s="1"/>
      <c r="V3198" s="1" t="s">
        <v>38</v>
      </c>
      <c r="W3198" s="1"/>
      <c r="X3198" s="1"/>
      <c r="Y3198" s="1" t="s">
        <v>13364</v>
      </c>
      <c r="Z3198" s="1"/>
      <c r="AA3198" s="1" t="s">
        <v>40</v>
      </c>
      <c r="AB3198" s="1" t="s">
        <v>257</v>
      </c>
      <c r="AC3198" s="1">
        <v>5468.0</v>
      </c>
    </row>
    <row r="3199">
      <c r="A3199" s="1" t="str">
        <f>"0007QM"</f>
        <v>0007QM</v>
      </c>
      <c r="B3199" s="1" t="s">
        <v>6230</v>
      </c>
      <c r="C3199" s="1" t="s">
        <v>6231</v>
      </c>
      <c r="D3199" s="1" t="str">
        <f>"8024544696"</f>
        <v>8024544696</v>
      </c>
      <c r="E3199" s="1">
        <v>3148.0</v>
      </c>
      <c r="F3199" s="1" t="s">
        <v>44</v>
      </c>
      <c r="G3199" s="1" t="s">
        <v>13366</v>
      </c>
      <c r="H3199" s="1">
        <v>2.0</v>
      </c>
      <c r="I3199" s="1"/>
      <c r="J3199" s="1"/>
      <c r="K3199" s="1"/>
      <c r="L3199" s="1"/>
      <c r="M3199" s="1" t="s">
        <v>13367</v>
      </c>
      <c r="N3199" s="1" t="s">
        <v>213</v>
      </c>
      <c r="O3199" s="1" t="s">
        <v>1154</v>
      </c>
      <c r="P3199" s="1" t="s">
        <v>6233</v>
      </c>
      <c r="Q3199" s="3">
        <v>42311.0</v>
      </c>
      <c r="R3199" s="1"/>
      <c r="S3199" s="1"/>
      <c r="T3199" s="1" t="s">
        <v>37</v>
      </c>
      <c r="U3199" s="1"/>
      <c r="V3199" s="1" t="s">
        <v>38</v>
      </c>
      <c r="W3199" s="1"/>
      <c r="X3199" s="1"/>
      <c r="Y3199" s="1" t="s">
        <v>13367</v>
      </c>
      <c r="Z3199" s="1"/>
      <c r="AA3199" s="1" t="s">
        <v>40</v>
      </c>
      <c r="AB3199" s="1" t="s">
        <v>1155</v>
      </c>
      <c r="AC3199" s="1">
        <v>5656.0</v>
      </c>
    </row>
    <row r="3200">
      <c r="A3200" s="1" t="str">
        <f>"0007PV"</f>
        <v>0007PV</v>
      </c>
      <c r="B3200" s="1" t="s">
        <v>3940</v>
      </c>
      <c r="C3200" s="1" t="s">
        <v>3941</v>
      </c>
      <c r="D3200" s="1" t="str">
        <f>"8024343769"</f>
        <v>8024343769</v>
      </c>
      <c r="E3200" s="1">
        <v>3053.0</v>
      </c>
      <c r="F3200" s="1" t="s">
        <v>44</v>
      </c>
      <c r="G3200" s="1" t="s">
        <v>13368</v>
      </c>
      <c r="H3200" s="1">
        <v>1.0</v>
      </c>
      <c r="I3200" s="2">
        <v>1.0</v>
      </c>
      <c r="J3200" s="2" t="s">
        <v>119</v>
      </c>
      <c r="K3200" s="2" t="s">
        <v>119</v>
      </c>
      <c r="L3200" s="1"/>
      <c r="M3200" s="1" t="s">
        <v>13369</v>
      </c>
      <c r="N3200" s="1" t="s">
        <v>135</v>
      </c>
      <c r="O3200" s="1" t="s">
        <v>775</v>
      </c>
      <c r="P3200" s="1" t="s">
        <v>13370</v>
      </c>
      <c r="Q3200" s="3">
        <v>42312.0</v>
      </c>
      <c r="R3200" s="1"/>
      <c r="S3200" s="1"/>
      <c r="T3200" s="1" t="s">
        <v>37</v>
      </c>
      <c r="U3200" s="1"/>
      <c r="V3200" s="1" t="s">
        <v>38</v>
      </c>
      <c r="W3200" s="1">
        <v>44.4001929999999</v>
      </c>
      <c r="X3200" s="1">
        <v>-72.7175909999999</v>
      </c>
      <c r="Y3200" s="1" t="s">
        <v>13371</v>
      </c>
      <c r="Z3200" s="1"/>
      <c r="AA3200" s="1" t="s">
        <v>40</v>
      </c>
      <c r="AB3200" s="1" t="s">
        <v>776</v>
      </c>
      <c r="AC3200" s="1">
        <v>6677.0</v>
      </c>
    </row>
    <row r="3201">
      <c r="A3201" s="1" t="str">
        <f>"000KHB"</f>
        <v>000KHB</v>
      </c>
      <c r="B3201" s="1" t="s">
        <v>13372</v>
      </c>
      <c r="C3201" s="1" t="s">
        <v>13373</v>
      </c>
      <c r="D3201" s="1" t="str">
        <f>"8024536749"</f>
        <v>8024536749</v>
      </c>
      <c r="E3201" s="1">
        <v>4519.0</v>
      </c>
      <c r="F3201" s="1" t="s">
        <v>117</v>
      </c>
      <c r="G3201" s="1" t="s">
        <v>13374</v>
      </c>
      <c r="H3201" s="1">
        <v>2.0</v>
      </c>
      <c r="I3201" s="2">
        <v>1.0</v>
      </c>
      <c r="J3201" s="2">
        <v>1.0</v>
      </c>
      <c r="K3201" s="2" t="s">
        <v>119</v>
      </c>
      <c r="L3201" s="1"/>
      <c r="M3201" s="1" t="s">
        <v>13375</v>
      </c>
      <c r="N3201" s="1" t="s">
        <v>161</v>
      </c>
      <c r="O3201" s="1" t="s">
        <v>185</v>
      </c>
      <c r="P3201" s="1" t="s">
        <v>13376</v>
      </c>
      <c r="Q3201" s="3">
        <v>42314.0</v>
      </c>
      <c r="R3201" s="1"/>
      <c r="S3201" s="1"/>
      <c r="T3201" s="1" t="s">
        <v>37</v>
      </c>
      <c r="U3201" s="1"/>
      <c r="V3201" s="1" t="s">
        <v>38</v>
      </c>
      <c r="W3201" s="1">
        <v>44.086994</v>
      </c>
      <c r="X3201" s="1">
        <v>-73.108833</v>
      </c>
      <c r="Y3201" s="1" t="s">
        <v>13375</v>
      </c>
      <c r="Z3201" s="1"/>
      <c r="AA3201" s="1" t="s">
        <v>40</v>
      </c>
      <c r="AB3201" s="1" t="s">
        <v>186</v>
      </c>
      <c r="AC3201" s="1">
        <v>5472.0</v>
      </c>
    </row>
    <row r="3202">
      <c r="A3202" s="1" t="str">
        <f>"0007WB"</f>
        <v>0007WB</v>
      </c>
      <c r="B3202" s="1" t="s">
        <v>567</v>
      </c>
      <c r="C3202" s="1" t="s">
        <v>568</v>
      </c>
      <c r="D3202" s="1" t="str">
        <f>"8029895895"</f>
        <v>8029895895</v>
      </c>
      <c r="E3202" s="1">
        <v>2046.0</v>
      </c>
      <c r="F3202" s="1" t="s">
        <v>117</v>
      </c>
      <c r="G3202" s="1" t="s">
        <v>13377</v>
      </c>
      <c r="H3202" s="1">
        <v>115.0</v>
      </c>
      <c r="I3202" s="2" t="s">
        <v>119</v>
      </c>
      <c r="J3202" s="2" t="s">
        <v>119</v>
      </c>
      <c r="K3202" s="2" t="s">
        <v>119</v>
      </c>
      <c r="L3202" s="1"/>
      <c r="M3202" s="1" t="s">
        <v>13378</v>
      </c>
      <c r="N3202" s="1" t="s">
        <v>161</v>
      </c>
      <c r="O3202" s="1" t="s">
        <v>185</v>
      </c>
      <c r="P3202" s="1" t="s">
        <v>13379</v>
      </c>
      <c r="Q3202" s="3">
        <v>42321.0</v>
      </c>
      <c r="R3202" s="1"/>
      <c r="S3202" s="1"/>
      <c r="T3202" s="1" t="s">
        <v>37</v>
      </c>
      <c r="U3202" s="1"/>
      <c r="V3202" s="1" t="s">
        <v>38</v>
      </c>
      <c r="W3202" s="1">
        <v>44.1663227527059</v>
      </c>
      <c r="X3202" s="1">
        <v>-73.1486314653375</v>
      </c>
      <c r="Y3202" s="1" t="s">
        <v>13380</v>
      </c>
      <c r="Z3202" s="1"/>
      <c r="AA3202" s="1" t="s">
        <v>40</v>
      </c>
      <c r="AB3202" s="1" t="s">
        <v>186</v>
      </c>
      <c r="AC3202" s="1">
        <v>5472.0</v>
      </c>
    </row>
    <row r="3203">
      <c r="A3203" s="1" t="str">
        <f>"0008D3"</f>
        <v>0008D3</v>
      </c>
      <c r="B3203" s="1" t="s">
        <v>13381</v>
      </c>
      <c r="C3203" s="1" t="s">
        <v>13382</v>
      </c>
      <c r="D3203" s="1" t="str">
        <f>"8028936692"</f>
        <v>8028936692</v>
      </c>
      <c r="E3203" s="1">
        <v>3740.0</v>
      </c>
      <c r="F3203" s="1" t="s">
        <v>117</v>
      </c>
      <c r="G3203" s="1" t="s">
        <v>13383</v>
      </c>
      <c r="H3203" s="1">
        <v>1.0</v>
      </c>
      <c r="I3203" s="2">
        <v>1.0</v>
      </c>
      <c r="J3203" s="2">
        <v>1.0</v>
      </c>
      <c r="K3203" s="2" t="s">
        <v>119</v>
      </c>
      <c r="L3203" s="1"/>
      <c r="M3203" s="1">
        <v>1.0</v>
      </c>
      <c r="N3203" s="1" t="s">
        <v>57</v>
      </c>
      <c r="O3203" s="1" t="s">
        <v>256</v>
      </c>
      <c r="P3203" s="1" t="s">
        <v>13384</v>
      </c>
      <c r="Q3203" s="3">
        <v>36892.0</v>
      </c>
      <c r="R3203" s="1"/>
      <c r="S3203" s="1"/>
      <c r="T3203" s="1" t="s">
        <v>37</v>
      </c>
      <c r="U3203" s="1"/>
      <c r="V3203" s="1" t="s">
        <v>38</v>
      </c>
      <c r="W3203" s="1">
        <v>44.689048</v>
      </c>
      <c r="X3203" s="1">
        <v>-73.1757289999999</v>
      </c>
      <c r="Y3203" s="1" t="s">
        <v>13385</v>
      </c>
      <c r="Z3203" s="1"/>
      <c r="AA3203" s="1" t="s">
        <v>40</v>
      </c>
      <c r="AB3203" s="1" t="s">
        <v>12835</v>
      </c>
      <c r="AC3203" s="1">
        <v>5468.0</v>
      </c>
    </row>
    <row r="3204">
      <c r="A3204" s="1" t="str">
        <f>"000V7K"</f>
        <v>000V7K</v>
      </c>
      <c r="B3204" s="1" t="s">
        <v>13386</v>
      </c>
      <c r="C3204" s="1" t="s">
        <v>13387</v>
      </c>
      <c r="D3204" s="1"/>
      <c r="E3204" s="1">
        <v>4931.0</v>
      </c>
      <c r="F3204" s="1" t="s">
        <v>117</v>
      </c>
      <c r="G3204" s="1" t="s">
        <v>13388</v>
      </c>
      <c r="H3204" s="1">
        <v>4.0</v>
      </c>
      <c r="I3204" s="2">
        <v>6.0</v>
      </c>
      <c r="J3204" s="2">
        <v>6.0</v>
      </c>
      <c r="K3204" s="2" t="s">
        <v>119</v>
      </c>
      <c r="L3204" s="1"/>
      <c r="M3204" s="1" t="s">
        <v>13389</v>
      </c>
      <c r="N3204" s="1" t="s">
        <v>94</v>
      </c>
      <c r="O3204" s="1" t="s">
        <v>5074</v>
      </c>
      <c r="P3204" s="1" t="s">
        <v>13390</v>
      </c>
      <c r="Q3204" s="3">
        <v>42325.0</v>
      </c>
      <c r="R3204" s="1"/>
      <c r="S3204" s="1"/>
      <c r="T3204" s="1" t="s">
        <v>37</v>
      </c>
      <c r="U3204" s="1"/>
      <c r="V3204" s="1" t="s">
        <v>38</v>
      </c>
      <c r="W3204" s="1">
        <v>44.825275</v>
      </c>
      <c r="X3204" s="1">
        <v>-72.108238</v>
      </c>
      <c r="Y3204" s="1" t="s">
        <v>13391</v>
      </c>
      <c r="Z3204" s="1"/>
      <c r="AA3204" s="1" t="s">
        <v>40</v>
      </c>
      <c r="AB3204" s="1" t="s">
        <v>5076</v>
      </c>
      <c r="AC3204" s="1">
        <v>5860.0</v>
      </c>
    </row>
    <row r="3205">
      <c r="A3205" s="1" t="str">
        <f>"000JW6"</f>
        <v>000JW6</v>
      </c>
      <c r="B3205" s="1" t="s">
        <v>10335</v>
      </c>
      <c r="C3205" s="1" t="s">
        <v>10336</v>
      </c>
      <c r="D3205" s="1" t="str">
        <f>"8029336435"</f>
        <v>8029336435</v>
      </c>
      <c r="E3205" s="1">
        <v>4458.0</v>
      </c>
      <c r="F3205" s="1" t="s">
        <v>117</v>
      </c>
      <c r="G3205" s="1" t="s">
        <v>13392</v>
      </c>
      <c r="H3205" s="1">
        <v>56.0</v>
      </c>
      <c r="I3205" s="2">
        <v>17.0</v>
      </c>
      <c r="J3205" s="2">
        <v>17.0</v>
      </c>
      <c r="K3205" s="2" t="s">
        <v>119</v>
      </c>
      <c r="L3205" s="1"/>
      <c r="M3205" s="1" t="s">
        <v>13393</v>
      </c>
      <c r="N3205" s="1" t="s">
        <v>47</v>
      </c>
      <c r="O3205" s="1" t="s">
        <v>264</v>
      </c>
      <c r="P3205" s="1" t="s">
        <v>13394</v>
      </c>
      <c r="Q3205" s="3">
        <v>42325.0</v>
      </c>
      <c r="R3205" s="1"/>
      <c r="S3205" s="1"/>
      <c r="T3205" s="1" t="s">
        <v>37</v>
      </c>
      <c r="U3205" s="1"/>
      <c r="V3205" s="1" t="s">
        <v>38</v>
      </c>
      <c r="W3205" s="1"/>
      <c r="X3205" s="1"/>
      <c r="Y3205" s="1" t="s">
        <v>1299</v>
      </c>
      <c r="Z3205" s="1" t="s">
        <v>1299</v>
      </c>
      <c r="AA3205" s="1" t="s">
        <v>40</v>
      </c>
      <c r="AB3205" s="1" t="s">
        <v>1299</v>
      </c>
      <c r="AC3205" s="1">
        <v>0.0</v>
      </c>
    </row>
    <row r="3206">
      <c r="A3206" s="1" t="str">
        <f t="shared" ref="A3206:A3208" si="254">"0008KZ"</f>
        <v>0008KZ</v>
      </c>
      <c r="B3206" s="1" t="s">
        <v>229</v>
      </c>
      <c r="C3206" s="1" t="s">
        <v>230</v>
      </c>
      <c r="D3206" s="1" t="str">
        <f t="shared" ref="D3206:D3208" si="255">"8025862059"</f>
        <v>8025862059</v>
      </c>
      <c r="E3206" s="1">
        <v>3976.0</v>
      </c>
      <c r="F3206" s="1" t="s">
        <v>31</v>
      </c>
      <c r="G3206" s="1" t="s">
        <v>13395</v>
      </c>
      <c r="H3206" s="1">
        <v>5.0</v>
      </c>
      <c r="I3206" s="1"/>
      <c r="J3206" s="1"/>
      <c r="K3206" s="1"/>
      <c r="L3206" s="1"/>
      <c r="M3206" s="1" t="s">
        <v>13396</v>
      </c>
      <c r="N3206" s="1" t="s">
        <v>128</v>
      </c>
      <c r="O3206" s="1" t="s">
        <v>1079</v>
      </c>
      <c r="P3206" s="1" t="s">
        <v>13397</v>
      </c>
      <c r="Q3206" s="3">
        <v>42325.0</v>
      </c>
      <c r="R3206" s="1"/>
      <c r="S3206" s="1"/>
      <c r="T3206" s="1" t="s">
        <v>37</v>
      </c>
      <c r="U3206" s="1"/>
      <c r="V3206" s="1" t="s">
        <v>38</v>
      </c>
      <c r="W3206" s="1"/>
      <c r="X3206" s="1"/>
      <c r="Y3206" s="1" t="s">
        <v>13398</v>
      </c>
      <c r="Z3206" s="1"/>
      <c r="AA3206" s="1" t="s">
        <v>40</v>
      </c>
      <c r="AB3206" s="1" t="s">
        <v>1080</v>
      </c>
      <c r="AC3206" s="1">
        <v>5843.0</v>
      </c>
    </row>
    <row r="3207">
      <c r="A3207" s="1" t="str">
        <f t="shared" si="254"/>
        <v>0008KZ</v>
      </c>
      <c r="B3207" s="1" t="s">
        <v>229</v>
      </c>
      <c r="C3207" s="1" t="s">
        <v>230</v>
      </c>
      <c r="D3207" s="1" t="str">
        <f t="shared" si="255"/>
        <v>8025862059</v>
      </c>
      <c r="E3207" s="1">
        <v>3976.0</v>
      </c>
      <c r="F3207" s="1" t="s">
        <v>31</v>
      </c>
      <c r="G3207" s="1" t="s">
        <v>13399</v>
      </c>
      <c r="H3207" s="1">
        <v>4.0</v>
      </c>
      <c r="I3207" s="1"/>
      <c r="J3207" s="1"/>
      <c r="K3207" s="1"/>
      <c r="L3207" s="1"/>
      <c r="M3207" s="1" t="s">
        <v>13400</v>
      </c>
      <c r="N3207" s="1" t="s">
        <v>128</v>
      </c>
      <c r="O3207" s="1" t="s">
        <v>1079</v>
      </c>
      <c r="P3207" s="1" t="s">
        <v>13401</v>
      </c>
      <c r="Q3207" s="3">
        <v>42325.0</v>
      </c>
      <c r="R3207" s="1"/>
      <c r="S3207" s="1"/>
      <c r="T3207" s="1" t="s">
        <v>37</v>
      </c>
      <c r="U3207" s="1"/>
      <c r="V3207" s="1" t="s">
        <v>38</v>
      </c>
      <c r="W3207" s="1"/>
      <c r="X3207" s="1"/>
      <c r="Y3207" s="1" t="s">
        <v>13402</v>
      </c>
      <c r="Z3207" s="1"/>
      <c r="AA3207" s="1" t="s">
        <v>40</v>
      </c>
      <c r="AB3207" s="1" t="s">
        <v>1080</v>
      </c>
      <c r="AC3207" s="1">
        <v>5843.0</v>
      </c>
    </row>
    <row r="3208">
      <c r="A3208" s="1" t="str">
        <f t="shared" si="254"/>
        <v>0008KZ</v>
      </c>
      <c r="B3208" s="1" t="s">
        <v>229</v>
      </c>
      <c r="C3208" s="1" t="s">
        <v>230</v>
      </c>
      <c r="D3208" s="1" t="str">
        <f t="shared" si="255"/>
        <v>8025862059</v>
      </c>
      <c r="E3208" s="1">
        <v>3976.0</v>
      </c>
      <c r="F3208" s="1" t="s">
        <v>31</v>
      </c>
      <c r="G3208" s="1" t="s">
        <v>13403</v>
      </c>
      <c r="H3208" s="1">
        <v>5.0</v>
      </c>
      <c r="I3208" s="1"/>
      <c r="J3208" s="1"/>
      <c r="K3208" s="1"/>
      <c r="L3208" s="1"/>
      <c r="M3208" s="1" t="s">
        <v>13404</v>
      </c>
      <c r="N3208" s="1" t="s">
        <v>94</v>
      </c>
      <c r="O3208" s="1" t="s">
        <v>232</v>
      </c>
      <c r="P3208" s="1" t="s">
        <v>13405</v>
      </c>
      <c r="Q3208" s="3">
        <v>42325.0</v>
      </c>
      <c r="R3208" s="1"/>
      <c r="S3208" s="1"/>
      <c r="T3208" s="1" t="s">
        <v>37</v>
      </c>
      <c r="U3208" s="1"/>
      <c r="V3208" s="1" t="s">
        <v>38</v>
      </c>
      <c r="W3208" s="1"/>
      <c r="X3208" s="1"/>
      <c r="Y3208" s="1" t="s">
        <v>13406</v>
      </c>
      <c r="Z3208" s="1"/>
      <c r="AA3208" s="1" t="s">
        <v>40</v>
      </c>
      <c r="AB3208" s="1" t="s">
        <v>385</v>
      </c>
      <c r="AC3208" s="1">
        <v>5860.0</v>
      </c>
    </row>
    <row r="3209">
      <c r="A3209" s="1" t="str">
        <f>"00082W"</f>
        <v>00082W</v>
      </c>
      <c r="B3209" s="1" t="s">
        <v>13407</v>
      </c>
      <c r="C3209" s="1" t="s">
        <v>13408</v>
      </c>
      <c r="D3209" s="1" t="str">
        <f>"8024535308"</f>
        <v>8024535308</v>
      </c>
      <c r="E3209" s="1">
        <v>2880.0</v>
      </c>
      <c r="F3209" s="1" t="s">
        <v>117</v>
      </c>
      <c r="G3209" s="1" t="s">
        <v>13409</v>
      </c>
      <c r="H3209" s="1">
        <v>3.0</v>
      </c>
      <c r="I3209" s="2">
        <v>0.0</v>
      </c>
      <c r="J3209" s="2">
        <v>0.0</v>
      </c>
      <c r="K3209" s="2" t="s">
        <v>829</v>
      </c>
      <c r="L3209" s="1"/>
      <c r="M3209" s="1">
        <v>1.0</v>
      </c>
      <c r="N3209" s="1" t="s">
        <v>161</v>
      </c>
      <c r="O3209" s="1" t="s">
        <v>3504</v>
      </c>
      <c r="P3209" s="1" t="s">
        <v>13410</v>
      </c>
      <c r="Q3209" s="3">
        <v>42328.0</v>
      </c>
      <c r="R3209" s="1"/>
      <c r="S3209" s="1"/>
      <c r="T3209" s="1" t="s">
        <v>37</v>
      </c>
      <c r="U3209" s="1"/>
      <c r="V3209" s="1" t="s">
        <v>38</v>
      </c>
      <c r="W3209" s="1">
        <v>44.1298882</v>
      </c>
      <c r="X3209" s="1">
        <v>-73.3193686999999</v>
      </c>
      <c r="Y3209" s="1" t="s">
        <v>13411</v>
      </c>
      <c r="Z3209" s="1"/>
      <c r="AA3209" s="1" t="s">
        <v>40</v>
      </c>
      <c r="AB3209" s="1" t="s">
        <v>3507</v>
      </c>
      <c r="AC3209" s="1">
        <v>0.0</v>
      </c>
    </row>
    <row r="3210">
      <c r="A3210" s="1" t="str">
        <f t="shared" ref="A3210:A3211" si="256">"000V7P"</f>
        <v>000V7P</v>
      </c>
      <c r="B3210" s="1" t="s">
        <v>13412</v>
      </c>
      <c r="C3210" s="1" t="s">
        <v>13413</v>
      </c>
      <c r="D3210" s="1" t="str">
        <f t="shared" ref="D3210:D3211" si="257">"8022879408"</f>
        <v>8022879408</v>
      </c>
      <c r="E3210" s="1">
        <v>4932.0</v>
      </c>
      <c r="F3210" s="1" t="s">
        <v>117</v>
      </c>
      <c r="G3210" s="1" t="s">
        <v>13414</v>
      </c>
      <c r="H3210" s="1">
        <v>1.0</v>
      </c>
      <c r="I3210" s="2" t="s">
        <v>119</v>
      </c>
      <c r="J3210" s="2" t="s">
        <v>119</v>
      </c>
      <c r="K3210" s="2" t="s">
        <v>119</v>
      </c>
      <c r="L3210" s="1"/>
      <c r="M3210" s="1">
        <v>1.0</v>
      </c>
      <c r="N3210" s="1" t="s">
        <v>78</v>
      </c>
      <c r="O3210" s="1" t="s">
        <v>420</v>
      </c>
      <c r="P3210" s="1" t="s">
        <v>13415</v>
      </c>
      <c r="Q3210" s="3">
        <v>42332.0</v>
      </c>
      <c r="R3210" s="1"/>
      <c r="S3210" s="1"/>
      <c r="T3210" s="1" t="s">
        <v>37</v>
      </c>
      <c r="U3210" s="1"/>
      <c r="V3210" s="1" t="s">
        <v>38</v>
      </c>
      <c r="W3210" s="1">
        <v>43.475833</v>
      </c>
      <c r="X3210" s="1">
        <v>-73.1486429999999</v>
      </c>
      <c r="Y3210" s="1" t="s">
        <v>13416</v>
      </c>
      <c r="Z3210" s="1"/>
      <c r="AA3210" s="1" t="s">
        <v>40</v>
      </c>
      <c r="AB3210" s="1" t="s">
        <v>7161</v>
      </c>
      <c r="AC3210" s="1">
        <v>5789.0</v>
      </c>
    </row>
    <row r="3211">
      <c r="A3211" s="1" t="str">
        <f t="shared" si="256"/>
        <v>000V7P</v>
      </c>
      <c r="B3211" s="1" t="s">
        <v>13412</v>
      </c>
      <c r="C3211" s="1" t="s">
        <v>13413</v>
      </c>
      <c r="D3211" s="1" t="str">
        <f t="shared" si="257"/>
        <v>8022879408</v>
      </c>
      <c r="E3211" s="1">
        <v>4932.0</v>
      </c>
      <c r="F3211" s="1" t="s">
        <v>117</v>
      </c>
      <c r="G3211" s="1" t="s">
        <v>13417</v>
      </c>
      <c r="H3211" s="1">
        <v>2.0</v>
      </c>
      <c r="I3211" s="2" t="s">
        <v>119</v>
      </c>
      <c r="J3211" s="2" t="s">
        <v>119</v>
      </c>
      <c r="K3211" s="2" t="s">
        <v>119</v>
      </c>
      <c r="L3211" s="1"/>
      <c r="M3211" s="1">
        <v>2.0</v>
      </c>
      <c r="N3211" s="1" t="s">
        <v>78</v>
      </c>
      <c r="O3211" s="1" t="s">
        <v>615</v>
      </c>
      <c r="P3211" s="1" t="s">
        <v>13418</v>
      </c>
      <c r="Q3211" s="3">
        <v>42332.0</v>
      </c>
      <c r="R3211" s="1"/>
      <c r="S3211" s="1"/>
      <c r="T3211" s="1" t="s">
        <v>37</v>
      </c>
      <c r="U3211" s="1"/>
      <c r="V3211" s="1" t="s">
        <v>38</v>
      </c>
      <c r="W3211" s="1">
        <v>43.550179</v>
      </c>
      <c r="X3211" s="1">
        <v>-73.182762</v>
      </c>
      <c r="Y3211" s="1" t="s">
        <v>13419</v>
      </c>
      <c r="Z3211" s="1"/>
      <c r="AA3211" s="1" t="s">
        <v>40</v>
      </c>
      <c r="AB3211" s="1" t="s">
        <v>616</v>
      </c>
      <c r="AC3211" s="1">
        <v>5764.0</v>
      </c>
    </row>
    <row r="3212">
      <c r="A3212" s="1" t="str">
        <f>"000V7Q"</f>
        <v>000V7Q</v>
      </c>
      <c r="B3212" s="1" t="s">
        <v>13420</v>
      </c>
      <c r="C3212" s="1" t="s">
        <v>13421</v>
      </c>
      <c r="D3212" s="1" t="str">
        <f>"8022870598"</f>
        <v>8022870598</v>
      </c>
      <c r="E3212" s="1">
        <v>4933.0</v>
      </c>
      <c r="F3212" s="1" t="s">
        <v>117</v>
      </c>
      <c r="G3212" s="1" t="s">
        <v>13422</v>
      </c>
      <c r="H3212" s="1">
        <v>4.0</v>
      </c>
      <c r="I3212" s="2">
        <v>1.0</v>
      </c>
      <c r="J3212" s="2">
        <v>1.0</v>
      </c>
      <c r="K3212" s="2" t="s">
        <v>119</v>
      </c>
      <c r="L3212" s="2" t="s">
        <v>13423</v>
      </c>
      <c r="M3212" s="1" t="s">
        <v>13424</v>
      </c>
      <c r="N3212" s="1" t="s">
        <v>78</v>
      </c>
      <c r="O3212" s="1" t="s">
        <v>855</v>
      </c>
      <c r="P3212" s="1" t="s">
        <v>13425</v>
      </c>
      <c r="Q3212" s="3">
        <v>42333.0</v>
      </c>
      <c r="R3212" s="1"/>
      <c r="S3212" s="1"/>
      <c r="T3212" s="1" t="s">
        <v>37</v>
      </c>
      <c r="U3212" s="1"/>
      <c r="V3212" s="1" t="s">
        <v>38</v>
      </c>
      <c r="W3212" s="1">
        <v>43.6139558</v>
      </c>
      <c r="X3212" s="1">
        <v>-73.1736012</v>
      </c>
      <c r="Y3212" s="1" t="s">
        <v>13426</v>
      </c>
      <c r="Z3212" s="1"/>
      <c r="AA3212" s="1" t="s">
        <v>40</v>
      </c>
      <c r="AB3212" s="1" t="s">
        <v>857</v>
      </c>
      <c r="AC3212" s="1">
        <v>5735.0</v>
      </c>
    </row>
    <row r="3213">
      <c r="A3213" s="1" t="str">
        <f t="shared" ref="A3213:A3216" si="258">"0007HY"</f>
        <v>0007HY</v>
      </c>
      <c r="B3213" s="1" t="s">
        <v>896</v>
      </c>
      <c r="C3213" s="1" t="s">
        <v>897</v>
      </c>
      <c r="D3213" s="1" t="str">
        <f t="shared" ref="D3213:D3216" si="259">"8028966060"</f>
        <v>8028966060</v>
      </c>
      <c r="E3213" s="1">
        <v>797.0</v>
      </c>
      <c r="F3213" s="1" t="s">
        <v>117</v>
      </c>
      <c r="G3213" s="1" t="s">
        <v>13427</v>
      </c>
      <c r="H3213" s="1">
        <v>10.0</v>
      </c>
      <c r="I3213" s="2">
        <v>2.0</v>
      </c>
      <c r="J3213" s="2" t="s">
        <v>119</v>
      </c>
      <c r="K3213" s="2" t="s">
        <v>119</v>
      </c>
      <c r="L3213" s="1"/>
      <c r="M3213" s="1" t="s">
        <v>13428</v>
      </c>
      <c r="N3213" s="1" t="s">
        <v>414</v>
      </c>
      <c r="O3213" s="1" t="s">
        <v>720</v>
      </c>
      <c r="P3213" s="1" t="s">
        <v>12967</v>
      </c>
      <c r="Q3213" s="3">
        <v>42340.0</v>
      </c>
      <c r="R3213" s="1"/>
      <c r="S3213" s="1"/>
      <c r="T3213" s="1" t="s">
        <v>37</v>
      </c>
      <c r="U3213" s="1"/>
      <c r="V3213" s="1" t="s">
        <v>38</v>
      </c>
      <c r="W3213" s="1">
        <v>42.8761372</v>
      </c>
      <c r="X3213" s="1">
        <v>-72.8621104999999</v>
      </c>
      <c r="Y3213" s="1" t="s">
        <v>1614</v>
      </c>
      <c r="Z3213" s="1"/>
      <c r="AA3213" s="1" t="s">
        <v>40</v>
      </c>
      <c r="AB3213" s="1" t="s">
        <v>1412</v>
      </c>
      <c r="AC3213" s="1">
        <v>5363.0</v>
      </c>
    </row>
    <row r="3214">
      <c r="A3214" s="1" t="str">
        <f t="shared" si="258"/>
        <v>0007HY</v>
      </c>
      <c r="B3214" s="1" t="s">
        <v>896</v>
      </c>
      <c r="C3214" s="1" t="s">
        <v>897</v>
      </c>
      <c r="D3214" s="1" t="str">
        <f t="shared" si="259"/>
        <v>8028966060</v>
      </c>
      <c r="E3214" s="1">
        <v>797.0</v>
      </c>
      <c r="F3214" s="1" t="s">
        <v>117</v>
      </c>
      <c r="G3214" s="1" t="s">
        <v>13429</v>
      </c>
      <c r="H3214" s="1">
        <v>10.0</v>
      </c>
      <c r="I3214" s="2">
        <v>2.0</v>
      </c>
      <c r="J3214" s="2" t="s">
        <v>119</v>
      </c>
      <c r="K3214" s="2" t="s">
        <v>119</v>
      </c>
      <c r="L3214" s="1"/>
      <c r="M3214" s="1" t="s">
        <v>4852</v>
      </c>
      <c r="N3214" s="1" t="s">
        <v>66</v>
      </c>
      <c r="O3214" s="1" t="s">
        <v>1256</v>
      </c>
      <c r="P3214" s="1" t="s">
        <v>4852</v>
      </c>
      <c r="Q3214" s="3">
        <v>42340.0</v>
      </c>
      <c r="R3214" s="1"/>
      <c r="S3214" s="1"/>
      <c r="T3214" s="1" t="s">
        <v>37</v>
      </c>
      <c r="U3214" s="1"/>
      <c r="V3214" s="1" t="s">
        <v>38</v>
      </c>
      <c r="W3214" s="1">
        <v>42.9638085</v>
      </c>
      <c r="X3214" s="1">
        <v>-72.5290691999999</v>
      </c>
      <c r="Y3214" s="1" t="s">
        <v>13430</v>
      </c>
      <c r="Z3214" s="1"/>
      <c r="AA3214" s="1" t="s">
        <v>40</v>
      </c>
      <c r="AB3214" s="1" t="s">
        <v>1257</v>
      </c>
      <c r="AC3214" s="1">
        <v>5301.0</v>
      </c>
    </row>
    <row r="3215">
      <c r="A3215" s="1" t="str">
        <f t="shared" si="258"/>
        <v>0007HY</v>
      </c>
      <c r="B3215" s="1" t="s">
        <v>896</v>
      </c>
      <c r="C3215" s="1" t="s">
        <v>897</v>
      </c>
      <c r="D3215" s="1" t="str">
        <f t="shared" si="259"/>
        <v>8028966060</v>
      </c>
      <c r="E3215" s="1">
        <v>797.0</v>
      </c>
      <c r="F3215" s="1" t="s">
        <v>117</v>
      </c>
      <c r="G3215" s="1" t="s">
        <v>13431</v>
      </c>
      <c r="H3215" s="1">
        <v>15.0</v>
      </c>
      <c r="I3215" s="2">
        <v>0.0</v>
      </c>
      <c r="J3215" s="2" t="s">
        <v>119</v>
      </c>
      <c r="K3215" s="2" t="s">
        <v>119</v>
      </c>
      <c r="L3215" s="1"/>
      <c r="M3215" s="1" t="s">
        <v>13432</v>
      </c>
      <c r="N3215" s="1" t="s">
        <v>66</v>
      </c>
      <c r="O3215" s="1" t="s">
        <v>908</v>
      </c>
      <c r="P3215" s="1" t="s">
        <v>13433</v>
      </c>
      <c r="Q3215" s="3">
        <v>42340.0</v>
      </c>
      <c r="R3215" s="1"/>
      <c r="S3215" s="1"/>
      <c r="T3215" s="1" t="s">
        <v>37</v>
      </c>
      <c r="U3215" s="1"/>
      <c r="V3215" s="1" t="s">
        <v>38</v>
      </c>
      <c r="W3215" s="1">
        <v>43.011627</v>
      </c>
      <c r="X3215" s="1">
        <v>-72.76506</v>
      </c>
      <c r="Y3215" s="1" t="s">
        <v>13434</v>
      </c>
      <c r="Z3215" s="1"/>
      <c r="AA3215" s="1" t="s">
        <v>40</v>
      </c>
      <c r="AB3215" s="1" t="s">
        <v>909</v>
      </c>
      <c r="AC3215" s="1">
        <v>5355.0</v>
      </c>
    </row>
    <row r="3216">
      <c r="A3216" s="1" t="str">
        <f t="shared" si="258"/>
        <v>0007HY</v>
      </c>
      <c r="B3216" s="1" t="s">
        <v>896</v>
      </c>
      <c r="C3216" s="1" t="s">
        <v>897</v>
      </c>
      <c r="D3216" s="1" t="str">
        <f t="shared" si="259"/>
        <v>8028966060</v>
      </c>
      <c r="E3216" s="1">
        <v>797.0</v>
      </c>
      <c r="F3216" s="1" t="s">
        <v>117</v>
      </c>
      <c r="G3216" s="1" t="s">
        <v>13435</v>
      </c>
      <c r="H3216" s="1">
        <v>10.0</v>
      </c>
      <c r="I3216" s="2" t="s">
        <v>119</v>
      </c>
      <c r="J3216" s="2" t="s">
        <v>119</v>
      </c>
      <c r="K3216" s="2" t="s">
        <v>119</v>
      </c>
      <c r="L3216" s="1"/>
      <c r="M3216" s="1" t="s">
        <v>13436</v>
      </c>
      <c r="N3216" s="1" t="s">
        <v>66</v>
      </c>
      <c r="O3216" s="1" t="s">
        <v>2346</v>
      </c>
      <c r="P3216" s="1" t="s">
        <v>13436</v>
      </c>
      <c r="Q3216" s="3">
        <v>42340.0</v>
      </c>
      <c r="R3216" s="1"/>
      <c r="S3216" s="1"/>
      <c r="T3216" s="1" t="s">
        <v>37</v>
      </c>
      <c r="U3216" s="1"/>
      <c r="V3216" s="1" t="s">
        <v>38</v>
      </c>
      <c r="W3216" s="1">
        <v>42.8940215</v>
      </c>
      <c r="X3216" s="1">
        <v>-72.5442352999999</v>
      </c>
      <c r="Y3216" s="1" t="s">
        <v>13437</v>
      </c>
      <c r="Z3216" s="1"/>
      <c r="AA3216" s="1" t="s">
        <v>40</v>
      </c>
      <c r="AB3216" s="1" t="s">
        <v>2349</v>
      </c>
      <c r="AC3216" s="1">
        <v>5301.0</v>
      </c>
    </row>
    <row r="3217">
      <c r="A3217" s="1" t="str">
        <f>"000HW0"</f>
        <v>000HW0</v>
      </c>
      <c r="B3217" s="1" t="s">
        <v>10084</v>
      </c>
      <c r="C3217" s="1" t="s">
        <v>10085</v>
      </c>
      <c r="D3217" s="1" t="str">
        <f>"8022299606"</f>
        <v>8022299606</v>
      </c>
      <c r="E3217" s="1">
        <v>4389.0</v>
      </c>
      <c r="F3217" s="1" t="s">
        <v>31</v>
      </c>
      <c r="G3217" s="1" t="s">
        <v>13438</v>
      </c>
      <c r="H3217" s="1">
        <v>1.0</v>
      </c>
      <c r="I3217" s="1"/>
      <c r="J3217" s="1"/>
      <c r="K3217" s="1"/>
      <c r="L3217" s="1"/>
      <c r="M3217" s="1">
        <v>2.0</v>
      </c>
      <c r="N3217" s="1" t="s">
        <v>135</v>
      </c>
      <c r="O3217" s="1" t="s">
        <v>805</v>
      </c>
      <c r="P3217" s="1" t="s">
        <v>13439</v>
      </c>
      <c r="Q3217" s="3">
        <v>42340.0</v>
      </c>
      <c r="R3217" s="1"/>
      <c r="S3217" s="1"/>
      <c r="T3217" s="1" t="s">
        <v>37</v>
      </c>
      <c r="U3217" s="1"/>
      <c r="V3217" s="1" t="s">
        <v>38</v>
      </c>
      <c r="W3217" s="1">
        <v>44.2897332</v>
      </c>
      <c r="X3217" s="1">
        <v>-72.4950136</v>
      </c>
      <c r="Y3217" s="1" t="s">
        <v>2083</v>
      </c>
      <c r="Z3217" s="1"/>
      <c r="AA3217" s="1" t="s">
        <v>40</v>
      </c>
      <c r="AB3217" s="1" t="s">
        <v>10229</v>
      </c>
      <c r="AC3217" s="1">
        <v>5651.0</v>
      </c>
    </row>
    <row r="3218">
      <c r="A3218" s="1" t="str">
        <f t="shared" ref="A3218:A3219" si="260">"0007H7"</f>
        <v>0007H7</v>
      </c>
      <c r="B3218" s="1" t="s">
        <v>13440</v>
      </c>
      <c r="C3218" s="1" t="s">
        <v>13441</v>
      </c>
      <c r="D3218" s="1" t="str">
        <f t="shared" ref="D3218:D3219" si="261">"8027335173"</f>
        <v>8027335173</v>
      </c>
      <c r="E3218" s="1">
        <v>3989.0</v>
      </c>
      <c r="F3218" s="1" t="s">
        <v>117</v>
      </c>
      <c r="G3218" s="1" t="s">
        <v>13442</v>
      </c>
      <c r="H3218" s="1">
        <v>14.0</v>
      </c>
      <c r="I3218" s="2">
        <v>16.0</v>
      </c>
      <c r="J3218" s="2">
        <v>16.0</v>
      </c>
      <c r="K3218" s="2" t="s">
        <v>119</v>
      </c>
      <c r="L3218" s="2" t="s">
        <v>4799</v>
      </c>
      <c r="M3218" s="1" t="s">
        <v>49</v>
      </c>
      <c r="N3218" s="1" t="s">
        <v>414</v>
      </c>
      <c r="O3218" s="1" t="s">
        <v>794</v>
      </c>
      <c r="P3218" s="1" t="s">
        <v>13443</v>
      </c>
      <c r="Q3218" s="3">
        <v>42345.0</v>
      </c>
      <c r="R3218" s="1"/>
      <c r="S3218" s="1"/>
      <c r="T3218" s="1" t="s">
        <v>37</v>
      </c>
      <c r="U3218" s="1"/>
      <c r="V3218" s="1" t="s">
        <v>38</v>
      </c>
      <c r="W3218" s="1">
        <v>42.792313</v>
      </c>
      <c r="X3218" s="1">
        <v>-73.2269460999999</v>
      </c>
      <c r="Y3218" s="1" t="s">
        <v>2083</v>
      </c>
      <c r="Z3218" s="1"/>
      <c r="AA3218" s="1" t="s">
        <v>40</v>
      </c>
      <c r="AB3218" s="1" t="s">
        <v>797</v>
      </c>
      <c r="AC3218" s="1">
        <v>5261.0</v>
      </c>
    </row>
    <row r="3219">
      <c r="A3219" s="1" t="str">
        <f t="shared" si="260"/>
        <v>0007H7</v>
      </c>
      <c r="B3219" s="1" t="s">
        <v>13440</v>
      </c>
      <c r="C3219" s="1" t="s">
        <v>13441</v>
      </c>
      <c r="D3219" s="1" t="str">
        <f t="shared" si="261"/>
        <v>8027335173</v>
      </c>
      <c r="E3219" s="1">
        <v>3989.0</v>
      </c>
      <c r="F3219" s="1" t="s">
        <v>117</v>
      </c>
      <c r="G3219" s="1" t="s">
        <v>13444</v>
      </c>
      <c r="H3219" s="1">
        <v>26.0</v>
      </c>
      <c r="I3219" s="2">
        <v>1.0</v>
      </c>
      <c r="J3219" s="2">
        <v>1.0</v>
      </c>
      <c r="K3219" s="2" t="s">
        <v>119</v>
      </c>
      <c r="L3219" s="2" t="s">
        <v>4799</v>
      </c>
      <c r="M3219" s="1" t="s">
        <v>49</v>
      </c>
      <c r="N3219" s="1" t="s">
        <v>414</v>
      </c>
      <c r="O3219" s="1" t="s">
        <v>794</v>
      </c>
      <c r="P3219" s="1" t="s">
        <v>13445</v>
      </c>
      <c r="Q3219" s="3">
        <v>42345.0</v>
      </c>
      <c r="R3219" s="1"/>
      <c r="S3219" s="1"/>
      <c r="T3219" s="1" t="s">
        <v>37</v>
      </c>
      <c r="U3219" s="1"/>
      <c r="V3219" s="1" t="s">
        <v>38</v>
      </c>
      <c r="W3219" s="1">
        <v>42.792313</v>
      </c>
      <c r="X3219" s="1">
        <v>-73.2269460999999</v>
      </c>
      <c r="Y3219" s="1" t="s">
        <v>2083</v>
      </c>
      <c r="Z3219" s="1"/>
      <c r="AA3219" s="1" t="s">
        <v>40</v>
      </c>
      <c r="AB3219" s="1" t="s">
        <v>797</v>
      </c>
      <c r="AC3219" s="1">
        <v>5261.0</v>
      </c>
    </row>
    <row r="3220">
      <c r="A3220" s="1" t="str">
        <f>"000V9X"</f>
        <v>000V9X</v>
      </c>
      <c r="B3220" s="1" t="s">
        <v>13446</v>
      </c>
      <c r="C3220" s="1" t="s">
        <v>13447</v>
      </c>
      <c r="D3220" s="1" t="str">
        <f>"8028773009"</f>
        <v>8028773009</v>
      </c>
      <c r="E3220" s="1">
        <v>4934.0</v>
      </c>
      <c r="F3220" s="1" t="s">
        <v>117</v>
      </c>
      <c r="G3220" s="1" t="s">
        <v>13448</v>
      </c>
      <c r="H3220" s="1">
        <v>7.0</v>
      </c>
      <c r="I3220" s="2">
        <v>5.0</v>
      </c>
      <c r="J3220" s="2">
        <v>2.0</v>
      </c>
      <c r="K3220" s="2" t="s">
        <v>119</v>
      </c>
      <c r="L3220" s="1"/>
      <c r="M3220" s="1" t="s">
        <v>13449</v>
      </c>
      <c r="N3220" s="1" t="s">
        <v>161</v>
      </c>
      <c r="O3220" s="1" t="s">
        <v>3407</v>
      </c>
      <c r="P3220" s="1" t="s">
        <v>13450</v>
      </c>
      <c r="Q3220" s="3">
        <v>42377.0</v>
      </c>
      <c r="R3220" s="1"/>
      <c r="S3220" s="1"/>
      <c r="T3220" s="1" t="s">
        <v>37</v>
      </c>
      <c r="U3220" s="1"/>
      <c r="V3220" s="1" t="s">
        <v>38</v>
      </c>
      <c r="W3220" s="1">
        <v>44.1635317</v>
      </c>
      <c r="X3220" s="1">
        <v>-73.2364683</v>
      </c>
      <c r="Y3220" s="1" t="s">
        <v>13451</v>
      </c>
      <c r="Z3220" s="1"/>
      <c r="AA3220" s="1" t="s">
        <v>40</v>
      </c>
      <c r="AB3220" s="1" t="s">
        <v>3410</v>
      </c>
      <c r="AC3220" s="1">
        <v>5491.0</v>
      </c>
    </row>
    <row r="3221">
      <c r="A3221" s="1" t="str">
        <f>"000V9Y"</f>
        <v>000V9Y</v>
      </c>
      <c r="B3221" s="1" t="s">
        <v>13452</v>
      </c>
      <c r="C3221" s="1" t="s">
        <v>13453</v>
      </c>
      <c r="D3221" s="1" t="str">
        <f>"8027829124"</f>
        <v>8027829124</v>
      </c>
      <c r="E3221" s="1">
        <v>4935.0</v>
      </c>
      <c r="F3221" s="1" t="s">
        <v>31</v>
      </c>
      <c r="G3221" s="1" t="s">
        <v>13454</v>
      </c>
      <c r="H3221" s="1">
        <v>7.0</v>
      </c>
      <c r="I3221" s="1"/>
      <c r="J3221" s="1"/>
      <c r="K3221" s="1"/>
      <c r="L3221" s="1"/>
      <c r="M3221" s="1">
        <v>1.0</v>
      </c>
      <c r="N3221" s="1" t="s">
        <v>47</v>
      </c>
      <c r="O3221" s="1" t="s">
        <v>100</v>
      </c>
      <c r="P3221" s="1" t="s">
        <v>13455</v>
      </c>
      <c r="Q3221" s="3">
        <v>42377.0</v>
      </c>
      <c r="R3221" s="1"/>
      <c r="S3221" s="1"/>
      <c r="T3221" s="1" t="s">
        <v>37</v>
      </c>
      <c r="U3221" s="1"/>
      <c r="V3221" s="1" t="s">
        <v>38</v>
      </c>
      <c r="W3221" s="1">
        <v>44.787045</v>
      </c>
      <c r="X3221" s="1">
        <v>-73.0328829999999</v>
      </c>
      <c r="Y3221" s="1" t="s">
        <v>13456</v>
      </c>
      <c r="Z3221" s="1"/>
      <c r="AA3221" s="1" t="s">
        <v>40</v>
      </c>
      <c r="AB3221" s="1" t="s">
        <v>102</v>
      </c>
      <c r="AC3221" s="1">
        <v>5455.0</v>
      </c>
    </row>
    <row r="3222">
      <c r="A3222" s="1" t="str">
        <f>"000VAD"</f>
        <v>000VAD</v>
      </c>
      <c r="B3222" s="1" t="s">
        <v>13457</v>
      </c>
      <c r="C3222" s="1" t="s">
        <v>13458</v>
      </c>
      <c r="D3222" s="1" t="str">
        <f>"8023992740"</f>
        <v>8023992740</v>
      </c>
      <c r="E3222" s="1">
        <v>4936.0</v>
      </c>
      <c r="F3222" s="1" t="s">
        <v>117</v>
      </c>
      <c r="G3222" s="1" t="s">
        <v>13459</v>
      </c>
      <c r="H3222" s="1">
        <v>2.0</v>
      </c>
      <c r="I3222" s="2">
        <v>1.0</v>
      </c>
      <c r="J3222" s="2">
        <v>1.0</v>
      </c>
      <c r="K3222" s="2" t="s">
        <v>829</v>
      </c>
      <c r="L3222" s="1"/>
      <c r="M3222" s="1" t="s">
        <v>13460</v>
      </c>
      <c r="N3222" s="1" t="s">
        <v>57</v>
      </c>
      <c r="O3222" s="1"/>
      <c r="P3222" s="1" t="s">
        <v>13461</v>
      </c>
      <c r="Q3222" s="3">
        <v>42382.0</v>
      </c>
      <c r="R3222" s="1"/>
      <c r="S3222" s="1"/>
      <c r="T3222" s="1" t="s">
        <v>37</v>
      </c>
      <c r="U3222" s="1"/>
      <c r="V3222" s="1" t="s">
        <v>38</v>
      </c>
      <c r="W3222" s="1">
        <v>44.432781</v>
      </c>
      <c r="X3222" s="1">
        <v>-73.1872899999999</v>
      </c>
      <c r="Y3222" s="1" t="s">
        <v>13462</v>
      </c>
      <c r="Z3222" s="1"/>
      <c r="AA3222" s="1" t="s">
        <v>40</v>
      </c>
      <c r="AB3222" s="1" t="s">
        <v>5195</v>
      </c>
      <c r="AC3222" s="1">
        <v>5403.0</v>
      </c>
    </row>
    <row r="3223">
      <c r="A3223" s="1" t="str">
        <f>"000VAF"</f>
        <v>000VAF</v>
      </c>
      <c r="B3223" s="1" t="s">
        <v>13463</v>
      </c>
      <c r="C3223" s="1" t="s">
        <v>9888</v>
      </c>
      <c r="D3223" s="1" t="str">
        <f>"8027457842"</f>
        <v>8027457842</v>
      </c>
      <c r="E3223" s="1">
        <v>4937.0</v>
      </c>
      <c r="F3223" s="1" t="s">
        <v>31</v>
      </c>
      <c r="G3223" s="1" t="s">
        <v>13464</v>
      </c>
      <c r="H3223" s="1">
        <v>6.0</v>
      </c>
      <c r="I3223" s="1"/>
      <c r="J3223" s="1"/>
      <c r="K3223" s="1"/>
      <c r="L3223" s="1"/>
      <c r="M3223" s="1" t="s">
        <v>33</v>
      </c>
      <c r="N3223" s="1" t="s">
        <v>94</v>
      </c>
      <c r="O3223" s="1" t="s">
        <v>3623</v>
      </c>
      <c r="P3223" s="1" t="s">
        <v>6946</v>
      </c>
      <c r="Q3223" s="3">
        <v>42382.0</v>
      </c>
      <c r="R3223" s="1"/>
      <c r="S3223" s="1"/>
      <c r="T3223" s="1" t="s">
        <v>37</v>
      </c>
      <c r="U3223" s="1"/>
      <c r="V3223" s="1" t="s">
        <v>38</v>
      </c>
      <c r="W3223" s="1">
        <v>44.77153</v>
      </c>
      <c r="X3223" s="1">
        <v>-72.246346</v>
      </c>
      <c r="Y3223" s="1" t="s">
        <v>9890</v>
      </c>
      <c r="Z3223" s="1"/>
      <c r="AA3223" s="1" t="s">
        <v>40</v>
      </c>
      <c r="AB3223" s="1" t="s">
        <v>1673</v>
      </c>
      <c r="AC3223" s="1">
        <v>5822.0</v>
      </c>
    </row>
    <row r="3224">
      <c r="A3224" s="1" t="str">
        <f>"000VAG"</f>
        <v>000VAG</v>
      </c>
      <c r="B3224" s="1" t="s">
        <v>13465</v>
      </c>
      <c r="C3224" s="1" t="s">
        <v>13466</v>
      </c>
      <c r="D3224" s="1" t="str">
        <f>"8025242952"</f>
        <v>8025242952</v>
      </c>
      <c r="E3224" s="1">
        <v>4938.0</v>
      </c>
      <c r="F3224" s="1" t="s">
        <v>117</v>
      </c>
      <c r="G3224" s="1" t="s">
        <v>13467</v>
      </c>
      <c r="H3224" s="1">
        <v>5.0</v>
      </c>
      <c r="I3224" s="2">
        <v>0.0</v>
      </c>
      <c r="J3224" s="2">
        <v>0.0</v>
      </c>
      <c r="K3224" s="2" t="s">
        <v>119</v>
      </c>
      <c r="L3224" s="2" t="s">
        <v>13468</v>
      </c>
      <c r="M3224" s="1" t="s">
        <v>13469</v>
      </c>
      <c r="N3224" s="1" t="s">
        <v>47</v>
      </c>
      <c r="O3224" s="1" t="s">
        <v>2753</v>
      </c>
      <c r="P3224" s="1" t="s">
        <v>13470</v>
      </c>
      <c r="Q3224" s="3">
        <v>42382.0</v>
      </c>
      <c r="R3224" s="1"/>
      <c r="S3224" s="1"/>
      <c r="T3224" s="1" t="s">
        <v>37</v>
      </c>
      <c r="U3224" s="1"/>
      <c r="V3224" s="1" t="s">
        <v>38</v>
      </c>
      <c r="W3224" s="1">
        <v>44.841377</v>
      </c>
      <c r="X3224" s="1">
        <v>-73.112968</v>
      </c>
      <c r="Y3224" s="1" t="s">
        <v>13471</v>
      </c>
      <c r="Z3224" s="1"/>
      <c r="AA3224" s="1" t="s">
        <v>40</v>
      </c>
      <c r="AB3224" s="1" t="s">
        <v>2800</v>
      </c>
      <c r="AC3224" s="1">
        <v>5478.0</v>
      </c>
    </row>
    <row r="3225">
      <c r="A3225" s="1" t="str">
        <f>"000HAD"</f>
        <v>000HAD</v>
      </c>
      <c r="B3225" s="1" t="s">
        <v>9986</v>
      </c>
      <c r="C3225" s="1" t="s">
        <v>9987</v>
      </c>
      <c r="D3225" s="1" t="str">
        <f>"8022447029"</f>
        <v>8022447029</v>
      </c>
      <c r="E3225" s="1">
        <v>4363.0</v>
      </c>
      <c r="F3225" s="1" t="s">
        <v>31</v>
      </c>
      <c r="G3225" s="1" t="s">
        <v>13472</v>
      </c>
      <c r="H3225" s="1">
        <v>1.0</v>
      </c>
      <c r="I3225" s="1"/>
      <c r="J3225" s="1"/>
      <c r="K3225" s="1"/>
      <c r="L3225" s="1"/>
      <c r="M3225" s="1" t="s">
        <v>33</v>
      </c>
      <c r="N3225" s="1" t="s">
        <v>135</v>
      </c>
      <c r="O3225" s="1" t="s">
        <v>3300</v>
      </c>
      <c r="P3225" s="1" t="s">
        <v>845</v>
      </c>
      <c r="Q3225" s="3">
        <v>42390.0</v>
      </c>
      <c r="R3225" s="1"/>
      <c r="S3225" s="1"/>
      <c r="T3225" s="1" t="s">
        <v>37</v>
      </c>
      <c r="U3225" s="1"/>
      <c r="V3225" s="1" t="s">
        <v>38</v>
      </c>
      <c r="W3225" s="1"/>
      <c r="X3225" s="1"/>
      <c r="Y3225" s="1" t="s">
        <v>13473</v>
      </c>
      <c r="Z3225" s="1"/>
      <c r="AA3225" s="1" t="s">
        <v>40</v>
      </c>
      <c r="AB3225" s="1" t="s">
        <v>3301</v>
      </c>
      <c r="AC3225" s="1">
        <v>5676.0</v>
      </c>
    </row>
    <row r="3226">
      <c r="A3226" s="1" t="str">
        <f>"000VB7"</f>
        <v>000VB7</v>
      </c>
      <c r="B3226" s="1" t="s">
        <v>13474</v>
      </c>
      <c r="C3226" s="1" t="s">
        <v>13475</v>
      </c>
      <c r="D3226" s="1" t="str">
        <f>"8028754112"</f>
        <v>8028754112</v>
      </c>
      <c r="E3226" s="1">
        <v>4939.0</v>
      </c>
      <c r="F3226" s="1" t="s">
        <v>117</v>
      </c>
      <c r="G3226" s="1" t="s">
        <v>13476</v>
      </c>
      <c r="H3226" s="1">
        <v>6.0</v>
      </c>
      <c r="I3226" s="1"/>
      <c r="J3226" s="1"/>
      <c r="K3226" s="1"/>
      <c r="L3226" s="1"/>
      <c r="M3226" s="1" t="s">
        <v>13477</v>
      </c>
      <c r="N3226" s="1" t="s">
        <v>34</v>
      </c>
      <c r="O3226" s="1" t="s">
        <v>5592</v>
      </c>
      <c r="P3226" s="1" t="s">
        <v>13478</v>
      </c>
      <c r="Q3226" s="3">
        <v>42401.0</v>
      </c>
      <c r="R3226" s="1"/>
      <c r="S3226" s="1"/>
      <c r="T3226" s="1" t="s">
        <v>37</v>
      </c>
      <c r="U3226" s="1"/>
      <c r="V3226" s="1" t="s">
        <v>38</v>
      </c>
      <c r="W3226" s="1"/>
      <c r="X3226" s="1"/>
      <c r="Y3226" s="1" t="s">
        <v>13479</v>
      </c>
      <c r="Z3226" s="1"/>
      <c r="AA3226" s="1" t="s">
        <v>40</v>
      </c>
      <c r="AB3226" s="1" t="s">
        <v>5595</v>
      </c>
      <c r="AC3226" s="1">
        <v>5143.0</v>
      </c>
    </row>
    <row r="3227">
      <c r="A3227" s="1" t="str">
        <f>"00082N"</f>
        <v>00082N</v>
      </c>
      <c r="B3227" s="1" t="s">
        <v>2868</v>
      </c>
      <c r="C3227" s="1" t="s">
        <v>2869</v>
      </c>
      <c r="D3227" s="1" t="str">
        <f>"8024382203"</f>
        <v>8024382203</v>
      </c>
      <c r="E3227" s="1">
        <v>2402.0</v>
      </c>
      <c r="F3227" s="1" t="s">
        <v>117</v>
      </c>
      <c r="G3227" s="1" t="s">
        <v>13480</v>
      </c>
      <c r="H3227" s="1">
        <v>4.0</v>
      </c>
      <c r="I3227" s="2">
        <v>4.0</v>
      </c>
      <c r="J3227" s="2" t="s">
        <v>119</v>
      </c>
      <c r="K3227" s="2" t="s">
        <v>119</v>
      </c>
      <c r="L3227" s="1"/>
      <c r="M3227" s="1">
        <v>1.0</v>
      </c>
      <c r="N3227" s="1" t="s">
        <v>78</v>
      </c>
      <c r="O3227" s="1" t="s">
        <v>6011</v>
      </c>
      <c r="P3227" s="1" t="s">
        <v>3661</v>
      </c>
      <c r="Q3227" s="3">
        <v>42410.0</v>
      </c>
      <c r="R3227" s="1"/>
      <c r="S3227" s="1"/>
      <c r="T3227" s="1" t="s">
        <v>37</v>
      </c>
      <c r="U3227" s="1"/>
      <c r="V3227" s="1" t="s">
        <v>38</v>
      </c>
      <c r="W3227" s="1">
        <v>43.583836</v>
      </c>
      <c r="X3227" s="1">
        <v>-73.021561</v>
      </c>
      <c r="Y3227" s="1" t="s">
        <v>13481</v>
      </c>
      <c r="Z3227" s="1"/>
      <c r="AA3227" s="1" t="s">
        <v>40</v>
      </c>
      <c r="AB3227" s="1" t="s">
        <v>6012</v>
      </c>
      <c r="AC3227" s="1">
        <v>5777.0</v>
      </c>
    </row>
    <row r="3228">
      <c r="A3228" s="1" t="str">
        <f t="shared" ref="A3228:A3233" si="262">"000VBV"</f>
        <v>000VBV</v>
      </c>
      <c r="B3228" s="1" t="s">
        <v>13482</v>
      </c>
      <c r="C3228" s="1" t="s">
        <v>13483</v>
      </c>
      <c r="D3228" s="1" t="str">
        <f t="shared" ref="D3228:D3233" si="263">"8023492741"</f>
        <v>8023492741</v>
      </c>
      <c r="E3228" s="1">
        <v>4940.0</v>
      </c>
      <c r="F3228" s="1" t="s">
        <v>31</v>
      </c>
      <c r="G3228" s="1" t="s">
        <v>13484</v>
      </c>
      <c r="H3228" s="1">
        <v>12.0</v>
      </c>
      <c r="I3228" s="1"/>
      <c r="J3228" s="1"/>
      <c r="K3228" s="1"/>
      <c r="L3228" s="1"/>
      <c r="M3228" s="1" t="s">
        <v>1179</v>
      </c>
      <c r="N3228" s="1" t="s">
        <v>161</v>
      </c>
      <c r="O3228" s="1" t="s">
        <v>1761</v>
      </c>
      <c r="P3228" s="1"/>
      <c r="Q3228" s="3">
        <v>42410.0</v>
      </c>
      <c r="R3228" s="1"/>
      <c r="S3228" s="1"/>
      <c r="T3228" s="1" t="s">
        <v>37</v>
      </c>
      <c r="U3228" s="1"/>
      <c r="V3228" s="1" t="s">
        <v>38</v>
      </c>
      <c r="W3228" s="1">
        <v>44.0312492</v>
      </c>
      <c r="X3228" s="1">
        <v>-73.1897262</v>
      </c>
      <c r="Y3228" s="1" t="s">
        <v>13485</v>
      </c>
      <c r="Z3228" s="1"/>
      <c r="AA3228" s="1" t="s">
        <v>40</v>
      </c>
      <c r="AB3228" s="1" t="s">
        <v>1763</v>
      </c>
      <c r="AC3228" s="1">
        <v>5753.0</v>
      </c>
    </row>
    <row r="3229">
      <c r="A3229" s="1" t="str">
        <f t="shared" si="262"/>
        <v>000VBV</v>
      </c>
      <c r="B3229" s="1" t="s">
        <v>13482</v>
      </c>
      <c r="C3229" s="1" t="s">
        <v>13483</v>
      </c>
      <c r="D3229" s="1" t="str">
        <f t="shared" si="263"/>
        <v>8023492741</v>
      </c>
      <c r="E3229" s="1">
        <v>4940.0</v>
      </c>
      <c r="F3229" s="1" t="s">
        <v>31</v>
      </c>
      <c r="G3229" s="1" t="s">
        <v>13486</v>
      </c>
      <c r="H3229" s="1">
        <v>2.0</v>
      </c>
      <c r="I3229" s="1"/>
      <c r="J3229" s="1"/>
      <c r="K3229" s="1"/>
      <c r="L3229" s="1"/>
      <c r="M3229" s="1" t="s">
        <v>3507</v>
      </c>
      <c r="N3229" s="1" t="s">
        <v>161</v>
      </c>
      <c r="O3229" s="1" t="s">
        <v>3504</v>
      </c>
      <c r="P3229" s="1" t="s">
        <v>13487</v>
      </c>
      <c r="Q3229" s="3">
        <v>42410.0</v>
      </c>
      <c r="R3229" s="1"/>
      <c r="S3229" s="1"/>
      <c r="T3229" s="1" t="s">
        <v>37</v>
      </c>
      <c r="U3229" s="1"/>
      <c r="V3229" s="1" t="s">
        <v>38</v>
      </c>
      <c r="W3229" s="1">
        <v>44.1487890999999</v>
      </c>
      <c r="X3229" s="1">
        <v>-73.3409878</v>
      </c>
      <c r="Y3229" s="1" t="s">
        <v>2083</v>
      </c>
      <c r="Z3229" s="1"/>
      <c r="AA3229" s="1" t="s">
        <v>40</v>
      </c>
      <c r="AB3229" s="1" t="s">
        <v>13488</v>
      </c>
      <c r="AC3229" s="1">
        <v>5491.0</v>
      </c>
    </row>
    <row r="3230">
      <c r="A3230" s="1" t="str">
        <f t="shared" si="262"/>
        <v>000VBV</v>
      </c>
      <c r="B3230" s="1" t="s">
        <v>13482</v>
      </c>
      <c r="C3230" s="1" t="s">
        <v>13483</v>
      </c>
      <c r="D3230" s="1" t="str">
        <f t="shared" si="263"/>
        <v>8023492741</v>
      </c>
      <c r="E3230" s="1">
        <v>4940.0</v>
      </c>
      <c r="F3230" s="1" t="s">
        <v>31</v>
      </c>
      <c r="G3230" s="1" t="s">
        <v>13489</v>
      </c>
      <c r="H3230" s="1">
        <v>3.0</v>
      </c>
      <c r="I3230" s="1"/>
      <c r="J3230" s="1"/>
      <c r="K3230" s="1"/>
      <c r="L3230" s="1"/>
      <c r="M3230" s="1" t="s">
        <v>13490</v>
      </c>
      <c r="N3230" s="1" t="s">
        <v>161</v>
      </c>
      <c r="O3230" s="1" t="s">
        <v>943</v>
      </c>
      <c r="P3230" s="1" t="s">
        <v>13491</v>
      </c>
      <c r="Q3230" s="3">
        <v>42410.0</v>
      </c>
      <c r="R3230" s="1"/>
      <c r="S3230" s="1"/>
      <c r="T3230" s="1" t="s">
        <v>37</v>
      </c>
      <c r="U3230" s="1"/>
      <c r="V3230" s="1" t="s">
        <v>38</v>
      </c>
      <c r="W3230" s="1">
        <v>44.0153371</v>
      </c>
      <c r="X3230" s="1">
        <v>-73.1673399999999</v>
      </c>
      <c r="Y3230" s="1" t="s">
        <v>13492</v>
      </c>
      <c r="Z3230" s="1"/>
      <c r="AA3230" s="1" t="s">
        <v>40</v>
      </c>
      <c r="AB3230" s="1" t="s">
        <v>945</v>
      </c>
      <c r="AC3230" s="1">
        <v>5753.0</v>
      </c>
    </row>
    <row r="3231">
      <c r="A3231" s="1" t="str">
        <f t="shared" si="262"/>
        <v>000VBV</v>
      </c>
      <c r="B3231" s="1" t="s">
        <v>13482</v>
      </c>
      <c r="C3231" s="1" t="s">
        <v>13483</v>
      </c>
      <c r="D3231" s="1" t="str">
        <f t="shared" si="263"/>
        <v>8023492741</v>
      </c>
      <c r="E3231" s="1">
        <v>4940.0</v>
      </c>
      <c r="F3231" s="1" t="s">
        <v>31</v>
      </c>
      <c r="G3231" s="1" t="s">
        <v>13493</v>
      </c>
      <c r="H3231" s="1">
        <v>2.0</v>
      </c>
      <c r="I3231" s="1"/>
      <c r="J3231" s="1"/>
      <c r="K3231" s="1"/>
      <c r="L3231" s="1"/>
      <c r="M3231" s="1" t="s">
        <v>2093</v>
      </c>
      <c r="N3231" s="1" t="s">
        <v>57</v>
      </c>
      <c r="O3231" s="1" t="s">
        <v>2092</v>
      </c>
      <c r="P3231" s="1" t="s">
        <v>13487</v>
      </c>
      <c r="Q3231" s="3">
        <v>42410.0</v>
      </c>
      <c r="R3231" s="1"/>
      <c r="S3231" s="1"/>
      <c r="T3231" s="1" t="s">
        <v>37</v>
      </c>
      <c r="U3231" s="1"/>
      <c r="V3231" s="1" t="s">
        <v>38</v>
      </c>
      <c r="W3231" s="1">
        <v>44.4454432</v>
      </c>
      <c r="X3231" s="1">
        <v>-73.099194</v>
      </c>
      <c r="Y3231" s="1" t="s">
        <v>2083</v>
      </c>
      <c r="Z3231" s="1"/>
      <c r="AA3231" s="1" t="s">
        <v>40</v>
      </c>
      <c r="AB3231" s="1" t="s">
        <v>2093</v>
      </c>
      <c r="AC3231" s="1">
        <v>5495.0</v>
      </c>
    </row>
    <row r="3232">
      <c r="A3232" s="1" t="str">
        <f t="shared" si="262"/>
        <v>000VBV</v>
      </c>
      <c r="B3232" s="1" t="s">
        <v>13482</v>
      </c>
      <c r="C3232" s="1" t="s">
        <v>13483</v>
      </c>
      <c r="D3232" s="1" t="str">
        <f t="shared" si="263"/>
        <v>8023492741</v>
      </c>
      <c r="E3232" s="1">
        <v>4940.0</v>
      </c>
      <c r="F3232" s="1" t="s">
        <v>31</v>
      </c>
      <c r="G3232" s="1" t="s">
        <v>13494</v>
      </c>
      <c r="H3232" s="1">
        <v>2.0</v>
      </c>
      <c r="I3232" s="1"/>
      <c r="J3232" s="1"/>
      <c r="K3232" s="1"/>
      <c r="L3232" s="1"/>
      <c r="M3232" s="1" t="s">
        <v>202</v>
      </c>
      <c r="N3232" s="1" t="s">
        <v>57</v>
      </c>
      <c r="O3232" s="1" t="s">
        <v>201</v>
      </c>
      <c r="P3232" s="1" t="s">
        <v>13487</v>
      </c>
      <c r="Q3232" s="3">
        <v>42410.0</v>
      </c>
      <c r="R3232" s="1"/>
      <c r="S3232" s="1"/>
      <c r="T3232" s="1" t="s">
        <v>37</v>
      </c>
      <c r="U3232" s="1"/>
      <c r="V3232" s="1" t="s">
        <v>38</v>
      </c>
      <c r="W3232" s="1">
        <v>44.4053135</v>
      </c>
      <c r="X3232" s="1">
        <v>-72.9924128</v>
      </c>
      <c r="Y3232" s="1" t="s">
        <v>2083</v>
      </c>
      <c r="Z3232" s="1"/>
      <c r="AA3232" s="1" t="s">
        <v>40</v>
      </c>
      <c r="AB3232" s="1" t="s">
        <v>202</v>
      </c>
      <c r="AC3232" s="1">
        <v>5477.0</v>
      </c>
    </row>
    <row r="3233">
      <c r="A3233" s="1" t="str">
        <f t="shared" si="262"/>
        <v>000VBV</v>
      </c>
      <c r="B3233" s="1" t="s">
        <v>13482</v>
      </c>
      <c r="C3233" s="1" t="s">
        <v>13483</v>
      </c>
      <c r="D3233" s="1" t="str">
        <f t="shared" si="263"/>
        <v>8023492741</v>
      </c>
      <c r="E3233" s="1">
        <v>4940.0</v>
      </c>
      <c r="F3233" s="1" t="s">
        <v>31</v>
      </c>
      <c r="G3233" s="1" t="s">
        <v>13495</v>
      </c>
      <c r="H3233" s="1">
        <v>2.0</v>
      </c>
      <c r="I3233" s="1"/>
      <c r="J3233" s="1"/>
      <c r="K3233" s="1"/>
      <c r="L3233" s="1"/>
      <c r="M3233" s="1" t="s">
        <v>86</v>
      </c>
      <c r="N3233" s="1" t="s">
        <v>34</v>
      </c>
      <c r="O3233" s="1" t="s">
        <v>85</v>
      </c>
      <c r="P3233" s="1" t="s">
        <v>13487</v>
      </c>
      <c r="Q3233" s="3">
        <v>42410.0</v>
      </c>
      <c r="R3233" s="1"/>
      <c r="S3233" s="1"/>
      <c r="T3233" s="1" t="s">
        <v>37</v>
      </c>
      <c r="U3233" s="1"/>
      <c r="V3233" s="1" t="s">
        <v>38</v>
      </c>
      <c r="W3233" s="1">
        <v>43.540636</v>
      </c>
      <c r="X3233" s="1">
        <v>-72.3989313999999</v>
      </c>
      <c r="Y3233" s="1" t="s">
        <v>2083</v>
      </c>
      <c r="Z3233" s="1"/>
      <c r="AA3233" s="1" t="s">
        <v>40</v>
      </c>
      <c r="AB3233" s="1" t="s">
        <v>86</v>
      </c>
      <c r="AC3233" s="1">
        <v>5048.0</v>
      </c>
    </row>
    <row r="3234">
      <c r="A3234" s="1" t="str">
        <f>"000VBW"</f>
        <v>000VBW</v>
      </c>
      <c r="B3234" s="1" t="s">
        <v>13496</v>
      </c>
      <c r="C3234" s="1" t="s">
        <v>13497</v>
      </c>
      <c r="D3234" s="1" t="str">
        <f>"8022285424"</f>
        <v>8022285424</v>
      </c>
      <c r="E3234" s="1">
        <v>4941.0</v>
      </c>
      <c r="F3234" s="1" t="s">
        <v>44</v>
      </c>
      <c r="G3234" s="1" t="s">
        <v>13498</v>
      </c>
      <c r="H3234" s="1">
        <v>1.0</v>
      </c>
      <c r="I3234" s="2" t="s">
        <v>119</v>
      </c>
      <c r="J3234" s="2" t="s">
        <v>119</v>
      </c>
      <c r="K3234" s="2" t="s">
        <v>119</v>
      </c>
      <c r="L3234" s="1"/>
      <c r="M3234" s="1" t="s">
        <v>33</v>
      </c>
      <c r="N3234" s="1" t="s">
        <v>34</v>
      </c>
      <c r="O3234" s="1" t="s">
        <v>1237</v>
      </c>
      <c r="P3234" s="1" t="s">
        <v>13499</v>
      </c>
      <c r="Q3234" s="3">
        <v>42410.0</v>
      </c>
      <c r="R3234" s="1"/>
      <c r="S3234" s="1"/>
      <c r="T3234" s="1" t="s">
        <v>37</v>
      </c>
      <c r="U3234" s="1"/>
      <c r="V3234" s="1" t="s">
        <v>38</v>
      </c>
      <c r="W3234" s="1">
        <v>43.379087</v>
      </c>
      <c r="X3234" s="1">
        <v>-72.692802</v>
      </c>
      <c r="Y3234" s="1" t="s">
        <v>13500</v>
      </c>
      <c r="Z3234" s="1"/>
      <c r="AA3234" s="1" t="s">
        <v>40</v>
      </c>
      <c r="AB3234" s="1" t="s">
        <v>1238</v>
      </c>
      <c r="AC3234" s="1">
        <v>5149.0</v>
      </c>
    </row>
    <row r="3235">
      <c r="A3235" s="1" t="str">
        <f>"000VC3"</f>
        <v>000VC3</v>
      </c>
      <c r="B3235" s="1" t="s">
        <v>13501</v>
      </c>
      <c r="C3235" s="1" t="s">
        <v>13502</v>
      </c>
      <c r="D3235" s="1" t="str">
        <f>"8028936501"</f>
        <v>8028936501</v>
      </c>
      <c r="E3235" s="1">
        <v>4942.0</v>
      </c>
      <c r="F3235" s="1" t="s">
        <v>117</v>
      </c>
      <c r="G3235" s="1" t="s">
        <v>13503</v>
      </c>
      <c r="H3235" s="1">
        <v>1.0</v>
      </c>
      <c r="I3235" s="2" t="s">
        <v>119</v>
      </c>
      <c r="J3235" s="2">
        <v>1.0</v>
      </c>
      <c r="K3235" s="2">
        <v>0.0</v>
      </c>
      <c r="L3235" s="1"/>
      <c r="M3235" s="1" t="s">
        <v>13504</v>
      </c>
      <c r="N3235" s="1" t="s">
        <v>57</v>
      </c>
      <c r="O3235" s="1" t="s">
        <v>1633</v>
      </c>
      <c r="P3235" s="1" t="s">
        <v>13505</v>
      </c>
      <c r="Q3235" s="3">
        <v>42417.0</v>
      </c>
      <c r="R3235" s="1"/>
      <c r="S3235" s="3">
        <v>42542.0</v>
      </c>
      <c r="T3235" s="1" t="s">
        <v>37</v>
      </c>
      <c r="U3235" s="1"/>
      <c r="V3235" s="1" t="s">
        <v>38</v>
      </c>
      <c r="W3235" s="1">
        <v>44.3122811</v>
      </c>
      <c r="X3235" s="1">
        <v>-73.2310587</v>
      </c>
      <c r="Y3235" s="1" t="s">
        <v>13506</v>
      </c>
      <c r="Z3235" s="1"/>
      <c r="AA3235" s="1" t="s">
        <v>40</v>
      </c>
      <c r="AB3235" s="1" t="s">
        <v>1634</v>
      </c>
      <c r="AC3235" s="1">
        <v>5445.0</v>
      </c>
    </row>
    <row r="3236">
      <c r="A3236" s="1" t="str">
        <f>"000VJ0"</f>
        <v>000VJ0</v>
      </c>
      <c r="B3236" s="1" t="s">
        <v>13507</v>
      </c>
      <c r="C3236" s="1" t="s">
        <v>13508</v>
      </c>
      <c r="D3236" s="1" t="str">
        <f>"8023633931"</f>
        <v>8023633931</v>
      </c>
      <c r="E3236" s="1">
        <v>4943.0</v>
      </c>
      <c r="F3236" s="1" t="s">
        <v>117</v>
      </c>
      <c r="G3236" s="1" t="s">
        <v>13509</v>
      </c>
      <c r="H3236" s="1">
        <v>2.0</v>
      </c>
      <c r="I3236" s="2">
        <v>2.0</v>
      </c>
      <c r="J3236" s="2">
        <v>2.0</v>
      </c>
      <c r="K3236" s="2" t="s">
        <v>119</v>
      </c>
      <c r="L3236" s="1"/>
      <c r="M3236" s="1" t="s">
        <v>13510</v>
      </c>
      <c r="N3236" s="1" t="s">
        <v>57</v>
      </c>
      <c r="O3236" s="1" t="s">
        <v>1633</v>
      </c>
      <c r="P3236" s="1" t="s">
        <v>13511</v>
      </c>
      <c r="Q3236" s="3">
        <v>42473.0</v>
      </c>
      <c r="R3236" s="1"/>
      <c r="S3236" s="3">
        <v>42542.0</v>
      </c>
      <c r="T3236" s="1" t="s">
        <v>37</v>
      </c>
      <c r="U3236" s="1"/>
      <c r="V3236" s="1" t="s">
        <v>38</v>
      </c>
      <c r="W3236" s="1">
        <v>44.3483159</v>
      </c>
      <c r="X3236" s="1">
        <v>-73.26181</v>
      </c>
      <c r="Y3236" s="1" t="s">
        <v>13512</v>
      </c>
      <c r="Z3236" s="1"/>
      <c r="AA3236" s="1" t="s">
        <v>40</v>
      </c>
      <c r="AB3236" s="1" t="s">
        <v>1634</v>
      </c>
      <c r="AC3236" s="1">
        <v>5445.0</v>
      </c>
    </row>
    <row r="3237">
      <c r="A3237" s="1" t="str">
        <f>"000VJ1"</f>
        <v>000VJ1</v>
      </c>
      <c r="B3237" s="1" t="s">
        <v>13513</v>
      </c>
      <c r="C3237" s="1" t="s">
        <v>13514</v>
      </c>
      <c r="D3237" s="1" t="str">
        <f>"8028245896"</f>
        <v>8028245896</v>
      </c>
      <c r="E3237" s="1">
        <v>4944.0</v>
      </c>
      <c r="F3237" s="1" t="s">
        <v>117</v>
      </c>
      <c r="G3237" s="1" t="s">
        <v>13515</v>
      </c>
      <c r="H3237" s="1">
        <v>2.0</v>
      </c>
      <c r="I3237" s="2">
        <v>1.0</v>
      </c>
      <c r="J3237" s="2">
        <v>1.0</v>
      </c>
      <c r="K3237" s="2" t="s">
        <v>119</v>
      </c>
      <c r="L3237" s="1"/>
      <c r="M3237" s="1">
        <v>1.0</v>
      </c>
      <c r="N3237" s="1" t="s">
        <v>66</v>
      </c>
      <c r="O3237" s="1" t="s">
        <v>900</v>
      </c>
      <c r="P3237" s="1" t="s">
        <v>13516</v>
      </c>
      <c r="Q3237" s="3">
        <v>42473.0</v>
      </c>
      <c r="R3237" s="1"/>
      <c r="S3237" s="1"/>
      <c r="T3237" s="1" t="s">
        <v>37</v>
      </c>
      <c r="U3237" s="1"/>
      <c r="V3237" s="1" t="s">
        <v>38</v>
      </c>
      <c r="W3237" s="1">
        <v>43.233586</v>
      </c>
      <c r="X3237" s="1">
        <v>-72.841266</v>
      </c>
      <c r="Y3237" s="1" t="s">
        <v>13517</v>
      </c>
      <c r="Z3237" s="1"/>
      <c r="AA3237" s="1" t="s">
        <v>40</v>
      </c>
      <c r="AB3237" s="1" t="s">
        <v>901</v>
      </c>
      <c r="AC3237" s="1">
        <v>5148.0</v>
      </c>
    </row>
    <row r="3238">
      <c r="A3238" s="1" t="str">
        <f>"000VJ2"</f>
        <v>000VJ2</v>
      </c>
      <c r="B3238" s="1" t="s">
        <v>13518</v>
      </c>
      <c r="C3238" s="1" t="s">
        <v>13519</v>
      </c>
      <c r="D3238" s="1" t="str">
        <f>"6172661858"</f>
        <v>6172661858</v>
      </c>
      <c r="E3238" s="1">
        <v>4945.0</v>
      </c>
      <c r="F3238" s="1" t="s">
        <v>117</v>
      </c>
      <c r="G3238" s="1" t="s">
        <v>13520</v>
      </c>
      <c r="H3238" s="1">
        <v>2.0</v>
      </c>
      <c r="I3238" s="2">
        <v>2.0</v>
      </c>
      <c r="J3238" s="2" t="s">
        <v>119</v>
      </c>
      <c r="K3238" s="2" t="s">
        <v>119</v>
      </c>
      <c r="L3238" s="2" t="s">
        <v>4799</v>
      </c>
      <c r="M3238" s="1" t="s">
        <v>13521</v>
      </c>
      <c r="N3238" s="1" t="s">
        <v>34</v>
      </c>
      <c r="O3238" s="1" t="s">
        <v>1286</v>
      </c>
      <c r="P3238" s="1" t="s">
        <v>13522</v>
      </c>
      <c r="Q3238" s="3">
        <v>42473.0</v>
      </c>
      <c r="R3238" s="1"/>
      <c r="S3238" s="1"/>
      <c r="T3238" s="1" t="s">
        <v>37</v>
      </c>
      <c r="U3238" s="1"/>
      <c r="V3238" s="1" t="s">
        <v>38</v>
      </c>
      <c r="W3238" s="1">
        <v>43.7176913</v>
      </c>
      <c r="X3238" s="1">
        <v>-72.4667524</v>
      </c>
      <c r="Y3238" s="1" t="s">
        <v>13523</v>
      </c>
      <c r="Z3238" s="1"/>
      <c r="AA3238" s="1" t="s">
        <v>40</v>
      </c>
      <c r="AB3238" s="1" t="s">
        <v>13524</v>
      </c>
      <c r="AC3238" s="1">
        <v>5053.0</v>
      </c>
    </row>
    <row r="3239">
      <c r="A3239" s="1" t="str">
        <f>"0008X8"</f>
        <v>0008X8</v>
      </c>
      <c r="B3239" s="1" t="s">
        <v>5477</v>
      </c>
      <c r="C3239" s="1" t="s">
        <v>5478</v>
      </c>
      <c r="D3239" s="1" t="str">
        <f>"8024823193"</f>
        <v>8024823193</v>
      </c>
      <c r="E3239" s="1">
        <v>3426.0</v>
      </c>
      <c r="F3239" s="1" t="s">
        <v>117</v>
      </c>
      <c r="G3239" s="1" t="s">
        <v>13525</v>
      </c>
      <c r="H3239" s="1">
        <v>14.0</v>
      </c>
      <c r="I3239" s="2">
        <v>7.0</v>
      </c>
      <c r="J3239" s="2">
        <v>7.0</v>
      </c>
      <c r="K3239" s="2" t="s">
        <v>119</v>
      </c>
      <c r="L3239" s="1"/>
      <c r="M3239" s="1" t="s">
        <v>13526</v>
      </c>
      <c r="N3239" s="1" t="s">
        <v>57</v>
      </c>
      <c r="O3239" s="1" t="s">
        <v>1633</v>
      </c>
      <c r="P3239" s="1" t="s">
        <v>13527</v>
      </c>
      <c r="Q3239" s="3">
        <v>42473.0</v>
      </c>
      <c r="R3239" s="1"/>
      <c r="S3239" s="1"/>
      <c r="T3239" s="1" t="s">
        <v>37</v>
      </c>
      <c r="U3239" s="1"/>
      <c r="V3239" s="1" t="s">
        <v>38</v>
      </c>
      <c r="W3239" s="1">
        <v>44.3098476</v>
      </c>
      <c r="X3239" s="1">
        <v>-73.2609928</v>
      </c>
      <c r="Y3239" s="1" t="s">
        <v>13437</v>
      </c>
      <c r="Z3239" s="1"/>
      <c r="AA3239" s="1" t="s">
        <v>40</v>
      </c>
      <c r="AB3239" s="1" t="s">
        <v>1634</v>
      </c>
      <c r="AC3239" s="1">
        <v>5445.0</v>
      </c>
    </row>
    <row r="3240">
      <c r="A3240" s="1" t="str">
        <f>"000VJ4"</f>
        <v>000VJ4</v>
      </c>
      <c r="B3240" s="1" t="s">
        <v>13528</v>
      </c>
      <c r="C3240" s="1" t="s">
        <v>13529</v>
      </c>
      <c r="D3240" s="1" t="str">
        <f>"4134985748"</f>
        <v>4134985748</v>
      </c>
      <c r="E3240" s="1">
        <v>4946.0</v>
      </c>
      <c r="F3240" s="1" t="s">
        <v>117</v>
      </c>
      <c r="G3240" s="1" t="s">
        <v>13530</v>
      </c>
      <c r="H3240" s="1">
        <v>6.0</v>
      </c>
      <c r="I3240" s="2">
        <v>2.0</v>
      </c>
      <c r="J3240" s="2">
        <v>2.0</v>
      </c>
      <c r="K3240" s="2" t="s">
        <v>829</v>
      </c>
      <c r="L3240" s="1"/>
      <c r="M3240" s="1">
        <v>1.0</v>
      </c>
      <c r="N3240" s="1" t="s">
        <v>66</v>
      </c>
      <c r="O3240" s="1" t="s">
        <v>73</v>
      </c>
      <c r="P3240" s="1" t="s">
        <v>13531</v>
      </c>
      <c r="Q3240" s="3">
        <v>42473.0</v>
      </c>
      <c r="R3240" s="1"/>
      <c r="S3240" s="1"/>
      <c r="T3240" s="1" t="s">
        <v>37</v>
      </c>
      <c r="U3240" s="1"/>
      <c r="V3240" s="1" t="s">
        <v>38</v>
      </c>
      <c r="W3240" s="1">
        <v>42.8492208</v>
      </c>
      <c r="X3240" s="1">
        <v>-72.7255488999999</v>
      </c>
      <c r="Y3240" s="1" t="s">
        <v>13532</v>
      </c>
      <c r="Z3240" s="1"/>
      <c r="AA3240" s="1" t="s">
        <v>40</v>
      </c>
      <c r="AB3240" s="1" t="s">
        <v>74</v>
      </c>
      <c r="AC3240" s="1">
        <v>5344.0</v>
      </c>
    </row>
    <row r="3241">
      <c r="A3241" s="1" t="str">
        <f>"000BXY"</f>
        <v>000BXY</v>
      </c>
      <c r="B3241" s="1" t="s">
        <v>13533</v>
      </c>
      <c r="C3241" s="1" t="s">
        <v>13534</v>
      </c>
      <c r="D3241" s="1" t="str">
        <f>"8024547747"</f>
        <v>8024547747</v>
      </c>
      <c r="E3241" s="1">
        <v>4947.0</v>
      </c>
      <c r="F3241" s="1" t="s">
        <v>117</v>
      </c>
      <c r="G3241" s="1" t="s">
        <v>13535</v>
      </c>
      <c r="H3241" s="1">
        <v>1.0</v>
      </c>
      <c r="I3241" s="2" t="s">
        <v>119</v>
      </c>
      <c r="J3241" s="2">
        <v>1.0</v>
      </c>
      <c r="K3241" s="2" t="s">
        <v>119</v>
      </c>
      <c r="L3241" s="2" t="s">
        <v>1261</v>
      </c>
      <c r="M3241" s="1">
        <v>1.0</v>
      </c>
      <c r="N3241" s="1" t="s">
        <v>135</v>
      </c>
      <c r="O3241" s="1" t="s">
        <v>1073</v>
      </c>
      <c r="P3241" s="1" t="s">
        <v>13536</v>
      </c>
      <c r="Q3241" s="3">
        <v>42473.0</v>
      </c>
      <c r="R3241" s="1"/>
      <c r="S3241" s="1"/>
      <c r="T3241" s="1" t="s">
        <v>37</v>
      </c>
      <c r="U3241" s="1"/>
      <c r="V3241" s="1" t="s">
        <v>38</v>
      </c>
      <c r="W3241" s="1">
        <v>44.279064</v>
      </c>
      <c r="X3241" s="1">
        <v>-72.3909989</v>
      </c>
      <c r="Y3241" s="1" t="s">
        <v>13537</v>
      </c>
      <c r="Z3241" s="1"/>
      <c r="AA3241" s="1" t="s">
        <v>40</v>
      </c>
      <c r="AB3241" s="1" t="s">
        <v>1075</v>
      </c>
      <c r="AC3241" s="1">
        <v>5667.0</v>
      </c>
    </row>
    <row r="3242">
      <c r="A3242" s="1" t="str">
        <f>"00081M"</f>
        <v>00081M</v>
      </c>
      <c r="B3242" s="1" t="s">
        <v>2327</v>
      </c>
      <c r="C3242" s="1" t="s">
        <v>2328</v>
      </c>
      <c r="D3242" s="1" t="str">
        <f>"8024967150"</f>
        <v>8024967150</v>
      </c>
      <c r="E3242" s="1">
        <v>3481.0</v>
      </c>
      <c r="F3242" s="1" t="s">
        <v>117</v>
      </c>
      <c r="G3242" s="1" t="s">
        <v>13538</v>
      </c>
      <c r="H3242" s="1">
        <v>5.0</v>
      </c>
      <c r="I3242" s="2">
        <v>4.0</v>
      </c>
      <c r="J3242" s="2">
        <v>3.0</v>
      </c>
      <c r="K3242" s="2" t="s">
        <v>119</v>
      </c>
      <c r="L3242" s="2" t="s">
        <v>13539</v>
      </c>
      <c r="M3242" s="1" t="s">
        <v>13540</v>
      </c>
      <c r="N3242" s="1" t="s">
        <v>135</v>
      </c>
      <c r="O3242" s="1"/>
      <c r="P3242" s="1" t="s">
        <v>13541</v>
      </c>
      <c r="Q3242" s="3">
        <v>37035.0</v>
      </c>
      <c r="R3242" s="1"/>
      <c r="S3242" s="3">
        <v>42480.0</v>
      </c>
      <c r="T3242" s="1" t="s">
        <v>37</v>
      </c>
      <c r="U3242" s="1"/>
      <c r="V3242" s="1" t="s">
        <v>9944</v>
      </c>
      <c r="W3242" s="1">
        <v>44.2281323350386</v>
      </c>
      <c r="X3242" s="1">
        <v>-72.7538453042507</v>
      </c>
      <c r="Y3242" s="1" t="s">
        <v>13542</v>
      </c>
      <c r="Z3242" s="1"/>
      <c r="AA3242" s="1" t="s">
        <v>40</v>
      </c>
      <c r="AB3242" s="1" t="s">
        <v>2332</v>
      </c>
      <c r="AC3242" s="1">
        <v>5660.0</v>
      </c>
    </row>
    <row r="3243">
      <c r="A3243" s="1" t="str">
        <f>"000VKC"</f>
        <v>000VKC</v>
      </c>
      <c r="B3243" s="1" t="s">
        <v>13543</v>
      </c>
      <c r="C3243" s="1" t="s">
        <v>13544</v>
      </c>
      <c r="D3243" s="1" t="str">
        <f>"8028999927"</f>
        <v>8028999927</v>
      </c>
      <c r="E3243" s="1">
        <v>4948.0</v>
      </c>
      <c r="F3243" s="1" t="s">
        <v>117</v>
      </c>
      <c r="G3243" s="1" t="s">
        <v>13545</v>
      </c>
      <c r="H3243" s="1">
        <v>2.0</v>
      </c>
      <c r="I3243" s="2">
        <v>4.0</v>
      </c>
      <c r="J3243" s="2">
        <v>4.0</v>
      </c>
      <c r="K3243" s="2" t="s">
        <v>119</v>
      </c>
      <c r="L3243" s="1"/>
      <c r="M3243" s="1">
        <v>1.0</v>
      </c>
      <c r="N3243" s="1" t="s">
        <v>57</v>
      </c>
      <c r="O3243" s="1" t="s">
        <v>58</v>
      </c>
      <c r="P3243" s="1" t="s">
        <v>13546</v>
      </c>
      <c r="Q3243" s="3">
        <v>42481.0</v>
      </c>
      <c r="R3243" s="1"/>
      <c r="S3243" s="1"/>
      <c r="T3243" s="1" t="s">
        <v>37</v>
      </c>
      <c r="U3243" s="1"/>
      <c r="V3243" s="1" t="s">
        <v>38</v>
      </c>
      <c r="W3243" s="1">
        <v>44.5211692</v>
      </c>
      <c r="X3243" s="1">
        <v>-72.9387361</v>
      </c>
      <c r="Y3243" s="1" t="s">
        <v>13547</v>
      </c>
      <c r="Z3243" s="1"/>
      <c r="AA3243" s="1" t="s">
        <v>40</v>
      </c>
      <c r="AB3243" s="1" t="s">
        <v>61</v>
      </c>
      <c r="AC3243" s="1">
        <v>5489.0</v>
      </c>
    </row>
    <row r="3244">
      <c r="A3244" s="1" t="str">
        <f>"000VKG"</f>
        <v>000VKG</v>
      </c>
      <c r="B3244" s="1" t="s">
        <v>13548</v>
      </c>
      <c r="C3244" s="1" t="s">
        <v>13549</v>
      </c>
      <c r="D3244" s="1" t="str">
        <f>"8133858482"</f>
        <v>8133858482</v>
      </c>
      <c r="E3244" s="1">
        <v>4949.0</v>
      </c>
      <c r="F3244" s="1" t="s">
        <v>117</v>
      </c>
      <c r="G3244" s="1" t="s">
        <v>13550</v>
      </c>
      <c r="H3244" s="1">
        <v>2.0</v>
      </c>
      <c r="I3244" s="2" t="s">
        <v>119</v>
      </c>
      <c r="J3244" s="2" t="s">
        <v>119</v>
      </c>
      <c r="K3244" s="2" t="s">
        <v>119</v>
      </c>
      <c r="L3244" s="2" t="s">
        <v>13551</v>
      </c>
      <c r="M3244" s="1"/>
      <c r="N3244" s="1" t="s">
        <v>57</v>
      </c>
      <c r="O3244" s="1"/>
      <c r="P3244" s="1" t="s">
        <v>13552</v>
      </c>
      <c r="Q3244" s="3">
        <v>42487.0</v>
      </c>
      <c r="R3244" s="1"/>
      <c r="S3244" s="1"/>
      <c r="T3244" s="1" t="s">
        <v>37</v>
      </c>
      <c r="U3244" s="1"/>
      <c r="V3244" s="1" t="s">
        <v>38</v>
      </c>
      <c r="W3244" s="1">
        <v>44.4131049999999</v>
      </c>
      <c r="X3244" s="1">
        <v>-73.247704</v>
      </c>
      <c r="Y3244" s="1" t="s">
        <v>13553</v>
      </c>
      <c r="Z3244" s="1"/>
      <c r="AA3244" s="1" t="s">
        <v>40</v>
      </c>
      <c r="AB3244" s="1" t="s">
        <v>239</v>
      </c>
      <c r="AC3244" s="1">
        <v>5482.0</v>
      </c>
    </row>
    <row r="3245">
      <c r="A3245" s="1" t="str">
        <f>"000VM2"</f>
        <v>000VM2</v>
      </c>
      <c r="B3245" s="1" t="s">
        <v>13554</v>
      </c>
      <c r="C3245" s="1" t="s">
        <v>13555</v>
      </c>
      <c r="D3245" s="1" t="str">
        <f>"8028816539"</f>
        <v>8028816539</v>
      </c>
      <c r="E3245" s="1">
        <v>4950.0</v>
      </c>
      <c r="F3245" s="1" t="s">
        <v>117</v>
      </c>
      <c r="G3245" s="1" t="s">
        <v>13556</v>
      </c>
      <c r="H3245" s="1">
        <v>2.0</v>
      </c>
      <c r="I3245" s="2">
        <v>2.0</v>
      </c>
      <c r="J3245" s="2">
        <v>2.0</v>
      </c>
      <c r="K3245" s="2" t="s">
        <v>829</v>
      </c>
      <c r="L3245" s="1"/>
      <c r="M3245" s="1" t="s">
        <v>13557</v>
      </c>
      <c r="N3245" s="1" t="s">
        <v>161</v>
      </c>
      <c r="O3245" s="1" t="s">
        <v>394</v>
      </c>
      <c r="P3245" s="1" t="s">
        <v>13558</v>
      </c>
      <c r="Q3245" s="3">
        <v>42493.0</v>
      </c>
      <c r="R3245" s="1"/>
      <c r="S3245" s="1"/>
      <c r="T3245" s="1" t="s">
        <v>37</v>
      </c>
      <c r="U3245" s="1"/>
      <c r="V3245" s="1" t="s">
        <v>38</v>
      </c>
      <c r="W3245" s="1">
        <v>44.2639471</v>
      </c>
      <c r="X3245" s="1">
        <v>-73.1649568</v>
      </c>
      <c r="Y3245" s="1" t="s">
        <v>13559</v>
      </c>
      <c r="Z3245" s="1"/>
      <c r="AA3245" s="1" t="s">
        <v>40</v>
      </c>
      <c r="AB3245" s="1" t="s">
        <v>395</v>
      </c>
      <c r="AC3245" s="1">
        <v>5469.0</v>
      </c>
    </row>
    <row r="3246">
      <c r="A3246" s="1" t="str">
        <f>"000VM3"</f>
        <v>000VM3</v>
      </c>
      <c r="B3246" s="1" t="s">
        <v>13560</v>
      </c>
      <c r="C3246" s="1" t="s">
        <v>13561</v>
      </c>
      <c r="D3246" s="1" t="str">
        <f>"8025524784"</f>
        <v>8025524784</v>
      </c>
      <c r="E3246" s="1">
        <v>4951.0</v>
      </c>
      <c r="F3246" s="1" t="s">
        <v>117</v>
      </c>
      <c r="G3246" s="1" t="s">
        <v>13562</v>
      </c>
      <c r="H3246" s="1">
        <v>3.0</v>
      </c>
      <c r="I3246" s="2" t="s">
        <v>119</v>
      </c>
      <c r="J3246" s="2">
        <v>3.0</v>
      </c>
      <c r="K3246" s="2" t="s">
        <v>119</v>
      </c>
      <c r="L3246" s="1"/>
      <c r="M3246" s="1" t="s">
        <v>13563</v>
      </c>
      <c r="N3246" s="1" t="s">
        <v>135</v>
      </c>
      <c r="O3246" s="1" t="s">
        <v>136</v>
      </c>
      <c r="P3246" s="1" t="s">
        <v>13564</v>
      </c>
      <c r="Q3246" s="3">
        <v>42493.0</v>
      </c>
      <c r="R3246" s="1"/>
      <c r="S3246" s="1"/>
      <c r="T3246" s="1" t="s">
        <v>37</v>
      </c>
      <c r="U3246" s="1"/>
      <c r="V3246" s="1" t="s">
        <v>38</v>
      </c>
      <c r="W3246" s="1">
        <v>44.1269201</v>
      </c>
      <c r="X3246" s="1">
        <v>-72.6852895999999</v>
      </c>
      <c r="Y3246" s="1" t="s">
        <v>13565</v>
      </c>
      <c r="Z3246" s="1"/>
      <c r="AA3246" s="1" t="s">
        <v>40</v>
      </c>
      <c r="AB3246" s="1" t="s">
        <v>137</v>
      </c>
      <c r="AC3246" s="1">
        <v>5663.0</v>
      </c>
    </row>
    <row r="3247">
      <c r="A3247" s="1" t="str">
        <f>"000VM4"</f>
        <v>000VM4</v>
      </c>
      <c r="B3247" s="1" t="s">
        <v>13566</v>
      </c>
      <c r="C3247" s="1" t="s">
        <v>13567</v>
      </c>
      <c r="D3247" s="1" t="str">
        <f>"8023998787"</f>
        <v>8023998787</v>
      </c>
      <c r="E3247" s="1">
        <v>4952.0</v>
      </c>
      <c r="F3247" s="1" t="s">
        <v>31</v>
      </c>
      <c r="G3247" s="1" t="s">
        <v>13568</v>
      </c>
      <c r="H3247" s="1">
        <v>4.0</v>
      </c>
      <c r="I3247" s="1"/>
      <c r="J3247" s="1"/>
      <c r="K3247" s="1"/>
      <c r="L3247" s="1"/>
      <c r="M3247" s="1" t="s">
        <v>11771</v>
      </c>
      <c r="N3247" s="1" t="s">
        <v>57</v>
      </c>
      <c r="O3247" s="1" t="s">
        <v>155</v>
      </c>
      <c r="P3247" s="1" t="s">
        <v>13569</v>
      </c>
      <c r="Q3247" s="3">
        <v>42493.0</v>
      </c>
      <c r="R3247" s="1"/>
      <c r="S3247" s="1"/>
      <c r="T3247" s="1" t="s">
        <v>37</v>
      </c>
      <c r="U3247" s="1"/>
      <c r="V3247" s="1" t="s">
        <v>38</v>
      </c>
      <c r="W3247" s="1">
        <v>44.635632</v>
      </c>
      <c r="X3247" s="1">
        <v>-73.0203789999999</v>
      </c>
      <c r="Y3247" s="1" t="s">
        <v>13570</v>
      </c>
      <c r="Z3247" s="1"/>
      <c r="AA3247" s="1" t="s">
        <v>40</v>
      </c>
      <c r="AB3247" s="1" t="s">
        <v>156</v>
      </c>
      <c r="AC3247" s="1">
        <v>5494.0</v>
      </c>
    </row>
    <row r="3248">
      <c r="A3248" s="1" t="str">
        <f>"000VM5"</f>
        <v>000VM5</v>
      </c>
      <c r="B3248" s="1" t="s">
        <v>13571</v>
      </c>
      <c r="C3248" s="1" t="s">
        <v>9941</v>
      </c>
      <c r="D3248" s="1" t="str">
        <f>"8028492949"</f>
        <v>8028492949</v>
      </c>
      <c r="E3248" s="1">
        <v>4953.0</v>
      </c>
      <c r="F3248" s="1" t="s">
        <v>117</v>
      </c>
      <c r="G3248" s="1" t="s">
        <v>13572</v>
      </c>
      <c r="H3248" s="1">
        <v>3.0</v>
      </c>
      <c r="I3248" s="2">
        <v>4.0</v>
      </c>
      <c r="J3248" s="2">
        <v>2.0</v>
      </c>
      <c r="K3248" s="2" t="s">
        <v>119</v>
      </c>
      <c r="L3248" s="2" t="s">
        <v>13573</v>
      </c>
      <c r="M3248" s="1" t="s">
        <v>13574</v>
      </c>
      <c r="N3248" s="1" t="s">
        <v>47</v>
      </c>
      <c r="O3248" s="1" t="s">
        <v>378</v>
      </c>
      <c r="P3248" s="1" t="s">
        <v>13575</v>
      </c>
      <c r="Q3248" s="3">
        <v>42493.0</v>
      </c>
      <c r="R3248" s="1"/>
      <c r="S3248" s="1"/>
      <c r="T3248" s="1" t="s">
        <v>37</v>
      </c>
      <c r="U3248" s="1"/>
      <c r="V3248" s="1" t="s">
        <v>38</v>
      </c>
      <c r="W3248" s="1">
        <v>44.733462</v>
      </c>
      <c r="X3248" s="1">
        <v>-73.03259</v>
      </c>
      <c r="Y3248" s="1" t="s">
        <v>9945</v>
      </c>
      <c r="Z3248" s="1"/>
      <c r="AA3248" s="1" t="s">
        <v>40</v>
      </c>
      <c r="AB3248" s="1" t="s">
        <v>381</v>
      </c>
      <c r="AC3248" s="1">
        <v>5454.0</v>
      </c>
    </row>
    <row r="3249">
      <c r="A3249" s="1" t="str">
        <f>"000VD2"</f>
        <v>000VD2</v>
      </c>
      <c r="B3249" s="1" t="s">
        <v>13576</v>
      </c>
      <c r="C3249" s="1" t="s">
        <v>13577</v>
      </c>
      <c r="D3249" s="1" t="str">
        <f>"9288483429"</f>
        <v>9288483429</v>
      </c>
      <c r="E3249" s="1">
        <v>4954.0</v>
      </c>
      <c r="F3249" s="1" t="s">
        <v>44</v>
      </c>
      <c r="G3249" s="1" t="s">
        <v>13578</v>
      </c>
      <c r="H3249" s="1">
        <v>2.0</v>
      </c>
      <c r="I3249" s="1"/>
      <c r="J3249" s="1"/>
      <c r="K3249" s="1"/>
      <c r="L3249" s="1"/>
      <c r="M3249" s="1" t="s">
        <v>13579</v>
      </c>
      <c r="N3249" s="1" t="s">
        <v>34</v>
      </c>
      <c r="O3249" s="1" t="s">
        <v>642</v>
      </c>
      <c r="P3249" s="1"/>
      <c r="Q3249" s="3">
        <v>42494.0</v>
      </c>
      <c r="R3249" s="1"/>
      <c r="S3249" s="1"/>
      <c r="T3249" s="1" t="s">
        <v>37</v>
      </c>
      <c r="U3249" s="1"/>
      <c r="V3249" s="1" t="s">
        <v>38</v>
      </c>
      <c r="W3249" s="1"/>
      <c r="X3249" s="1"/>
      <c r="Y3249" s="1" t="s">
        <v>7097</v>
      </c>
      <c r="Z3249" s="1"/>
      <c r="AA3249" s="1" t="s">
        <v>40</v>
      </c>
      <c r="AB3249" s="1" t="s">
        <v>643</v>
      </c>
      <c r="AC3249" s="1">
        <v>5156.0</v>
      </c>
    </row>
    <row r="3250">
      <c r="A3250" s="1" t="str">
        <f>"000VMZ"</f>
        <v>000VMZ</v>
      </c>
      <c r="B3250" s="1" t="s">
        <v>13580</v>
      </c>
      <c r="C3250" s="1" t="s">
        <v>13581</v>
      </c>
      <c r="D3250" s="1" t="str">
        <f>"2035560552"</f>
        <v>2035560552</v>
      </c>
      <c r="E3250" s="1">
        <v>4955.0</v>
      </c>
      <c r="F3250" s="1" t="s">
        <v>31</v>
      </c>
      <c r="G3250" s="1" t="s">
        <v>13582</v>
      </c>
      <c r="H3250" s="1">
        <v>1.0</v>
      </c>
      <c r="I3250" s="1"/>
      <c r="J3250" s="1"/>
      <c r="K3250" s="1"/>
      <c r="L3250" s="1"/>
      <c r="M3250" s="1" t="s">
        <v>33</v>
      </c>
      <c r="N3250" s="1" t="s">
        <v>414</v>
      </c>
      <c r="O3250" s="1" t="s">
        <v>13583</v>
      </c>
      <c r="P3250" s="1" t="s">
        <v>845</v>
      </c>
      <c r="Q3250" s="3">
        <v>42503.0</v>
      </c>
      <c r="R3250" s="1"/>
      <c r="S3250" s="1"/>
      <c r="T3250" s="1" t="s">
        <v>37</v>
      </c>
      <c r="U3250" s="1"/>
      <c r="V3250" s="1" t="s">
        <v>38</v>
      </c>
      <c r="W3250" s="1">
        <v>42.7718758</v>
      </c>
      <c r="X3250" s="1">
        <v>-72.9470426</v>
      </c>
      <c r="Y3250" s="1" t="s">
        <v>2083</v>
      </c>
      <c r="Z3250" s="1"/>
      <c r="AA3250" s="1" t="s">
        <v>40</v>
      </c>
      <c r="AB3250" s="1" t="s">
        <v>13584</v>
      </c>
      <c r="AC3250" s="1">
        <v>5350.0</v>
      </c>
    </row>
    <row r="3251">
      <c r="A3251" s="1" t="str">
        <f>"000VN4"</f>
        <v>000VN4</v>
      </c>
      <c r="B3251" s="1" t="s">
        <v>13585</v>
      </c>
      <c r="C3251" s="1" t="s">
        <v>13586</v>
      </c>
      <c r="D3251" s="1" t="str">
        <f>"6318739070"</f>
        <v>6318739070</v>
      </c>
      <c r="E3251" s="1">
        <v>4956.0</v>
      </c>
      <c r="F3251" s="1" t="s">
        <v>117</v>
      </c>
      <c r="G3251" s="1" t="s">
        <v>13587</v>
      </c>
      <c r="H3251" s="1">
        <v>2.0</v>
      </c>
      <c r="I3251" s="2" t="s">
        <v>119</v>
      </c>
      <c r="J3251" s="2" t="s">
        <v>119</v>
      </c>
      <c r="K3251" s="2" t="s">
        <v>119</v>
      </c>
      <c r="L3251" s="1"/>
      <c r="M3251" s="1" t="s">
        <v>13588</v>
      </c>
      <c r="N3251" s="1" t="s">
        <v>66</v>
      </c>
      <c r="O3251" s="1" t="s">
        <v>2346</v>
      </c>
      <c r="P3251" s="1" t="s">
        <v>13589</v>
      </c>
      <c r="Q3251" s="3">
        <v>42503.0</v>
      </c>
      <c r="R3251" s="1"/>
      <c r="S3251" s="1"/>
      <c r="T3251" s="1" t="s">
        <v>37</v>
      </c>
      <c r="U3251" s="1"/>
      <c r="V3251" s="1" t="s">
        <v>38</v>
      </c>
      <c r="W3251" s="1">
        <v>42.83313</v>
      </c>
      <c r="X3251" s="1">
        <v>-72.6414399999999</v>
      </c>
      <c r="Y3251" s="1" t="s">
        <v>13590</v>
      </c>
      <c r="Z3251" s="1"/>
      <c r="AA3251" s="1" t="s">
        <v>40</v>
      </c>
      <c r="AB3251" s="1" t="s">
        <v>2349</v>
      </c>
      <c r="AC3251" s="1">
        <v>5301.0</v>
      </c>
    </row>
    <row r="3252">
      <c r="A3252" s="1" t="str">
        <f>"000VNF"</f>
        <v>000VNF</v>
      </c>
      <c r="B3252" s="1" t="s">
        <v>13591</v>
      </c>
      <c r="C3252" s="1" t="s">
        <v>13592</v>
      </c>
      <c r="D3252" s="1" t="str">
        <f>"8024463148"</f>
        <v>8024463148</v>
      </c>
      <c r="E3252" s="1">
        <v>4957.0</v>
      </c>
      <c r="F3252" s="1" t="s">
        <v>117</v>
      </c>
      <c r="G3252" s="1" t="s">
        <v>13593</v>
      </c>
      <c r="H3252" s="1">
        <v>2.0</v>
      </c>
      <c r="I3252" s="2">
        <v>0.0</v>
      </c>
      <c r="J3252" s="2">
        <v>0.0</v>
      </c>
      <c r="K3252" s="2" t="s">
        <v>119</v>
      </c>
      <c r="L3252" s="2" t="s">
        <v>13594</v>
      </c>
      <c r="M3252" s="1" t="s">
        <v>13595</v>
      </c>
      <c r="N3252" s="1" t="s">
        <v>78</v>
      </c>
      <c r="O3252" s="1" t="s">
        <v>2872</v>
      </c>
      <c r="P3252" s="1" t="s">
        <v>13596</v>
      </c>
      <c r="Q3252" s="3">
        <v>42506.0</v>
      </c>
      <c r="R3252" s="1"/>
      <c r="S3252" s="3">
        <v>42580.0</v>
      </c>
      <c r="T3252" s="1" t="s">
        <v>37</v>
      </c>
      <c r="U3252" s="1"/>
      <c r="V3252" s="1" t="s">
        <v>38</v>
      </c>
      <c r="W3252" s="1">
        <v>43.4133457967369</v>
      </c>
      <c r="X3252" s="1">
        <v>-73.0484470590818</v>
      </c>
      <c r="Y3252" s="1" t="s">
        <v>13597</v>
      </c>
      <c r="Z3252" s="1"/>
      <c r="AA3252" s="1" t="s">
        <v>40</v>
      </c>
      <c r="AB3252" s="1" t="s">
        <v>2875</v>
      </c>
      <c r="AC3252" s="1">
        <v>5773.0</v>
      </c>
    </row>
    <row r="3253">
      <c r="A3253" s="1" t="str">
        <f>"000VNG"</f>
        <v>000VNG</v>
      </c>
      <c r="B3253" s="1" t="s">
        <v>13598</v>
      </c>
      <c r="C3253" s="1" t="s">
        <v>13599</v>
      </c>
      <c r="D3253" s="1" t="str">
        <f>"8025785821"</f>
        <v>8025785821</v>
      </c>
      <c r="E3253" s="1">
        <v>4958.0</v>
      </c>
      <c r="F3253" s="1" t="s">
        <v>117</v>
      </c>
      <c r="G3253" s="1" t="s">
        <v>13600</v>
      </c>
      <c r="H3253" s="1">
        <v>1.0</v>
      </c>
      <c r="I3253" s="2" t="s">
        <v>119</v>
      </c>
      <c r="J3253" s="2" t="s">
        <v>119</v>
      </c>
      <c r="K3253" s="2" t="s">
        <v>119</v>
      </c>
      <c r="L3253" s="1"/>
      <c r="M3253" s="1" t="s">
        <v>13601</v>
      </c>
      <c r="N3253" s="1" t="s">
        <v>135</v>
      </c>
      <c r="O3253" s="1" t="s">
        <v>775</v>
      </c>
      <c r="P3253" s="1" t="s">
        <v>13602</v>
      </c>
      <c r="Q3253" s="3">
        <v>42506.0</v>
      </c>
      <c r="R3253" s="1"/>
      <c r="S3253" s="1"/>
      <c r="T3253" s="1" t="s">
        <v>37</v>
      </c>
      <c r="U3253" s="1"/>
      <c r="V3253" s="1" t="s">
        <v>38</v>
      </c>
      <c r="W3253" s="1">
        <v>44.3760058</v>
      </c>
      <c r="X3253" s="1">
        <v>-72.7218626</v>
      </c>
      <c r="Y3253" s="1" t="s">
        <v>13603</v>
      </c>
      <c r="Z3253" s="1"/>
      <c r="AA3253" s="1" t="s">
        <v>40</v>
      </c>
      <c r="AB3253" s="1" t="s">
        <v>3755</v>
      </c>
      <c r="AC3253" s="1">
        <v>5677.0</v>
      </c>
    </row>
    <row r="3254">
      <c r="A3254" s="1" t="str">
        <f>"000VNJ"</f>
        <v>000VNJ</v>
      </c>
      <c r="B3254" s="1" t="s">
        <v>13604</v>
      </c>
      <c r="C3254" s="1" t="s">
        <v>13605</v>
      </c>
      <c r="D3254" s="1" t="str">
        <f>"6034544426"</f>
        <v>6034544426</v>
      </c>
      <c r="E3254" s="1">
        <v>4959.0</v>
      </c>
      <c r="F3254" s="1" t="s">
        <v>117</v>
      </c>
      <c r="G3254" s="1" t="s">
        <v>13606</v>
      </c>
      <c r="H3254" s="1">
        <v>3.0</v>
      </c>
      <c r="I3254" s="2" t="s">
        <v>119</v>
      </c>
      <c r="J3254" s="2">
        <v>3.0</v>
      </c>
      <c r="K3254" s="2" t="s">
        <v>119</v>
      </c>
      <c r="L3254" s="1"/>
      <c r="M3254" s="1" t="s">
        <v>13607</v>
      </c>
      <c r="N3254" s="1" t="s">
        <v>128</v>
      </c>
      <c r="O3254" s="1" t="s">
        <v>194</v>
      </c>
      <c r="P3254" s="1" t="s">
        <v>3944</v>
      </c>
      <c r="Q3254" s="3">
        <v>42506.0</v>
      </c>
      <c r="R3254" s="1"/>
      <c r="S3254" s="1"/>
      <c r="T3254" s="1" t="s">
        <v>37</v>
      </c>
      <c r="U3254" s="1"/>
      <c r="V3254" s="1" t="s">
        <v>38</v>
      </c>
      <c r="W3254" s="1">
        <v>44.3393181</v>
      </c>
      <c r="X3254" s="1">
        <v>-72.1177415999999</v>
      </c>
      <c r="Y3254" s="1" t="s">
        <v>13608</v>
      </c>
      <c r="Z3254" s="1"/>
      <c r="AA3254" s="1" t="s">
        <v>40</v>
      </c>
      <c r="AB3254" s="1" t="s">
        <v>3698</v>
      </c>
      <c r="AC3254" s="1">
        <v>5821.0</v>
      </c>
    </row>
    <row r="3255">
      <c r="A3255" s="1" t="str">
        <f t="shared" ref="A3255:A3257" si="264">"0007DJ"</f>
        <v>0007DJ</v>
      </c>
      <c r="B3255" s="1" t="s">
        <v>5582</v>
      </c>
      <c r="C3255" s="1" t="s">
        <v>5583</v>
      </c>
      <c r="D3255" s="1" t="str">
        <f t="shared" ref="D3255:D3257" si="265">"8023494279"</f>
        <v>8023494279</v>
      </c>
      <c r="E3255" s="1">
        <v>2870.0</v>
      </c>
      <c r="F3255" s="1" t="s">
        <v>117</v>
      </c>
      <c r="G3255" s="1" t="s">
        <v>13609</v>
      </c>
      <c r="H3255" s="1">
        <v>1.0</v>
      </c>
      <c r="I3255" s="2">
        <v>1.0</v>
      </c>
      <c r="J3255" s="2">
        <v>1.0</v>
      </c>
      <c r="K3255" s="2" t="s">
        <v>119</v>
      </c>
      <c r="L3255" s="1"/>
      <c r="M3255" s="1" t="s">
        <v>33</v>
      </c>
      <c r="N3255" s="1" t="s">
        <v>161</v>
      </c>
      <c r="O3255" s="1" t="s">
        <v>943</v>
      </c>
      <c r="P3255" s="1" t="s">
        <v>13610</v>
      </c>
      <c r="Q3255" s="3">
        <v>42509.0</v>
      </c>
      <c r="R3255" s="1"/>
      <c r="S3255" s="1"/>
      <c r="T3255" s="1" t="s">
        <v>37</v>
      </c>
      <c r="U3255" s="1"/>
      <c r="V3255" s="1" t="s">
        <v>38</v>
      </c>
      <c r="W3255" s="1">
        <v>44.5588028</v>
      </c>
      <c r="X3255" s="1">
        <v>-72.5778414999999</v>
      </c>
      <c r="Y3255" s="1" t="s">
        <v>2083</v>
      </c>
      <c r="Z3255" s="1"/>
      <c r="AA3255" s="1" t="s">
        <v>40</v>
      </c>
      <c r="AB3255" s="1" t="s">
        <v>945</v>
      </c>
      <c r="AC3255" s="1">
        <v>5753.0</v>
      </c>
    </row>
    <row r="3256">
      <c r="A3256" s="1" t="str">
        <f t="shared" si="264"/>
        <v>0007DJ</v>
      </c>
      <c r="B3256" s="1" t="s">
        <v>5582</v>
      </c>
      <c r="C3256" s="1" t="s">
        <v>5583</v>
      </c>
      <c r="D3256" s="1" t="str">
        <f t="shared" si="265"/>
        <v>8023494279</v>
      </c>
      <c r="E3256" s="1">
        <v>2870.0</v>
      </c>
      <c r="F3256" s="1" t="s">
        <v>117</v>
      </c>
      <c r="G3256" s="1" t="s">
        <v>13611</v>
      </c>
      <c r="H3256" s="1">
        <v>30.0</v>
      </c>
      <c r="I3256" s="1"/>
      <c r="J3256" s="1"/>
      <c r="K3256" s="1"/>
      <c r="L3256" s="1"/>
      <c r="M3256" s="1" t="s">
        <v>13612</v>
      </c>
      <c r="N3256" s="1" t="s">
        <v>161</v>
      </c>
      <c r="O3256" s="1"/>
      <c r="P3256" s="1" t="s">
        <v>13613</v>
      </c>
      <c r="Q3256" s="3">
        <v>42509.0</v>
      </c>
      <c r="R3256" s="1"/>
      <c r="S3256" s="3">
        <v>42551.0</v>
      </c>
      <c r="T3256" s="1" t="s">
        <v>37</v>
      </c>
      <c r="U3256" s="1">
        <v>180.0</v>
      </c>
      <c r="V3256" s="1" t="s">
        <v>38</v>
      </c>
      <c r="W3256" s="1">
        <v>44.1484172425771</v>
      </c>
      <c r="X3256" s="1">
        <v>-73.1702810525894</v>
      </c>
      <c r="Y3256" s="1" t="s">
        <v>13614</v>
      </c>
      <c r="Z3256" s="1"/>
      <c r="AA3256" s="1" t="s">
        <v>40</v>
      </c>
      <c r="AB3256" s="1" t="s">
        <v>186</v>
      </c>
      <c r="AC3256" s="1">
        <v>5472.0</v>
      </c>
    </row>
    <row r="3257">
      <c r="A3257" s="1" t="str">
        <f t="shared" si="264"/>
        <v>0007DJ</v>
      </c>
      <c r="B3257" s="1" t="s">
        <v>5582</v>
      </c>
      <c r="C3257" s="1" t="s">
        <v>5583</v>
      </c>
      <c r="D3257" s="1" t="str">
        <f t="shared" si="265"/>
        <v>8023494279</v>
      </c>
      <c r="E3257" s="1">
        <v>2870.0</v>
      </c>
      <c r="F3257" s="1" t="s">
        <v>117</v>
      </c>
      <c r="G3257" s="1" t="s">
        <v>13615</v>
      </c>
      <c r="H3257" s="1">
        <v>6.0</v>
      </c>
      <c r="I3257" s="2">
        <v>9.0</v>
      </c>
      <c r="J3257" s="2">
        <v>7.0</v>
      </c>
      <c r="K3257" s="2" t="s">
        <v>119</v>
      </c>
      <c r="L3257" s="1"/>
      <c r="M3257" s="1" t="s">
        <v>13616</v>
      </c>
      <c r="N3257" s="1" t="s">
        <v>161</v>
      </c>
      <c r="O3257" s="1" t="s">
        <v>943</v>
      </c>
      <c r="P3257" s="1" t="s">
        <v>13617</v>
      </c>
      <c r="Q3257" s="3">
        <v>42509.0</v>
      </c>
      <c r="R3257" s="1"/>
      <c r="S3257" s="1"/>
      <c r="T3257" s="1" t="s">
        <v>37</v>
      </c>
      <c r="U3257" s="1"/>
      <c r="V3257" s="1" t="s">
        <v>38</v>
      </c>
      <c r="W3257" s="1">
        <v>44.0153371</v>
      </c>
      <c r="X3257" s="1">
        <v>-73.1673399999999</v>
      </c>
      <c r="Y3257" s="1" t="s">
        <v>2083</v>
      </c>
      <c r="Z3257" s="1"/>
      <c r="AA3257" s="1" t="s">
        <v>40</v>
      </c>
      <c r="AB3257" s="1" t="s">
        <v>945</v>
      </c>
      <c r="AC3257" s="1">
        <v>5753.0</v>
      </c>
    </row>
    <row r="3258">
      <c r="A3258" s="1" t="str">
        <f>"000VQF"</f>
        <v>000VQF</v>
      </c>
      <c r="B3258" s="1" t="s">
        <v>13618</v>
      </c>
      <c r="C3258" s="1" t="s">
        <v>13619</v>
      </c>
      <c r="D3258" s="1" t="str">
        <f>"8024984780"</f>
        <v>8024984780</v>
      </c>
      <c r="E3258" s="1">
        <v>4960.0</v>
      </c>
      <c r="F3258" s="1" t="s">
        <v>31</v>
      </c>
      <c r="G3258" s="1" t="s">
        <v>13620</v>
      </c>
      <c r="H3258" s="1">
        <v>1.0</v>
      </c>
      <c r="I3258" s="1"/>
      <c r="J3258" s="1"/>
      <c r="K3258" s="1"/>
      <c r="L3258" s="1"/>
      <c r="M3258" s="1" t="s">
        <v>33</v>
      </c>
      <c r="N3258" s="1" t="s">
        <v>135</v>
      </c>
      <c r="O3258" s="1" t="s">
        <v>3116</v>
      </c>
      <c r="P3258" s="1" t="s">
        <v>13621</v>
      </c>
      <c r="Q3258" s="3">
        <v>42513.0</v>
      </c>
      <c r="R3258" s="1"/>
      <c r="S3258" s="1"/>
      <c r="T3258" s="1" t="s">
        <v>37</v>
      </c>
      <c r="U3258" s="1"/>
      <c r="V3258" s="1" t="s">
        <v>38</v>
      </c>
      <c r="W3258" s="1">
        <v>44.380424</v>
      </c>
      <c r="X3258" s="1">
        <v>-72.489983</v>
      </c>
      <c r="Y3258" s="1" t="s">
        <v>13622</v>
      </c>
      <c r="Z3258" s="1"/>
      <c r="AA3258" s="1" t="s">
        <v>40</v>
      </c>
      <c r="AB3258" s="1" t="s">
        <v>9760</v>
      </c>
      <c r="AC3258" s="1">
        <v>5648.0</v>
      </c>
    </row>
    <row r="3259">
      <c r="A3259" s="1" t="str">
        <f>"000VQQ"</f>
        <v>000VQQ</v>
      </c>
      <c r="B3259" s="1" t="s">
        <v>13623</v>
      </c>
      <c r="C3259" s="1" t="s">
        <v>13624</v>
      </c>
      <c r="D3259" s="1" t="str">
        <f>"8027283698"</f>
        <v>8027283698</v>
      </c>
      <c r="E3259" s="1">
        <v>4961.0</v>
      </c>
      <c r="F3259" s="1" t="s">
        <v>117</v>
      </c>
      <c r="G3259" s="1" t="s">
        <v>13625</v>
      </c>
      <c r="H3259" s="1">
        <v>2.0</v>
      </c>
      <c r="I3259" s="2">
        <v>2.0</v>
      </c>
      <c r="J3259" s="2">
        <v>1.0</v>
      </c>
      <c r="K3259" s="2" t="s">
        <v>119</v>
      </c>
      <c r="L3259" s="2" t="s">
        <v>13626</v>
      </c>
      <c r="M3259" s="1" t="s">
        <v>13627</v>
      </c>
      <c r="N3259" s="1" t="s">
        <v>142</v>
      </c>
      <c r="O3259" s="1" t="s">
        <v>353</v>
      </c>
      <c r="P3259" s="1" t="s">
        <v>13628</v>
      </c>
      <c r="Q3259" s="3">
        <v>42514.0</v>
      </c>
      <c r="R3259" s="1"/>
      <c r="S3259" s="1"/>
      <c r="T3259" s="1" t="s">
        <v>37</v>
      </c>
      <c r="U3259" s="1"/>
      <c r="V3259" s="1" t="s">
        <v>38</v>
      </c>
      <c r="W3259" s="1">
        <v>44.0503577</v>
      </c>
      <c r="X3259" s="1">
        <v>-72.6548080999999</v>
      </c>
      <c r="Y3259" s="1" t="s">
        <v>13629</v>
      </c>
      <c r="Z3259" s="1"/>
      <c r="AA3259" s="1" t="s">
        <v>40</v>
      </c>
      <c r="AB3259" s="1" t="s">
        <v>13630</v>
      </c>
      <c r="AC3259" s="1">
        <v>5060.0</v>
      </c>
    </row>
    <row r="3260">
      <c r="A3260" s="1" t="str">
        <f>"000VV3"</f>
        <v>000VV3</v>
      </c>
      <c r="B3260" s="1" t="s">
        <v>13631</v>
      </c>
      <c r="C3260" s="1" t="s">
        <v>13632</v>
      </c>
      <c r="D3260" s="1" t="str">
        <f>"8024962364"</f>
        <v>8024962364</v>
      </c>
      <c r="E3260" s="1">
        <v>4962.0</v>
      </c>
      <c r="F3260" s="1" t="s">
        <v>117</v>
      </c>
      <c r="G3260" s="1" t="s">
        <v>13633</v>
      </c>
      <c r="H3260" s="1">
        <v>1.0</v>
      </c>
      <c r="I3260" s="2">
        <v>2.0</v>
      </c>
      <c r="J3260" s="2">
        <v>1.0</v>
      </c>
      <c r="K3260" s="2" t="s">
        <v>119</v>
      </c>
      <c r="L3260" s="1"/>
      <c r="M3260" s="1" t="s">
        <v>13634</v>
      </c>
      <c r="N3260" s="1" t="s">
        <v>135</v>
      </c>
      <c r="O3260" s="1" t="s">
        <v>440</v>
      </c>
      <c r="P3260" s="1" t="s">
        <v>13635</v>
      </c>
      <c r="Q3260" s="3">
        <v>42514.0</v>
      </c>
      <c r="R3260" s="1"/>
      <c r="S3260" s="1"/>
      <c r="T3260" s="1" t="s">
        <v>37</v>
      </c>
      <c r="U3260" s="1"/>
      <c r="V3260" s="1" t="s">
        <v>38</v>
      </c>
      <c r="W3260" s="1">
        <v>44.170506</v>
      </c>
      <c r="X3260" s="1">
        <v>-72.8134989</v>
      </c>
      <c r="Y3260" s="1" t="s">
        <v>13636</v>
      </c>
      <c r="Z3260" s="1"/>
      <c r="AA3260" s="1" t="s">
        <v>40</v>
      </c>
      <c r="AB3260" s="1" t="s">
        <v>441</v>
      </c>
      <c r="AC3260" s="1">
        <v>5673.0</v>
      </c>
    </row>
    <row r="3261">
      <c r="A3261" s="1" t="str">
        <f>"000VV4"</f>
        <v>000VV4</v>
      </c>
      <c r="B3261" s="1" t="s">
        <v>13637</v>
      </c>
      <c r="C3261" s="1" t="s">
        <v>13638</v>
      </c>
      <c r="D3261" s="1" t="str">
        <f>"8022256011"</f>
        <v>8022256011</v>
      </c>
      <c r="E3261" s="1">
        <v>4963.0</v>
      </c>
      <c r="F3261" s="1" t="s">
        <v>117</v>
      </c>
      <c r="G3261" s="1" t="s">
        <v>13639</v>
      </c>
      <c r="H3261" s="1">
        <v>2.0</v>
      </c>
      <c r="I3261" s="2">
        <v>1.0</v>
      </c>
      <c r="J3261" s="2">
        <v>1.0</v>
      </c>
      <c r="K3261" s="2" t="s">
        <v>829</v>
      </c>
      <c r="L3261" s="1"/>
      <c r="M3261" s="1" t="s">
        <v>13640</v>
      </c>
      <c r="N3261" s="1" t="s">
        <v>135</v>
      </c>
      <c r="O3261" s="1" t="s">
        <v>1142</v>
      </c>
      <c r="P3261" s="1" t="s">
        <v>13641</v>
      </c>
      <c r="Q3261" s="3">
        <v>42514.0</v>
      </c>
      <c r="R3261" s="1"/>
      <c r="S3261" s="1"/>
      <c r="T3261" s="1" t="s">
        <v>37</v>
      </c>
      <c r="U3261" s="1"/>
      <c r="V3261" s="1" t="s">
        <v>38</v>
      </c>
      <c r="W3261" s="1">
        <v>44.270291</v>
      </c>
      <c r="X3261" s="1">
        <v>-72.582922</v>
      </c>
      <c r="Y3261" s="1" t="s">
        <v>13642</v>
      </c>
      <c r="Z3261" s="1"/>
      <c r="AA3261" s="1" t="s">
        <v>40</v>
      </c>
      <c r="AB3261" s="1" t="s">
        <v>1145</v>
      </c>
      <c r="AC3261" s="1">
        <v>5602.0</v>
      </c>
    </row>
    <row r="3262">
      <c r="A3262" s="1" t="str">
        <f>"0008GB"</f>
        <v>0008GB</v>
      </c>
      <c r="B3262" s="1" t="s">
        <v>5299</v>
      </c>
      <c r="C3262" s="1" t="s">
        <v>5300</v>
      </c>
      <c r="D3262" s="1" t="str">
        <f>"8029482615"</f>
        <v>8029482615</v>
      </c>
      <c r="E3262" s="1">
        <v>2706.0</v>
      </c>
      <c r="F3262" s="1" t="s">
        <v>117</v>
      </c>
      <c r="G3262" s="1" t="s">
        <v>13643</v>
      </c>
      <c r="H3262" s="1">
        <v>15.0</v>
      </c>
      <c r="I3262" s="2">
        <v>0.0</v>
      </c>
      <c r="J3262" s="2">
        <v>0.0</v>
      </c>
      <c r="K3262" s="2" t="s">
        <v>119</v>
      </c>
      <c r="L3262" s="1"/>
      <c r="M3262" s="1">
        <v>4.0</v>
      </c>
      <c r="N3262" s="1" t="s">
        <v>78</v>
      </c>
      <c r="O3262" s="1" t="s">
        <v>2574</v>
      </c>
      <c r="P3262" s="1" t="s">
        <v>13256</v>
      </c>
      <c r="Q3262" s="3">
        <v>42515.0</v>
      </c>
      <c r="R3262" s="1"/>
      <c r="S3262" s="1"/>
      <c r="T3262" s="1" t="s">
        <v>37</v>
      </c>
      <c r="U3262" s="1"/>
      <c r="V3262" s="1" t="s">
        <v>38</v>
      </c>
      <c r="W3262" s="1">
        <v>43.7832</v>
      </c>
      <c r="X3262" s="1">
        <v>-73.0803416659999</v>
      </c>
      <c r="Y3262" s="1" t="s">
        <v>13644</v>
      </c>
      <c r="Z3262" s="1"/>
      <c r="AA3262" s="1" t="s">
        <v>40</v>
      </c>
      <c r="AB3262" s="1" t="s">
        <v>13645</v>
      </c>
      <c r="AC3262" s="1">
        <v>12921.0</v>
      </c>
    </row>
    <row r="3263">
      <c r="A3263" s="1" t="str">
        <f>"000VV7"</f>
        <v>000VV7</v>
      </c>
      <c r="B3263" s="1" t="s">
        <v>13646</v>
      </c>
      <c r="C3263" s="1" t="s">
        <v>13647</v>
      </c>
      <c r="D3263" s="1" t="str">
        <f>"8028887800"</f>
        <v>8028887800</v>
      </c>
      <c r="E3263" s="1">
        <v>4964.0</v>
      </c>
      <c r="F3263" s="1" t="s">
        <v>117</v>
      </c>
      <c r="G3263" s="1" t="s">
        <v>13648</v>
      </c>
      <c r="H3263" s="1">
        <v>2.0</v>
      </c>
      <c r="I3263" s="1"/>
      <c r="J3263" s="1"/>
      <c r="K3263" s="1"/>
      <c r="L3263" s="1"/>
      <c r="M3263" s="1" t="s">
        <v>33</v>
      </c>
      <c r="N3263" s="1" t="s">
        <v>213</v>
      </c>
      <c r="O3263" s="1" t="s">
        <v>625</v>
      </c>
      <c r="P3263" s="1" t="s">
        <v>13649</v>
      </c>
      <c r="Q3263" s="3">
        <v>42515.0</v>
      </c>
      <c r="R3263" s="1"/>
      <c r="S3263" s="1"/>
      <c r="T3263" s="1" t="s">
        <v>37</v>
      </c>
      <c r="U3263" s="1"/>
      <c r="V3263" s="1" t="s">
        <v>38</v>
      </c>
      <c r="W3263" s="1">
        <v>44.595135</v>
      </c>
      <c r="X3263" s="1">
        <v>-72.5540849999999</v>
      </c>
      <c r="Y3263" s="1" t="s">
        <v>13650</v>
      </c>
      <c r="Z3263" s="1"/>
      <c r="AA3263" s="1" t="s">
        <v>40</v>
      </c>
      <c r="AB3263" s="1" t="s">
        <v>626</v>
      </c>
      <c r="AC3263" s="1">
        <v>5655.0</v>
      </c>
    </row>
    <row r="3264">
      <c r="A3264" s="1" t="str">
        <f>"000VV8"</f>
        <v>000VV8</v>
      </c>
      <c r="B3264" s="1" t="s">
        <v>13651</v>
      </c>
      <c r="C3264" s="1" t="s">
        <v>13652</v>
      </c>
      <c r="D3264" s="1"/>
      <c r="E3264" s="1">
        <v>4965.0</v>
      </c>
      <c r="F3264" s="1" t="s">
        <v>117</v>
      </c>
      <c r="G3264" s="1" t="s">
        <v>13653</v>
      </c>
      <c r="H3264" s="1">
        <v>2.0</v>
      </c>
      <c r="I3264" s="2">
        <v>2.0</v>
      </c>
      <c r="J3264" s="2">
        <v>2.0</v>
      </c>
      <c r="K3264" s="2" t="s">
        <v>119</v>
      </c>
      <c r="L3264" s="1"/>
      <c r="M3264" s="1" t="s">
        <v>13654</v>
      </c>
      <c r="N3264" s="1" t="s">
        <v>66</v>
      </c>
      <c r="O3264" s="1" t="s">
        <v>1199</v>
      </c>
      <c r="P3264" s="1" t="s">
        <v>13655</v>
      </c>
      <c r="Q3264" s="3">
        <v>42515.0</v>
      </c>
      <c r="R3264" s="1"/>
      <c r="S3264" s="3">
        <v>42858.0</v>
      </c>
      <c r="T3264" s="1" t="s">
        <v>37</v>
      </c>
      <c r="U3264" s="1"/>
      <c r="V3264" s="1" t="s">
        <v>38</v>
      </c>
      <c r="W3264" s="1">
        <v>43.142479</v>
      </c>
      <c r="X3264" s="1">
        <v>-72.506027</v>
      </c>
      <c r="Y3264" s="1" t="s">
        <v>13656</v>
      </c>
      <c r="Z3264" s="1"/>
      <c r="AA3264" s="1" t="s">
        <v>40</v>
      </c>
      <c r="AB3264" s="1" t="s">
        <v>1200</v>
      </c>
      <c r="AC3264" s="1">
        <v>5154.0</v>
      </c>
    </row>
    <row r="3265">
      <c r="A3265" s="1" t="str">
        <f>"000VVB"</f>
        <v>000VVB</v>
      </c>
      <c r="B3265" s="1" t="s">
        <v>13657</v>
      </c>
      <c r="C3265" s="1" t="s">
        <v>13658</v>
      </c>
      <c r="D3265" s="1" t="str">
        <f>"8022473197"</f>
        <v>8022473197</v>
      </c>
      <c r="E3265" s="1">
        <v>4966.0</v>
      </c>
      <c r="F3265" s="1" t="s">
        <v>117</v>
      </c>
      <c r="G3265" s="1" t="s">
        <v>13659</v>
      </c>
      <c r="H3265" s="1">
        <v>1.0</v>
      </c>
      <c r="I3265" s="2">
        <v>1.0</v>
      </c>
      <c r="J3265" s="2">
        <v>1.0</v>
      </c>
      <c r="K3265" s="2" t="s">
        <v>119</v>
      </c>
      <c r="L3265" s="1"/>
      <c r="M3265" s="1" t="s">
        <v>13660</v>
      </c>
      <c r="N3265" s="1" t="s">
        <v>161</v>
      </c>
      <c r="O3265" s="1" t="s">
        <v>1501</v>
      </c>
      <c r="P3265" s="1" t="s">
        <v>13661</v>
      </c>
      <c r="Q3265" s="3">
        <v>42515.0</v>
      </c>
      <c r="R3265" s="1"/>
      <c r="S3265" s="1"/>
      <c r="T3265" s="1" t="s">
        <v>37</v>
      </c>
      <c r="U3265" s="1"/>
      <c r="V3265" s="1" t="s">
        <v>38</v>
      </c>
      <c r="W3265" s="1">
        <v>43.8769719999999</v>
      </c>
      <c r="X3265" s="1">
        <v>-73.097778</v>
      </c>
      <c r="Y3265" s="1" t="s">
        <v>13662</v>
      </c>
      <c r="Z3265" s="1"/>
      <c r="AA3265" s="1" t="s">
        <v>40</v>
      </c>
      <c r="AB3265" s="1" t="s">
        <v>1504</v>
      </c>
      <c r="AC3265" s="1">
        <v>5733.0</v>
      </c>
    </row>
    <row r="3266">
      <c r="A3266" s="1" t="str">
        <f>"000VVD"</f>
        <v>000VVD</v>
      </c>
      <c r="B3266" s="1" t="s">
        <v>13663</v>
      </c>
      <c r="C3266" s="1" t="s">
        <v>13664</v>
      </c>
      <c r="D3266" s="1" t="str">
        <f>"8023248082"</f>
        <v>8023248082</v>
      </c>
      <c r="E3266" s="1">
        <v>4967.0</v>
      </c>
      <c r="F3266" s="1" t="s">
        <v>117</v>
      </c>
      <c r="G3266" s="1" t="s">
        <v>13665</v>
      </c>
      <c r="H3266" s="1">
        <v>1.0</v>
      </c>
      <c r="I3266" s="2">
        <v>2.0</v>
      </c>
      <c r="J3266" s="2">
        <v>2.0</v>
      </c>
      <c r="K3266" s="2" t="s">
        <v>829</v>
      </c>
      <c r="L3266" s="1"/>
      <c r="M3266" s="1" t="s">
        <v>13666</v>
      </c>
      <c r="N3266" s="1" t="s">
        <v>49</v>
      </c>
      <c r="O3266" s="1"/>
      <c r="P3266" s="1" t="s">
        <v>13667</v>
      </c>
      <c r="Q3266" s="3">
        <v>42516.0</v>
      </c>
      <c r="R3266" s="1"/>
      <c r="S3266" s="1"/>
      <c r="T3266" s="1" t="s">
        <v>37</v>
      </c>
      <c r="U3266" s="1"/>
      <c r="V3266" s="1" t="s">
        <v>38</v>
      </c>
      <c r="W3266" s="1">
        <v>44.683619</v>
      </c>
      <c r="X3266" s="1">
        <v>-73.1741</v>
      </c>
      <c r="Y3266" s="1" t="s">
        <v>13668</v>
      </c>
      <c r="Z3266" s="1"/>
      <c r="AA3266" s="1" t="s">
        <v>40</v>
      </c>
      <c r="AB3266" s="1" t="s">
        <v>257</v>
      </c>
      <c r="AC3266" s="1">
        <v>5468.0</v>
      </c>
    </row>
    <row r="3267">
      <c r="A3267" s="1" t="str">
        <f>"000VVF"</f>
        <v>000VVF</v>
      </c>
      <c r="B3267" s="1" t="s">
        <v>13669</v>
      </c>
      <c r="C3267" s="1" t="s">
        <v>13670</v>
      </c>
      <c r="D3267" s="1" t="str">
        <f>"8026588557"</f>
        <v>8026588557</v>
      </c>
      <c r="E3267" s="1">
        <v>4968.0</v>
      </c>
      <c r="F3267" s="1" t="s">
        <v>31</v>
      </c>
      <c r="G3267" s="1" t="s">
        <v>13671</v>
      </c>
      <c r="H3267" s="1">
        <v>2.0</v>
      </c>
      <c r="I3267" s="1"/>
      <c r="J3267" s="1"/>
      <c r="K3267" s="1"/>
      <c r="L3267" s="1"/>
      <c r="M3267" s="1" t="s">
        <v>33</v>
      </c>
      <c r="N3267" s="1" t="s">
        <v>57</v>
      </c>
      <c r="O3267" s="1" t="s">
        <v>559</v>
      </c>
      <c r="P3267" s="1" t="s">
        <v>13672</v>
      </c>
      <c r="Q3267" s="3">
        <v>42516.0</v>
      </c>
      <c r="R3267" s="1"/>
      <c r="S3267" s="1"/>
      <c r="T3267" s="1" t="s">
        <v>37</v>
      </c>
      <c r="U3267" s="1"/>
      <c r="V3267" s="1" t="s">
        <v>38</v>
      </c>
      <c r="W3267" s="1">
        <v>44.5443019999999</v>
      </c>
      <c r="X3267" s="1">
        <v>-73.226988</v>
      </c>
      <c r="Y3267" s="1" t="s">
        <v>13673</v>
      </c>
      <c r="Z3267" s="1"/>
      <c r="AA3267" s="1" t="s">
        <v>40</v>
      </c>
      <c r="AB3267" s="1" t="s">
        <v>560</v>
      </c>
      <c r="AC3267" s="1">
        <v>5446.0</v>
      </c>
    </row>
    <row r="3268">
      <c r="A3268" s="1" t="str">
        <f>"0008GQ"</f>
        <v>0008GQ</v>
      </c>
      <c r="B3268" s="1" t="s">
        <v>3445</v>
      </c>
      <c r="C3268" s="1" t="s">
        <v>3446</v>
      </c>
      <c r="D3268" s="1" t="str">
        <f>"8025243805"</f>
        <v>8025243805</v>
      </c>
      <c r="E3268" s="1">
        <v>4017.0</v>
      </c>
      <c r="F3268" s="1" t="s">
        <v>117</v>
      </c>
      <c r="G3268" s="1" t="s">
        <v>13674</v>
      </c>
      <c r="H3268" s="1">
        <v>1.0</v>
      </c>
      <c r="I3268" s="2" t="s">
        <v>119</v>
      </c>
      <c r="J3268" s="2">
        <v>1.0</v>
      </c>
      <c r="K3268" s="2" t="s">
        <v>119</v>
      </c>
      <c r="L3268" s="1"/>
      <c r="M3268" s="1">
        <v>8.0</v>
      </c>
      <c r="N3268" s="1" t="s">
        <v>57</v>
      </c>
      <c r="O3268" s="1" t="s">
        <v>256</v>
      </c>
      <c r="P3268" s="1" t="s">
        <v>13675</v>
      </c>
      <c r="Q3268" s="3">
        <v>42516.0</v>
      </c>
      <c r="R3268" s="1"/>
      <c r="S3268" s="1"/>
      <c r="T3268" s="1" t="s">
        <v>37</v>
      </c>
      <c r="U3268" s="1"/>
      <c r="V3268" s="1" t="s">
        <v>38</v>
      </c>
      <c r="W3268" s="1">
        <v>44.656185</v>
      </c>
      <c r="X3268" s="1">
        <v>-73.200596</v>
      </c>
      <c r="Y3268" s="1" t="s">
        <v>13676</v>
      </c>
      <c r="Z3268" s="1"/>
      <c r="AA3268" s="1" t="s">
        <v>40</v>
      </c>
      <c r="AB3268" s="1" t="s">
        <v>257</v>
      </c>
      <c r="AC3268" s="1">
        <v>5468.0</v>
      </c>
    </row>
    <row r="3269">
      <c r="A3269" s="1" t="str">
        <f>"000VVJ"</f>
        <v>000VVJ</v>
      </c>
      <c r="B3269" s="1" t="s">
        <v>13677</v>
      </c>
      <c r="C3269" s="1" t="s">
        <v>13678</v>
      </c>
      <c r="D3269" s="1"/>
      <c r="E3269" s="1">
        <v>4971.0</v>
      </c>
      <c r="F3269" s="1" t="s">
        <v>117</v>
      </c>
      <c r="G3269" s="1" t="s">
        <v>13679</v>
      </c>
      <c r="H3269" s="1">
        <v>1.0</v>
      </c>
      <c r="I3269" s="2" t="s">
        <v>119</v>
      </c>
      <c r="J3269" s="2">
        <v>1.0</v>
      </c>
      <c r="K3269" s="2" t="s">
        <v>119</v>
      </c>
      <c r="L3269" s="1"/>
      <c r="M3269" s="1">
        <v>1.0</v>
      </c>
      <c r="N3269" s="1" t="s">
        <v>47</v>
      </c>
      <c r="O3269" s="1" t="s">
        <v>2753</v>
      </c>
      <c r="P3269" s="1" t="s">
        <v>13680</v>
      </c>
      <c r="Q3269" s="3">
        <v>42516.0</v>
      </c>
      <c r="R3269" s="1"/>
      <c r="S3269" s="1"/>
      <c r="T3269" s="1" t="s">
        <v>37</v>
      </c>
      <c r="U3269" s="1"/>
      <c r="V3269" s="1" t="s">
        <v>38</v>
      </c>
      <c r="W3269" s="1">
        <v>44.813768</v>
      </c>
      <c r="X3269" s="1">
        <v>-73.094596</v>
      </c>
      <c r="Y3269" s="1" t="s">
        <v>13681</v>
      </c>
      <c r="Z3269" s="1"/>
      <c r="AA3269" s="1" t="s">
        <v>40</v>
      </c>
      <c r="AB3269" s="1" t="s">
        <v>11003</v>
      </c>
      <c r="AC3269" s="1">
        <v>5478.0</v>
      </c>
    </row>
    <row r="3270">
      <c r="A3270" s="1" t="str">
        <f>"000VVK"</f>
        <v>000VVK</v>
      </c>
      <c r="B3270" s="1" t="s">
        <v>13682</v>
      </c>
      <c r="C3270" s="1" t="s">
        <v>13683</v>
      </c>
      <c r="D3270" s="1" t="str">
        <f>"8026243111"</f>
        <v>8026243111</v>
      </c>
      <c r="E3270" s="1">
        <v>4972.0</v>
      </c>
      <c r="F3270" s="1" t="s">
        <v>44</v>
      </c>
      <c r="G3270" s="1" t="s">
        <v>13684</v>
      </c>
      <c r="H3270" s="1">
        <v>1.0</v>
      </c>
      <c r="I3270" s="1"/>
      <c r="J3270" s="1"/>
      <c r="K3270" s="1"/>
      <c r="L3270" s="1"/>
      <c r="M3270" s="1" t="s">
        <v>13685</v>
      </c>
      <c r="N3270" s="1" t="s">
        <v>94</v>
      </c>
      <c r="O3270" s="1" t="s">
        <v>300</v>
      </c>
      <c r="P3270" s="1" t="s">
        <v>13686</v>
      </c>
      <c r="Q3270" s="3">
        <v>42516.0</v>
      </c>
      <c r="R3270" s="1"/>
      <c r="S3270" s="1"/>
      <c r="T3270" s="1" t="s">
        <v>37</v>
      </c>
      <c r="U3270" s="1"/>
      <c r="V3270" s="1" t="s">
        <v>38</v>
      </c>
      <c r="W3270" s="1">
        <v>44.990276</v>
      </c>
      <c r="X3270" s="1">
        <v>-72.2713999999999</v>
      </c>
      <c r="Y3270" s="1" t="s">
        <v>13687</v>
      </c>
      <c r="Z3270" s="1"/>
      <c r="AA3270" s="1" t="s">
        <v>40</v>
      </c>
      <c r="AB3270" s="1" t="s">
        <v>303</v>
      </c>
      <c r="AC3270" s="1">
        <v>5857.0</v>
      </c>
    </row>
    <row r="3271">
      <c r="A3271" s="1" t="str">
        <f>"0007G1"</f>
        <v>0007G1</v>
      </c>
      <c r="B3271" s="1" t="s">
        <v>732</v>
      </c>
      <c r="C3271" s="1" t="s">
        <v>733</v>
      </c>
      <c r="D3271" s="1" t="str">
        <f>"8027286521"</f>
        <v>8027286521</v>
      </c>
      <c r="E3271" s="1">
        <v>3113.0</v>
      </c>
      <c r="F3271" s="1" t="s">
        <v>44</v>
      </c>
      <c r="G3271" s="1" t="s">
        <v>13688</v>
      </c>
      <c r="H3271" s="1">
        <v>4.0</v>
      </c>
      <c r="I3271" s="2">
        <v>4.0</v>
      </c>
      <c r="J3271" s="2">
        <v>4.0</v>
      </c>
      <c r="K3271" s="2" t="s">
        <v>119</v>
      </c>
      <c r="L3271" s="1"/>
      <c r="M3271" s="1" t="s">
        <v>13689</v>
      </c>
      <c r="N3271" s="1" t="s">
        <v>57</v>
      </c>
      <c r="O3271" s="1" t="s">
        <v>503</v>
      </c>
      <c r="P3271" s="1" t="s">
        <v>13689</v>
      </c>
      <c r="Q3271" s="3">
        <v>42517.0</v>
      </c>
      <c r="R3271" s="1"/>
      <c r="S3271" s="1"/>
      <c r="T3271" s="1" t="s">
        <v>37</v>
      </c>
      <c r="U3271" s="1"/>
      <c r="V3271" s="1" t="s">
        <v>38</v>
      </c>
      <c r="W3271" s="1">
        <v>44.4199686</v>
      </c>
      <c r="X3271" s="1">
        <v>-73.1932448999999</v>
      </c>
      <c r="Y3271" s="1" t="s">
        <v>13690</v>
      </c>
      <c r="Z3271" s="1"/>
      <c r="AA3271" s="1" t="s">
        <v>40</v>
      </c>
      <c r="AB3271" s="1" t="s">
        <v>5195</v>
      </c>
      <c r="AC3271" s="1">
        <v>5403.0</v>
      </c>
    </row>
    <row r="3272">
      <c r="A3272" s="1" t="str">
        <f t="shared" ref="A3272:A3273" si="266">"000VVN"</f>
        <v>000VVN</v>
      </c>
      <c r="B3272" s="1" t="s">
        <v>13691</v>
      </c>
      <c r="C3272" s="1" t="s">
        <v>13692</v>
      </c>
      <c r="D3272" s="1" t="str">
        <f t="shared" ref="D3272:D3273" si="267">"8023564322"</f>
        <v>8023564322</v>
      </c>
      <c r="E3272" s="1">
        <v>4973.0</v>
      </c>
      <c r="F3272" s="1" t="s">
        <v>117</v>
      </c>
      <c r="G3272" s="1" t="s">
        <v>13693</v>
      </c>
      <c r="H3272" s="1">
        <v>0.0</v>
      </c>
      <c r="I3272" s="1"/>
      <c r="J3272" s="1"/>
      <c r="K3272" s="1"/>
      <c r="L3272" s="1"/>
      <c r="M3272" s="1">
        <v>1.0</v>
      </c>
      <c r="N3272" s="1" t="s">
        <v>34</v>
      </c>
      <c r="O3272" s="1" t="s">
        <v>642</v>
      </c>
      <c r="P3272" s="1" t="s">
        <v>13694</v>
      </c>
      <c r="Q3272" s="3">
        <v>42517.0</v>
      </c>
      <c r="R3272" s="1"/>
      <c r="S3272" s="1"/>
      <c r="T3272" s="1" t="s">
        <v>37</v>
      </c>
      <c r="U3272" s="1"/>
      <c r="V3272" s="1" t="s">
        <v>38</v>
      </c>
      <c r="W3272" s="1">
        <v>43.2984078</v>
      </c>
      <c r="X3272" s="1">
        <v>-72.4823116999999</v>
      </c>
      <c r="Y3272" s="1" t="s">
        <v>2083</v>
      </c>
      <c r="Z3272" s="1"/>
      <c r="AA3272" s="1" t="s">
        <v>40</v>
      </c>
      <c r="AB3272" s="1" t="s">
        <v>643</v>
      </c>
      <c r="AC3272" s="1">
        <v>5156.0</v>
      </c>
    </row>
    <row r="3273">
      <c r="A3273" s="1" t="str">
        <f t="shared" si="266"/>
        <v>000VVN</v>
      </c>
      <c r="B3273" s="1" t="s">
        <v>13691</v>
      </c>
      <c r="C3273" s="1" t="s">
        <v>13692</v>
      </c>
      <c r="D3273" s="1" t="str">
        <f t="shared" si="267"/>
        <v>8023564322</v>
      </c>
      <c r="E3273" s="1">
        <v>4973.0</v>
      </c>
      <c r="F3273" s="1" t="s">
        <v>117</v>
      </c>
      <c r="G3273" s="1" t="s">
        <v>13695</v>
      </c>
      <c r="H3273" s="1">
        <v>3.0</v>
      </c>
      <c r="I3273" s="2" t="s">
        <v>119</v>
      </c>
      <c r="J3273" s="2">
        <v>5.0</v>
      </c>
      <c r="K3273" s="2" t="s">
        <v>119</v>
      </c>
      <c r="L3273" s="1"/>
      <c r="M3273" s="1" t="s">
        <v>13696</v>
      </c>
      <c r="N3273" s="1" t="s">
        <v>34</v>
      </c>
      <c r="O3273" s="1" t="s">
        <v>642</v>
      </c>
      <c r="P3273" s="1" t="s">
        <v>13697</v>
      </c>
      <c r="Q3273" s="3">
        <v>42517.0</v>
      </c>
      <c r="R3273" s="1"/>
      <c r="S3273" s="1"/>
      <c r="T3273" s="1" t="s">
        <v>37</v>
      </c>
      <c r="U3273" s="1"/>
      <c r="V3273" s="1" t="s">
        <v>38</v>
      </c>
      <c r="W3273" s="1">
        <v>43.255035</v>
      </c>
      <c r="X3273" s="1">
        <v>-72.476044</v>
      </c>
      <c r="Y3273" s="1" t="s">
        <v>13698</v>
      </c>
      <c r="Z3273" s="1"/>
      <c r="AA3273" s="1" t="s">
        <v>40</v>
      </c>
      <c r="AB3273" s="1" t="s">
        <v>643</v>
      </c>
      <c r="AC3273" s="1">
        <v>5156.0</v>
      </c>
    </row>
    <row r="3274">
      <c r="A3274" s="1" t="str">
        <f>"000VVP"</f>
        <v>000VVP</v>
      </c>
      <c r="B3274" s="1" t="s">
        <v>13699</v>
      </c>
      <c r="C3274" s="1" t="s">
        <v>13700</v>
      </c>
      <c r="D3274" s="1" t="str">
        <f>"8027481096"</f>
        <v>8027481096</v>
      </c>
      <c r="E3274" s="1">
        <v>4974.0</v>
      </c>
      <c r="F3274" s="1" t="s">
        <v>31</v>
      </c>
      <c r="G3274" s="1" t="s">
        <v>13701</v>
      </c>
      <c r="H3274" s="1">
        <v>1.0</v>
      </c>
      <c r="I3274" s="1"/>
      <c r="J3274" s="1"/>
      <c r="K3274" s="1"/>
      <c r="L3274" s="1"/>
      <c r="M3274" s="1">
        <v>1.0</v>
      </c>
      <c r="N3274" s="1" t="s">
        <v>128</v>
      </c>
      <c r="O3274" s="1" t="s">
        <v>6806</v>
      </c>
      <c r="P3274" s="1" t="s">
        <v>13702</v>
      </c>
      <c r="Q3274" s="3">
        <v>42517.0</v>
      </c>
      <c r="R3274" s="1"/>
      <c r="S3274" s="1"/>
      <c r="T3274" s="1" t="s">
        <v>37</v>
      </c>
      <c r="U3274" s="1"/>
      <c r="V3274" s="1" t="s">
        <v>38</v>
      </c>
      <c r="W3274" s="1">
        <v>44.345383</v>
      </c>
      <c r="X3274" s="1">
        <v>-71.8732569999999</v>
      </c>
      <c r="Y3274" s="1" t="s">
        <v>13703</v>
      </c>
      <c r="Z3274" s="1"/>
      <c r="AA3274" s="1" t="s">
        <v>40</v>
      </c>
      <c r="AB3274" s="1" t="s">
        <v>6808</v>
      </c>
      <c r="AC3274" s="1">
        <v>5819.0</v>
      </c>
    </row>
    <row r="3275">
      <c r="A3275" s="1" t="str">
        <f>"000VVX"</f>
        <v>000VVX</v>
      </c>
      <c r="B3275" s="1" t="s">
        <v>13704</v>
      </c>
      <c r="C3275" s="1" t="s">
        <v>13705</v>
      </c>
      <c r="D3275" s="1" t="str">
        <f>"8024854136"</f>
        <v>8024854136</v>
      </c>
      <c r="E3275" s="1">
        <v>4975.0</v>
      </c>
      <c r="F3275" s="1" t="s">
        <v>117</v>
      </c>
      <c r="G3275" s="1" t="s">
        <v>13706</v>
      </c>
      <c r="H3275" s="1">
        <v>2.0</v>
      </c>
      <c r="I3275" s="2">
        <v>2.0</v>
      </c>
      <c r="J3275" s="2">
        <v>1.0</v>
      </c>
      <c r="K3275" s="2" t="s">
        <v>119</v>
      </c>
      <c r="L3275" s="1"/>
      <c r="M3275" s="1" t="s">
        <v>33</v>
      </c>
      <c r="N3275" s="1" t="s">
        <v>135</v>
      </c>
      <c r="O3275" s="1" t="s">
        <v>136</v>
      </c>
      <c r="P3275" s="1" t="s">
        <v>13707</v>
      </c>
      <c r="Q3275" s="3">
        <v>42517.0</v>
      </c>
      <c r="R3275" s="1"/>
      <c r="S3275" s="1"/>
      <c r="T3275" s="1" t="s">
        <v>37</v>
      </c>
      <c r="U3275" s="1"/>
      <c r="V3275" s="1" t="s">
        <v>38</v>
      </c>
      <c r="W3275" s="1"/>
      <c r="X3275" s="1"/>
      <c r="Y3275" s="1" t="s">
        <v>13708</v>
      </c>
      <c r="Z3275" s="1"/>
      <c r="AA3275" s="1" t="s">
        <v>40</v>
      </c>
      <c r="AB3275" s="1" t="s">
        <v>137</v>
      </c>
      <c r="AC3275" s="1">
        <v>5663.0</v>
      </c>
    </row>
    <row r="3276">
      <c r="A3276" s="1" t="str">
        <f>"000VVY"</f>
        <v>000VVY</v>
      </c>
      <c r="B3276" s="1" t="s">
        <v>13709</v>
      </c>
      <c r="C3276" s="1" t="s">
        <v>13710</v>
      </c>
      <c r="D3276" s="1" t="str">
        <f>"8022295259"</f>
        <v>8022295259</v>
      </c>
      <c r="E3276" s="1">
        <v>4976.0</v>
      </c>
      <c r="F3276" s="1" t="s">
        <v>117</v>
      </c>
      <c r="G3276" s="1" t="s">
        <v>13711</v>
      </c>
      <c r="H3276" s="1">
        <v>2.0</v>
      </c>
      <c r="I3276" s="2" t="s">
        <v>119</v>
      </c>
      <c r="J3276" s="2" t="s">
        <v>119</v>
      </c>
      <c r="K3276" s="2" t="s">
        <v>119</v>
      </c>
      <c r="L3276" s="1"/>
      <c r="M3276" s="1">
        <v>1.0</v>
      </c>
      <c r="N3276" s="1" t="s">
        <v>135</v>
      </c>
      <c r="O3276" s="1" t="s">
        <v>1142</v>
      </c>
      <c r="P3276" s="1" t="s">
        <v>13712</v>
      </c>
      <c r="Q3276" s="3">
        <v>42517.0</v>
      </c>
      <c r="R3276" s="1"/>
      <c r="S3276" s="3">
        <v>42760.0</v>
      </c>
      <c r="T3276" s="1" t="s">
        <v>37</v>
      </c>
      <c r="U3276" s="1"/>
      <c r="V3276" s="1" t="s">
        <v>38</v>
      </c>
      <c r="W3276" s="1">
        <v>44.2724677</v>
      </c>
      <c r="X3276" s="1">
        <v>-72.6443209</v>
      </c>
      <c r="Y3276" s="1" t="s">
        <v>13713</v>
      </c>
      <c r="Z3276" s="1"/>
      <c r="AA3276" s="1" t="s">
        <v>40</v>
      </c>
      <c r="AB3276" s="1" t="s">
        <v>1145</v>
      </c>
      <c r="AC3276" s="1">
        <v>5620.0</v>
      </c>
    </row>
    <row r="3277">
      <c r="A3277" s="1" t="str">
        <f>"000VVZ"</f>
        <v>000VVZ</v>
      </c>
      <c r="B3277" s="1" t="s">
        <v>13714</v>
      </c>
      <c r="C3277" s="1" t="s">
        <v>13715</v>
      </c>
      <c r="D3277" s="1" t="str">
        <f>"8022294985"</f>
        <v>8022294985</v>
      </c>
      <c r="E3277" s="1">
        <v>4977.0</v>
      </c>
      <c r="F3277" s="1" t="s">
        <v>44</v>
      </c>
      <c r="G3277" s="1" t="s">
        <v>13716</v>
      </c>
      <c r="H3277" s="1">
        <v>2.0</v>
      </c>
      <c r="I3277" s="2" t="s">
        <v>119</v>
      </c>
      <c r="J3277" s="2" t="s">
        <v>119</v>
      </c>
      <c r="K3277" s="2" t="s">
        <v>119</v>
      </c>
      <c r="L3277" s="1"/>
      <c r="M3277" s="1" t="s">
        <v>11748</v>
      </c>
      <c r="N3277" s="1" t="s">
        <v>135</v>
      </c>
      <c r="O3277" s="1" t="s">
        <v>3116</v>
      </c>
      <c r="P3277" s="1" t="s">
        <v>13717</v>
      </c>
      <c r="Q3277" s="3">
        <v>42517.0</v>
      </c>
      <c r="R3277" s="1"/>
      <c r="S3277" s="1"/>
      <c r="T3277" s="1" t="s">
        <v>37</v>
      </c>
      <c r="U3277" s="1"/>
      <c r="V3277" s="1" t="s">
        <v>38</v>
      </c>
      <c r="W3277" s="1"/>
      <c r="X3277" s="1"/>
      <c r="Y3277" s="1" t="s">
        <v>13718</v>
      </c>
      <c r="Z3277" s="1"/>
      <c r="AA3277" s="1" t="s">
        <v>40</v>
      </c>
      <c r="AB3277" s="1" t="s">
        <v>9760</v>
      </c>
      <c r="AC3277" s="1">
        <v>5648.0</v>
      </c>
    </row>
    <row r="3278">
      <c r="A3278" s="1" t="str">
        <f>"000VW0"</f>
        <v>000VW0</v>
      </c>
      <c r="B3278" s="1" t="s">
        <v>13719</v>
      </c>
      <c r="C3278" s="1" t="s">
        <v>13720</v>
      </c>
      <c r="D3278" s="1" t="str">
        <f>"3606355878"</f>
        <v>3606355878</v>
      </c>
      <c r="E3278" s="1">
        <v>4978.0</v>
      </c>
      <c r="F3278" s="1" t="s">
        <v>117</v>
      </c>
      <c r="G3278" s="1" t="s">
        <v>13721</v>
      </c>
      <c r="H3278" s="1">
        <v>2.0</v>
      </c>
      <c r="I3278" s="2">
        <v>2.0</v>
      </c>
      <c r="J3278" s="2">
        <v>2.0</v>
      </c>
      <c r="K3278" s="2">
        <v>0.0</v>
      </c>
      <c r="L3278" s="1"/>
      <c r="M3278" s="1" t="s">
        <v>13722</v>
      </c>
      <c r="N3278" s="1" t="s">
        <v>213</v>
      </c>
      <c r="O3278" s="1" t="s">
        <v>1154</v>
      </c>
      <c r="P3278" s="1" t="s">
        <v>13723</v>
      </c>
      <c r="Q3278" s="3">
        <v>42517.0</v>
      </c>
      <c r="R3278" s="1"/>
      <c r="S3278" s="1"/>
      <c r="T3278" s="1" t="s">
        <v>37</v>
      </c>
      <c r="U3278" s="1"/>
      <c r="V3278" s="1" t="s">
        <v>38</v>
      </c>
      <c r="W3278" s="1"/>
      <c r="X3278" s="1"/>
      <c r="Y3278" s="1" t="s">
        <v>13724</v>
      </c>
      <c r="Z3278" s="1"/>
      <c r="AA3278" s="1" t="s">
        <v>40</v>
      </c>
      <c r="AB3278" s="1" t="s">
        <v>1155</v>
      </c>
      <c r="AC3278" s="1">
        <v>5656.0</v>
      </c>
    </row>
    <row r="3279">
      <c r="A3279" s="1" t="str">
        <f>"000VWA"</f>
        <v>000VWA</v>
      </c>
      <c r="B3279" s="1" t="s">
        <v>13725</v>
      </c>
      <c r="C3279" s="1" t="s">
        <v>13726</v>
      </c>
      <c r="D3279" s="1" t="str">
        <f>"8022282527"</f>
        <v>8022282527</v>
      </c>
      <c r="E3279" s="1">
        <v>4979.0</v>
      </c>
      <c r="F3279" s="1" t="s">
        <v>117</v>
      </c>
      <c r="G3279" s="1" t="s">
        <v>13727</v>
      </c>
      <c r="H3279" s="1">
        <v>1.0</v>
      </c>
      <c r="I3279" s="2">
        <v>2.0</v>
      </c>
      <c r="J3279" s="2" t="s">
        <v>119</v>
      </c>
      <c r="K3279" s="2" t="s">
        <v>119</v>
      </c>
      <c r="L3279" s="1"/>
      <c r="M3279" s="1" t="s">
        <v>13728</v>
      </c>
      <c r="N3279" s="1" t="s">
        <v>34</v>
      </c>
      <c r="O3279" s="1" t="s">
        <v>1237</v>
      </c>
      <c r="P3279" s="1" t="s">
        <v>13729</v>
      </c>
      <c r="Q3279" s="3">
        <v>42521.0</v>
      </c>
      <c r="R3279" s="1"/>
      <c r="S3279" s="1"/>
      <c r="T3279" s="1" t="s">
        <v>37</v>
      </c>
      <c r="U3279" s="1"/>
      <c r="V3279" s="1" t="s">
        <v>38</v>
      </c>
      <c r="W3279" s="1">
        <v>43.454836</v>
      </c>
      <c r="X3279" s="1">
        <v>-72.6864338</v>
      </c>
      <c r="Y3279" s="1" t="s">
        <v>13730</v>
      </c>
      <c r="Z3279" s="1"/>
      <c r="AA3279" s="1" t="s">
        <v>40</v>
      </c>
      <c r="AB3279" s="1" t="s">
        <v>1238</v>
      </c>
      <c r="AC3279" s="1">
        <v>5149.0</v>
      </c>
    </row>
    <row r="3280">
      <c r="A3280" s="1" t="str">
        <f>"000VWB"</f>
        <v>000VWB</v>
      </c>
      <c r="B3280" s="1" t="s">
        <v>13731</v>
      </c>
      <c r="C3280" s="1" t="s">
        <v>13732</v>
      </c>
      <c r="D3280" s="1"/>
      <c r="E3280" s="1">
        <v>4980.0</v>
      </c>
      <c r="F3280" s="1" t="s">
        <v>117</v>
      </c>
      <c r="G3280" s="1" t="s">
        <v>13733</v>
      </c>
      <c r="H3280" s="1">
        <v>1.0</v>
      </c>
      <c r="I3280" s="2">
        <v>1.0</v>
      </c>
      <c r="J3280" s="2">
        <v>1.0</v>
      </c>
      <c r="K3280" s="2">
        <v>0.0</v>
      </c>
      <c r="L3280" s="1"/>
      <c r="M3280" s="1" t="s">
        <v>13734</v>
      </c>
      <c r="N3280" s="1" t="s">
        <v>414</v>
      </c>
      <c r="O3280" s="1" t="s">
        <v>415</v>
      </c>
      <c r="P3280" s="1" t="s">
        <v>13735</v>
      </c>
      <c r="Q3280" s="3">
        <v>42521.0</v>
      </c>
      <c r="R3280" s="1"/>
      <c r="S3280" s="1"/>
      <c r="T3280" s="1" t="s">
        <v>37</v>
      </c>
      <c r="U3280" s="1"/>
      <c r="V3280" s="1" t="s">
        <v>38</v>
      </c>
      <c r="W3280" s="1">
        <v>43.269698</v>
      </c>
      <c r="X3280" s="1">
        <v>-73.105028</v>
      </c>
      <c r="Y3280" s="1" t="s">
        <v>13736</v>
      </c>
      <c r="Z3280" s="1"/>
      <c r="AA3280" s="1" t="s">
        <v>40</v>
      </c>
      <c r="AB3280" s="1" t="s">
        <v>416</v>
      </c>
      <c r="AC3280" s="1">
        <v>5251.0</v>
      </c>
    </row>
    <row r="3281">
      <c r="A3281" s="1" t="str">
        <f>"000QJ7"</f>
        <v>000QJ7</v>
      </c>
      <c r="B3281" s="1" t="s">
        <v>12236</v>
      </c>
      <c r="C3281" s="1" t="s">
        <v>12237</v>
      </c>
      <c r="D3281" s="1" t="str">
        <f>"8024535769"</f>
        <v>8024535769</v>
      </c>
      <c r="E3281" s="1">
        <v>4804.0</v>
      </c>
      <c r="F3281" s="1" t="s">
        <v>117</v>
      </c>
      <c r="G3281" s="1" t="s">
        <v>13737</v>
      </c>
      <c r="H3281" s="1">
        <v>6.0</v>
      </c>
      <c r="I3281" s="2" t="s">
        <v>119</v>
      </c>
      <c r="J3281" s="2">
        <v>3.0</v>
      </c>
      <c r="K3281" s="2" t="s">
        <v>119</v>
      </c>
      <c r="L3281" s="1"/>
      <c r="M3281" s="1">
        <v>2.0</v>
      </c>
      <c r="N3281" s="1" t="s">
        <v>161</v>
      </c>
      <c r="O3281" s="1" t="s">
        <v>394</v>
      </c>
      <c r="P3281" s="1" t="s">
        <v>13738</v>
      </c>
      <c r="Q3281" s="3">
        <v>42522.0</v>
      </c>
      <c r="R3281" s="1"/>
      <c r="S3281" s="1"/>
      <c r="T3281" s="1" t="s">
        <v>37</v>
      </c>
      <c r="U3281" s="1"/>
      <c r="V3281" s="1" t="s">
        <v>38</v>
      </c>
      <c r="W3281" s="1">
        <v>44.247452</v>
      </c>
      <c r="X3281" s="1">
        <v>-73.0995709999999</v>
      </c>
      <c r="Y3281" s="1" t="s">
        <v>13739</v>
      </c>
      <c r="Z3281" s="1"/>
      <c r="AA3281" s="1" t="s">
        <v>40</v>
      </c>
      <c r="AB3281" s="1" t="s">
        <v>308</v>
      </c>
      <c r="AC3281" s="1">
        <v>5443.0</v>
      </c>
    </row>
    <row r="3282">
      <c r="A3282" s="1" t="str">
        <f>"0008Y2"</f>
        <v>0008Y2</v>
      </c>
      <c r="B3282" s="1" t="s">
        <v>6679</v>
      </c>
      <c r="C3282" s="1" t="s">
        <v>6680</v>
      </c>
      <c r="D3282" s="1" t="str">
        <f>"8028695460"</f>
        <v>8028695460</v>
      </c>
      <c r="E3282" s="1">
        <v>3455.0</v>
      </c>
      <c r="F3282" s="1" t="s">
        <v>31</v>
      </c>
      <c r="G3282" s="1" t="s">
        <v>13740</v>
      </c>
      <c r="H3282" s="1">
        <v>5.0</v>
      </c>
      <c r="I3282" s="1"/>
      <c r="J3282" s="1"/>
      <c r="K3282" s="1"/>
      <c r="L3282" s="1"/>
      <c r="M3282" s="1" t="s">
        <v>13741</v>
      </c>
      <c r="N3282" s="1" t="s">
        <v>66</v>
      </c>
      <c r="O3282" s="1" t="s">
        <v>1509</v>
      </c>
      <c r="P3282" s="1" t="s">
        <v>3944</v>
      </c>
      <c r="Q3282" s="3">
        <v>42522.0</v>
      </c>
      <c r="R3282" s="1"/>
      <c r="S3282" s="1"/>
      <c r="T3282" s="1" t="s">
        <v>37</v>
      </c>
      <c r="U3282" s="1"/>
      <c r="V3282" s="1" t="s">
        <v>38</v>
      </c>
      <c r="W3282" s="1"/>
      <c r="X3282" s="1"/>
      <c r="Y3282" s="1" t="s">
        <v>13742</v>
      </c>
      <c r="Z3282" s="1"/>
      <c r="AA3282" s="1" t="s">
        <v>40</v>
      </c>
      <c r="AB3282" s="1" t="s">
        <v>1510</v>
      </c>
      <c r="AC3282" s="1">
        <v>5143.0</v>
      </c>
    </row>
    <row r="3283">
      <c r="A3283" s="1" t="str">
        <f>"000VWM"</f>
        <v>000VWM</v>
      </c>
      <c r="B3283" s="1" t="s">
        <v>13743</v>
      </c>
      <c r="C3283" s="1" t="s">
        <v>13744</v>
      </c>
      <c r="D3283" s="1" t="str">
        <f>"8022635209"</f>
        <v>8022635209</v>
      </c>
      <c r="E3283" s="1">
        <v>4981.0</v>
      </c>
      <c r="F3283" s="1" t="s">
        <v>117</v>
      </c>
      <c r="G3283" s="1" t="s">
        <v>13745</v>
      </c>
      <c r="H3283" s="1">
        <v>1.0</v>
      </c>
      <c r="I3283" s="2" t="s">
        <v>119</v>
      </c>
      <c r="J3283" s="2" t="s">
        <v>119</v>
      </c>
      <c r="K3283" s="2" t="s">
        <v>119</v>
      </c>
      <c r="L3283" s="1"/>
      <c r="M3283" s="1" t="s">
        <v>13746</v>
      </c>
      <c r="N3283" s="1" t="s">
        <v>34</v>
      </c>
      <c r="O3283" s="1" t="s">
        <v>295</v>
      </c>
      <c r="P3283" s="1" t="s">
        <v>13747</v>
      </c>
      <c r="Q3283" s="3">
        <v>42522.0</v>
      </c>
      <c r="R3283" s="1"/>
      <c r="S3283" s="1"/>
      <c r="T3283" s="1" t="s">
        <v>37</v>
      </c>
      <c r="U3283" s="1"/>
      <c r="V3283" s="1" t="s">
        <v>38</v>
      </c>
      <c r="W3283" s="1"/>
      <c r="X3283" s="1"/>
      <c r="Y3283" s="1" t="s">
        <v>13748</v>
      </c>
      <c r="Z3283" s="1"/>
      <c r="AA3283" s="1" t="s">
        <v>40</v>
      </c>
      <c r="AB3283" s="1" t="s">
        <v>13749</v>
      </c>
      <c r="AC3283" s="1">
        <v>5143.0</v>
      </c>
    </row>
    <row r="3284">
      <c r="A3284" s="1" t="str">
        <f>"000VWP"</f>
        <v>000VWP</v>
      </c>
      <c r="B3284" s="1" t="s">
        <v>13750</v>
      </c>
      <c r="C3284" s="1" t="s">
        <v>13751</v>
      </c>
      <c r="D3284" s="1" t="str">
        <f>"8022295814"</f>
        <v>8022295814</v>
      </c>
      <c r="E3284" s="1">
        <v>4982.0</v>
      </c>
      <c r="F3284" s="1" t="s">
        <v>117</v>
      </c>
      <c r="G3284" s="1" t="s">
        <v>13752</v>
      </c>
      <c r="H3284" s="1">
        <v>2.0</v>
      </c>
      <c r="I3284" s="2">
        <v>1.0</v>
      </c>
      <c r="J3284" s="2">
        <v>1.0</v>
      </c>
      <c r="K3284" s="2" t="s">
        <v>829</v>
      </c>
      <c r="L3284" s="1"/>
      <c r="M3284" s="1" t="s">
        <v>13753</v>
      </c>
      <c r="N3284" s="1" t="s">
        <v>135</v>
      </c>
      <c r="O3284" s="1" t="s">
        <v>2331</v>
      </c>
      <c r="P3284" s="1" t="s">
        <v>13754</v>
      </c>
      <c r="Q3284" s="3">
        <v>42522.0</v>
      </c>
      <c r="R3284" s="1"/>
      <c r="S3284" s="1"/>
      <c r="T3284" s="1" t="s">
        <v>37</v>
      </c>
      <c r="U3284" s="1"/>
      <c r="V3284" s="1" t="s">
        <v>38</v>
      </c>
      <c r="W3284" s="1"/>
      <c r="X3284" s="1"/>
      <c r="Y3284" s="1" t="s">
        <v>13755</v>
      </c>
      <c r="Z3284" s="1"/>
      <c r="AA3284" s="1" t="s">
        <v>40</v>
      </c>
      <c r="AB3284" s="1" t="s">
        <v>2332</v>
      </c>
      <c r="AC3284" s="1">
        <v>5660.0</v>
      </c>
    </row>
    <row r="3285">
      <c r="A3285" s="1" t="str">
        <f>"0007B0"</f>
        <v>0007B0</v>
      </c>
      <c r="B3285" s="1" t="s">
        <v>12173</v>
      </c>
      <c r="C3285" s="1" t="s">
        <v>12174</v>
      </c>
      <c r="D3285" s="1" t="str">
        <f>"8028755415"</f>
        <v>8028755415</v>
      </c>
      <c r="E3285" s="1">
        <v>4007.0</v>
      </c>
      <c r="F3285" s="1" t="s">
        <v>117</v>
      </c>
      <c r="G3285" s="1" t="s">
        <v>13756</v>
      </c>
      <c r="H3285" s="1">
        <v>2.0</v>
      </c>
      <c r="I3285" s="2">
        <v>1.0</v>
      </c>
      <c r="J3285" s="2">
        <v>1.0</v>
      </c>
      <c r="K3285" s="2" t="s">
        <v>119</v>
      </c>
      <c r="L3285" s="1"/>
      <c r="M3285" s="1" t="s">
        <v>13757</v>
      </c>
      <c r="N3285" s="1" t="s">
        <v>414</v>
      </c>
      <c r="O3285" s="1" t="s">
        <v>2880</v>
      </c>
      <c r="P3285" s="1" t="s">
        <v>13758</v>
      </c>
      <c r="Q3285" s="3">
        <v>42523.0</v>
      </c>
      <c r="R3285" s="1"/>
      <c r="S3285" s="1"/>
      <c r="T3285" s="1" t="s">
        <v>37</v>
      </c>
      <c r="U3285" s="1"/>
      <c r="V3285" s="1" t="s">
        <v>38</v>
      </c>
      <c r="W3285" s="1">
        <v>43.1409543</v>
      </c>
      <c r="X3285" s="1">
        <v>-73.0810023</v>
      </c>
      <c r="Y3285" s="1" t="s">
        <v>12178</v>
      </c>
      <c r="Z3285" s="1"/>
      <c r="AA3285" s="1" t="s">
        <v>40</v>
      </c>
      <c r="AB3285" s="1" t="s">
        <v>2881</v>
      </c>
      <c r="AC3285" s="1">
        <v>5255.0</v>
      </c>
    </row>
    <row r="3286">
      <c r="A3286" s="1" t="str">
        <f>"000VX1"</f>
        <v>000VX1</v>
      </c>
      <c r="B3286" s="1" t="s">
        <v>13759</v>
      </c>
      <c r="C3286" s="1" t="s">
        <v>13760</v>
      </c>
      <c r="D3286" s="1"/>
      <c r="E3286" s="1">
        <v>4983.0</v>
      </c>
      <c r="F3286" s="1" t="s">
        <v>117</v>
      </c>
      <c r="G3286" s="1" t="s">
        <v>13761</v>
      </c>
      <c r="H3286" s="1">
        <v>2.0</v>
      </c>
      <c r="I3286" s="2">
        <v>2.0</v>
      </c>
      <c r="J3286" s="2" t="s">
        <v>119</v>
      </c>
      <c r="K3286" s="2" t="s">
        <v>119</v>
      </c>
      <c r="L3286" s="1"/>
      <c r="M3286" s="1">
        <v>1.0</v>
      </c>
      <c r="N3286" s="1" t="s">
        <v>414</v>
      </c>
      <c r="O3286" s="1" t="s">
        <v>415</v>
      </c>
      <c r="P3286" s="1" t="s">
        <v>13762</v>
      </c>
      <c r="Q3286" s="3">
        <v>42523.0</v>
      </c>
      <c r="R3286" s="1"/>
      <c r="S3286" s="1"/>
      <c r="T3286" s="1" t="s">
        <v>37</v>
      </c>
      <c r="U3286" s="1"/>
      <c r="V3286" s="1" t="s">
        <v>38</v>
      </c>
      <c r="W3286" s="1">
        <v>43.247227</v>
      </c>
      <c r="X3286" s="1">
        <v>-72.993446</v>
      </c>
      <c r="Y3286" s="1" t="s">
        <v>13763</v>
      </c>
      <c r="Z3286" s="1"/>
      <c r="AA3286" s="1" t="s">
        <v>40</v>
      </c>
      <c r="AB3286" s="1" t="s">
        <v>6366</v>
      </c>
      <c r="AC3286" s="1">
        <v>5253.0</v>
      </c>
    </row>
    <row r="3287">
      <c r="A3287" s="1" t="str">
        <f>"000VX2"</f>
        <v>000VX2</v>
      </c>
      <c r="B3287" s="1" t="s">
        <v>13764</v>
      </c>
      <c r="C3287" s="1" t="s">
        <v>13765</v>
      </c>
      <c r="D3287" s="1" t="str">
        <f>"8023881457"</f>
        <v>8023881457</v>
      </c>
      <c r="E3287" s="1">
        <v>4984.0</v>
      </c>
      <c r="F3287" s="1" t="s">
        <v>117</v>
      </c>
      <c r="G3287" s="1" t="s">
        <v>13766</v>
      </c>
      <c r="H3287" s="1">
        <v>2.0</v>
      </c>
      <c r="I3287" s="2">
        <v>1.0</v>
      </c>
      <c r="J3287" s="2">
        <v>1.0</v>
      </c>
      <c r="K3287" s="2" t="s">
        <v>829</v>
      </c>
      <c r="L3287" s="1"/>
      <c r="M3287" s="1" t="s">
        <v>13767</v>
      </c>
      <c r="N3287" s="1" t="s">
        <v>161</v>
      </c>
      <c r="O3287" s="1" t="s">
        <v>943</v>
      </c>
      <c r="P3287" s="1" t="s">
        <v>13768</v>
      </c>
      <c r="Q3287" s="3">
        <v>42523.0</v>
      </c>
      <c r="R3287" s="1"/>
      <c r="S3287" s="1"/>
      <c r="T3287" s="1" t="s">
        <v>37</v>
      </c>
      <c r="U3287" s="1"/>
      <c r="V3287" s="1" t="s">
        <v>38</v>
      </c>
      <c r="W3287" s="1">
        <v>44.0153371</v>
      </c>
      <c r="X3287" s="1">
        <v>-73.1673399999999</v>
      </c>
      <c r="Y3287" s="1" t="s">
        <v>13769</v>
      </c>
      <c r="Z3287" s="1"/>
      <c r="AA3287" s="1" t="s">
        <v>40</v>
      </c>
      <c r="AB3287" s="1" t="s">
        <v>945</v>
      </c>
      <c r="AC3287" s="1">
        <v>5753.0</v>
      </c>
    </row>
    <row r="3288">
      <c r="A3288" s="1" t="str">
        <f>"000VX3"</f>
        <v>000VX3</v>
      </c>
      <c r="B3288" s="1" t="s">
        <v>13770</v>
      </c>
      <c r="C3288" s="1" t="s">
        <v>13771</v>
      </c>
      <c r="D3288" s="1" t="str">
        <f>"8027854077"</f>
        <v>8027854077</v>
      </c>
      <c r="E3288" s="1">
        <v>4985.0</v>
      </c>
      <c r="F3288" s="1" t="s">
        <v>117</v>
      </c>
      <c r="G3288" s="1" t="s">
        <v>13772</v>
      </c>
      <c r="H3288" s="1">
        <v>2.0</v>
      </c>
      <c r="I3288" s="2">
        <v>1.0</v>
      </c>
      <c r="J3288" s="2">
        <v>1.0</v>
      </c>
      <c r="K3288" s="2" t="s">
        <v>119</v>
      </c>
      <c r="L3288" s="1"/>
      <c r="M3288" s="1" t="s">
        <v>13773</v>
      </c>
      <c r="N3288" s="1" t="s">
        <v>142</v>
      </c>
      <c r="O3288" s="1" t="s">
        <v>143</v>
      </c>
      <c r="P3288" s="1" t="s">
        <v>13774</v>
      </c>
      <c r="Q3288" s="3">
        <v>42523.0</v>
      </c>
      <c r="R3288" s="1"/>
      <c r="S3288" s="3">
        <v>42957.0</v>
      </c>
      <c r="T3288" s="1" t="s">
        <v>37</v>
      </c>
      <c r="U3288" s="1"/>
      <c r="V3288" s="1" t="s">
        <v>38</v>
      </c>
      <c r="W3288" s="1">
        <v>43.7994285</v>
      </c>
      <c r="X3288" s="1">
        <v>-72.2429427999999</v>
      </c>
      <c r="Y3288" s="1" t="s">
        <v>13775</v>
      </c>
      <c r="Z3288" s="1"/>
      <c r="AA3288" s="1" t="s">
        <v>40</v>
      </c>
      <c r="AB3288" s="1" t="s">
        <v>9100</v>
      </c>
      <c r="AC3288" s="1">
        <v>5075.0</v>
      </c>
    </row>
    <row r="3289">
      <c r="A3289" s="1" t="str">
        <f t="shared" ref="A3289:A3290" si="268">"0007V0"</f>
        <v>0007V0</v>
      </c>
      <c r="B3289" s="1" t="s">
        <v>8109</v>
      </c>
      <c r="C3289" s="1" t="s">
        <v>8110</v>
      </c>
      <c r="D3289" s="1" t="str">
        <f t="shared" ref="D3289:D3290" si="269">"8024623722"</f>
        <v>8024623722</v>
      </c>
      <c r="E3289" s="1">
        <v>4027.0</v>
      </c>
      <c r="F3289" s="1" t="s">
        <v>117</v>
      </c>
      <c r="G3289" s="1" t="s">
        <v>13776</v>
      </c>
      <c r="H3289" s="1">
        <v>20.0</v>
      </c>
      <c r="I3289" s="2" t="s">
        <v>119</v>
      </c>
      <c r="J3289" s="2" t="s">
        <v>119</v>
      </c>
      <c r="K3289" s="2" t="s">
        <v>119</v>
      </c>
      <c r="L3289" s="1"/>
      <c r="M3289" s="1" t="s">
        <v>13777</v>
      </c>
      <c r="N3289" s="1" t="s">
        <v>161</v>
      </c>
      <c r="O3289" s="1" t="s">
        <v>3313</v>
      </c>
      <c r="P3289" s="1" t="s">
        <v>13778</v>
      </c>
      <c r="Q3289" s="3">
        <v>42523.0</v>
      </c>
      <c r="R3289" s="1"/>
      <c r="S3289" s="1"/>
      <c r="T3289" s="1" t="s">
        <v>37</v>
      </c>
      <c r="U3289" s="1"/>
      <c r="V3289" s="1" t="s">
        <v>38</v>
      </c>
      <c r="W3289" s="1">
        <v>43.94115</v>
      </c>
      <c r="X3289" s="1">
        <v>-73.1088159999999</v>
      </c>
      <c r="Y3289" s="1" t="s">
        <v>13779</v>
      </c>
      <c r="Z3289" s="1"/>
      <c r="AA3289" s="1" t="s">
        <v>40</v>
      </c>
      <c r="AB3289" s="1" t="s">
        <v>3314</v>
      </c>
      <c r="AC3289" s="1">
        <v>5769.0</v>
      </c>
    </row>
    <row r="3290">
      <c r="A3290" s="1" t="str">
        <f t="shared" si="268"/>
        <v>0007V0</v>
      </c>
      <c r="B3290" s="1" t="s">
        <v>8109</v>
      </c>
      <c r="C3290" s="1" t="s">
        <v>8110</v>
      </c>
      <c r="D3290" s="1" t="str">
        <f t="shared" si="269"/>
        <v>8024623722</v>
      </c>
      <c r="E3290" s="1">
        <v>4027.0</v>
      </c>
      <c r="F3290" s="1" t="s">
        <v>117</v>
      </c>
      <c r="G3290" s="1" t="s">
        <v>13780</v>
      </c>
      <c r="H3290" s="1">
        <v>20.0</v>
      </c>
      <c r="I3290" s="2" t="s">
        <v>119</v>
      </c>
      <c r="J3290" s="2" t="s">
        <v>119</v>
      </c>
      <c r="K3290" s="2" t="s">
        <v>119</v>
      </c>
      <c r="L3290" s="1"/>
      <c r="M3290" s="1">
        <v>11.0</v>
      </c>
      <c r="N3290" s="1" t="s">
        <v>78</v>
      </c>
      <c r="O3290" s="1" t="s">
        <v>6059</v>
      </c>
      <c r="P3290" s="1" t="s">
        <v>13781</v>
      </c>
      <c r="Q3290" s="3">
        <v>42523.0</v>
      </c>
      <c r="R3290" s="1"/>
      <c r="S3290" s="1"/>
      <c r="T3290" s="1" t="s">
        <v>37</v>
      </c>
      <c r="U3290" s="1"/>
      <c r="V3290" s="1" t="s">
        <v>38</v>
      </c>
      <c r="W3290" s="1">
        <v>43.94115</v>
      </c>
      <c r="X3290" s="1">
        <v>-73.15696</v>
      </c>
      <c r="Y3290" s="1" t="s">
        <v>13782</v>
      </c>
      <c r="Z3290" s="1"/>
      <c r="AA3290" s="1" t="s">
        <v>40</v>
      </c>
      <c r="AB3290" s="1" t="s">
        <v>6062</v>
      </c>
      <c r="AC3290" s="1">
        <v>5769.0</v>
      </c>
    </row>
    <row r="3291">
      <c r="A3291" s="1" t="str">
        <f>"000VX5"</f>
        <v>000VX5</v>
      </c>
      <c r="B3291" s="1" t="s">
        <v>13783</v>
      </c>
      <c r="C3291" s="1" t="s">
        <v>13784</v>
      </c>
      <c r="D3291" s="1" t="str">
        <f>"8028431005"</f>
        <v>8028431005</v>
      </c>
      <c r="E3291" s="1">
        <v>4986.0</v>
      </c>
      <c r="F3291" s="1" t="s">
        <v>117</v>
      </c>
      <c r="G3291" s="1" t="s">
        <v>13785</v>
      </c>
      <c r="H3291" s="1">
        <v>4.0</v>
      </c>
      <c r="I3291" s="2">
        <v>0.0</v>
      </c>
      <c r="J3291" s="2">
        <v>0.0</v>
      </c>
      <c r="K3291" s="2" t="s">
        <v>119</v>
      </c>
      <c r="L3291" s="1"/>
      <c r="M3291" s="1"/>
      <c r="N3291" s="1" t="s">
        <v>66</v>
      </c>
      <c r="O3291" s="1"/>
      <c r="P3291" s="1" t="s">
        <v>13786</v>
      </c>
      <c r="Q3291" s="3">
        <v>42524.0</v>
      </c>
      <c r="R3291" s="1"/>
      <c r="S3291" s="1"/>
      <c r="T3291" s="1" t="s">
        <v>37</v>
      </c>
      <c r="U3291" s="1"/>
      <c r="V3291" s="1" t="s">
        <v>38</v>
      </c>
      <c r="W3291" s="1">
        <v>43.1780843822438</v>
      </c>
      <c r="X3291" s="1">
        <v>-72.5866184235928</v>
      </c>
      <c r="Y3291" s="1" t="s">
        <v>13787</v>
      </c>
      <c r="Z3291" s="1"/>
      <c r="AA3291" s="1" t="s">
        <v>40</v>
      </c>
      <c r="AB3291" s="1" t="s">
        <v>4781</v>
      </c>
      <c r="AC3291" s="1">
        <v>5146.0</v>
      </c>
    </row>
    <row r="3292">
      <c r="A3292" s="1" t="str">
        <f>"000N01"</f>
        <v>000N01</v>
      </c>
      <c r="B3292" s="1" t="s">
        <v>11472</v>
      </c>
      <c r="C3292" s="1" t="s">
        <v>11473</v>
      </c>
      <c r="D3292" s="1" t="str">
        <f>"8024854278"</f>
        <v>8024854278</v>
      </c>
      <c r="E3292" s="1">
        <v>4661.0</v>
      </c>
      <c r="F3292" s="1" t="s">
        <v>117</v>
      </c>
      <c r="G3292" s="1" t="s">
        <v>13788</v>
      </c>
      <c r="H3292" s="1">
        <v>2.0</v>
      </c>
      <c r="I3292" s="2">
        <v>0.0</v>
      </c>
      <c r="J3292" s="2">
        <v>1.0</v>
      </c>
      <c r="K3292" s="2" t="s">
        <v>119</v>
      </c>
      <c r="L3292" s="1"/>
      <c r="M3292" s="1">
        <v>2.0</v>
      </c>
      <c r="N3292" s="1" t="s">
        <v>135</v>
      </c>
      <c r="O3292" s="1" t="s">
        <v>279</v>
      </c>
      <c r="P3292" s="1" t="s">
        <v>13789</v>
      </c>
      <c r="Q3292" s="3">
        <v>42524.0</v>
      </c>
      <c r="R3292" s="1"/>
      <c r="S3292" s="1"/>
      <c r="T3292" s="1" t="s">
        <v>37</v>
      </c>
      <c r="U3292" s="1"/>
      <c r="V3292" s="1" t="s">
        <v>38</v>
      </c>
      <c r="W3292" s="1">
        <v>44.216576</v>
      </c>
      <c r="X3292" s="1">
        <v>-72.4368438999999</v>
      </c>
      <c r="Y3292" s="1" t="s">
        <v>13790</v>
      </c>
      <c r="Z3292" s="1"/>
      <c r="AA3292" s="1" t="s">
        <v>40</v>
      </c>
      <c r="AB3292" s="1" t="s">
        <v>343</v>
      </c>
      <c r="AC3292" s="1">
        <v>5641.0</v>
      </c>
    </row>
    <row r="3293">
      <c r="A3293" s="1" t="str">
        <f>"000VX6"</f>
        <v>000VX6</v>
      </c>
      <c r="B3293" s="1" t="s">
        <v>13791</v>
      </c>
      <c r="C3293" s="1" t="s">
        <v>13792</v>
      </c>
      <c r="D3293" s="1" t="str">
        <f>"8022473323"</f>
        <v>8022473323</v>
      </c>
      <c r="E3293" s="1">
        <v>4987.0</v>
      </c>
      <c r="F3293" s="1" t="s">
        <v>117</v>
      </c>
      <c r="G3293" s="1" t="s">
        <v>13793</v>
      </c>
      <c r="H3293" s="1">
        <v>7.0</v>
      </c>
      <c r="I3293" s="2">
        <v>3.0</v>
      </c>
      <c r="J3293" s="2">
        <v>2.0</v>
      </c>
      <c r="K3293" s="2" t="s">
        <v>119</v>
      </c>
      <c r="L3293" s="2" t="s">
        <v>13794</v>
      </c>
      <c r="M3293" s="1" t="s">
        <v>13795</v>
      </c>
      <c r="N3293" s="1" t="s">
        <v>78</v>
      </c>
      <c r="O3293" s="1" t="s">
        <v>2574</v>
      </c>
      <c r="P3293" s="1" t="s">
        <v>13796</v>
      </c>
      <c r="Q3293" s="3">
        <v>42524.0</v>
      </c>
      <c r="R3293" s="1"/>
      <c r="S3293" s="3">
        <v>42972.0</v>
      </c>
      <c r="T3293" s="1" t="s">
        <v>37</v>
      </c>
      <c r="U3293" s="1"/>
      <c r="V3293" s="1" t="s">
        <v>38</v>
      </c>
      <c r="W3293" s="1">
        <v>43.815117</v>
      </c>
      <c r="X3293" s="1">
        <v>-73.0714189999999</v>
      </c>
      <c r="Y3293" s="1" t="s">
        <v>13797</v>
      </c>
      <c r="Z3293" s="1"/>
      <c r="AA3293" s="1" t="s">
        <v>40</v>
      </c>
      <c r="AB3293" s="1" t="s">
        <v>2575</v>
      </c>
      <c r="AC3293" s="1">
        <v>5733.0</v>
      </c>
    </row>
    <row r="3294">
      <c r="A3294" s="1" t="str">
        <f>"000VXC"</f>
        <v>000VXC</v>
      </c>
      <c r="B3294" s="1" t="s">
        <v>13798</v>
      </c>
      <c r="C3294" s="1" t="s">
        <v>13799</v>
      </c>
      <c r="D3294" s="1" t="str">
        <f>"8023694292"</f>
        <v>8023694292</v>
      </c>
      <c r="E3294" s="1">
        <v>4988.0</v>
      </c>
      <c r="F3294" s="1" t="s">
        <v>117</v>
      </c>
      <c r="G3294" s="1" t="s">
        <v>13800</v>
      </c>
      <c r="H3294" s="1">
        <v>14.0</v>
      </c>
      <c r="I3294" s="2">
        <v>4.0</v>
      </c>
      <c r="J3294" s="2">
        <v>4.0</v>
      </c>
      <c r="K3294" s="2" t="s">
        <v>829</v>
      </c>
      <c r="L3294" s="1"/>
      <c r="M3294" s="1" t="s">
        <v>13801</v>
      </c>
      <c r="N3294" s="1" t="s">
        <v>34</v>
      </c>
      <c r="O3294" s="1" t="s">
        <v>1085</v>
      </c>
      <c r="P3294" s="1" t="s">
        <v>13802</v>
      </c>
      <c r="Q3294" s="3">
        <v>42524.0</v>
      </c>
      <c r="R3294" s="1"/>
      <c r="S3294" s="1"/>
      <c r="T3294" s="1" t="s">
        <v>37</v>
      </c>
      <c r="U3294" s="1"/>
      <c r="V3294" s="1" t="s">
        <v>38</v>
      </c>
      <c r="W3294" s="1"/>
      <c r="X3294" s="1"/>
      <c r="Y3294" s="1" t="s">
        <v>11973</v>
      </c>
      <c r="Z3294" s="1"/>
      <c r="AA3294" s="1" t="s">
        <v>40</v>
      </c>
      <c r="AB3294" s="1" t="s">
        <v>5248</v>
      </c>
      <c r="AC3294" s="1">
        <v>5151.0</v>
      </c>
    </row>
    <row r="3295">
      <c r="A3295" s="1" t="str">
        <f>"000VXJ"</f>
        <v>000VXJ</v>
      </c>
      <c r="B3295" s="1" t="s">
        <v>13803</v>
      </c>
      <c r="C3295" s="1" t="s">
        <v>13804</v>
      </c>
      <c r="D3295" s="1" t="str">
        <f>"8023798422"</f>
        <v>8023798422</v>
      </c>
      <c r="E3295" s="1">
        <v>4989.0</v>
      </c>
      <c r="F3295" s="1" t="s">
        <v>117</v>
      </c>
      <c r="G3295" s="1" t="s">
        <v>13805</v>
      </c>
      <c r="H3295" s="1">
        <v>3.0</v>
      </c>
      <c r="I3295" s="2">
        <v>0.0</v>
      </c>
      <c r="J3295" s="2">
        <v>0.0</v>
      </c>
      <c r="K3295" s="2" t="s">
        <v>119</v>
      </c>
      <c r="L3295" s="1"/>
      <c r="M3295" s="1">
        <v>1.0</v>
      </c>
      <c r="N3295" s="1" t="s">
        <v>414</v>
      </c>
      <c r="O3295" s="1" t="s">
        <v>1160</v>
      </c>
      <c r="P3295" s="1" t="s">
        <v>13806</v>
      </c>
      <c r="Q3295" s="3">
        <v>42528.0</v>
      </c>
      <c r="R3295" s="1"/>
      <c r="S3295" s="1"/>
      <c r="T3295" s="1" t="s">
        <v>37</v>
      </c>
      <c r="U3295" s="1"/>
      <c r="V3295" s="1" t="s">
        <v>38</v>
      </c>
      <c r="W3295" s="1">
        <v>42.9340307</v>
      </c>
      <c r="X3295" s="1">
        <v>-73.2008374999999</v>
      </c>
      <c r="Y3295" s="1" t="s">
        <v>13807</v>
      </c>
      <c r="Z3295" s="1"/>
      <c r="AA3295" s="1" t="s">
        <v>40</v>
      </c>
      <c r="AB3295" s="1" t="s">
        <v>1161</v>
      </c>
      <c r="AC3295" s="1">
        <v>5262.0</v>
      </c>
    </row>
    <row r="3296">
      <c r="A3296" s="1" t="str">
        <f>"000VXK"</f>
        <v>000VXK</v>
      </c>
      <c r="B3296" s="1" t="s">
        <v>13808</v>
      </c>
      <c r="C3296" s="1" t="s">
        <v>13809</v>
      </c>
      <c r="D3296" s="1" t="str">
        <f>"8022493768"</f>
        <v>8022493768</v>
      </c>
      <c r="E3296" s="1">
        <v>4990.0</v>
      </c>
      <c r="F3296" s="1" t="s">
        <v>31</v>
      </c>
      <c r="G3296" s="1" t="s">
        <v>13810</v>
      </c>
      <c r="H3296" s="1">
        <v>1.0</v>
      </c>
      <c r="I3296" s="1"/>
      <c r="J3296" s="1"/>
      <c r="K3296" s="1"/>
      <c r="L3296" s="1"/>
      <c r="M3296" s="1">
        <v>1.0</v>
      </c>
      <c r="N3296" s="1" t="s">
        <v>142</v>
      </c>
      <c r="O3296" s="1" t="s">
        <v>1026</v>
      </c>
      <c r="P3296" s="1" t="s">
        <v>13811</v>
      </c>
      <c r="Q3296" s="3">
        <v>42528.0</v>
      </c>
      <c r="R3296" s="1"/>
      <c r="S3296" s="1"/>
      <c r="T3296" s="1" t="s">
        <v>37</v>
      </c>
      <c r="U3296" s="1"/>
      <c r="V3296" s="1" t="s">
        <v>38</v>
      </c>
      <c r="W3296" s="1">
        <v>44.1061692</v>
      </c>
      <c r="X3296" s="1">
        <v>-72.4291005999999</v>
      </c>
      <c r="Y3296" s="1" t="s">
        <v>13812</v>
      </c>
      <c r="Z3296" s="1"/>
      <c r="AA3296" s="1" t="s">
        <v>40</v>
      </c>
      <c r="AB3296" s="1" t="s">
        <v>135</v>
      </c>
      <c r="AC3296" s="1">
        <v>5675.0</v>
      </c>
    </row>
    <row r="3297">
      <c r="A3297" s="1" t="str">
        <f>"000QJA"</f>
        <v>000QJA</v>
      </c>
      <c r="B3297" s="1" t="s">
        <v>12251</v>
      </c>
      <c r="C3297" s="1" t="s">
        <v>12252</v>
      </c>
      <c r="D3297" s="1" t="str">
        <f>"8027932043"</f>
        <v>8027932043</v>
      </c>
      <c r="E3297" s="1">
        <v>4807.0</v>
      </c>
      <c r="F3297" s="1" t="s">
        <v>31</v>
      </c>
      <c r="G3297" s="1" t="s">
        <v>13813</v>
      </c>
      <c r="H3297" s="1">
        <v>2.0</v>
      </c>
      <c r="I3297" s="1"/>
      <c r="J3297" s="1"/>
      <c r="K3297" s="1"/>
      <c r="L3297" s="1"/>
      <c r="M3297" s="1">
        <v>2.0</v>
      </c>
      <c r="N3297" s="1" t="s">
        <v>135</v>
      </c>
      <c r="O3297" s="1" t="s">
        <v>1142</v>
      </c>
      <c r="P3297" s="1" t="s">
        <v>12254</v>
      </c>
      <c r="Q3297" s="3">
        <v>42528.0</v>
      </c>
      <c r="R3297" s="1"/>
      <c r="S3297" s="1"/>
      <c r="T3297" s="1" t="s">
        <v>37</v>
      </c>
      <c r="U3297" s="1"/>
      <c r="V3297" s="1" t="s">
        <v>38</v>
      </c>
      <c r="W3297" s="1">
        <v>44.242737</v>
      </c>
      <c r="X3297" s="1">
        <v>-72.5361179999999</v>
      </c>
      <c r="Y3297" s="1" t="s">
        <v>12255</v>
      </c>
      <c r="Z3297" s="1"/>
      <c r="AA3297" s="1" t="s">
        <v>40</v>
      </c>
      <c r="AB3297" s="1" t="s">
        <v>1145</v>
      </c>
      <c r="AC3297" s="1">
        <v>5602.0</v>
      </c>
    </row>
    <row r="3298">
      <c r="A3298" s="1" t="str">
        <f>"000VXM"</f>
        <v>000VXM</v>
      </c>
      <c r="B3298" s="1" t="s">
        <v>13814</v>
      </c>
      <c r="C3298" s="1" t="s">
        <v>13815</v>
      </c>
      <c r="D3298" s="1" t="str">
        <f>"8028790373"</f>
        <v>8028790373</v>
      </c>
      <c r="E3298" s="1">
        <v>4991.0</v>
      </c>
      <c r="F3298" s="1" t="s">
        <v>117</v>
      </c>
      <c r="G3298" s="1" t="s">
        <v>13816</v>
      </c>
      <c r="H3298" s="1">
        <v>2.0</v>
      </c>
      <c r="I3298" s="2" t="s">
        <v>119</v>
      </c>
      <c r="J3298" s="2">
        <v>1.0</v>
      </c>
      <c r="K3298" s="2" t="s">
        <v>119</v>
      </c>
      <c r="L3298" s="2" t="s">
        <v>13817</v>
      </c>
      <c r="M3298" s="1" t="s">
        <v>13818</v>
      </c>
      <c r="N3298" s="1" t="s">
        <v>57</v>
      </c>
      <c r="O3298" s="1" t="s">
        <v>559</v>
      </c>
      <c r="P3298" s="1" t="s">
        <v>13819</v>
      </c>
      <c r="Q3298" s="3">
        <v>42528.0</v>
      </c>
      <c r="R3298" s="1"/>
      <c r="S3298" s="1"/>
      <c r="T3298" s="1" t="s">
        <v>37</v>
      </c>
      <c r="U3298" s="1"/>
      <c r="V3298" s="1" t="s">
        <v>38</v>
      </c>
      <c r="W3298" s="1">
        <v>44.56115</v>
      </c>
      <c r="X3298" s="1">
        <v>-73.152512</v>
      </c>
      <c r="Y3298" s="1" t="s">
        <v>13820</v>
      </c>
      <c r="Z3298" s="1"/>
      <c r="AA3298" s="1" t="s">
        <v>40</v>
      </c>
      <c r="AB3298" s="1" t="s">
        <v>560</v>
      </c>
      <c r="AC3298" s="1">
        <v>5446.0</v>
      </c>
    </row>
    <row r="3299">
      <c r="A3299" s="1" t="str">
        <f>"000862"</f>
        <v>000862</v>
      </c>
      <c r="B3299" s="1" t="s">
        <v>5455</v>
      </c>
      <c r="C3299" s="1" t="s">
        <v>5456</v>
      </c>
      <c r="D3299" s="1" t="str">
        <f>"8023486632"</f>
        <v>8023486632</v>
      </c>
      <c r="E3299" s="1">
        <v>3946.0</v>
      </c>
      <c r="F3299" s="1" t="s">
        <v>117</v>
      </c>
      <c r="G3299" s="1" t="s">
        <v>13821</v>
      </c>
      <c r="H3299" s="1">
        <v>1.0</v>
      </c>
      <c r="I3299" s="1"/>
      <c r="J3299" s="1"/>
      <c r="K3299" s="1"/>
      <c r="L3299" s="1"/>
      <c r="M3299" s="1" t="s">
        <v>13822</v>
      </c>
      <c r="N3299" s="1" t="s">
        <v>66</v>
      </c>
      <c r="O3299" s="1" t="s">
        <v>389</v>
      </c>
      <c r="P3299" s="1" t="s">
        <v>13823</v>
      </c>
      <c r="Q3299" s="3">
        <v>42528.0</v>
      </c>
      <c r="R3299" s="1"/>
      <c r="S3299" s="1"/>
      <c r="T3299" s="1" t="s">
        <v>37</v>
      </c>
      <c r="U3299" s="1"/>
      <c r="V3299" s="1" t="s">
        <v>38</v>
      </c>
      <c r="W3299" s="1">
        <v>42.9048609</v>
      </c>
      <c r="X3299" s="1">
        <v>-72.7174299</v>
      </c>
      <c r="Y3299" s="1" t="s">
        <v>13824</v>
      </c>
      <c r="Z3299" s="1"/>
      <c r="AA3299" s="1" t="s">
        <v>40</v>
      </c>
      <c r="AB3299" s="1" t="s">
        <v>4970</v>
      </c>
      <c r="AC3299" s="1">
        <v>5351.0</v>
      </c>
    </row>
    <row r="3300">
      <c r="A3300" s="1" t="str">
        <f>"000VXV"</f>
        <v>000VXV</v>
      </c>
      <c r="B3300" s="1" t="s">
        <v>13825</v>
      </c>
      <c r="C3300" s="1" t="s">
        <v>13826</v>
      </c>
      <c r="D3300" s="1" t="str">
        <f>"8023635866"</f>
        <v>8023635866</v>
      </c>
      <c r="E3300" s="1">
        <v>4992.0</v>
      </c>
      <c r="F3300" s="1" t="s">
        <v>117</v>
      </c>
      <c r="G3300" s="1" t="s">
        <v>13827</v>
      </c>
      <c r="H3300" s="1">
        <v>1.0</v>
      </c>
      <c r="I3300" s="2">
        <v>0.0</v>
      </c>
      <c r="J3300" s="2">
        <v>0.0</v>
      </c>
      <c r="K3300" s="2" t="s">
        <v>119</v>
      </c>
      <c r="L3300" s="2" t="s">
        <v>13828</v>
      </c>
      <c r="M3300" s="1">
        <v>1.0</v>
      </c>
      <c r="N3300" s="1" t="s">
        <v>57</v>
      </c>
      <c r="O3300" s="1" t="s">
        <v>155</v>
      </c>
      <c r="P3300" s="1" t="s">
        <v>13829</v>
      </c>
      <c r="Q3300" s="3">
        <v>42528.0</v>
      </c>
      <c r="R3300" s="1"/>
      <c r="S3300" s="1"/>
      <c r="T3300" s="1" t="s">
        <v>37</v>
      </c>
      <c r="U3300" s="1"/>
      <c r="V3300" s="1" t="s">
        <v>38</v>
      </c>
      <c r="W3300" s="1">
        <v>44.63582</v>
      </c>
      <c r="X3300" s="1">
        <v>-73.048577</v>
      </c>
      <c r="Y3300" s="1" t="s">
        <v>13830</v>
      </c>
      <c r="Z3300" s="1"/>
      <c r="AA3300" s="1" t="s">
        <v>40</v>
      </c>
      <c r="AB3300" s="1" t="s">
        <v>156</v>
      </c>
      <c r="AC3300" s="1">
        <v>5494.0</v>
      </c>
    </row>
    <row r="3301">
      <c r="A3301" s="1" t="str">
        <f>"000V9X"</f>
        <v>000V9X</v>
      </c>
      <c r="B3301" s="1" t="s">
        <v>13446</v>
      </c>
      <c r="C3301" s="1" t="s">
        <v>13447</v>
      </c>
      <c r="D3301" s="1" t="str">
        <f>"8028773009"</f>
        <v>8028773009</v>
      </c>
      <c r="E3301" s="1">
        <v>4934.0</v>
      </c>
      <c r="F3301" s="1" t="s">
        <v>117</v>
      </c>
      <c r="G3301" s="1" t="s">
        <v>13831</v>
      </c>
      <c r="H3301" s="1">
        <v>5.0</v>
      </c>
      <c r="I3301" s="2">
        <v>2.0</v>
      </c>
      <c r="J3301" s="2">
        <v>0.0</v>
      </c>
      <c r="K3301" s="2" t="s">
        <v>119</v>
      </c>
      <c r="L3301" s="1"/>
      <c r="M3301" s="1">
        <v>2.0</v>
      </c>
      <c r="N3301" s="1" t="s">
        <v>161</v>
      </c>
      <c r="O3301" s="1" t="s">
        <v>769</v>
      </c>
      <c r="P3301" s="1" t="s">
        <v>13832</v>
      </c>
      <c r="Q3301" s="3">
        <v>42528.0</v>
      </c>
      <c r="R3301" s="1"/>
      <c r="S3301" s="1"/>
      <c r="T3301" s="1" t="s">
        <v>37</v>
      </c>
      <c r="U3301" s="1"/>
      <c r="V3301" s="1" t="s">
        <v>38</v>
      </c>
      <c r="W3301" s="1">
        <v>44.179188</v>
      </c>
      <c r="X3301" s="1">
        <v>-73.3086089999999</v>
      </c>
      <c r="Y3301" s="1" t="s">
        <v>13833</v>
      </c>
      <c r="Z3301" s="1"/>
      <c r="AA3301" s="1" t="s">
        <v>40</v>
      </c>
      <c r="AB3301" s="1" t="s">
        <v>6661</v>
      </c>
      <c r="AC3301" s="1">
        <v>5491.0</v>
      </c>
    </row>
    <row r="3302">
      <c r="A3302" s="1" t="str">
        <f>"000VXW"</f>
        <v>000VXW</v>
      </c>
      <c r="B3302" s="1" t="s">
        <v>13834</v>
      </c>
      <c r="C3302" s="1" t="s">
        <v>13835</v>
      </c>
      <c r="D3302" s="1" t="str">
        <f>"8025632225"</f>
        <v>8025632225</v>
      </c>
      <c r="E3302" s="1">
        <v>4993.0</v>
      </c>
      <c r="F3302" s="1" t="s">
        <v>117</v>
      </c>
      <c r="G3302" s="1" t="s">
        <v>13836</v>
      </c>
      <c r="H3302" s="1">
        <v>2.0</v>
      </c>
      <c r="I3302" s="2">
        <v>1.0</v>
      </c>
      <c r="J3302" s="2" t="s">
        <v>119</v>
      </c>
      <c r="K3302" s="2" t="s">
        <v>829</v>
      </c>
      <c r="L3302" s="1"/>
      <c r="M3302" s="1" t="s">
        <v>13837</v>
      </c>
      <c r="N3302" s="1" t="s">
        <v>135</v>
      </c>
      <c r="O3302" s="1" t="s">
        <v>409</v>
      </c>
      <c r="P3302" s="1" t="s">
        <v>13838</v>
      </c>
      <c r="Q3302" s="3">
        <v>42528.0</v>
      </c>
      <c r="R3302" s="1"/>
      <c r="S3302" s="1"/>
      <c r="T3302" s="1" t="s">
        <v>37</v>
      </c>
      <c r="U3302" s="1"/>
      <c r="V3302" s="1" t="s">
        <v>38</v>
      </c>
      <c r="W3302" s="1">
        <v>44.385216</v>
      </c>
      <c r="X3302" s="1">
        <v>-72.31144</v>
      </c>
      <c r="Y3302" s="1" t="s">
        <v>13839</v>
      </c>
      <c r="Z3302" s="1"/>
      <c r="AA3302" s="1" t="s">
        <v>40</v>
      </c>
      <c r="AB3302" s="1" t="s">
        <v>410</v>
      </c>
      <c r="AC3302" s="1">
        <v>5647.0</v>
      </c>
    </row>
    <row r="3303">
      <c r="A3303" s="1" t="str">
        <f>"000JV1"</f>
        <v>000JV1</v>
      </c>
      <c r="B3303" s="1" t="s">
        <v>8828</v>
      </c>
      <c r="C3303" s="1" t="s">
        <v>8829</v>
      </c>
      <c r="D3303" s="1" t="str">
        <f>"8023536602"</f>
        <v>8023536602</v>
      </c>
      <c r="E3303" s="1">
        <v>4436.0</v>
      </c>
      <c r="F3303" s="1" t="s">
        <v>117</v>
      </c>
      <c r="G3303" s="1" t="s">
        <v>13840</v>
      </c>
      <c r="H3303" s="1">
        <v>2.0</v>
      </c>
      <c r="I3303" s="2">
        <v>14.0</v>
      </c>
      <c r="J3303" s="2">
        <v>14.0</v>
      </c>
      <c r="K3303" s="2" t="s">
        <v>119</v>
      </c>
      <c r="L3303" s="1"/>
      <c r="M3303" s="1" t="s">
        <v>13841</v>
      </c>
      <c r="N3303" s="1" t="s">
        <v>34</v>
      </c>
      <c r="O3303" s="1" t="s">
        <v>457</v>
      </c>
      <c r="P3303" s="1" t="s">
        <v>8832</v>
      </c>
      <c r="Q3303" s="3">
        <v>42529.0</v>
      </c>
      <c r="R3303" s="1"/>
      <c r="S3303" s="1"/>
      <c r="T3303" s="1" t="s">
        <v>37</v>
      </c>
      <c r="U3303" s="1"/>
      <c r="V3303" s="1" t="s">
        <v>38</v>
      </c>
      <c r="W3303" s="1">
        <v>43.433487</v>
      </c>
      <c r="X3303" s="1">
        <v>-72.655258</v>
      </c>
      <c r="Y3303" s="1" t="s">
        <v>13842</v>
      </c>
      <c r="Z3303" s="1"/>
      <c r="AA3303" s="1" t="s">
        <v>40</v>
      </c>
      <c r="AB3303" s="1" t="s">
        <v>458</v>
      </c>
      <c r="AC3303" s="1">
        <v>5142.0</v>
      </c>
    </row>
    <row r="3304">
      <c r="A3304" s="1" t="str">
        <f>"000VY8"</f>
        <v>000VY8</v>
      </c>
      <c r="B3304" s="1" t="s">
        <v>13843</v>
      </c>
      <c r="C3304" s="1" t="s">
        <v>13844</v>
      </c>
      <c r="D3304" s="1" t="str">
        <f>"8027771973"</f>
        <v>8027771973</v>
      </c>
      <c r="E3304" s="1">
        <v>4994.0</v>
      </c>
      <c r="F3304" s="1" t="s">
        <v>44</v>
      </c>
      <c r="G3304" s="1" t="s">
        <v>13845</v>
      </c>
      <c r="H3304" s="1">
        <v>1.0</v>
      </c>
      <c r="I3304" s="1"/>
      <c r="J3304" s="1"/>
      <c r="K3304" s="1"/>
      <c r="L3304" s="1"/>
      <c r="M3304" s="1" t="s">
        <v>33</v>
      </c>
      <c r="N3304" s="1" t="s">
        <v>135</v>
      </c>
      <c r="O3304" s="1" t="s">
        <v>343</v>
      </c>
      <c r="P3304" s="1" t="s">
        <v>13846</v>
      </c>
      <c r="Q3304" s="3">
        <v>42529.0</v>
      </c>
      <c r="R3304" s="1"/>
      <c r="S3304" s="1"/>
      <c r="T3304" s="1" t="s">
        <v>37</v>
      </c>
      <c r="U3304" s="1"/>
      <c r="V3304" s="1" t="s">
        <v>38</v>
      </c>
      <c r="W3304" s="1">
        <v>44.193439</v>
      </c>
      <c r="X3304" s="1">
        <v>-72.476135</v>
      </c>
      <c r="Y3304" s="1" t="s">
        <v>13847</v>
      </c>
      <c r="Z3304" s="1"/>
      <c r="AA3304" s="1" t="s">
        <v>40</v>
      </c>
      <c r="AB3304" s="1" t="s">
        <v>4019</v>
      </c>
      <c r="AC3304" s="1">
        <v>5641.0</v>
      </c>
    </row>
    <row r="3305">
      <c r="A3305" s="1" t="str">
        <f>"000VY9"</f>
        <v>000VY9</v>
      </c>
      <c r="B3305" s="1" t="s">
        <v>13848</v>
      </c>
      <c r="C3305" s="1" t="s">
        <v>13849</v>
      </c>
      <c r="D3305" s="1" t="str">
        <f>"8024395353"</f>
        <v>8024395353</v>
      </c>
      <c r="E3305" s="1">
        <v>4995.0</v>
      </c>
      <c r="F3305" s="1" t="s">
        <v>117</v>
      </c>
      <c r="G3305" s="1" t="s">
        <v>13850</v>
      </c>
      <c r="H3305" s="1">
        <v>2.0</v>
      </c>
      <c r="I3305" s="2">
        <v>1.0</v>
      </c>
      <c r="J3305" s="2">
        <v>1.0</v>
      </c>
      <c r="K3305" s="2" t="s">
        <v>829</v>
      </c>
      <c r="L3305" s="2" t="s">
        <v>13851</v>
      </c>
      <c r="M3305" s="1" t="s">
        <v>13852</v>
      </c>
      <c r="N3305" s="1" t="s">
        <v>142</v>
      </c>
      <c r="O3305" s="1" t="s">
        <v>400</v>
      </c>
      <c r="P3305" s="1" t="s">
        <v>13852</v>
      </c>
      <c r="Q3305" s="3">
        <v>42529.0</v>
      </c>
      <c r="R3305" s="1"/>
      <c r="S3305" s="3">
        <v>42943.0</v>
      </c>
      <c r="T3305" s="1" t="s">
        <v>37</v>
      </c>
      <c r="U3305" s="1"/>
      <c r="V3305" s="1" t="s">
        <v>38</v>
      </c>
      <c r="W3305" s="1">
        <v>44.1015094</v>
      </c>
      <c r="X3305" s="1">
        <v>-72.2128880999999</v>
      </c>
      <c r="Y3305" s="1" t="s">
        <v>13853</v>
      </c>
      <c r="Z3305" s="1"/>
      <c r="AA3305" s="1" t="s">
        <v>40</v>
      </c>
      <c r="AB3305" s="1" t="s">
        <v>401</v>
      </c>
      <c r="AC3305" s="1">
        <v>5076.0</v>
      </c>
    </row>
    <row r="3306">
      <c r="A3306" s="1" t="str">
        <f>"000VYA"</f>
        <v>000VYA</v>
      </c>
      <c r="B3306" s="1" t="s">
        <v>13854</v>
      </c>
      <c r="C3306" s="1" t="s">
        <v>13855</v>
      </c>
      <c r="D3306" s="1" t="str">
        <f>"8025785978"</f>
        <v>8025785978</v>
      </c>
      <c r="E3306" s="1">
        <v>4996.0</v>
      </c>
      <c r="F3306" s="1" t="s">
        <v>117</v>
      </c>
      <c r="G3306" s="1" t="s">
        <v>13856</v>
      </c>
      <c r="H3306" s="1">
        <v>7.0</v>
      </c>
      <c r="I3306" s="2">
        <v>1.0</v>
      </c>
      <c r="J3306" s="2">
        <v>0.0</v>
      </c>
      <c r="K3306" s="2" t="s">
        <v>829</v>
      </c>
      <c r="L3306" s="1"/>
      <c r="M3306" s="1" t="s">
        <v>13857</v>
      </c>
      <c r="N3306" s="1" t="s">
        <v>57</v>
      </c>
      <c r="O3306" s="1" t="s">
        <v>201</v>
      </c>
      <c r="P3306" s="1" t="s">
        <v>13858</v>
      </c>
      <c r="Q3306" s="3">
        <v>42529.0</v>
      </c>
      <c r="R3306" s="1"/>
      <c r="S3306" s="1"/>
      <c r="T3306" s="1" t="s">
        <v>37</v>
      </c>
      <c r="U3306" s="1"/>
      <c r="V3306" s="1" t="s">
        <v>38</v>
      </c>
      <c r="W3306" s="1">
        <v>44.3736414</v>
      </c>
      <c r="X3306" s="1">
        <v>-73.0611983</v>
      </c>
      <c r="Y3306" s="1" t="s">
        <v>13859</v>
      </c>
      <c r="Z3306" s="1"/>
      <c r="AA3306" s="1" t="s">
        <v>40</v>
      </c>
      <c r="AB3306" s="1" t="s">
        <v>202</v>
      </c>
      <c r="AC3306" s="1">
        <v>5477.0</v>
      </c>
    </row>
    <row r="3307">
      <c r="A3307" s="1" t="str">
        <f>"000VYB"</f>
        <v>000VYB</v>
      </c>
      <c r="B3307" s="1" t="s">
        <v>13860</v>
      </c>
      <c r="C3307" s="1" t="s">
        <v>13861</v>
      </c>
      <c r="D3307" s="1" t="str">
        <f>"8023451913"</f>
        <v>8023451913</v>
      </c>
      <c r="E3307" s="1">
        <v>4997.0</v>
      </c>
      <c r="F3307" s="1" t="s">
        <v>117</v>
      </c>
      <c r="G3307" s="1" t="s">
        <v>13862</v>
      </c>
      <c r="H3307" s="1">
        <v>2.0</v>
      </c>
      <c r="I3307" s="2">
        <v>0.0</v>
      </c>
      <c r="J3307" s="2">
        <v>0.0</v>
      </c>
      <c r="K3307" s="2" t="s">
        <v>829</v>
      </c>
      <c r="L3307" s="1"/>
      <c r="M3307" s="1" t="s">
        <v>13863</v>
      </c>
      <c r="N3307" s="1" t="s">
        <v>66</v>
      </c>
      <c r="O3307" s="1" t="s">
        <v>2346</v>
      </c>
      <c r="P3307" s="1" t="s">
        <v>13864</v>
      </c>
      <c r="Q3307" s="3">
        <v>42529.0</v>
      </c>
      <c r="R3307" s="1"/>
      <c r="S3307" s="1"/>
      <c r="T3307" s="1" t="s">
        <v>37</v>
      </c>
      <c r="U3307" s="1"/>
      <c r="V3307" s="1" t="s">
        <v>38</v>
      </c>
      <c r="W3307" s="1">
        <v>42.832296</v>
      </c>
      <c r="X3307" s="1">
        <v>-72.585778</v>
      </c>
      <c r="Y3307" s="1" t="s">
        <v>13865</v>
      </c>
      <c r="Z3307" s="1"/>
      <c r="AA3307" s="1" t="s">
        <v>40</v>
      </c>
      <c r="AB3307" s="1" t="s">
        <v>2349</v>
      </c>
      <c r="AC3307" s="1">
        <v>5301.0</v>
      </c>
    </row>
    <row r="3308">
      <c r="A3308" s="1" t="str">
        <f>"000980"</f>
        <v>000980</v>
      </c>
      <c r="B3308" s="1" t="s">
        <v>7825</v>
      </c>
      <c r="C3308" s="1" t="s">
        <v>7826</v>
      </c>
      <c r="D3308" s="1" t="str">
        <f>"8029334411"</f>
        <v>8029334411</v>
      </c>
      <c r="E3308" s="1">
        <v>4048.0</v>
      </c>
      <c r="F3308" s="1" t="s">
        <v>117</v>
      </c>
      <c r="G3308" s="1" t="s">
        <v>13866</v>
      </c>
      <c r="H3308" s="1">
        <v>5.0</v>
      </c>
      <c r="I3308" s="2">
        <v>3.0</v>
      </c>
      <c r="J3308" s="2" t="s">
        <v>119</v>
      </c>
      <c r="K3308" s="2" t="s">
        <v>119</v>
      </c>
      <c r="L3308" s="1"/>
      <c r="M3308" s="1" t="s">
        <v>13867</v>
      </c>
      <c r="N3308" s="1" t="s">
        <v>47</v>
      </c>
      <c r="O3308" s="1" t="s">
        <v>48</v>
      </c>
      <c r="P3308" s="1" t="s">
        <v>13868</v>
      </c>
      <c r="Q3308" s="3">
        <v>42529.0</v>
      </c>
      <c r="R3308" s="1"/>
      <c r="S3308" s="1"/>
      <c r="T3308" s="1" t="s">
        <v>37</v>
      </c>
      <c r="U3308" s="1"/>
      <c r="V3308" s="1" t="s">
        <v>38</v>
      </c>
      <c r="W3308" s="1">
        <v>44.936319</v>
      </c>
      <c r="X3308" s="1">
        <v>-72.797326</v>
      </c>
      <c r="Y3308" s="1" t="s">
        <v>13869</v>
      </c>
      <c r="Z3308" s="1"/>
      <c r="AA3308" s="1" t="s">
        <v>40</v>
      </c>
      <c r="AB3308" s="1" t="s">
        <v>498</v>
      </c>
      <c r="AC3308" s="1">
        <v>5447.0</v>
      </c>
    </row>
    <row r="3309">
      <c r="A3309" s="1" t="str">
        <f>"000VYC"</f>
        <v>000VYC</v>
      </c>
      <c r="B3309" s="1" t="s">
        <v>13870</v>
      </c>
      <c r="C3309" s="1" t="s">
        <v>13871</v>
      </c>
      <c r="D3309" s="1" t="str">
        <f>"8023334797"</f>
        <v>8023334797</v>
      </c>
      <c r="E3309" s="1">
        <v>4998.0</v>
      </c>
      <c r="F3309" s="1" t="s">
        <v>117</v>
      </c>
      <c r="G3309" s="1" t="s">
        <v>13872</v>
      </c>
      <c r="H3309" s="1">
        <v>1.0</v>
      </c>
      <c r="I3309" s="2" t="s">
        <v>119</v>
      </c>
      <c r="J3309" s="2">
        <v>1.0</v>
      </c>
      <c r="K3309" s="2">
        <v>0.0</v>
      </c>
      <c r="L3309" s="1"/>
      <c r="M3309" s="1" t="s">
        <v>13873</v>
      </c>
      <c r="N3309" s="1" t="s">
        <v>142</v>
      </c>
      <c r="O3309" s="1" t="s">
        <v>143</v>
      </c>
      <c r="P3309" s="1" t="s">
        <v>13874</v>
      </c>
      <c r="Q3309" s="3">
        <v>42529.0</v>
      </c>
      <c r="R3309" s="1"/>
      <c r="S3309" s="3">
        <v>42577.0</v>
      </c>
      <c r="T3309" s="1" t="s">
        <v>37</v>
      </c>
      <c r="U3309" s="1"/>
      <c r="V3309" s="1" t="s">
        <v>38</v>
      </c>
      <c r="W3309" s="1"/>
      <c r="X3309" s="1"/>
      <c r="Y3309" s="1" t="s">
        <v>13875</v>
      </c>
      <c r="Z3309" s="1"/>
      <c r="AA3309" s="1" t="s">
        <v>40</v>
      </c>
      <c r="AB3309" s="1" t="s">
        <v>146</v>
      </c>
      <c r="AC3309" s="1">
        <v>5043.0</v>
      </c>
    </row>
    <row r="3310">
      <c r="A3310" s="1" t="str">
        <f>"000V5K"</f>
        <v>000V5K</v>
      </c>
      <c r="B3310" s="1" t="s">
        <v>13315</v>
      </c>
      <c r="C3310" s="1" t="s">
        <v>13316</v>
      </c>
      <c r="D3310" s="1" t="str">
        <f>"8024222600"</f>
        <v>8024222600</v>
      </c>
      <c r="E3310" s="1">
        <v>4927.0</v>
      </c>
      <c r="F3310" s="1" t="s">
        <v>117</v>
      </c>
      <c r="G3310" s="1" t="s">
        <v>13876</v>
      </c>
      <c r="H3310" s="1">
        <v>3.0</v>
      </c>
      <c r="I3310" s="2" t="s">
        <v>119</v>
      </c>
      <c r="J3310" s="2">
        <v>5.0</v>
      </c>
      <c r="K3310" s="2" t="s">
        <v>119</v>
      </c>
      <c r="L3310" s="1"/>
      <c r="M3310" s="1">
        <v>2.0</v>
      </c>
      <c r="N3310" s="1" t="s">
        <v>34</v>
      </c>
      <c r="O3310" s="1"/>
      <c r="P3310" s="1" t="s">
        <v>13877</v>
      </c>
      <c r="Q3310" s="3">
        <v>42530.0</v>
      </c>
      <c r="R3310" s="1"/>
      <c r="S3310" s="1"/>
      <c r="T3310" s="1" t="s">
        <v>37</v>
      </c>
      <c r="U3310" s="1"/>
      <c r="V3310" s="1" t="s">
        <v>38</v>
      </c>
      <c r="W3310" s="1">
        <v>43.613251</v>
      </c>
      <c r="X3310" s="1">
        <v>-72.776627</v>
      </c>
      <c r="Y3310" s="1" t="s">
        <v>13878</v>
      </c>
      <c r="Z3310" s="1"/>
      <c r="AA3310" s="1" t="s">
        <v>40</v>
      </c>
      <c r="AB3310" s="1" t="s">
        <v>8222</v>
      </c>
      <c r="AC3310" s="1">
        <v>5751.0</v>
      </c>
    </row>
    <row r="3311">
      <c r="A3311" s="1" t="str">
        <f>"000VYJ"</f>
        <v>000VYJ</v>
      </c>
      <c r="B3311" s="1" t="s">
        <v>13879</v>
      </c>
      <c r="C3311" s="1" t="s">
        <v>13880</v>
      </c>
      <c r="D3311" s="1" t="str">
        <f>"8023551467"</f>
        <v>8023551467</v>
      </c>
      <c r="E3311" s="1">
        <v>4999.0</v>
      </c>
      <c r="F3311" s="1" t="s">
        <v>117</v>
      </c>
      <c r="G3311" s="1" t="s">
        <v>13881</v>
      </c>
      <c r="H3311" s="1">
        <v>1.0</v>
      </c>
      <c r="I3311" s="2">
        <v>1.0</v>
      </c>
      <c r="J3311" s="2">
        <v>1.0</v>
      </c>
      <c r="K3311" s="2" t="s">
        <v>829</v>
      </c>
      <c r="L3311" s="1"/>
      <c r="M3311" s="1" t="s">
        <v>13882</v>
      </c>
      <c r="N3311" s="1" t="s">
        <v>57</v>
      </c>
      <c r="O3311" s="1" t="s">
        <v>2092</v>
      </c>
      <c r="P3311" s="1" t="s">
        <v>13883</v>
      </c>
      <c r="Q3311" s="3">
        <v>42530.0</v>
      </c>
      <c r="R3311" s="1"/>
      <c r="S3311" s="1"/>
      <c r="T3311" s="1" t="s">
        <v>37</v>
      </c>
      <c r="U3311" s="1"/>
      <c r="V3311" s="1" t="s">
        <v>38</v>
      </c>
      <c r="W3311" s="1">
        <v>44.431786</v>
      </c>
      <c r="X3311" s="1">
        <v>-73.1069029999999</v>
      </c>
      <c r="Y3311" s="1" t="s">
        <v>13884</v>
      </c>
      <c r="Z3311" s="1"/>
      <c r="AA3311" s="1" t="s">
        <v>40</v>
      </c>
      <c r="AB3311" s="1" t="s">
        <v>2093</v>
      </c>
      <c r="AC3311" s="1">
        <v>5495.0</v>
      </c>
    </row>
    <row r="3312">
      <c r="A3312" s="1" t="str">
        <f>"000VZ6"</f>
        <v>000VZ6</v>
      </c>
      <c r="B3312" s="1" t="s">
        <v>13885</v>
      </c>
      <c r="C3312" s="1" t="s">
        <v>13886</v>
      </c>
      <c r="D3312" s="1" t="str">
        <f>"4018623322"</f>
        <v>4018623322</v>
      </c>
      <c r="E3312" s="1">
        <v>5000.0</v>
      </c>
      <c r="F3312" s="1" t="s">
        <v>117</v>
      </c>
      <c r="G3312" s="1" t="s">
        <v>13887</v>
      </c>
      <c r="H3312" s="1">
        <v>3.0</v>
      </c>
      <c r="I3312" s="2">
        <v>2.0</v>
      </c>
      <c r="J3312" s="2">
        <v>2.0</v>
      </c>
      <c r="K3312" s="2" t="s">
        <v>119</v>
      </c>
      <c r="L3312" s="2" t="s">
        <v>13888</v>
      </c>
      <c r="M3312" s="1" t="s">
        <v>13889</v>
      </c>
      <c r="N3312" s="1" t="s">
        <v>57</v>
      </c>
      <c r="O3312" s="1"/>
      <c r="P3312" s="1" t="s">
        <v>13890</v>
      </c>
      <c r="Q3312" s="3">
        <v>42531.0</v>
      </c>
      <c r="R3312" s="1"/>
      <c r="S3312" s="1"/>
      <c r="T3312" s="1" t="s">
        <v>37</v>
      </c>
      <c r="U3312" s="1"/>
      <c r="V3312" s="1" t="s">
        <v>38</v>
      </c>
      <c r="W3312" s="1">
        <v>44.4778456230429</v>
      </c>
      <c r="X3312" s="1">
        <v>-73.1899185053771</v>
      </c>
      <c r="Y3312" s="1" t="s">
        <v>13891</v>
      </c>
      <c r="Z3312" s="1"/>
      <c r="AA3312" s="1" t="s">
        <v>40</v>
      </c>
      <c r="AB3312" s="1" t="s">
        <v>176</v>
      </c>
      <c r="AC3312" s="1">
        <v>5401.0</v>
      </c>
    </row>
    <row r="3313">
      <c r="A3313" s="1" t="str">
        <f>"000VZA"</f>
        <v>000VZA</v>
      </c>
      <c r="B3313" s="1" t="s">
        <v>13892</v>
      </c>
      <c r="C3313" s="1" t="s">
        <v>13893</v>
      </c>
      <c r="D3313" s="1" t="str">
        <f>"8028865478"</f>
        <v>8028865478</v>
      </c>
      <c r="E3313" s="1">
        <v>5001.0</v>
      </c>
      <c r="F3313" s="1" t="s">
        <v>117</v>
      </c>
      <c r="G3313" s="1" t="s">
        <v>13894</v>
      </c>
      <c r="H3313" s="1">
        <v>3.0</v>
      </c>
      <c r="I3313" s="2">
        <v>0.0</v>
      </c>
      <c r="J3313" s="2">
        <v>0.0</v>
      </c>
      <c r="K3313" s="2" t="s">
        <v>119</v>
      </c>
      <c r="L3313" s="1"/>
      <c r="M3313" s="1">
        <v>1.0</v>
      </c>
      <c r="N3313" s="1" t="s">
        <v>34</v>
      </c>
      <c r="O3313" s="1" t="s">
        <v>642</v>
      </c>
      <c r="P3313" s="1" t="s">
        <v>13895</v>
      </c>
      <c r="Q3313" s="3">
        <v>42531.0</v>
      </c>
      <c r="R3313" s="1"/>
      <c r="S3313" s="1"/>
      <c r="T3313" s="1" t="s">
        <v>37</v>
      </c>
      <c r="U3313" s="1"/>
      <c r="V3313" s="1" t="s">
        <v>38</v>
      </c>
      <c r="W3313" s="1">
        <v>43.335867</v>
      </c>
      <c r="X3313" s="1">
        <v>-72.544128</v>
      </c>
      <c r="Y3313" s="1" t="s">
        <v>13896</v>
      </c>
      <c r="Z3313" s="1"/>
      <c r="AA3313" s="1" t="s">
        <v>40</v>
      </c>
      <c r="AB3313" s="1" t="s">
        <v>13104</v>
      </c>
      <c r="AC3313" s="1">
        <v>5150.0</v>
      </c>
    </row>
    <row r="3314">
      <c r="A3314" s="1" t="str">
        <f>"000VZK"</f>
        <v>000VZK</v>
      </c>
      <c r="B3314" s="1" t="s">
        <v>13897</v>
      </c>
      <c r="C3314" s="1" t="s">
        <v>13898</v>
      </c>
      <c r="D3314" s="1" t="str">
        <f>"8025793333"</f>
        <v>8025793333</v>
      </c>
      <c r="E3314" s="1">
        <v>5002.0</v>
      </c>
      <c r="F3314" s="1" t="s">
        <v>117</v>
      </c>
      <c r="G3314" s="1" t="s">
        <v>13899</v>
      </c>
      <c r="H3314" s="1">
        <v>4.0</v>
      </c>
      <c r="I3314" s="2" t="s">
        <v>119</v>
      </c>
      <c r="J3314" s="2">
        <v>2.0</v>
      </c>
      <c r="K3314" s="2" t="s">
        <v>119</v>
      </c>
      <c r="L3314" s="1"/>
      <c r="M3314" s="1" t="s">
        <v>13900</v>
      </c>
      <c r="N3314" s="1" t="s">
        <v>66</v>
      </c>
      <c r="O3314" s="1" t="s">
        <v>2346</v>
      </c>
      <c r="P3314" s="1" t="s">
        <v>13901</v>
      </c>
      <c r="Q3314" s="3">
        <v>42534.0</v>
      </c>
      <c r="R3314" s="1"/>
      <c r="S3314" s="1"/>
      <c r="T3314" s="1" t="s">
        <v>37</v>
      </c>
      <c r="U3314" s="1"/>
      <c r="V3314" s="1" t="s">
        <v>38</v>
      </c>
      <c r="W3314" s="1">
        <v>42.85919</v>
      </c>
      <c r="X3314" s="1">
        <v>-72.58639</v>
      </c>
      <c r="Y3314" s="1" t="s">
        <v>13902</v>
      </c>
      <c r="Z3314" s="1"/>
      <c r="AA3314" s="1" t="s">
        <v>40</v>
      </c>
      <c r="AB3314" s="1" t="s">
        <v>2349</v>
      </c>
      <c r="AC3314" s="1">
        <v>5301.0</v>
      </c>
    </row>
    <row r="3315">
      <c r="A3315" s="1" t="str">
        <f>"000VZM"</f>
        <v>000VZM</v>
      </c>
      <c r="B3315" s="1" t="s">
        <v>13903</v>
      </c>
      <c r="C3315" s="1" t="s">
        <v>13904</v>
      </c>
      <c r="D3315" s="1" t="str">
        <f>"8023247224"</f>
        <v>8023247224</v>
      </c>
      <c r="E3315" s="1">
        <v>5003.0</v>
      </c>
      <c r="F3315" s="1" t="s">
        <v>44</v>
      </c>
      <c r="G3315" s="1" t="s">
        <v>13905</v>
      </c>
      <c r="H3315" s="1">
        <v>1.0</v>
      </c>
      <c r="I3315" s="2" t="s">
        <v>119</v>
      </c>
      <c r="J3315" s="2">
        <v>1.0</v>
      </c>
      <c r="K3315" s="2">
        <v>0.0</v>
      </c>
      <c r="L3315" s="1"/>
      <c r="M3315" s="1" t="s">
        <v>1179</v>
      </c>
      <c r="N3315" s="1" t="s">
        <v>213</v>
      </c>
      <c r="O3315" s="1" t="s">
        <v>620</v>
      </c>
      <c r="P3315" s="1" t="s">
        <v>13906</v>
      </c>
      <c r="Q3315" s="3">
        <v>42534.0</v>
      </c>
      <c r="R3315" s="1"/>
      <c r="S3315" s="1"/>
      <c r="T3315" s="1" t="s">
        <v>37</v>
      </c>
      <c r="U3315" s="1"/>
      <c r="V3315" s="1" t="s">
        <v>38</v>
      </c>
      <c r="W3315" s="1">
        <v>44.621908</v>
      </c>
      <c r="X3315" s="1">
        <v>-72.8916699999999</v>
      </c>
      <c r="Y3315" s="1" t="s">
        <v>13907</v>
      </c>
      <c r="Z3315" s="1"/>
      <c r="AA3315" s="1" t="s">
        <v>40</v>
      </c>
      <c r="AB3315" s="1" t="s">
        <v>621</v>
      </c>
      <c r="AC3315" s="1">
        <v>5444.0</v>
      </c>
    </row>
    <row r="3316">
      <c r="A3316" s="1" t="str">
        <f>"000VZN"</f>
        <v>000VZN</v>
      </c>
      <c r="B3316" s="1" t="s">
        <v>13908</v>
      </c>
      <c r="C3316" s="1" t="s">
        <v>13909</v>
      </c>
      <c r="D3316" s="1" t="str">
        <f>"8028851414"</f>
        <v>8028851414</v>
      </c>
      <c r="E3316" s="1">
        <v>5004.0</v>
      </c>
      <c r="F3316" s="1" t="s">
        <v>117</v>
      </c>
      <c r="G3316" s="1" t="s">
        <v>13910</v>
      </c>
      <c r="H3316" s="1">
        <v>1.0</v>
      </c>
      <c r="I3316" s="2">
        <v>1.0</v>
      </c>
      <c r="J3316" s="2" t="s">
        <v>119</v>
      </c>
      <c r="K3316" s="2" t="s">
        <v>119</v>
      </c>
      <c r="L3316" s="1"/>
      <c r="M3316" s="1" t="s">
        <v>13911</v>
      </c>
      <c r="N3316" s="1" t="s">
        <v>34</v>
      </c>
      <c r="O3316" s="1" t="s">
        <v>642</v>
      </c>
      <c r="P3316" s="1" t="s">
        <v>13912</v>
      </c>
      <c r="Q3316" s="3">
        <v>42534.0</v>
      </c>
      <c r="R3316" s="1"/>
      <c r="S3316" s="1"/>
      <c r="T3316" s="1" t="s">
        <v>37</v>
      </c>
      <c r="U3316" s="1"/>
      <c r="V3316" s="1" t="s">
        <v>38</v>
      </c>
      <c r="W3316" s="1"/>
      <c r="X3316" s="1"/>
      <c r="Y3316" s="1" t="s">
        <v>13913</v>
      </c>
      <c r="Z3316" s="1"/>
      <c r="AA3316" s="1" t="s">
        <v>40</v>
      </c>
      <c r="AB3316" s="1" t="s">
        <v>643</v>
      </c>
      <c r="AC3316" s="1">
        <v>5156.0</v>
      </c>
    </row>
    <row r="3317">
      <c r="A3317" s="1" t="str">
        <f>"000VZP"</f>
        <v>000VZP</v>
      </c>
      <c r="B3317" s="1" t="s">
        <v>13914</v>
      </c>
      <c r="C3317" s="1" t="s">
        <v>13915</v>
      </c>
      <c r="D3317" s="1" t="str">
        <f>"8023753571"</f>
        <v>8023753571</v>
      </c>
      <c r="E3317" s="1">
        <v>5005.0</v>
      </c>
      <c r="F3317" s="1" t="s">
        <v>117</v>
      </c>
      <c r="G3317" s="1" t="s">
        <v>13916</v>
      </c>
      <c r="H3317" s="1">
        <v>2.0</v>
      </c>
      <c r="I3317" s="2">
        <v>1.0</v>
      </c>
      <c r="J3317" s="2">
        <v>2.0</v>
      </c>
      <c r="K3317" s="2" t="s">
        <v>119</v>
      </c>
      <c r="L3317" s="1"/>
      <c r="M3317" s="1" t="s">
        <v>13917</v>
      </c>
      <c r="N3317" s="1" t="s">
        <v>414</v>
      </c>
      <c r="O3317" s="1" t="s">
        <v>720</v>
      </c>
      <c r="P3317" s="1" t="s">
        <v>13918</v>
      </c>
      <c r="Q3317" s="3">
        <v>42534.0</v>
      </c>
      <c r="R3317" s="1"/>
      <c r="S3317" s="1"/>
      <c r="T3317" s="1" t="s">
        <v>37</v>
      </c>
      <c r="U3317" s="1"/>
      <c r="V3317" s="1" t="s">
        <v>38</v>
      </c>
      <c r="W3317" s="1">
        <v>42.909042</v>
      </c>
      <c r="X3317" s="1">
        <v>-73.2441939</v>
      </c>
      <c r="Y3317" s="1" t="s">
        <v>13919</v>
      </c>
      <c r="Z3317" s="1"/>
      <c r="AA3317" s="1" t="s">
        <v>40</v>
      </c>
      <c r="AB3317" s="1" t="s">
        <v>414</v>
      </c>
      <c r="AC3317" s="1">
        <v>5201.0</v>
      </c>
    </row>
    <row r="3318">
      <c r="A3318" s="1" t="str">
        <f>"000VZQ"</f>
        <v>000VZQ</v>
      </c>
      <c r="B3318" s="1" t="s">
        <v>13920</v>
      </c>
      <c r="C3318" s="1" t="s">
        <v>13921</v>
      </c>
      <c r="D3318" s="1" t="str">
        <f>"8027236256"</f>
        <v>8027236256</v>
      </c>
      <c r="E3318" s="1">
        <v>5006.0</v>
      </c>
      <c r="F3318" s="1" t="s">
        <v>117</v>
      </c>
      <c r="G3318" s="1" t="s">
        <v>13922</v>
      </c>
      <c r="H3318" s="1">
        <v>8.0</v>
      </c>
      <c r="I3318" s="2">
        <v>6.0</v>
      </c>
      <c r="J3318" s="2" t="s">
        <v>119</v>
      </c>
      <c r="K3318" s="2" t="s">
        <v>119</v>
      </c>
      <c r="L3318" s="1"/>
      <c r="M3318" s="1" t="s">
        <v>13923</v>
      </c>
      <c r="N3318" s="1" t="s">
        <v>331</v>
      </c>
      <c r="O3318" s="1"/>
      <c r="P3318" s="1" t="s">
        <v>13924</v>
      </c>
      <c r="Q3318" s="3">
        <v>42534.0</v>
      </c>
      <c r="R3318" s="1"/>
      <c r="S3318" s="1"/>
      <c r="T3318" s="1" t="s">
        <v>37</v>
      </c>
      <c r="U3318" s="1"/>
      <c r="V3318" s="1" t="s">
        <v>38</v>
      </c>
      <c r="W3318" s="1"/>
      <c r="X3318" s="1"/>
      <c r="Y3318" s="1" t="s">
        <v>13925</v>
      </c>
      <c r="Z3318" s="1"/>
      <c r="AA3318" s="1" t="s">
        <v>40</v>
      </c>
      <c r="AB3318" s="1" t="s">
        <v>10821</v>
      </c>
      <c r="AC3318" s="1">
        <v>5846.0</v>
      </c>
    </row>
    <row r="3319">
      <c r="A3319" s="1" t="str">
        <f>"000JWV"</f>
        <v>000JWV</v>
      </c>
      <c r="B3319" s="1" t="s">
        <v>8948</v>
      </c>
      <c r="C3319" s="1" t="s">
        <v>8949</v>
      </c>
      <c r="D3319" s="1" t="str">
        <f>"8024345050"</f>
        <v>8024345050</v>
      </c>
      <c r="E3319" s="1">
        <v>4475.0</v>
      </c>
      <c r="F3319" s="1" t="s">
        <v>117</v>
      </c>
      <c r="G3319" s="1" t="s">
        <v>13926</v>
      </c>
      <c r="H3319" s="1">
        <v>2.0</v>
      </c>
      <c r="I3319" s="2" t="s">
        <v>119</v>
      </c>
      <c r="J3319" s="2">
        <v>1.0</v>
      </c>
      <c r="K3319" s="2" t="s">
        <v>829</v>
      </c>
      <c r="L3319" s="2"/>
      <c r="M3319" s="1" t="s">
        <v>13927</v>
      </c>
      <c r="N3319" s="1" t="s">
        <v>57</v>
      </c>
      <c r="O3319" s="1" t="s">
        <v>201</v>
      </c>
      <c r="P3319" s="1" t="s">
        <v>13928</v>
      </c>
      <c r="Q3319" s="3">
        <v>42535.0</v>
      </c>
      <c r="R3319" s="1"/>
      <c r="S3319" s="1"/>
      <c r="T3319" s="1" t="s">
        <v>37</v>
      </c>
      <c r="U3319" s="1"/>
      <c r="V3319" s="1" t="s">
        <v>38</v>
      </c>
      <c r="W3319" s="1"/>
      <c r="X3319" s="1"/>
      <c r="Y3319" s="1" t="s">
        <v>13929</v>
      </c>
      <c r="Z3319" s="1"/>
      <c r="AA3319" s="1" t="s">
        <v>40</v>
      </c>
      <c r="AB3319" s="1" t="s">
        <v>202</v>
      </c>
      <c r="AC3319" s="1">
        <v>5477.0</v>
      </c>
    </row>
    <row r="3320">
      <c r="A3320" s="1" t="str">
        <f>"000VZZ"</f>
        <v>000VZZ</v>
      </c>
      <c r="B3320" s="1" t="s">
        <v>13930</v>
      </c>
      <c r="C3320" s="1" t="s">
        <v>13931</v>
      </c>
      <c r="D3320" s="1" t="str">
        <f>"8483335158"</f>
        <v>8483335158</v>
      </c>
      <c r="E3320" s="1">
        <v>5007.0</v>
      </c>
      <c r="F3320" s="1" t="s">
        <v>117</v>
      </c>
      <c r="G3320" s="1" t="s">
        <v>13932</v>
      </c>
      <c r="H3320" s="1">
        <v>1.0</v>
      </c>
      <c r="I3320" s="2">
        <v>0.0</v>
      </c>
      <c r="J3320" s="2">
        <v>1.0</v>
      </c>
      <c r="K3320" s="2" t="s">
        <v>829</v>
      </c>
      <c r="L3320" s="1"/>
      <c r="M3320" s="1" t="s">
        <v>13933</v>
      </c>
      <c r="N3320" s="1" t="s">
        <v>57</v>
      </c>
      <c r="O3320" s="1" t="s">
        <v>1633</v>
      </c>
      <c r="P3320" s="1" t="s">
        <v>13934</v>
      </c>
      <c r="Q3320" s="3">
        <v>42535.0</v>
      </c>
      <c r="R3320" s="1"/>
      <c r="S3320" s="1"/>
      <c r="T3320" s="1" t="s">
        <v>37</v>
      </c>
      <c r="U3320" s="1"/>
      <c r="V3320" s="1" t="s">
        <v>38</v>
      </c>
      <c r="W3320" s="1">
        <v>44.3338759</v>
      </c>
      <c r="X3320" s="1">
        <v>-73.2691629999999</v>
      </c>
      <c r="Y3320" s="1" t="s">
        <v>13935</v>
      </c>
      <c r="Z3320" s="1"/>
      <c r="AA3320" s="1" t="s">
        <v>40</v>
      </c>
      <c r="AB3320" s="1" t="s">
        <v>1634</v>
      </c>
      <c r="AC3320" s="1">
        <v>5445.0</v>
      </c>
    </row>
    <row r="3321">
      <c r="A3321" s="1" t="str">
        <f>"000W06"</f>
        <v>000W06</v>
      </c>
      <c r="B3321" s="1" t="s">
        <v>13936</v>
      </c>
      <c r="C3321" s="1" t="s">
        <v>13937</v>
      </c>
      <c r="D3321" s="1" t="str">
        <f>"8024736222"</f>
        <v>8024736222</v>
      </c>
      <c r="E3321" s="1">
        <v>5008.0</v>
      </c>
      <c r="F3321" s="1" t="s">
        <v>117</v>
      </c>
      <c r="G3321" s="1" t="s">
        <v>13938</v>
      </c>
      <c r="H3321" s="1">
        <v>12.0</v>
      </c>
      <c r="I3321" s="2">
        <v>3.0</v>
      </c>
      <c r="J3321" s="2">
        <v>3.0</v>
      </c>
      <c r="K3321" s="2" t="s">
        <v>119</v>
      </c>
      <c r="L3321" s="1"/>
      <c r="M3321" s="1" t="s">
        <v>13939</v>
      </c>
      <c r="N3321" s="1" t="s">
        <v>128</v>
      </c>
      <c r="O3321" s="1" t="s">
        <v>1707</v>
      </c>
      <c r="P3321" s="1" t="s">
        <v>13940</v>
      </c>
      <c r="Q3321" s="3">
        <v>42536.0</v>
      </c>
      <c r="R3321" s="1"/>
      <c r="S3321" s="1"/>
      <c r="T3321" s="1" t="s">
        <v>37</v>
      </c>
      <c r="U3321" s="1"/>
      <c r="V3321" s="1" t="s">
        <v>38</v>
      </c>
      <c r="W3321" s="1">
        <v>44.478798</v>
      </c>
      <c r="X3321" s="1">
        <v>-72.005348</v>
      </c>
      <c r="Y3321" s="1" t="s">
        <v>13941</v>
      </c>
      <c r="Z3321" s="1"/>
      <c r="AA3321" s="1" t="s">
        <v>40</v>
      </c>
      <c r="AB3321" s="1" t="s">
        <v>12794</v>
      </c>
      <c r="AC3321" s="1">
        <v>5819.0</v>
      </c>
    </row>
    <row r="3322">
      <c r="A3322" s="1" t="str">
        <f>"000W10"</f>
        <v>000W10</v>
      </c>
      <c r="B3322" s="1" t="s">
        <v>13942</v>
      </c>
      <c r="C3322" s="1" t="s">
        <v>13943</v>
      </c>
      <c r="D3322" s="1" t="str">
        <f>"8024361133"</f>
        <v>8024361133</v>
      </c>
      <c r="E3322" s="1">
        <v>5009.0</v>
      </c>
      <c r="F3322" s="1" t="s">
        <v>31</v>
      </c>
      <c r="G3322" s="1" t="s">
        <v>13944</v>
      </c>
      <c r="H3322" s="1">
        <v>2.0</v>
      </c>
      <c r="I3322" s="1"/>
      <c r="J3322" s="1"/>
      <c r="K3322" s="1"/>
      <c r="L3322" s="1"/>
      <c r="M3322" s="1" t="s">
        <v>33</v>
      </c>
      <c r="N3322" s="1" t="s">
        <v>34</v>
      </c>
      <c r="O3322" s="1" t="s">
        <v>85</v>
      </c>
      <c r="P3322" s="1" t="s">
        <v>13945</v>
      </c>
      <c r="Q3322" s="3">
        <v>42541.0</v>
      </c>
      <c r="R3322" s="1"/>
      <c r="S3322" s="1"/>
      <c r="T3322" s="1" t="s">
        <v>37</v>
      </c>
      <c r="U3322" s="1"/>
      <c r="V3322" s="1" t="s">
        <v>38</v>
      </c>
      <c r="W3322" s="1"/>
      <c r="X3322" s="1"/>
      <c r="Y3322" s="1" t="s">
        <v>13946</v>
      </c>
      <c r="Z3322" s="1"/>
      <c r="AA3322" s="1" t="s">
        <v>40</v>
      </c>
      <c r="AB3322" s="1" t="s">
        <v>86</v>
      </c>
      <c r="AC3322" s="1">
        <v>5048.0</v>
      </c>
    </row>
    <row r="3323">
      <c r="A3323" s="1" t="str">
        <f>"000W11"</f>
        <v>000W11</v>
      </c>
      <c r="B3323" s="1" t="s">
        <v>13947</v>
      </c>
      <c r="C3323" s="1" t="s">
        <v>13948</v>
      </c>
      <c r="D3323" s="1" t="str">
        <f>"8026608968"</f>
        <v>8026608968</v>
      </c>
      <c r="E3323" s="1">
        <v>5010.0</v>
      </c>
      <c r="F3323" s="1" t="s">
        <v>117</v>
      </c>
      <c r="G3323" s="1" t="s">
        <v>13949</v>
      </c>
      <c r="H3323" s="1">
        <v>1.0</v>
      </c>
      <c r="I3323" s="2">
        <v>0.0</v>
      </c>
      <c r="J3323" s="2">
        <v>0.0</v>
      </c>
      <c r="K3323" s="2" t="s">
        <v>119</v>
      </c>
      <c r="L3323" s="2" t="s">
        <v>13950</v>
      </c>
      <c r="M3323" s="1" t="s">
        <v>13951</v>
      </c>
      <c r="N3323" s="1" t="s">
        <v>57</v>
      </c>
      <c r="O3323" s="1" t="s">
        <v>175</v>
      </c>
      <c r="P3323" s="1" t="s">
        <v>13952</v>
      </c>
      <c r="Q3323" s="3">
        <v>42541.0</v>
      </c>
      <c r="R3323" s="1"/>
      <c r="S3323" s="1"/>
      <c r="T3323" s="1" t="s">
        <v>37</v>
      </c>
      <c r="U3323" s="1"/>
      <c r="V3323" s="1" t="s">
        <v>38</v>
      </c>
      <c r="W3323" s="1">
        <v>44.508793</v>
      </c>
      <c r="X3323" s="1">
        <v>-73.2376939999999</v>
      </c>
      <c r="Y3323" s="1" t="s">
        <v>13953</v>
      </c>
      <c r="Z3323" s="1"/>
      <c r="AA3323" s="1" t="s">
        <v>40</v>
      </c>
      <c r="AB3323" s="1" t="s">
        <v>176</v>
      </c>
      <c r="AC3323" s="1">
        <v>5408.0</v>
      </c>
    </row>
    <row r="3324">
      <c r="A3324" s="1" t="str">
        <f>"000W12"</f>
        <v>000W12</v>
      </c>
      <c r="B3324" s="1" t="s">
        <v>13954</v>
      </c>
      <c r="C3324" s="1" t="s">
        <v>13955</v>
      </c>
      <c r="D3324" s="1" t="str">
        <f>"8027937289"</f>
        <v>8027937289</v>
      </c>
      <c r="E3324" s="1">
        <v>5011.0</v>
      </c>
      <c r="F3324" s="1" t="s">
        <v>117</v>
      </c>
      <c r="G3324" s="1" t="s">
        <v>13956</v>
      </c>
      <c r="H3324" s="1">
        <v>4.0</v>
      </c>
      <c r="I3324" s="2" t="s">
        <v>119</v>
      </c>
      <c r="J3324" s="2" t="s">
        <v>119</v>
      </c>
      <c r="K3324" s="2" t="s">
        <v>119</v>
      </c>
      <c r="L3324" s="1"/>
      <c r="M3324" s="1" t="s">
        <v>13957</v>
      </c>
      <c r="N3324" s="1" t="s">
        <v>135</v>
      </c>
      <c r="O3324" s="1" t="s">
        <v>805</v>
      </c>
      <c r="P3324" s="1" t="s">
        <v>13958</v>
      </c>
      <c r="Q3324" s="3">
        <v>42542.0</v>
      </c>
      <c r="R3324" s="1"/>
      <c r="S3324" s="1"/>
      <c r="T3324" s="1" t="s">
        <v>37</v>
      </c>
      <c r="U3324" s="1"/>
      <c r="V3324" s="1" t="s">
        <v>38</v>
      </c>
      <c r="W3324" s="1"/>
      <c r="X3324" s="1"/>
      <c r="Y3324" s="1" t="s">
        <v>13959</v>
      </c>
      <c r="Z3324" s="1"/>
      <c r="AA3324" s="1" t="s">
        <v>40</v>
      </c>
      <c r="AB3324" s="1" t="s">
        <v>10229</v>
      </c>
      <c r="AC3324" s="1">
        <v>5651.0</v>
      </c>
    </row>
    <row r="3325">
      <c r="A3325" s="1" t="str">
        <f>"000W17"</f>
        <v>000W17</v>
      </c>
      <c r="B3325" s="1" t="s">
        <v>13960</v>
      </c>
      <c r="C3325" s="1" t="s">
        <v>13961</v>
      </c>
      <c r="D3325" s="1" t="str">
        <f>"6176613931"</f>
        <v>6176613931</v>
      </c>
      <c r="E3325" s="1">
        <v>5013.0</v>
      </c>
      <c r="F3325" s="1" t="s">
        <v>117</v>
      </c>
      <c r="G3325" s="1" t="s">
        <v>13962</v>
      </c>
      <c r="H3325" s="1">
        <v>2.0</v>
      </c>
      <c r="I3325" s="2">
        <v>1.0</v>
      </c>
      <c r="J3325" s="2">
        <v>0.0</v>
      </c>
      <c r="K3325" s="2" t="s">
        <v>119</v>
      </c>
      <c r="L3325" s="1"/>
      <c r="M3325" s="1" t="s">
        <v>13963</v>
      </c>
      <c r="N3325" s="1" t="s">
        <v>128</v>
      </c>
      <c r="O3325" s="1" t="s">
        <v>194</v>
      </c>
      <c r="P3325" s="1" t="s">
        <v>13964</v>
      </c>
      <c r="Q3325" s="3">
        <v>42543.0</v>
      </c>
      <c r="R3325" s="1"/>
      <c r="S3325" s="1"/>
      <c r="T3325" s="1" t="s">
        <v>37</v>
      </c>
      <c r="U3325" s="1"/>
      <c r="V3325" s="1" t="s">
        <v>38</v>
      </c>
      <c r="W3325" s="1">
        <v>44.3800222</v>
      </c>
      <c r="X3325" s="1">
        <v>-72.0444023</v>
      </c>
      <c r="Y3325" s="1" t="s">
        <v>13965</v>
      </c>
      <c r="Z3325" s="1"/>
      <c r="AA3325" s="1" t="s">
        <v>40</v>
      </c>
      <c r="AB3325" s="1" t="s">
        <v>3698</v>
      </c>
      <c r="AC3325" s="1">
        <v>5819.0</v>
      </c>
    </row>
    <row r="3326">
      <c r="A3326" s="1" t="str">
        <f>"000W18"</f>
        <v>000W18</v>
      </c>
      <c r="B3326" s="1" t="s">
        <v>13966</v>
      </c>
      <c r="C3326" s="1" t="s">
        <v>13967</v>
      </c>
      <c r="D3326" s="1" t="str">
        <f>"8024254628"</f>
        <v>8024254628</v>
      </c>
      <c r="E3326" s="1">
        <v>5014.0</v>
      </c>
      <c r="F3326" s="1" t="s">
        <v>44</v>
      </c>
      <c r="G3326" s="1" t="s">
        <v>13968</v>
      </c>
      <c r="H3326" s="1">
        <v>2.0</v>
      </c>
      <c r="I3326" s="1"/>
      <c r="J3326" s="1"/>
      <c r="K3326" s="1"/>
      <c r="L3326" s="1"/>
      <c r="M3326" s="1"/>
      <c r="N3326" s="1" t="s">
        <v>49</v>
      </c>
      <c r="O3326" s="1"/>
      <c r="P3326" s="1" t="s">
        <v>1634</v>
      </c>
      <c r="Q3326" s="3">
        <v>42543.0</v>
      </c>
      <c r="R3326" s="1"/>
      <c r="S3326" s="3">
        <v>42542.0</v>
      </c>
      <c r="T3326" s="1" t="s">
        <v>37</v>
      </c>
      <c r="U3326" s="1"/>
      <c r="V3326" s="1" t="s">
        <v>38</v>
      </c>
      <c r="W3326" s="1"/>
      <c r="X3326" s="1"/>
      <c r="Y3326" s="1" t="s">
        <v>13969</v>
      </c>
      <c r="Z3326" s="1"/>
      <c r="AA3326" s="1" t="s">
        <v>40</v>
      </c>
      <c r="AB3326" s="1" t="s">
        <v>1634</v>
      </c>
      <c r="AC3326" s="1">
        <v>5445.0</v>
      </c>
    </row>
    <row r="3327">
      <c r="A3327" s="1" t="str">
        <f>"000W16"</f>
        <v>000W16</v>
      </c>
      <c r="B3327" s="1" t="s">
        <v>13970</v>
      </c>
      <c r="C3327" s="1" t="s">
        <v>13971</v>
      </c>
      <c r="D3327" s="1" t="str">
        <f>"8027356232"</f>
        <v>8027356232</v>
      </c>
      <c r="E3327" s="1">
        <v>5012.0</v>
      </c>
      <c r="F3327" s="1" t="s">
        <v>117</v>
      </c>
      <c r="G3327" s="1" t="s">
        <v>13972</v>
      </c>
      <c r="H3327" s="1">
        <v>2.0</v>
      </c>
      <c r="I3327" s="2">
        <v>3.0</v>
      </c>
      <c r="J3327" s="2">
        <v>3.0</v>
      </c>
      <c r="K3327" s="2" t="s">
        <v>119</v>
      </c>
      <c r="L3327" s="1"/>
      <c r="M3327" s="1" t="s">
        <v>13973</v>
      </c>
      <c r="N3327" s="1" t="s">
        <v>47</v>
      </c>
      <c r="O3327" s="1" t="s">
        <v>2319</v>
      </c>
      <c r="P3327" s="1" t="s">
        <v>13974</v>
      </c>
      <c r="Q3327" s="3">
        <v>42543.0</v>
      </c>
      <c r="R3327" s="1"/>
      <c r="S3327" s="1"/>
      <c r="T3327" s="1" t="s">
        <v>37</v>
      </c>
      <c r="U3327" s="1"/>
      <c r="V3327" s="1" t="s">
        <v>38</v>
      </c>
      <c r="W3327" s="1"/>
      <c r="X3327" s="1"/>
      <c r="Y3327" s="1" t="s">
        <v>13973</v>
      </c>
      <c r="Z3327" s="1"/>
      <c r="AA3327" s="1" t="s">
        <v>40</v>
      </c>
      <c r="AB3327" s="1" t="s">
        <v>1059</v>
      </c>
      <c r="AC3327" s="1">
        <v>8547.0</v>
      </c>
    </row>
    <row r="3328">
      <c r="A3328" s="1" t="str">
        <f>"000W1A"</f>
        <v>000W1A</v>
      </c>
      <c r="B3328" s="1" t="s">
        <v>13975</v>
      </c>
      <c r="C3328" s="1" t="s">
        <v>13976</v>
      </c>
      <c r="D3328" s="1" t="str">
        <f>"8022558386"</f>
        <v>8022558386</v>
      </c>
      <c r="E3328" s="1">
        <v>5016.0</v>
      </c>
      <c r="F3328" s="1" t="s">
        <v>117</v>
      </c>
      <c r="G3328" s="1" t="s">
        <v>13977</v>
      </c>
      <c r="H3328" s="1">
        <v>7.0</v>
      </c>
      <c r="I3328" s="2">
        <v>1.0</v>
      </c>
      <c r="J3328" s="2">
        <v>4.0</v>
      </c>
      <c r="K3328" s="2" t="s">
        <v>119</v>
      </c>
      <c r="L3328" s="1"/>
      <c r="M3328" s="1" t="s">
        <v>13978</v>
      </c>
      <c r="N3328" s="1" t="s">
        <v>213</v>
      </c>
      <c r="O3328" s="1" t="s">
        <v>365</v>
      </c>
      <c r="P3328" s="1" t="s">
        <v>13979</v>
      </c>
      <c r="Q3328" s="3">
        <v>42543.0</v>
      </c>
      <c r="R3328" s="1"/>
      <c r="S3328" s="1"/>
      <c r="T3328" s="1" t="s">
        <v>37</v>
      </c>
      <c r="U3328" s="1"/>
      <c r="V3328" s="1" t="s">
        <v>38</v>
      </c>
      <c r="W3328" s="1">
        <v>44.5588028</v>
      </c>
      <c r="X3328" s="1">
        <v>-72.5778414999999</v>
      </c>
      <c r="Y3328" s="1" t="s">
        <v>13980</v>
      </c>
      <c r="Z3328" s="1"/>
      <c r="AA3328" s="1" t="s">
        <v>40</v>
      </c>
      <c r="AB3328" s="1" t="s">
        <v>217</v>
      </c>
      <c r="AC3328" s="1">
        <v>5661.0</v>
      </c>
    </row>
    <row r="3329">
      <c r="A3329" s="1" t="str">
        <f>"0008AP"</f>
        <v>0008AP</v>
      </c>
      <c r="B3329" s="1" t="s">
        <v>5141</v>
      </c>
      <c r="C3329" s="1" t="s">
        <v>5142</v>
      </c>
      <c r="D3329" s="1" t="str">
        <f>"8024339897"</f>
        <v>8024339897</v>
      </c>
      <c r="E3329" s="1">
        <v>3868.0</v>
      </c>
      <c r="F3329" s="1" t="s">
        <v>117</v>
      </c>
      <c r="G3329" s="1" t="s">
        <v>13981</v>
      </c>
      <c r="H3329" s="1">
        <v>4.0</v>
      </c>
      <c r="I3329" s="1"/>
      <c r="J3329" s="1"/>
      <c r="K3329" s="1"/>
      <c r="L3329" s="1"/>
      <c r="M3329" s="1" t="s">
        <v>13982</v>
      </c>
      <c r="N3329" s="1" t="s">
        <v>213</v>
      </c>
      <c r="O3329" s="1"/>
      <c r="P3329" s="1" t="s">
        <v>13983</v>
      </c>
      <c r="Q3329" s="3">
        <v>42544.0</v>
      </c>
      <c r="R3329" s="1"/>
      <c r="S3329" s="1"/>
      <c r="T3329" s="1" t="s">
        <v>37</v>
      </c>
      <c r="U3329" s="1"/>
      <c r="V3329" s="1" t="s">
        <v>38</v>
      </c>
      <c r="W3329" s="1">
        <v>44.613172</v>
      </c>
      <c r="X3329" s="1">
        <v>-72.8414619999999</v>
      </c>
      <c r="Y3329" s="1" t="s">
        <v>13984</v>
      </c>
      <c r="Z3329" s="1"/>
      <c r="AA3329" s="1" t="s">
        <v>40</v>
      </c>
      <c r="AB3329" s="1" t="s">
        <v>8822</v>
      </c>
      <c r="AC3329" s="1">
        <v>5464.0</v>
      </c>
    </row>
    <row r="3330">
      <c r="A3330" s="1" t="str">
        <f>"000W1C"</f>
        <v>000W1C</v>
      </c>
      <c r="B3330" s="1" t="s">
        <v>13985</v>
      </c>
      <c r="C3330" s="1" t="s">
        <v>13986</v>
      </c>
      <c r="D3330" s="1" t="str">
        <f>"8022547442"</f>
        <v>8022547442</v>
      </c>
      <c r="E3330" s="1">
        <v>5017.0</v>
      </c>
      <c r="F3330" s="1" t="s">
        <v>117</v>
      </c>
      <c r="G3330" s="1" t="s">
        <v>13987</v>
      </c>
      <c r="H3330" s="1">
        <v>2.0</v>
      </c>
      <c r="I3330" s="2">
        <v>0.0</v>
      </c>
      <c r="J3330" s="2">
        <v>0.0</v>
      </c>
      <c r="K3330" s="2" t="s">
        <v>119</v>
      </c>
      <c r="L3330" s="1"/>
      <c r="M3330" s="1" t="s">
        <v>13988</v>
      </c>
      <c r="N3330" s="1" t="s">
        <v>66</v>
      </c>
      <c r="O3330" s="1" t="s">
        <v>1256</v>
      </c>
      <c r="P3330" s="1" t="s">
        <v>13989</v>
      </c>
      <c r="Q3330" s="3">
        <v>42544.0</v>
      </c>
      <c r="R3330" s="1"/>
      <c r="S3330" s="1"/>
      <c r="T3330" s="1" t="s">
        <v>37</v>
      </c>
      <c r="U3330" s="1"/>
      <c r="V3330" s="1" t="s">
        <v>38</v>
      </c>
      <c r="W3330" s="1">
        <v>42.9527442</v>
      </c>
      <c r="X3330" s="1">
        <v>-72.6077917999999</v>
      </c>
      <c r="Y3330" s="1" t="s">
        <v>13990</v>
      </c>
      <c r="Z3330" s="1"/>
      <c r="AA3330" s="1" t="s">
        <v>40</v>
      </c>
      <c r="AB3330" s="1" t="s">
        <v>1257</v>
      </c>
      <c r="AC3330" s="1">
        <v>5301.0</v>
      </c>
    </row>
    <row r="3331">
      <c r="A3331" s="1" t="str">
        <f>"000W1D"</f>
        <v>000W1D</v>
      </c>
      <c r="B3331" s="1" t="s">
        <v>13991</v>
      </c>
      <c r="C3331" s="1" t="s">
        <v>13992</v>
      </c>
      <c r="D3331" s="1" t="str">
        <f>"8024573779"</f>
        <v>8024573779</v>
      </c>
      <c r="E3331" s="1">
        <v>5018.0</v>
      </c>
      <c r="F3331" s="1" t="s">
        <v>117</v>
      </c>
      <c r="G3331" s="1" t="s">
        <v>13993</v>
      </c>
      <c r="H3331" s="1">
        <v>2.0</v>
      </c>
      <c r="I3331" s="2">
        <v>4.0</v>
      </c>
      <c r="J3331" s="2">
        <v>3.0</v>
      </c>
      <c r="K3331" s="2" t="s">
        <v>119</v>
      </c>
      <c r="L3331" s="1"/>
      <c r="M3331" s="1" t="s">
        <v>13994</v>
      </c>
      <c r="N3331" s="1" t="s">
        <v>34</v>
      </c>
      <c r="O3331" s="1" t="s">
        <v>324</v>
      </c>
      <c r="P3331" s="1" t="s">
        <v>13995</v>
      </c>
      <c r="Q3331" s="3">
        <v>42544.0</v>
      </c>
      <c r="R3331" s="1"/>
      <c r="S3331" s="1"/>
      <c r="T3331" s="1" t="s">
        <v>37</v>
      </c>
      <c r="U3331" s="1"/>
      <c r="V3331" s="1" t="s">
        <v>38</v>
      </c>
      <c r="W3331" s="1">
        <v>43.5692019</v>
      </c>
      <c r="X3331" s="1">
        <v>-72.5602705</v>
      </c>
      <c r="Y3331" s="1" t="s">
        <v>13996</v>
      </c>
      <c r="Z3331" s="1"/>
      <c r="AA3331" s="1" t="s">
        <v>40</v>
      </c>
      <c r="AB3331" s="1" t="s">
        <v>13997</v>
      </c>
      <c r="AC3331" s="1">
        <v>5071.0</v>
      </c>
    </row>
    <row r="3332">
      <c r="A3332" s="1" t="str">
        <f>"0002KF"</f>
        <v>0002KF</v>
      </c>
      <c r="B3332" s="1" t="s">
        <v>13998</v>
      </c>
      <c r="C3332" s="1" t="s">
        <v>13999</v>
      </c>
      <c r="D3332" s="1" t="str">
        <f>"8024723054"</f>
        <v>8024723054</v>
      </c>
      <c r="E3332" s="1">
        <v>5019.0</v>
      </c>
      <c r="F3332" s="1" t="s">
        <v>117</v>
      </c>
      <c r="G3332" s="1" t="s">
        <v>14000</v>
      </c>
      <c r="H3332" s="1">
        <v>1.0</v>
      </c>
      <c r="I3332" s="2">
        <v>2.0</v>
      </c>
      <c r="J3332" s="2">
        <v>2.0</v>
      </c>
      <c r="K3332" s="2" t="s">
        <v>119</v>
      </c>
      <c r="L3332" s="2" t="s">
        <v>14001</v>
      </c>
      <c r="M3332" s="1" t="s">
        <v>14002</v>
      </c>
      <c r="N3332" s="1" t="s">
        <v>135</v>
      </c>
      <c r="O3332" s="1" t="s">
        <v>655</v>
      </c>
      <c r="P3332" s="1" t="s">
        <v>14003</v>
      </c>
      <c r="Q3332" s="3">
        <v>42544.0</v>
      </c>
      <c r="R3332" s="1"/>
      <c r="S3332" s="1"/>
      <c r="T3332" s="1" t="s">
        <v>37</v>
      </c>
      <c r="U3332" s="1"/>
      <c r="V3332" s="1" t="s">
        <v>38</v>
      </c>
      <c r="W3332" s="1">
        <v>44.448846</v>
      </c>
      <c r="X3332" s="1">
        <v>-72.4137359999999</v>
      </c>
      <c r="Y3332" s="1" t="s">
        <v>14004</v>
      </c>
      <c r="Z3332" s="1"/>
      <c r="AA3332" s="1" t="s">
        <v>40</v>
      </c>
      <c r="AB3332" s="1" t="s">
        <v>656</v>
      </c>
      <c r="AC3332" s="1">
        <v>5681.0</v>
      </c>
    </row>
    <row r="3333">
      <c r="A3333" s="1" t="str">
        <f>"000QC4"</f>
        <v>000QC4</v>
      </c>
      <c r="B3333" s="1" t="s">
        <v>14005</v>
      </c>
      <c r="C3333" s="1" t="s">
        <v>14006</v>
      </c>
      <c r="D3333" s="1" t="str">
        <f>"8025862360"</f>
        <v>8025862360</v>
      </c>
      <c r="E3333" s="1">
        <v>4786.0</v>
      </c>
      <c r="F3333" s="1" t="s">
        <v>117</v>
      </c>
      <c r="G3333" s="1" t="s">
        <v>14007</v>
      </c>
      <c r="H3333" s="1">
        <v>2.0</v>
      </c>
      <c r="I3333" s="2">
        <v>2.0</v>
      </c>
      <c r="J3333" s="2">
        <v>2.0</v>
      </c>
      <c r="K3333" s="2" t="s">
        <v>829</v>
      </c>
      <c r="L3333" s="1"/>
      <c r="M3333" s="1" t="s">
        <v>14008</v>
      </c>
      <c r="N3333" s="1" t="s">
        <v>57</v>
      </c>
      <c r="O3333" s="1" t="s">
        <v>2092</v>
      </c>
      <c r="P3333" s="1" t="s">
        <v>14009</v>
      </c>
      <c r="Q3333" s="3">
        <v>42545.0</v>
      </c>
      <c r="R3333" s="1"/>
      <c r="S3333" s="1"/>
      <c r="T3333" s="1" t="s">
        <v>37</v>
      </c>
      <c r="U3333" s="1"/>
      <c r="V3333" s="1" t="s">
        <v>38</v>
      </c>
      <c r="W3333" s="1">
        <v>44.453259</v>
      </c>
      <c r="X3333" s="1">
        <v>-73.057594</v>
      </c>
      <c r="Y3333" s="1" t="s">
        <v>14010</v>
      </c>
      <c r="Z3333" s="1"/>
      <c r="AA3333" s="1" t="s">
        <v>40</v>
      </c>
      <c r="AB3333" s="1" t="s">
        <v>2093</v>
      </c>
      <c r="AC3333" s="1">
        <v>5495.0</v>
      </c>
    </row>
    <row r="3334">
      <c r="A3334" s="1" t="str">
        <f>"000W23"</f>
        <v>000W23</v>
      </c>
      <c r="B3334" s="1" t="s">
        <v>14011</v>
      </c>
      <c r="C3334" s="1" t="s">
        <v>14012</v>
      </c>
      <c r="D3334" s="1" t="str">
        <f>"8024894036"</f>
        <v>8024894036</v>
      </c>
      <c r="E3334" s="1">
        <v>5020.0</v>
      </c>
      <c r="F3334" s="1" t="s">
        <v>44</v>
      </c>
      <c r="G3334" s="1" t="s">
        <v>14013</v>
      </c>
      <c r="H3334" s="1">
        <v>1.0</v>
      </c>
      <c r="I3334" s="2" t="s">
        <v>119</v>
      </c>
      <c r="J3334" s="2">
        <v>1.0</v>
      </c>
      <c r="K3334" s="2" t="s">
        <v>119</v>
      </c>
      <c r="L3334" s="1"/>
      <c r="M3334" s="1" t="s">
        <v>33</v>
      </c>
      <c r="N3334" s="1" t="s">
        <v>57</v>
      </c>
      <c r="O3334" s="1" t="s">
        <v>1633</v>
      </c>
      <c r="P3334" s="1" t="s">
        <v>14014</v>
      </c>
      <c r="Q3334" s="3">
        <v>42545.0</v>
      </c>
      <c r="R3334" s="1"/>
      <c r="S3334" s="1"/>
      <c r="T3334" s="1" t="s">
        <v>37</v>
      </c>
      <c r="U3334" s="1"/>
      <c r="V3334" s="1" t="s">
        <v>38</v>
      </c>
      <c r="W3334" s="1"/>
      <c r="X3334" s="1"/>
      <c r="Y3334" s="1" t="s">
        <v>14015</v>
      </c>
      <c r="Z3334" s="1"/>
      <c r="AA3334" s="1" t="s">
        <v>40</v>
      </c>
      <c r="AB3334" s="1" t="s">
        <v>1634</v>
      </c>
      <c r="AC3334" s="1">
        <v>5445.0</v>
      </c>
    </row>
    <row r="3335">
      <c r="A3335" s="1" t="str">
        <f>"000W26"</f>
        <v>000W26</v>
      </c>
      <c r="B3335" s="1" t="s">
        <v>14016</v>
      </c>
      <c r="C3335" s="1" t="s">
        <v>14017</v>
      </c>
      <c r="D3335" s="1" t="str">
        <f>"8024641187"</f>
        <v>8024641187</v>
      </c>
      <c r="E3335" s="1">
        <v>5021.0</v>
      </c>
      <c r="F3335" s="1" t="s">
        <v>117</v>
      </c>
      <c r="G3335" s="1" t="s">
        <v>14018</v>
      </c>
      <c r="H3335" s="1">
        <v>2.0</v>
      </c>
      <c r="I3335" s="2">
        <v>2.0</v>
      </c>
      <c r="J3335" s="2">
        <v>2.0</v>
      </c>
      <c r="K3335" s="2" t="s">
        <v>119</v>
      </c>
      <c r="L3335" s="1"/>
      <c r="M3335" s="1" t="s">
        <v>14019</v>
      </c>
      <c r="N3335" s="1" t="s">
        <v>66</v>
      </c>
      <c r="O3335" s="1" t="s">
        <v>1411</v>
      </c>
      <c r="P3335" s="1" t="s">
        <v>14020</v>
      </c>
      <c r="Q3335" s="3">
        <v>42545.0</v>
      </c>
      <c r="R3335" s="1"/>
      <c r="S3335" s="1"/>
      <c r="T3335" s="1" t="s">
        <v>37</v>
      </c>
      <c r="U3335" s="1"/>
      <c r="V3335" s="1" t="s">
        <v>38</v>
      </c>
      <c r="W3335" s="1">
        <v>42.881798</v>
      </c>
      <c r="X3335" s="1">
        <v>-72.8531419999999</v>
      </c>
      <c r="Y3335" s="1" t="s">
        <v>14021</v>
      </c>
      <c r="Z3335" s="1"/>
      <c r="AA3335" s="1" t="s">
        <v>40</v>
      </c>
      <c r="AB3335" s="1" t="s">
        <v>1412</v>
      </c>
      <c r="AC3335" s="1">
        <v>5363.0</v>
      </c>
    </row>
    <row r="3336">
      <c r="A3336" s="1" t="str">
        <f>"000W27"</f>
        <v>000W27</v>
      </c>
      <c r="B3336" s="1" t="s">
        <v>14022</v>
      </c>
      <c r="C3336" s="1" t="s">
        <v>14023</v>
      </c>
      <c r="D3336" s="1" t="str">
        <f>"8027650407"</f>
        <v>8027650407</v>
      </c>
      <c r="E3336" s="1">
        <v>5022.0</v>
      </c>
      <c r="F3336" s="1" t="s">
        <v>117</v>
      </c>
      <c r="G3336" s="1" t="s">
        <v>14024</v>
      </c>
      <c r="H3336" s="1">
        <v>4.0</v>
      </c>
      <c r="I3336" s="2">
        <v>0.0</v>
      </c>
      <c r="J3336" s="2">
        <v>0.0</v>
      </c>
      <c r="K3336" s="2">
        <v>10.0</v>
      </c>
      <c r="L3336" s="1"/>
      <c r="M3336" s="1" t="s">
        <v>14025</v>
      </c>
      <c r="N3336" s="1" t="s">
        <v>142</v>
      </c>
      <c r="O3336" s="1" t="s">
        <v>243</v>
      </c>
      <c r="P3336" s="1" t="s">
        <v>14026</v>
      </c>
      <c r="Q3336" s="3">
        <v>42545.0</v>
      </c>
      <c r="R3336" s="1"/>
      <c r="S3336" s="3">
        <v>42950.0</v>
      </c>
      <c r="T3336" s="1" t="s">
        <v>37</v>
      </c>
      <c r="U3336" s="1"/>
      <c r="V3336" s="1" t="s">
        <v>38</v>
      </c>
      <c r="W3336" s="1">
        <v>43.8343362</v>
      </c>
      <c r="X3336" s="1">
        <v>-72.3628258</v>
      </c>
      <c r="Y3336" s="1" t="s">
        <v>14027</v>
      </c>
      <c r="Z3336" s="1"/>
      <c r="AA3336" s="1" t="s">
        <v>40</v>
      </c>
      <c r="AB3336" s="1" t="s">
        <v>9051</v>
      </c>
      <c r="AC3336" s="1">
        <v>5070.0</v>
      </c>
    </row>
    <row r="3337">
      <c r="A3337" s="1" t="str">
        <f>"000W2D"</f>
        <v>000W2D</v>
      </c>
      <c r="B3337" s="1" t="s">
        <v>14028</v>
      </c>
      <c r="C3337" s="1" t="s">
        <v>14029</v>
      </c>
      <c r="D3337" s="1" t="str">
        <f>"8027650020"</f>
        <v>8027650020</v>
      </c>
      <c r="E3337" s="1">
        <v>5023.0</v>
      </c>
      <c r="F3337" s="1" t="s">
        <v>117</v>
      </c>
      <c r="G3337" s="1" t="s">
        <v>14030</v>
      </c>
      <c r="H3337" s="1">
        <v>1.0</v>
      </c>
      <c r="I3337" s="2">
        <v>1.0</v>
      </c>
      <c r="J3337" s="2">
        <v>0.0</v>
      </c>
      <c r="K3337" s="2" t="s">
        <v>119</v>
      </c>
      <c r="L3337" s="1"/>
      <c r="M3337" s="1" t="s">
        <v>14031</v>
      </c>
      <c r="N3337" s="1" t="s">
        <v>142</v>
      </c>
      <c r="O3337" s="1" t="s">
        <v>243</v>
      </c>
      <c r="P3337" s="1" t="s">
        <v>14032</v>
      </c>
      <c r="Q3337" s="3">
        <v>42548.0</v>
      </c>
      <c r="R3337" s="1"/>
      <c r="S3337" s="3">
        <v>42965.0</v>
      </c>
      <c r="T3337" s="1" t="s">
        <v>37</v>
      </c>
      <c r="U3337" s="1"/>
      <c r="V3337" s="1" t="s">
        <v>38</v>
      </c>
      <c r="W3337" s="1">
        <v>43.8233893180857</v>
      </c>
      <c r="X3337" s="1">
        <v>-72.3447531036697</v>
      </c>
      <c r="Y3337" s="1" t="s">
        <v>14033</v>
      </c>
      <c r="Z3337" s="1"/>
      <c r="AA3337" s="1" t="s">
        <v>40</v>
      </c>
      <c r="AB3337" s="1" t="s">
        <v>9051</v>
      </c>
      <c r="AC3337" s="1">
        <v>5070.0</v>
      </c>
    </row>
    <row r="3338">
      <c r="A3338" s="1" t="str">
        <f>"000W2H"</f>
        <v>000W2H</v>
      </c>
      <c r="B3338" s="1" t="s">
        <v>14034</v>
      </c>
      <c r="C3338" s="1" t="s">
        <v>14035</v>
      </c>
      <c r="D3338" s="1" t="str">
        <f>"8022294408"</f>
        <v>8022294408</v>
      </c>
      <c r="E3338" s="1">
        <v>5024.0</v>
      </c>
      <c r="F3338" s="1" t="s">
        <v>44</v>
      </c>
      <c r="G3338" s="1" t="s">
        <v>14036</v>
      </c>
      <c r="H3338" s="1">
        <v>1.0</v>
      </c>
      <c r="I3338" s="2">
        <v>1.0</v>
      </c>
      <c r="J3338" s="2">
        <v>1.0</v>
      </c>
      <c r="K3338" s="2" t="s">
        <v>119</v>
      </c>
      <c r="L3338" s="1"/>
      <c r="M3338" s="1">
        <v>1.0</v>
      </c>
      <c r="N3338" s="1" t="s">
        <v>135</v>
      </c>
      <c r="O3338" s="1" t="s">
        <v>2331</v>
      </c>
      <c r="P3338" s="1" t="s">
        <v>14037</v>
      </c>
      <c r="Q3338" s="3">
        <v>42549.0</v>
      </c>
      <c r="R3338" s="1"/>
      <c r="S3338" s="1"/>
      <c r="T3338" s="1" t="s">
        <v>37</v>
      </c>
      <c r="U3338" s="1"/>
      <c r="V3338" s="1" t="s">
        <v>38</v>
      </c>
      <c r="W3338" s="1">
        <v>44.244587</v>
      </c>
      <c r="X3338" s="1">
        <v>-72.673874</v>
      </c>
      <c r="Y3338" s="1" t="s">
        <v>14038</v>
      </c>
      <c r="Z3338" s="1"/>
      <c r="AA3338" s="1" t="s">
        <v>40</v>
      </c>
      <c r="AB3338" s="1" t="s">
        <v>1145</v>
      </c>
      <c r="AC3338" s="1">
        <v>5602.0</v>
      </c>
    </row>
    <row r="3339">
      <c r="A3339" s="1" t="str">
        <f>"000W2J"</f>
        <v>000W2J</v>
      </c>
      <c r="B3339" s="1" t="s">
        <v>14039</v>
      </c>
      <c r="C3339" s="1" t="s">
        <v>14040</v>
      </c>
      <c r="D3339" s="1" t="str">
        <f>"8028488969"</f>
        <v>8028488969</v>
      </c>
      <c r="E3339" s="1">
        <v>5025.0</v>
      </c>
      <c r="F3339" s="1" t="s">
        <v>117</v>
      </c>
      <c r="G3339" s="1" t="s">
        <v>14041</v>
      </c>
      <c r="H3339" s="1">
        <v>1.0</v>
      </c>
      <c r="I3339" s="2">
        <v>1.0</v>
      </c>
      <c r="J3339" s="2">
        <v>1.0</v>
      </c>
      <c r="K3339" s="2" t="s">
        <v>119</v>
      </c>
      <c r="L3339" s="1"/>
      <c r="M3339" s="1" t="s">
        <v>14042</v>
      </c>
      <c r="N3339" s="1" t="s">
        <v>47</v>
      </c>
      <c r="O3339" s="1" t="s">
        <v>980</v>
      </c>
      <c r="P3339" s="1" t="s">
        <v>14043</v>
      </c>
      <c r="Q3339" s="3">
        <v>42549.0</v>
      </c>
      <c r="R3339" s="1"/>
      <c r="S3339" s="1"/>
      <c r="T3339" s="1" t="s">
        <v>37</v>
      </c>
      <c r="U3339" s="1"/>
      <c r="V3339" s="1" t="s">
        <v>38</v>
      </c>
      <c r="W3339" s="1">
        <v>44.9756953</v>
      </c>
      <c r="X3339" s="1">
        <v>-72.6532812</v>
      </c>
      <c r="Y3339" s="1" t="s">
        <v>14044</v>
      </c>
      <c r="Z3339" s="1"/>
      <c r="AA3339" s="1" t="s">
        <v>40</v>
      </c>
      <c r="AB3339" s="1" t="s">
        <v>981</v>
      </c>
      <c r="AC3339" s="1">
        <v>5476.0</v>
      </c>
    </row>
    <row r="3340">
      <c r="A3340" s="1" t="str">
        <f>"000W2K"</f>
        <v>000W2K</v>
      </c>
      <c r="B3340" s="1" t="s">
        <v>14045</v>
      </c>
      <c r="C3340" s="1" t="s">
        <v>14046</v>
      </c>
      <c r="D3340" s="1" t="str">
        <f>"8028776809"</f>
        <v>8028776809</v>
      </c>
      <c r="E3340" s="1">
        <v>5026.0</v>
      </c>
      <c r="F3340" s="1" t="s">
        <v>117</v>
      </c>
      <c r="G3340" s="1" t="s">
        <v>14047</v>
      </c>
      <c r="H3340" s="1">
        <v>4.0</v>
      </c>
      <c r="I3340" s="2">
        <v>0.0</v>
      </c>
      <c r="J3340" s="2">
        <v>0.0</v>
      </c>
      <c r="K3340" s="2" t="s">
        <v>119</v>
      </c>
      <c r="L3340" s="1"/>
      <c r="M3340" s="1" t="s">
        <v>14048</v>
      </c>
      <c r="N3340" s="1" t="s">
        <v>161</v>
      </c>
      <c r="O3340" s="1" t="s">
        <v>3580</v>
      </c>
      <c r="P3340" s="1" t="s">
        <v>14049</v>
      </c>
      <c r="Q3340" s="3">
        <v>42550.0</v>
      </c>
      <c r="R3340" s="1"/>
      <c r="S3340" s="1"/>
      <c r="T3340" s="1" t="s">
        <v>37</v>
      </c>
      <c r="U3340" s="1"/>
      <c r="V3340" s="1" t="s">
        <v>38</v>
      </c>
      <c r="W3340" s="1">
        <v>44.181995</v>
      </c>
      <c r="X3340" s="1">
        <v>-73.188301</v>
      </c>
      <c r="Y3340" s="1" t="s">
        <v>14050</v>
      </c>
      <c r="Z3340" s="1"/>
      <c r="AA3340" s="1" t="s">
        <v>40</v>
      </c>
      <c r="AB3340" s="1" t="s">
        <v>3581</v>
      </c>
      <c r="AC3340" s="1">
        <v>5491.0</v>
      </c>
    </row>
    <row r="3341">
      <c r="A3341" s="1" t="str">
        <f>"000W2M"</f>
        <v>000W2M</v>
      </c>
      <c r="B3341" s="1" t="s">
        <v>14051</v>
      </c>
      <c r="C3341" s="1" t="s">
        <v>14052</v>
      </c>
      <c r="D3341" s="1" t="str">
        <f>"8027821464"</f>
        <v>8027821464</v>
      </c>
      <c r="E3341" s="1">
        <v>5027.0</v>
      </c>
      <c r="F3341" s="1" t="s">
        <v>117</v>
      </c>
      <c r="G3341" s="1" t="s">
        <v>14053</v>
      </c>
      <c r="H3341" s="1">
        <v>3.0</v>
      </c>
      <c r="I3341" s="2" t="s">
        <v>119</v>
      </c>
      <c r="J3341" s="2">
        <v>3.0</v>
      </c>
      <c r="K3341" s="2" t="s">
        <v>119</v>
      </c>
      <c r="L3341" s="1"/>
      <c r="M3341" s="1" t="s">
        <v>14054</v>
      </c>
      <c r="N3341" s="1" t="s">
        <v>47</v>
      </c>
      <c r="O3341" s="1" t="s">
        <v>980</v>
      </c>
      <c r="P3341" s="1" t="s">
        <v>14055</v>
      </c>
      <c r="Q3341" s="3">
        <v>42550.0</v>
      </c>
      <c r="R3341" s="1"/>
      <c r="S3341" s="1"/>
      <c r="T3341" s="1" t="s">
        <v>37</v>
      </c>
      <c r="U3341" s="1"/>
      <c r="V3341" s="1" t="s">
        <v>38</v>
      </c>
      <c r="W3341" s="1">
        <v>44.97887</v>
      </c>
      <c r="X3341" s="1">
        <v>-72.675064</v>
      </c>
      <c r="Y3341" s="1" t="s">
        <v>14056</v>
      </c>
      <c r="Z3341" s="1"/>
      <c r="AA3341" s="1" t="s">
        <v>40</v>
      </c>
      <c r="AB3341" s="1" t="s">
        <v>981</v>
      </c>
      <c r="AC3341" s="1">
        <v>5476.0</v>
      </c>
    </row>
    <row r="3342">
      <c r="A3342" s="1" t="str">
        <f>"000NDN"</f>
        <v>000NDN</v>
      </c>
      <c r="B3342" s="1" t="s">
        <v>14057</v>
      </c>
      <c r="C3342" s="1" t="s">
        <v>14058</v>
      </c>
      <c r="D3342" s="1" t="str">
        <f>"8028992275"</f>
        <v>8028992275</v>
      </c>
      <c r="E3342" s="1">
        <v>5028.0</v>
      </c>
      <c r="F3342" s="1" t="s">
        <v>117</v>
      </c>
      <c r="G3342" s="1" t="s">
        <v>14059</v>
      </c>
      <c r="H3342" s="1">
        <v>1.0</v>
      </c>
      <c r="I3342" s="2">
        <v>0.0</v>
      </c>
      <c r="J3342" s="2">
        <v>0.0</v>
      </c>
      <c r="K3342" s="2" t="s">
        <v>119</v>
      </c>
      <c r="L3342" s="2" t="s">
        <v>4799</v>
      </c>
      <c r="M3342" s="1" t="s">
        <v>14060</v>
      </c>
      <c r="N3342" s="1" t="s">
        <v>57</v>
      </c>
      <c r="O3342" s="1" t="s">
        <v>58</v>
      </c>
      <c r="P3342" s="1" t="s">
        <v>14061</v>
      </c>
      <c r="Q3342" s="3">
        <v>42550.0</v>
      </c>
      <c r="R3342" s="1"/>
      <c r="S3342" s="1"/>
      <c r="T3342" s="1" t="s">
        <v>37</v>
      </c>
      <c r="U3342" s="1"/>
      <c r="V3342" s="1" t="s">
        <v>38</v>
      </c>
      <c r="W3342" s="1"/>
      <c r="X3342" s="1"/>
      <c r="Y3342" s="1" t="s">
        <v>2885</v>
      </c>
      <c r="Z3342" s="1"/>
      <c r="AA3342" s="1" t="s">
        <v>40</v>
      </c>
      <c r="AB3342" s="1" t="s">
        <v>61</v>
      </c>
      <c r="AC3342" s="1">
        <v>5489.0</v>
      </c>
    </row>
    <row r="3343">
      <c r="A3343" s="1" t="str">
        <f>"000H3W"</f>
        <v>000H3W</v>
      </c>
      <c r="B3343" s="1" t="s">
        <v>12904</v>
      </c>
      <c r="C3343" s="1" t="s">
        <v>12905</v>
      </c>
      <c r="D3343" s="1" t="str">
        <f>"8026813322"</f>
        <v>8026813322</v>
      </c>
      <c r="E3343" s="1">
        <v>4327.0</v>
      </c>
      <c r="F3343" s="1" t="s">
        <v>117</v>
      </c>
      <c r="G3343" s="1" t="s">
        <v>14062</v>
      </c>
      <c r="H3343" s="1">
        <v>0.0</v>
      </c>
      <c r="I3343" s="2" t="s">
        <v>119</v>
      </c>
      <c r="J3343" s="2" t="s">
        <v>119</v>
      </c>
      <c r="K3343" s="2" t="s">
        <v>119</v>
      </c>
      <c r="L3343" s="1"/>
      <c r="M3343" s="1" t="s">
        <v>14063</v>
      </c>
      <c r="N3343" s="1" t="s">
        <v>414</v>
      </c>
      <c r="O3343" s="1" t="s">
        <v>2703</v>
      </c>
      <c r="P3343" s="1" t="s">
        <v>14064</v>
      </c>
      <c r="Q3343" s="3">
        <v>42551.0</v>
      </c>
      <c r="R3343" s="1"/>
      <c r="S3343" s="1"/>
      <c r="T3343" s="1" t="s">
        <v>37</v>
      </c>
      <c r="U3343" s="1"/>
      <c r="V3343" s="1" t="s">
        <v>38</v>
      </c>
      <c r="W3343" s="1">
        <v>43.08292</v>
      </c>
      <c r="X3343" s="1">
        <v>-73.1266939999999</v>
      </c>
      <c r="Y3343" s="1" t="s">
        <v>14065</v>
      </c>
      <c r="Z3343" s="1"/>
      <c r="AA3343" s="1" t="s">
        <v>40</v>
      </c>
      <c r="AB3343" s="1" t="s">
        <v>1391</v>
      </c>
      <c r="AC3343" s="1">
        <v>5250.0</v>
      </c>
    </row>
    <row r="3344">
      <c r="A3344" s="1" t="str">
        <f t="shared" ref="A3344:A3345" si="270">"000W2X"</f>
        <v>000W2X</v>
      </c>
      <c r="B3344" s="1" t="s">
        <v>14066</v>
      </c>
      <c r="C3344" s="1" t="s">
        <v>14067</v>
      </c>
      <c r="D3344" s="1" t="str">
        <f t="shared" ref="D3344:D3345" si="271">"8022210357"</f>
        <v>8022210357</v>
      </c>
      <c r="E3344" s="1">
        <v>5029.0</v>
      </c>
      <c r="F3344" s="1" t="s">
        <v>117</v>
      </c>
      <c r="G3344" s="1" t="s">
        <v>14068</v>
      </c>
      <c r="H3344" s="1">
        <v>10.0</v>
      </c>
      <c r="I3344" s="2">
        <v>5.0</v>
      </c>
      <c r="J3344" s="2">
        <v>5.0</v>
      </c>
      <c r="K3344" s="2" t="s">
        <v>119</v>
      </c>
      <c r="L3344" s="1"/>
      <c r="M3344" s="1" t="s">
        <v>14069</v>
      </c>
      <c r="N3344" s="1" t="s">
        <v>66</v>
      </c>
      <c r="O3344" s="1" t="s">
        <v>389</v>
      </c>
      <c r="P3344" s="1" t="s">
        <v>14070</v>
      </c>
      <c r="Q3344" s="3">
        <v>42551.0</v>
      </c>
      <c r="R3344" s="1"/>
      <c r="S3344" s="1"/>
      <c r="T3344" s="1" t="s">
        <v>37</v>
      </c>
      <c r="U3344" s="1"/>
      <c r="V3344" s="1" t="s">
        <v>38</v>
      </c>
      <c r="W3344" s="1">
        <v>42.971424</v>
      </c>
      <c r="X3344" s="1">
        <v>-72.681168</v>
      </c>
      <c r="Y3344" s="1" t="s">
        <v>14071</v>
      </c>
      <c r="Z3344" s="1"/>
      <c r="AA3344" s="1" t="s">
        <v>40</v>
      </c>
      <c r="AB3344" s="1" t="s">
        <v>390</v>
      </c>
      <c r="AC3344" s="1">
        <v>5345.0</v>
      </c>
    </row>
    <row r="3345">
      <c r="A3345" s="1" t="str">
        <f t="shared" si="270"/>
        <v>000W2X</v>
      </c>
      <c r="B3345" s="1" t="s">
        <v>14066</v>
      </c>
      <c r="C3345" s="1" t="s">
        <v>14067</v>
      </c>
      <c r="D3345" s="1" t="str">
        <f t="shared" si="271"/>
        <v>8022210357</v>
      </c>
      <c r="E3345" s="1">
        <v>5029.0</v>
      </c>
      <c r="F3345" s="1" t="s">
        <v>117</v>
      </c>
      <c r="G3345" s="1" t="s">
        <v>14072</v>
      </c>
      <c r="H3345" s="1">
        <v>4.0</v>
      </c>
      <c r="I3345" s="2" t="s">
        <v>119</v>
      </c>
      <c r="J3345" s="2" t="s">
        <v>119</v>
      </c>
      <c r="K3345" s="2" t="s">
        <v>119</v>
      </c>
      <c r="L3345" s="1"/>
      <c r="M3345" s="1">
        <v>2.0</v>
      </c>
      <c r="N3345" s="1" t="s">
        <v>66</v>
      </c>
      <c r="O3345" s="1"/>
      <c r="P3345" s="1" t="s">
        <v>14073</v>
      </c>
      <c r="Q3345" s="3">
        <v>42551.0</v>
      </c>
      <c r="R3345" s="1"/>
      <c r="S3345" s="1"/>
      <c r="T3345" s="1" t="s">
        <v>37</v>
      </c>
      <c r="U3345" s="1"/>
      <c r="V3345" s="1" t="s">
        <v>38</v>
      </c>
      <c r="W3345" s="1">
        <v>42.948383</v>
      </c>
      <c r="X3345" s="1">
        <v>-72.6795879999999</v>
      </c>
      <c r="Y3345" s="1" t="s">
        <v>14074</v>
      </c>
      <c r="Z3345" s="1"/>
      <c r="AA3345" s="1" t="s">
        <v>40</v>
      </c>
      <c r="AB3345" s="1" t="s">
        <v>5461</v>
      </c>
      <c r="AC3345" s="1">
        <v>5362.0</v>
      </c>
    </row>
    <row r="3346">
      <c r="A3346" s="1" t="str">
        <f>"000VAG"</f>
        <v>000VAG</v>
      </c>
      <c r="B3346" s="1" t="s">
        <v>13465</v>
      </c>
      <c r="C3346" s="1" t="s">
        <v>13466</v>
      </c>
      <c r="D3346" s="1" t="str">
        <f>"8025242952"</f>
        <v>8025242952</v>
      </c>
      <c r="E3346" s="1">
        <v>4938.0</v>
      </c>
      <c r="F3346" s="1" t="s">
        <v>117</v>
      </c>
      <c r="G3346" s="1" t="s">
        <v>14075</v>
      </c>
      <c r="H3346" s="1">
        <v>5.0</v>
      </c>
      <c r="I3346" s="2">
        <v>0.0</v>
      </c>
      <c r="J3346" s="2">
        <v>0.0</v>
      </c>
      <c r="K3346" s="2" t="s">
        <v>119</v>
      </c>
      <c r="L3346" s="2" t="s">
        <v>13468</v>
      </c>
      <c r="M3346" s="1" t="s">
        <v>14076</v>
      </c>
      <c r="N3346" s="1" t="s">
        <v>47</v>
      </c>
      <c r="O3346" s="1" t="s">
        <v>1112</v>
      </c>
      <c r="P3346" s="1" t="s">
        <v>14077</v>
      </c>
      <c r="Q3346" s="3">
        <v>42552.0</v>
      </c>
      <c r="R3346" s="1"/>
      <c r="S3346" s="1"/>
      <c r="T3346" s="1" t="s">
        <v>37</v>
      </c>
      <c r="U3346" s="1"/>
      <c r="V3346" s="1" t="s">
        <v>38</v>
      </c>
      <c r="W3346" s="1">
        <v>44.8648979</v>
      </c>
      <c r="X3346" s="1">
        <v>-73.125788</v>
      </c>
      <c r="Y3346" s="1" t="s">
        <v>14076</v>
      </c>
      <c r="Z3346" s="1"/>
      <c r="AA3346" s="1" t="s">
        <v>40</v>
      </c>
      <c r="AB3346" s="1" t="s">
        <v>1115</v>
      </c>
      <c r="AC3346" s="1">
        <v>5488.0</v>
      </c>
    </row>
    <row r="3347">
      <c r="A3347" s="1" t="str">
        <f>"000W30"</f>
        <v>000W30</v>
      </c>
      <c r="B3347" s="1" t="s">
        <v>14078</v>
      </c>
      <c r="C3347" s="1" t="s">
        <v>14079</v>
      </c>
      <c r="D3347" s="1" t="str">
        <f>"8024854264"</f>
        <v>8024854264</v>
      </c>
      <c r="E3347" s="1">
        <v>5030.0</v>
      </c>
      <c r="F3347" s="1" t="s">
        <v>117</v>
      </c>
      <c r="G3347" s="1" t="s">
        <v>14080</v>
      </c>
      <c r="H3347" s="1">
        <v>1.0</v>
      </c>
      <c r="I3347" s="2" t="s">
        <v>119</v>
      </c>
      <c r="J3347" s="2">
        <v>1.0</v>
      </c>
      <c r="K3347" s="2" t="s">
        <v>829</v>
      </c>
      <c r="L3347" s="1"/>
      <c r="M3347" s="1" t="s">
        <v>14081</v>
      </c>
      <c r="N3347" s="1" t="s">
        <v>135</v>
      </c>
      <c r="O3347" s="1" t="s">
        <v>136</v>
      </c>
      <c r="P3347" s="1" t="s">
        <v>14082</v>
      </c>
      <c r="Q3347" s="3">
        <v>42556.0</v>
      </c>
      <c r="R3347" s="1"/>
      <c r="S3347" s="1"/>
      <c r="T3347" s="1" t="s">
        <v>37</v>
      </c>
      <c r="U3347" s="1"/>
      <c r="V3347" s="1" t="s">
        <v>38</v>
      </c>
      <c r="W3347" s="1">
        <v>44.113148</v>
      </c>
      <c r="X3347" s="1">
        <v>-72.6668469999999</v>
      </c>
      <c r="Y3347" s="1" t="s">
        <v>14083</v>
      </c>
      <c r="Z3347" s="1"/>
      <c r="AA3347" s="1" t="s">
        <v>40</v>
      </c>
      <c r="AB3347" s="1" t="s">
        <v>137</v>
      </c>
      <c r="AC3347" s="1">
        <v>5663.0</v>
      </c>
    </row>
    <row r="3348">
      <c r="A3348" s="1" t="str">
        <f>"000W31"</f>
        <v>000W31</v>
      </c>
      <c r="B3348" s="1" t="s">
        <v>14084</v>
      </c>
      <c r="C3348" s="1" t="s">
        <v>14085</v>
      </c>
      <c r="D3348" s="1" t="str">
        <f>"5704125707"</f>
        <v>5704125707</v>
      </c>
      <c r="E3348" s="1">
        <v>5031.0</v>
      </c>
      <c r="F3348" s="1" t="s">
        <v>31</v>
      </c>
      <c r="G3348" s="1" t="s">
        <v>14086</v>
      </c>
      <c r="H3348" s="1">
        <v>4.0</v>
      </c>
      <c r="I3348" s="1"/>
      <c r="J3348" s="1"/>
      <c r="K3348" s="1"/>
      <c r="L3348" s="1"/>
      <c r="M3348" s="1"/>
      <c r="N3348" s="1" t="s">
        <v>49</v>
      </c>
      <c r="O3348" s="1"/>
      <c r="P3348" s="1" t="s">
        <v>176</v>
      </c>
      <c r="Q3348" s="3">
        <v>42556.0</v>
      </c>
      <c r="R3348" s="1"/>
      <c r="S3348" s="3">
        <v>42556.0</v>
      </c>
      <c r="T3348" s="1" t="s">
        <v>37</v>
      </c>
      <c r="U3348" s="1"/>
      <c r="V3348" s="1" t="s">
        <v>38</v>
      </c>
      <c r="W3348" s="1">
        <v>44.4778528</v>
      </c>
      <c r="X3348" s="1">
        <v>-73.1964636999999</v>
      </c>
      <c r="Y3348" s="1" t="s">
        <v>14087</v>
      </c>
      <c r="Z3348" s="1"/>
      <c r="AA3348" s="1" t="s">
        <v>40</v>
      </c>
      <c r="AB3348" s="1" t="s">
        <v>176</v>
      </c>
      <c r="AC3348" s="1">
        <v>5401.0</v>
      </c>
    </row>
    <row r="3349">
      <c r="A3349" s="1" t="str">
        <f>"000W32"</f>
        <v>000W32</v>
      </c>
      <c r="B3349" s="1" t="s">
        <v>14088</v>
      </c>
      <c r="C3349" s="1" t="s">
        <v>14089</v>
      </c>
      <c r="D3349" s="1" t="str">
        <f>"8022267744"</f>
        <v>8022267744</v>
      </c>
      <c r="E3349" s="1">
        <v>5032.0</v>
      </c>
      <c r="F3349" s="1" t="s">
        <v>117</v>
      </c>
      <c r="G3349" s="1" t="s">
        <v>14090</v>
      </c>
      <c r="H3349" s="1">
        <v>2.0</v>
      </c>
      <c r="I3349" s="2">
        <v>0.0</v>
      </c>
      <c r="J3349" s="2">
        <v>0.0</v>
      </c>
      <c r="K3349" s="2" t="s">
        <v>829</v>
      </c>
      <c r="L3349" s="1"/>
      <c r="M3349" s="1">
        <v>1.0</v>
      </c>
      <c r="N3349" s="1" t="s">
        <v>34</v>
      </c>
      <c r="O3349" s="1"/>
      <c r="P3349" s="1" t="s">
        <v>14091</v>
      </c>
      <c r="Q3349" s="3">
        <v>42556.0</v>
      </c>
      <c r="R3349" s="1"/>
      <c r="S3349" s="1"/>
      <c r="T3349" s="1" t="s">
        <v>37</v>
      </c>
      <c r="U3349" s="1"/>
      <c r="V3349" s="1" t="s">
        <v>38</v>
      </c>
      <c r="W3349" s="1">
        <v>43.3776884</v>
      </c>
      <c r="X3349" s="1">
        <v>-72.6348186999999</v>
      </c>
      <c r="Y3349" s="1" t="s">
        <v>14092</v>
      </c>
      <c r="Z3349" s="1"/>
      <c r="AA3349" s="1" t="s">
        <v>40</v>
      </c>
      <c r="AB3349" s="1" t="s">
        <v>10736</v>
      </c>
      <c r="AC3349" s="1">
        <v>5153.0</v>
      </c>
    </row>
    <row r="3350">
      <c r="A3350" s="1" t="str">
        <f>"000W34"</f>
        <v>000W34</v>
      </c>
      <c r="B3350" s="1" t="s">
        <v>14093</v>
      </c>
      <c r="C3350" s="1" t="s">
        <v>14094</v>
      </c>
      <c r="D3350" s="1" t="str">
        <f>"8028752780"</f>
        <v>8028752780</v>
      </c>
      <c r="E3350" s="1">
        <v>5033.0</v>
      </c>
      <c r="F3350" s="1" t="s">
        <v>117</v>
      </c>
      <c r="G3350" s="1" t="s">
        <v>14095</v>
      </c>
      <c r="H3350" s="1">
        <v>4.0</v>
      </c>
      <c r="I3350" s="2">
        <v>3.0</v>
      </c>
      <c r="J3350" s="2">
        <v>3.0</v>
      </c>
      <c r="K3350" s="2" t="s">
        <v>119</v>
      </c>
      <c r="L3350" s="1"/>
      <c r="M3350" s="1" t="s">
        <v>33</v>
      </c>
      <c r="N3350" s="1" t="s">
        <v>34</v>
      </c>
      <c r="O3350" s="1" t="s">
        <v>565</v>
      </c>
      <c r="P3350" s="1" t="s">
        <v>14096</v>
      </c>
      <c r="Q3350" s="3">
        <v>42556.0</v>
      </c>
      <c r="R3350" s="1"/>
      <c r="S3350" s="1"/>
      <c r="T3350" s="1" t="s">
        <v>37</v>
      </c>
      <c r="U3350" s="1"/>
      <c r="V3350" s="1" t="s">
        <v>38</v>
      </c>
      <c r="W3350" s="1">
        <v>43.33202</v>
      </c>
      <c r="X3350" s="1">
        <v>-72.5780939</v>
      </c>
      <c r="Y3350" s="1" t="s">
        <v>14097</v>
      </c>
      <c r="Z3350" s="1"/>
      <c r="AA3350" s="1" t="s">
        <v>40</v>
      </c>
      <c r="AB3350" s="1" t="s">
        <v>566</v>
      </c>
      <c r="AC3350" s="1">
        <v>5143.0</v>
      </c>
    </row>
    <row r="3351">
      <c r="A3351" s="1" t="str">
        <f>"0007VM"</f>
        <v>0007VM</v>
      </c>
      <c r="B3351" s="1" t="s">
        <v>3749</v>
      </c>
      <c r="C3351" s="1" t="s">
        <v>3750</v>
      </c>
      <c r="D3351" s="1" t="str">
        <f>"8022447460"</f>
        <v>8022447460</v>
      </c>
      <c r="E3351" s="1">
        <v>1169.0</v>
      </c>
      <c r="F3351" s="1" t="s">
        <v>117</v>
      </c>
      <c r="G3351" s="1" t="s">
        <v>14098</v>
      </c>
      <c r="H3351" s="1">
        <v>6.0</v>
      </c>
      <c r="I3351" s="2" t="s">
        <v>119</v>
      </c>
      <c r="J3351" s="2">
        <v>4.0</v>
      </c>
      <c r="K3351" s="2" t="s">
        <v>119</v>
      </c>
      <c r="L3351" s="1"/>
      <c r="M3351" s="1">
        <v>2.0</v>
      </c>
      <c r="N3351" s="1" t="s">
        <v>135</v>
      </c>
      <c r="O3351" s="1" t="s">
        <v>775</v>
      </c>
      <c r="P3351" s="1" t="s">
        <v>14099</v>
      </c>
      <c r="Q3351" s="3">
        <v>42556.0</v>
      </c>
      <c r="R3351" s="1"/>
      <c r="S3351" s="1"/>
      <c r="T3351" s="1" t="s">
        <v>37</v>
      </c>
      <c r="U3351" s="1"/>
      <c r="V3351" s="1" t="s">
        <v>38</v>
      </c>
      <c r="W3351" s="1">
        <v>44.3791985</v>
      </c>
      <c r="X3351" s="1">
        <v>-72.7218868</v>
      </c>
      <c r="Y3351" s="1" t="s">
        <v>14100</v>
      </c>
      <c r="Z3351" s="1"/>
      <c r="AA3351" s="1" t="s">
        <v>40</v>
      </c>
      <c r="AB3351" s="1" t="s">
        <v>3755</v>
      </c>
      <c r="AC3351" s="1">
        <v>5677.0</v>
      </c>
    </row>
    <row r="3352">
      <c r="A3352" s="1" t="str">
        <f>"0007YY"</f>
        <v>0007YY</v>
      </c>
      <c r="B3352" s="1" t="s">
        <v>14101</v>
      </c>
      <c r="C3352" s="1" t="s">
        <v>14102</v>
      </c>
      <c r="D3352" s="1" t="str">
        <f>"8024535583"</f>
        <v>8024535583</v>
      </c>
      <c r="E3352" s="1">
        <v>3036.0</v>
      </c>
      <c r="F3352" s="1" t="s">
        <v>117</v>
      </c>
      <c r="G3352" s="1" t="s">
        <v>14103</v>
      </c>
      <c r="H3352" s="1">
        <v>2.0</v>
      </c>
      <c r="I3352" s="2">
        <v>1.0</v>
      </c>
      <c r="J3352" s="2">
        <v>1.0</v>
      </c>
      <c r="K3352" s="2" t="s">
        <v>829</v>
      </c>
      <c r="L3352" s="1"/>
      <c r="M3352" s="1">
        <v>1.0</v>
      </c>
      <c r="N3352" s="1" t="s">
        <v>161</v>
      </c>
      <c r="O3352" s="1" t="s">
        <v>307</v>
      </c>
      <c r="P3352" s="1" t="s">
        <v>14104</v>
      </c>
      <c r="Q3352" s="3">
        <v>36892.0</v>
      </c>
      <c r="R3352" s="1"/>
      <c r="S3352" s="3">
        <v>38161.0</v>
      </c>
      <c r="T3352" s="1" t="s">
        <v>37</v>
      </c>
      <c r="U3352" s="1"/>
      <c r="V3352" s="1" t="s">
        <v>38</v>
      </c>
      <c r="W3352" s="1">
        <v>44.062588</v>
      </c>
      <c r="X3352" s="1">
        <v>-73.093636</v>
      </c>
      <c r="Y3352" s="1" t="s">
        <v>14105</v>
      </c>
      <c r="Z3352" s="1"/>
      <c r="AA3352" s="1" t="s">
        <v>40</v>
      </c>
      <c r="AB3352" s="1" t="s">
        <v>308</v>
      </c>
      <c r="AC3352" s="1">
        <v>5443.0</v>
      </c>
    </row>
    <row r="3353">
      <c r="A3353" s="1" t="str">
        <f>"000W3B"</f>
        <v>000W3B</v>
      </c>
      <c r="B3353" s="1" t="s">
        <v>14106</v>
      </c>
      <c r="C3353" s="1" t="s">
        <v>14107</v>
      </c>
      <c r="D3353" s="1" t="str">
        <f>"8028992436"</f>
        <v>8028992436</v>
      </c>
      <c r="E3353" s="1">
        <v>5034.0</v>
      </c>
      <c r="F3353" s="1" t="s">
        <v>117</v>
      </c>
      <c r="G3353" s="1" t="s">
        <v>14108</v>
      </c>
      <c r="H3353" s="1">
        <v>1.0</v>
      </c>
      <c r="I3353" s="2">
        <v>1.0</v>
      </c>
      <c r="J3353" s="2">
        <v>1.0</v>
      </c>
      <c r="K3353" s="2" t="s">
        <v>119</v>
      </c>
      <c r="L3353" s="1"/>
      <c r="M3353" s="1">
        <v>1.0</v>
      </c>
      <c r="N3353" s="1" t="s">
        <v>57</v>
      </c>
      <c r="O3353" s="1" t="s">
        <v>745</v>
      </c>
      <c r="P3353" s="1" t="s">
        <v>14109</v>
      </c>
      <c r="Q3353" s="3">
        <v>42557.0</v>
      </c>
      <c r="R3353" s="1"/>
      <c r="S3353" s="1"/>
      <c r="T3353" s="1" t="s">
        <v>37</v>
      </c>
      <c r="U3353" s="1"/>
      <c r="V3353" s="1" t="s">
        <v>38</v>
      </c>
      <c r="W3353" s="1">
        <v>44.508075</v>
      </c>
      <c r="X3353" s="1">
        <v>-72.958472</v>
      </c>
      <c r="Y3353" s="1" t="s">
        <v>14110</v>
      </c>
      <c r="Z3353" s="1"/>
      <c r="AA3353" s="1" t="s">
        <v>40</v>
      </c>
      <c r="AB3353" s="1" t="s">
        <v>746</v>
      </c>
      <c r="AC3353" s="1">
        <v>5465.0</v>
      </c>
    </row>
    <row r="3354">
      <c r="A3354" s="1" t="str">
        <f>"000W3J"</f>
        <v>000W3J</v>
      </c>
      <c r="B3354" s="1" t="s">
        <v>14111</v>
      </c>
      <c r="C3354" s="1" t="s">
        <v>14112</v>
      </c>
      <c r="D3354" s="1" t="str">
        <f>"8027478664"</f>
        <v>8027478664</v>
      </c>
      <c r="E3354" s="1">
        <v>5035.0</v>
      </c>
      <c r="F3354" s="1" t="s">
        <v>117</v>
      </c>
      <c r="G3354" s="1" t="s">
        <v>14113</v>
      </c>
      <c r="H3354" s="1">
        <v>3.0</v>
      </c>
      <c r="I3354" s="2">
        <v>3.0</v>
      </c>
      <c r="J3354" s="2">
        <v>2.0</v>
      </c>
      <c r="K3354" s="2" t="s">
        <v>119</v>
      </c>
      <c r="L3354" s="1"/>
      <c r="M3354" s="1" t="s">
        <v>14114</v>
      </c>
      <c r="N3354" s="1" t="s">
        <v>78</v>
      </c>
      <c r="O3354" s="1" t="s">
        <v>79</v>
      </c>
      <c r="P3354" s="1" t="s">
        <v>14115</v>
      </c>
      <c r="Q3354" s="3">
        <v>42558.0</v>
      </c>
      <c r="R3354" s="1"/>
      <c r="S3354" s="1"/>
      <c r="T3354" s="1" t="s">
        <v>37</v>
      </c>
      <c r="U3354" s="1"/>
      <c r="V3354" s="1" t="s">
        <v>38</v>
      </c>
      <c r="W3354" s="1">
        <v>43.715347</v>
      </c>
      <c r="X3354" s="1">
        <v>-73.0602109999999</v>
      </c>
      <c r="Y3354" s="1" t="s">
        <v>14116</v>
      </c>
      <c r="Z3354" s="1"/>
      <c r="AA3354" s="1" t="s">
        <v>40</v>
      </c>
      <c r="AB3354" s="1" t="s">
        <v>80</v>
      </c>
      <c r="AC3354" s="1">
        <v>5744.0</v>
      </c>
    </row>
    <row r="3355">
      <c r="A3355" s="1" t="str">
        <f>"000W3M"</f>
        <v>000W3M</v>
      </c>
      <c r="B3355" s="1" t="s">
        <v>14117</v>
      </c>
      <c r="C3355" s="1" t="s">
        <v>14118</v>
      </c>
      <c r="D3355" s="1" t="str">
        <f>"8022473832"</f>
        <v>8022473832</v>
      </c>
      <c r="E3355" s="1">
        <v>5036.0</v>
      </c>
      <c r="F3355" s="1" t="s">
        <v>117</v>
      </c>
      <c r="G3355" s="1" t="s">
        <v>14119</v>
      </c>
      <c r="H3355" s="1">
        <v>22.0</v>
      </c>
      <c r="I3355" s="2">
        <v>6.0</v>
      </c>
      <c r="J3355" s="2">
        <v>6.0</v>
      </c>
      <c r="K3355" s="2" t="s">
        <v>119</v>
      </c>
      <c r="L3355" s="1"/>
      <c r="M3355" s="1" t="s">
        <v>14120</v>
      </c>
      <c r="N3355" s="1" t="s">
        <v>78</v>
      </c>
      <c r="O3355" s="1" t="s">
        <v>2574</v>
      </c>
      <c r="P3355" s="1" t="s">
        <v>14121</v>
      </c>
      <c r="Q3355" s="3">
        <v>42558.0</v>
      </c>
      <c r="R3355" s="1"/>
      <c r="S3355" s="3">
        <v>42972.0</v>
      </c>
      <c r="T3355" s="1" t="s">
        <v>37</v>
      </c>
      <c r="U3355" s="1"/>
      <c r="V3355" s="1" t="s">
        <v>38</v>
      </c>
      <c r="W3355" s="1">
        <v>43.780708</v>
      </c>
      <c r="X3355" s="1">
        <v>-73.128151</v>
      </c>
      <c r="Y3355" s="1" t="s">
        <v>14122</v>
      </c>
      <c r="Z3355" s="1"/>
      <c r="AA3355" s="1" t="s">
        <v>40</v>
      </c>
      <c r="AB3355" s="1" t="s">
        <v>2575</v>
      </c>
      <c r="AC3355" s="1">
        <v>5733.0</v>
      </c>
    </row>
    <row r="3356">
      <c r="A3356" s="1" t="str">
        <f>"000W3N"</f>
        <v>000W3N</v>
      </c>
      <c r="B3356" s="1" t="s">
        <v>14123</v>
      </c>
      <c r="C3356" s="1" t="s">
        <v>14124</v>
      </c>
      <c r="D3356" s="1" t="str">
        <f>"8024822060"</f>
        <v>8024822060</v>
      </c>
      <c r="E3356" s="1">
        <v>5037.0</v>
      </c>
      <c r="F3356" s="1" t="s">
        <v>117</v>
      </c>
      <c r="G3356" s="1" t="s">
        <v>14125</v>
      </c>
      <c r="H3356" s="1">
        <v>2.0</v>
      </c>
      <c r="I3356" s="2">
        <v>1.0</v>
      </c>
      <c r="J3356" s="2">
        <v>1.0</v>
      </c>
      <c r="K3356" s="2" t="s">
        <v>829</v>
      </c>
      <c r="L3356" s="1"/>
      <c r="M3356" s="1" t="s">
        <v>14126</v>
      </c>
      <c r="N3356" s="1" t="s">
        <v>57</v>
      </c>
      <c r="O3356" s="1" t="s">
        <v>204</v>
      </c>
      <c r="P3356" s="1" t="s">
        <v>14127</v>
      </c>
      <c r="Q3356" s="3">
        <v>42559.0</v>
      </c>
      <c r="R3356" s="1"/>
      <c r="S3356" s="1"/>
      <c r="T3356" s="1" t="s">
        <v>37</v>
      </c>
      <c r="U3356" s="1"/>
      <c r="V3356" s="1" t="s">
        <v>38</v>
      </c>
      <c r="W3356" s="1">
        <v>44.326312</v>
      </c>
      <c r="X3356" s="1">
        <v>-73.101663</v>
      </c>
      <c r="Y3356" s="1" t="s">
        <v>14128</v>
      </c>
      <c r="Z3356" s="1"/>
      <c r="AA3356" s="1" t="s">
        <v>40</v>
      </c>
      <c r="AB3356" s="1" t="s">
        <v>205</v>
      </c>
      <c r="AC3356" s="1">
        <v>5461.0</v>
      </c>
    </row>
    <row r="3357">
      <c r="A3357" s="1" t="str">
        <f>"000W3P"</f>
        <v>000W3P</v>
      </c>
      <c r="B3357" s="1" t="s">
        <v>14129</v>
      </c>
      <c r="C3357" s="1" t="s">
        <v>14130</v>
      </c>
      <c r="D3357" s="1" t="str">
        <f>"8028258160"</f>
        <v>8028258160</v>
      </c>
      <c r="E3357" s="1">
        <v>5038.0</v>
      </c>
      <c r="F3357" s="1" t="s">
        <v>117</v>
      </c>
      <c r="G3357" s="1" t="s">
        <v>14131</v>
      </c>
      <c r="H3357" s="1">
        <v>2.0</v>
      </c>
      <c r="I3357" s="2">
        <v>2.0</v>
      </c>
      <c r="J3357" s="2">
        <v>2.0</v>
      </c>
      <c r="K3357" s="2" t="s">
        <v>119</v>
      </c>
      <c r="L3357" s="2" t="s">
        <v>14132</v>
      </c>
      <c r="M3357" s="1" t="s">
        <v>14133</v>
      </c>
      <c r="N3357" s="1" t="s">
        <v>57</v>
      </c>
      <c r="O3357" s="1" t="s">
        <v>3943</v>
      </c>
      <c r="P3357" s="1" t="s">
        <v>14134</v>
      </c>
      <c r="Q3357" s="3">
        <v>42559.0</v>
      </c>
      <c r="R3357" s="1"/>
      <c r="S3357" s="1"/>
      <c r="T3357" s="1" t="s">
        <v>37</v>
      </c>
      <c r="U3357" s="1"/>
      <c r="V3357" s="1" t="s">
        <v>38</v>
      </c>
      <c r="W3357" s="1">
        <v>44.376053</v>
      </c>
      <c r="X3357" s="1">
        <v>-72.8748249999999</v>
      </c>
      <c r="Y3357" s="1" t="s">
        <v>14135</v>
      </c>
      <c r="Z3357" s="1"/>
      <c r="AA3357" s="1" t="s">
        <v>40</v>
      </c>
      <c r="AB3357" s="1" t="s">
        <v>3946</v>
      </c>
      <c r="AC3357" s="1">
        <v>5676.0</v>
      </c>
    </row>
    <row r="3358">
      <c r="A3358" s="1" t="str">
        <f>"000W3Q"</f>
        <v>000W3Q</v>
      </c>
      <c r="B3358" s="1" t="s">
        <v>14136</v>
      </c>
      <c r="C3358" s="1" t="s">
        <v>14137</v>
      </c>
      <c r="D3358" s="1" t="str">
        <f>"8027304254"</f>
        <v>8027304254</v>
      </c>
      <c r="E3358" s="1">
        <v>5039.0</v>
      </c>
      <c r="F3358" s="1" t="s">
        <v>31</v>
      </c>
      <c r="G3358" s="1" t="s">
        <v>14138</v>
      </c>
      <c r="H3358" s="1">
        <v>1.0</v>
      </c>
      <c r="I3358" s="1"/>
      <c r="J3358" s="1"/>
      <c r="K3358" s="1"/>
      <c r="L3358" s="1"/>
      <c r="M3358" s="1" t="s">
        <v>33</v>
      </c>
      <c r="N3358" s="1" t="s">
        <v>142</v>
      </c>
      <c r="O3358" s="1" t="s">
        <v>143</v>
      </c>
      <c r="P3358" s="1" t="s">
        <v>14139</v>
      </c>
      <c r="Q3358" s="3">
        <v>42559.0</v>
      </c>
      <c r="R3358" s="1"/>
      <c r="S3358" s="1"/>
      <c r="T3358" s="1" t="s">
        <v>37</v>
      </c>
      <c r="U3358" s="1"/>
      <c r="V3358" s="1" t="s">
        <v>38</v>
      </c>
      <c r="W3358" s="1">
        <v>43.841156</v>
      </c>
      <c r="X3358" s="1">
        <v>-72.189278</v>
      </c>
      <c r="Y3358" s="1" t="s">
        <v>14140</v>
      </c>
      <c r="Z3358" s="1"/>
      <c r="AA3358" s="1" t="s">
        <v>40</v>
      </c>
      <c r="AB3358" s="1" t="s">
        <v>14141</v>
      </c>
      <c r="AC3358" s="1">
        <v>5043.0</v>
      </c>
    </row>
    <row r="3359">
      <c r="A3359" s="1" t="str">
        <f>"0008B2"</f>
        <v>0008B2</v>
      </c>
      <c r="B3359" s="1" t="s">
        <v>2013</v>
      </c>
      <c r="C3359" s="1" t="s">
        <v>2014</v>
      </c>
      <c r="D3359" s="1" t="str">
        <f>"8027963015"</f>
        <v>8027963015</v>
      </c>
      <c r="E3359" s="1">
        <v>3846.0</v>
      </c>
      <c r="F3359" s="1" t="s">
        <v>117</v>
      </c>
      <c r="G3359" s="1" t="s">
        <v>14142</v>
      </c>
      <c r="H3359" s="1">
        <v>20.0</v>
      </c>
      <c r="I3359" s="1"/>
      <c r="J3359" s="1"/>
      <c r="K3359" s="1"/>
      <c r="L3359" s="1"/>
      <c r="M3359" s="1" t="s">
        <v>14143</v>
      </c>
      <c r="N3359" s="1" t="s">
        <v>49</v>
      </c>
      <c r="O3359" s="1"/>
      <c r="P3359" s="1" t="s">
        <v>14144</v>
      </c>
      <c r="Q3359" s="3">
        <v>42559.0</v>
      </c>
      <c r="R3359" s="1"/>
      <c r="S3359" s="3">
        <v>42559.0</v>
      </c>
      <c r="T3359" s="1" t="s">
        <v>37</v>
      </c>
      <c r="U3359" s="1">
        <v>180.0</v>
      </c>
      <c r="V3359" s="1" t="s">
        <v>38</v>
      </c>
      <c r="W3359" s="1">
        <v>44.896011807815</v>
      </c>
      <c r="X3359" s="1">
        <v>-73.3325922489166</v>
      </c>
      <c r="Y3359" s="1" t="s">
        <v>14145</v>
      </c>
      <c r="Z3359" s="1"/>
      <c r="AA3359" s="1" t="s">
        <v>40</v>
      </c>
      <c r="AB3359" s="1" t="s">
        <v>14146</v>
      </c>
      <c r="AC3359" s="1">
        <v>5463.0</v>
      </c>
    </row>
    <row r="3360">
      <c r="A3360" s="1" t="str">
        <f>"000W3X"</f>
        <v>000W3X</v>
      </c>
      <c r="B3360" s="1" t="s">
        <v>14147</v>
      </c>
      <c r="C3360" s="1" t="s">
        <v>14148</v>
      </c>
      <c r="D3360" s="1" t="str">
        <f>"8023659189"</f>
        <v>8023659189</v>
      </c>
      <c r="E3360" s="1">
        <v>5040.0</v>
      </c>
      <c r="F3360" s="1" t="s">
        <v>31</v>
      </c>
      <c r="G3360" s="1" t="s">
        <v>14149</v>
      </c>
      <c r="H3360" s="1">
        <v>2.0</v>
      </c>
      <c r="I3360" s="1"/>
      <c r="J3360" s="1"/>
      <c r="K3360" s="1"/>
      <c r="L3360" s="1"/>
      <c r="M3360" s="1">
        <v>1.0</v>
      </c>
      <c r="N3360" s="1" t="s">
        <v>66</v>
      </c>
      <c r="O3360" s="1" t="s">
        <v>389</v>
      </c>
      <c r="P3360" s="1" t="s">
        <v>14150</v>
      </c>
      <c r="Q3360" s="3">
        <v>42562.0</v>
      </c>
      <c r="R3360" s="1"/>
      <c r="S3360" s="1"/>
      <c r="T3360" s="1" t="s">
        <v>37</v>
      </c>
      <c r="U3360" s="1"/>
      <c r="V3360" s="1" t="s">
        <v>38</v>
      </c>
      <c r="W3360" s="1">
        <v>42.980656</v>
      </c>
      <c r="X3360" s="1">
        <v>-72.6431119999999</v>
      </c>
      <c r="Y3360" s="1" t="s">
        <v>14151</v>
      </c>
      <c r="Z3360" s="1"/>
      <c r="AA3360" s="1" t="s">
        <v>40</v>
      </c>
      <c r="AB3360" s="1" t="s">
        <v>390</v>
      </c>
      <c r="AC3360" s="1">
        <v>5345.0</v>
      </c>
    </row>
    <row r="3361">
      <c r="A3361" s="1" t="str">
        <f>"000W44"</f>
        <v>000W44</v>
      </c>
      <c r="B3361" s="1" t="s">
        <v>14152</v>
      </c>
      <c r="C3361" s="1" t="s">
        <v>14153</v>
      </c>
      <c r="D3361" s="1" t="str">
        <f>"2063711212"</f>
        <v>2063711212</v>
      </c>
      <c r="E3361" s="1">
        <v>5041.0</v>
      </c>
      <c r="F3361" s="1" t="s">
        <v>117</v>
      </c>
      <c r="G3361" s="1" t="s">
        <v>14154</v>
      </c>
      <c r="H3361" s="1">
        <v>12.0</v>
      </c>
      <c r="I3361" s="2">
        <v>6.0</v>
      </c>
      <c r="J3361" s="2">
        <v>6.0</v>
      </c>
      <c r="K3361" s="2" t="s">
        <v>119</v>
      </c>
      <c r="L3361" s="1"/>
      <c r="M3361" s="1" t="s">
        <v>14155</v>
      </c>
      <c r="N3361" s="1" t="s">
        <v>34</v>
      </c>
      <c r="O3361" s="1" t="s">
        <v>1085</v>
      </c>
      <c r="P3361" s="1" t="s">
        <v>14156</v>
      </c>
      <c r="Q3361" s="3">
        <v>42565.0</v>
      </c>
      <c r="R3361" s="1"/>
      <c r="S3361" s="1"/>
      <c r="T3361" s="1" t="s">
        <v>37</v>
      </c>
      <c r="U3361" s="1"/>
      <c r="V3361" s="1" t="s">
        <v>38</v>
      </c>
      <c r="W3361" s="1">
        <v>43.344074</v>
      </c>
      <c r="X3361" s="1">
        <v>-72.4806209999999</v>
      </c>
      <c r="Y3361" s="1" t="s">
        <v>14157</v>
      </c>
      <c r="Z3361" s="1"/>
      <c r="AA3361" s="1" t="s">
        <v>40</v>
      </c>
      <c r="AB3361" s="1" t="s">
        <v>1086</v>
      </c>
      <c r="AC3361" s="1">
        <v>5156.0</v>
      </c>
    </row>
    <row r="3362">
      <c r="A3362" s="1" t="str">
        <f>"000W45"</f>
        <v>000W45</v>
      </c>
      <c r="B3362" s="1" t="s">
        <v>14158</v>
      </c>
      <c r="C3362" s="1" t="s">
        <v>14159</v>
      </c>
      <c r="D3362" s="1"/>
      <c r="E3362" s="1">
        <v>5042.0</v>
      </c>
      <c r="F3362" s="1" t="s">
        <v>117</v>
      </c>
      <c r="G3362" s="1" t="s">
        <v>14160</v>
      </c>
      <c r="H3362" s="1">
        <v>1.0</v>
      </c>
      <c r="I3362" s="2">
        <v>1.0</v>
      </c>
      <c r="J3362" s="2">
        <v>1.0</v>
      </c>
      <c r="K3362" s="2" t="s">
        <v>119</v>
      </c>
      <c r="L3362" s="1"/>
      <c r="M3362" s="1" t="s">
        <v>14161</v>
      </c>
      <c r="N3362" s="1" t="s">
        <v>57</v>
      </c>
      <c r="O3362" s="1" t="s">
        <v>509</v>
      </c>
      <c r="P3362" s="1" t="s">
        <v>14162</v>
      </c>
      <c r="Q3362" s="3">
        <v>42565.0</v>
      </c>
      <c r="R3362" s="1"/>
      <c r="S3362" s="1"/>
      <c r="T3362" s="1" t="s">
        <v>37</v>
      </c>
      <c r="U3362" s="1"/>
      <c r="V3362" s="1" t="s">
        <v>38</v>
      </c>
      <c r="W3362" s="1">
        <v>44.56944</v>
      </c>
      <c r="X3362" s="1">
        <v>-73.0953579999999</v>
      </c>
      <c r="Y3362" s="1" t="s">
        <v>14163</v>
      </c>
      <c r="Z3362" s="1"/>
      <c r="AA3362" s="1" t="s">
        <v>40</v>
      </c>
      <c r="AB3362" s="1" t="s">
        <v>3296</v>
      </c>
      <c r="AC3362" s="1">
        <v>5452.0</v>
      </c>
    </row>
    <row r="3363">
      <c r="A3363" s="1" t="str">
        <f>"000ADN"</f>
        <v>000ADN</v>
      </c>
      <c r="B3363" s="1" t="s">
        <v>9359</v>
      </c>
      <c r="C3363" s="1" t="s">
        <v>9360</v>
      </c>
      <c r="D3363" s="1" t="str">
        <f>"8029852379"</f>
        <v>8029852379</v>
      </c>
      <c r="E3363" s="1">
        <v>4138.0</v>
      </c>
      <c r="F3363" s="1" t="s">
        <v>117</v>
      </c>
      <c r="G3363" s="1" t="s">
        <v>14164</v>
      </c>
      <c r="H3363" s="1">
        <v>2.0</v>
      </c>
      <c r="I3363" s="2" t="s">
        <v>119</v>
      </c>
      <c r="J3363" s="2">
        <v>2.0</v>
      </c>
      <c r="K3363" s="2" t="s">
        <v>829</v>
      </c>
      <c r="L3363" s="1"/>
      <c r="M3363" s="1">
        <v>2.0</v>
      </c>
      <c r="N3363" s="1" t="s">
        <v>57</v>
      </c>
      <c r="O3363" s="1" t="s">
        <v>238</v>
      </c>
      <c r="P3363" s="1" t="s">
        <v>14165</v>
      </c>
      <c r="Q3363" s="3">
        <v>42565.0</v>
      </c>
      <c r="R3363" s="1"/>
      <c r="S3363" s="1"/>
      <c r="T3363" s="1" t="s">
        <v>37</v>
      </c>
      <c r="U3363" s="1"/>
      <c r="V3363" s="1" t="s">
        <v>38</v>
      </c>
      <c r="W3363" s="1">
        <v>44.9103633</v>
      </c>
      <c r="X3363" s="1">
        <v>-71.8435991999999</v>
      </c>
      <c r="Y3363" s="1" t="s">
        <v>2083</v>
      </c>
      <c r="Z3363" s="1"/>
      <c r="AA3363" s="1" t="s">
        <v>40</v>
      </c>
      <c r="AB3363" s="1" t="s">
        <v>239</v>
      </c>
      <c r="AC3363" s="1">
        <v>0.0</v>
      </c>
    </row>
    <row r="3364">
      <c r="A3364" s="1" t="str">
        <f>"000W47"</f>
        <v>000W47</v>
      </c>
      <c r="B3364" s="1" t="s">
        <v>14166</v>
      </c>
      <c r="C3364" s="1" t="s">
        <v>14167</v>
      </c>
      <c r="D3364" s="1" t="str">
        <f>"8027525747"</f>
        <v>8027525747</v>
      </c>
      <c r="E3364" s="1">
        <v>5043.0</v>
      </c>
      <c r="F3364" s="1" t="s">
        <v>117</v>
      </c>
      <c r="G3364" s="1" t="s">
        <v>14168</v>
      </c>
      <c r="H3364" s="1">
        <v>10.0</v>
      </c>
      <c r="I3364" s="1"/>
      <c r="J3364" s="1"/>
      <c r="K3364" s="1"/>
      <c r="L3364" s="1"/>
      <c r="M3364" s="1" t="s">
        <v>14169</v>
      </c>
      <c r="N3364" s="1" t="s">
        <v>47</v>
      </c>
      <c r="O3364" s="1" t="s">
        <v>2753</v>
      </c>
      <c r="P3364" s="1" t="s">
        <v>14170</v>
      </c>
      <c r="Q3364" s="3">
        <v>42565.0</v>
      </c>
      <c r="R3364" s="1"/>
      <c r="S3364" s="1"/>
      <c r="T3364" s="1" t="s">
        <v>37</v>
      </c>
      <c r="U3364" s="1"/>
      <c r="V3364" s="1" t="s">
        <v>38</v>
      </c>
      <c r="W3364" s="1">
        <v>44.8129459</v>
      </c>
      <c r="X3364" s="1">
        <v>-73.107552</v>
      </c>
      <c r="Y3364" s="1" t="s">
        <v>14171</v>
      </c>
      <c r="Z3364" s="1"/>
      <c r="AA3364" s="1" t="s">
        <v>40</v>
      </c>
      <c r="AB3364" s="1" t="s">
        <v>5776</v>
      </c>
      <c r="AC3364" s="1">
        <v>5478.0</v>
      </c>
    </row>
    <row r="3365">
      <c r="A3365" s="1" t="str">
        <f>"000W4A"</f>
        <v>000W4A</v>
      </c>
      <c r="B3365" s="1" t="s">
        <v>14172</v>
      </c>
      <c r="C3365" s="1" t="s">
        <v>14173</v>
      </c>
      <c r="D3365" s="1" t="str">
        <f>"8026838985"</f>
        <v>8026838985</v>
      </c>
      <c r="E3365" s="1">
        <v>5044.0</v>
      </c>
      <c r="F3365" s="1" t="s">
        <v>117</v>
      </c>
      <c r="G3365" s="1" t="s">
        <v>14174</v>
      </c>
      <c r="H3365" s="1">
        <v>1.0</v>
      </c>
      <c r="I3365" s="2">
        <v>1.0</v>
      </c>
      <c r="J3365" s="2">
        <v>1.0</v>
      </c>
      <c r="K3365" s="2" t="s">
        <v>829</v>
      </c>
      <c r="L3365" s="1"/>
      <c r="M3365" s="1" t="s">
        <v>14175</v>
      </c>
      <c r="N3365" s="1" t="s">
        <v>34</v>
      </c>
      <c r="O3365" s="1" t="s">
        <v>953</v>
      </c>
      <c r="P3365" s="1" t="s">
        <v>14176</v>
      </c>
      <c r="Q3365" s="3">
        <v>42565.0</v>
      </c>
      <c r="R3365" s="1"/>
      <c r="S3365" s="3">
        <v>42908.0</v>
      </c>
      <c r="T3365" s="1" t="s">
        <v>37</v>
      </c>
      <c r="U3365" s="1"/>
      <c r="V3365" s="1" t="s">
        <v>38</v>
      </c>
      <c r="W3365" s="1">
        <v>43.64318</v>
      </c>
      <c r="X3365" s="1">
        <v>-72.3217558999999</v>
      </c>
      <c r="Y3365" s="1" t="s">
        <v>14177</v>
      </c>
      <c r="Z3365" s="1"/>
      <c r="AA3365" s="1" t="s">
        <v>40</v>
      </c>
      <c r="AB3365" s="1" t="s">
        <v>8959</v>
      </c>
      <c r="AC3365" s="1">
        <v>5001.0</v>
      </c>
    </row>
    <row r="3366">
      <c r="A3366" s="1" t="str">
        <f>"000W4B"</f>
        <v>000W4B</v>
      </c>
      <c r="B3366" s="1" t="s">
        <v>14178</v>
      </c>
      <c r="C3366" s="1" t="s">
        <v>14179</v>
      </c>
      <c r="D3366" s="1" t="str">
        <f>"9143916441"</f>
        <v>9143916441</v>
      </c>
      <c r="E3366" s="1">
        <v>5045.0</v>
      </c>
      <c r="F3366" s="1" t="s">
        <v>117</v>
      </c>
      <c r="G3366" s="1" t="s">
        <v>14180</v>
      </c>
      <c r="H3366" s="1">
        <v>4.0</v>
      </c>
      <c r="I3366" s="2">
        <v>2.0</v>
      </c>
      <c r="J3366" s="2">
        <v>2.0</v>
      </c>
      <c r="K3366" s="2" t="s">
        <v>119</v>
      </c>
      <c r="L3366" s="1"/>
      <c r="M3366" s="1">
        <v>1.0</v>
      </c>
      <c r="N3366" s="1" t="s">
        <v>34</v>
      </c>
      <c r="O3366" s="1" t="s">
        <v>88</v>
      </c>
      <c r="P3366" s="1" t="s">
        <v>14181</v>
      </c>
      <c r="Q3366" s="3">
        <v>42565.0</v>
      </c>
      <c r="R3366" s="1"/>
      <c r="S3366" s="3">
        <v>42887.0</v>
      </c>
      <c r="T3366" s="1" t="s">
        <v>37</v>
      </c>
      <c r="U3366" s="1"/>
      <c r="V3366" s="1" t="s">
        <v>38</v>
      </c>
      <c r="W3366" s="1">
        <v>43.798431</v>
      </c>
      <c r="X3366" s="1">
        <v>-72.4476619</v>
      </c>
      <c r="Y3366" s="1" t="s">
        <v>14182</v>
      </c>
      <c r="Z3366" s="1"/>
      <c r="AA3366" s="1" t="s">
        <v>40</v>
      </c>
      <c r="AB3366" s="1" t="s">
        <v>89</v>
      </c>
      <c r="AC3366" s="1">
        <v>5065.0</v>
      </c>
    </row>
    <row r="3367">
      <c r="A3367" s="1" t="str">
        <f>"000W4F"</f>
        <v>000W4F</v>
      </c>
      <c r="B3367" s="1" t="s">
        <v>14183</v>
      </c>
      <c r="C3367" s="1" t="s">
        <v>14184</v>
      </c>
      <c r="D3367" s="1" t="str">
        <f>"8022296709"</f>
        <v>8022296709</v>
      </c>
      <c r="E3367" s="1">
        <v>5046.0</v>
      </c>
      <c r="F3367" s="1" t="s">
        <v>117</v>
      </c>
      <c r="G3367" s="1" t="s">
        <v>14185</v>
      </c>
      <c r="H3367" s="1">
        <v>4.0</v>
      </c>
      <c r="I3367" s="2" t="s">
        <v>119</v>
      </c>
      <c r="J3367" s="2">
        <v>4.0</v>
      </c>
      <c r="K3367" s="2" t="s">
        <v>829</v>
      </c>
      <c r="L3367" s="1"/>
      <c r="M3367" s="1" t="s">
        <v>14186</v>
      </c>
      <c r="N3367" s="1" t="s">
        <v>135</v>
      </c>
      <c r="O3367" s="1" t="s">
        <v>2331</v>
      </c>
      <c r="P3367" s="1" t="s">
        <v>14187</v>
      </c>
      <c r="Q3367" s="3">
        <v>42565.0</v>
      </c>
      <c r="R3367" s="1"/>
      <c r="S3367" s="1"/>
      <c r="T3367" s="1" t="s">
        <v>37</v>
      </c>
      <c r="U3367" s="1"/>
      <c r="V3367" s="1" t="s">
        <v>38</v>
      </c>
      <c r="W3367" s="1">
        <v>44.267234</v>
      </c>
      <c r="X3367" s="1">
        <v>-72.7185849999999</v>
      </c>
      <c r="Y3367" s="1" t="s">
        <v>14188</v>
      </c>
      <c r="Z3367" s="1"/>
      <c r="AA3367" s="1" t="s">
        <v>40</v>
      </c>
      <c r="AB3367" s="1" t="s">
        <v>2332</v>
      </c>
      <c r="AC3367" s="1">
        <v>5660.0</v>
      </c>
    </row>
    <row r="3368">
      <c r="A3368" s="1" t="str">
        <f>"000W4H"</f>
        <v>000W4H</v>
      </c>
      <c r="B3368" s="1" t="s">
        <v>14189</v>
      </c>
      <c r="C3368" s="1" t="s">
        <v>14190</v>
      </c>
      <c r="D3368" s="1" t="str">
        <f>"8023333703"</f>
        <v>8023333703</v>
      </c>
      <c r="E3368" s="1">
        <v>5047.0</v>
      </c>
      <c r="F3368" s="1" t="s">
        <v>31</v>
      </c>
      <c r="G3368" s="1" t="s">
        <v>14191</v>
      </c>
      <c r="H3368" s="1">
        <v>2.0</v>
      </c>
      <c r="I3368" s="1"/>
      <c r="J3368" s="1"/>
      <c r="K3368" s="1"/>
      <c r="L3368" s="1"/>
      <c r="M3368" s="1" t="s">
        <v>14192</v>
      </c>
      <c r="N3368" s="1" t="s">
        <v>142</v>
      </c>
      <c r="O3368" s="1"/>
      <c r="P3368" s="1" t="s">
        <v>9113</v>
      </c>
      <c r="Q3368" s="3">
        <v>42566.0</v>
      </c>
      <c r="R3368" s="1"/>
      <c r="S3368" s="3">
        <v>42577.0</v>
      </c>
      <c r="T3368" s="1" t="s">
        <v>37</v>
      </c>
      <c r="U3368" s="1"/>
      <c r="V3368" s="1" t="s">
        <v>38</v>
      </c>
      <c r="W3368" s="1">
        <v>43.8938925</v>
      </c>
      <c r="X3368" s="1">
        <v>-72.2586465</v>
      </c>
      <c r="Y3368" s="1" t="s">
        <v>14193</v>
      </c>
      <c r="Z3368" s="1"/>
      <c r="AA3368" s="1" t="s">
        <v>40</v>
      </c>
      <c r="AB3368" s="1" t="s">
        <v>146</v>
      </c>
      <c r="AC3368" s="1">
        <v>5058.0</v>
      </c>
    </row>
    <row r="3369">
      <c r="A3369" s="1" t="str">
        <f>"000W4P"</f>
        <v>000W4P</v>
      </c>
      <c r="B3369" s="1" t="s">
        <v>11526</v>
      </c>
      <c r="C3369" s="1" t="s">
        <v>14194</v>
      </c>
      <c r="D3369" s="1" t="str">
        <f>"8023187004"</f>
        <v>8023187004</v>
      </c>
      <c r="E3369" s="1">
        <v>5048.0</v>
      </c>
      <c r="F3369" s="1" t="s">
        <v>31</v>
      </c>
      <c r="G3369" s="1" t="s">
        <v>14195</v>
      </c>
      <c r="H3369" s="1">
        <v>5.0</v>
      </c>
      <c r="I3369" s="2">
        <v>4.0</v>
      </c>
      <c r="J3369" s="2">
        <v>3.0</v>
      </c>
      <c r="K3369" s="2" t="s">
        <v>119</v>
      </c>
      <c r="L3369" s="1"/>
      <c r="M3369" s="1"/>
      <c r="N3369" s="1" t="s">
        <v>49</v>
      </c>
      <c r="O3369" s="1"/>
      <c r="P3369" s="1" t="s">
        <v>176</v>
      </c>
      <c r="Q3369" s="3">
        <v>42569.0</v>
      </c>
      <c r="R3369" s="1"/>
      <c r="S3369" s="3">
        <v>42569.0</v>
      </c>
      <c r="T3369" s="1" t="s">
        <v>37</v>
      </c>
      <c r="U3369" s="1"/>
      <c r="V3369" s="1" t="s">
        <v>38</v>
      </c>
      <c r="W3369" s="1"/>
      <c r="X3369" s="1"/>
      <c r="Y3369" s="1" t="s">
        <v>14196</v>
      </c>
      <c r="Z3369" s="1"/>
      <c r="AA3369" s="1" t="s">
        <v>40</v>
      </c>
      <c r="AB3369" s="1" t="s">
        <v>176</v>
      </c>
      <c r="AC3369" s="1">
        <v>5401.0</v>
      </c>
    </row>
    <row r="3370">
      <c r="A3370" s="1" t="str">
        <f>"000W4V"</f>
        <v>000W4V</v>
      </c>
      <c r="B3370" s="1" t="s">
        <v>14197</v>
      </c>
      <c r="C3370" s="1" t="s">
        <v>14198</v>
      </c>
      <c r="D3370" s="1" t="str">
        <f>"8023557298"</f>
        <v>8023557298</v>
      </c>
      <c r="E3370" s="1">
        <v>5049.0</v>
      </c>
      <c r="F3370" s="1" t="s">
        <v>117</v>
      </c>
      <c r="G3370" s="1" t="s">
        <v>14199</v>
      </c>
      <c r="H3370" s="1">
        <v>1.0</v>
      </c>
      <c r="I3370" s="2">
        <v>1.0</v>
      </c>
      <c r="J3370" s="2">
        <v>1.0</v>
      </c>
      <c r="K3370" s="2" t="s">
        <v>119</v>
      </c>
      <c r="L3370" s="1"/>
      <c r="M3370" s="1" t="s">
        <v>14200</v>
      </c>
      <c r="N3370" s="1" t="s">
        <v>78</v>
      </c>
      <c r="O3370" s="1" t="s">
        <v>6011</v>
      </c>
      <c r="P3370" s="1" t="s">
        <v>14201</v>
      </c>
      <c r="Q3370" s="3">
        <v>42569.0</v>
      </c>
      <c r="R3370" s="1"/>
      <c r="S3370" s="1"/>
      <c r="T3370" s="1" t="s">
        <v>37</v>
      </c>
      <c r="U3370" s="1"/>
      <c r="V3370" s="1" t="s">
        <v>38</v>
      </c>
      <c r="W3370" s="1">
        <v>43.605855</v>
      </c>
      <c r="X3370" s="1">
        <v>-73.0655889999999</v>
      </c>
      <c r="Y3370" s="1" t="s">
        <v>14202</v>
      </c>
      <c r="Z3370" s="1"/>
      <c r="AA3370" s="1" t="s">
        <v>40</v>
      </c>
      <c r="AB3370" s="1" t="s">
        <v>6012</v>
      </c>
      <c r="AC3370" s="1">
        <v>5777.0</v>
      </c>
    </row>
    <row r="3371">
      <c r="A3371" s="1" t="str">
        <f>"000W52"</f>
        <v>000W52</v>
      </c>
      <c r="B3371" s="1" t="s">
        <v>14203</v>
      </c>
      <c r="C3371" s="1" t="s">
        <v>14204</v>
      </c>
      <c r="D3371" s="1" t="str">
        <f>"8024760677"</f>
        <v>8024760677</v>
      </c>
      <c r="E3371" s="1">
        <v>5050.0</v>
      </c>
      <c r="F3371" s="1" t="s">
        <v>117</v>
      </c>
      <c r="G3371" s="1" t="s">
        <v>14205</v>
      </c>
      <c r="H3371" s="1">
        <v>1.0</v>
      </c>
      <c r="I3371" s="2" t="s">
        <v>119</v>
      </c>
      <c r="J3371" s="2">
        <v>1.0</v>
      </c>
      <c r="K3371" s="2" t="s">
        <v>119</v>
      </c>
      <c r="L3371" s="1"/>
      <c r="M3371" s="1" t="s">
        <v>14206</v>
      </c>
      <c r="N3371" s="1" t="s">
        <v>142</v>
      </c>
      <c r="O3371" s="1" t="s">
        <v>2253</v>
      </c>
      <c r="P3371" s="1" t="s">
        <v>14207</v>
      </c>
      <c r="Q3371" s="3">
        <v>42569.0</v>
      </c>
      <c r="R3371" s="1"/>
      <c r="S3371" s="1"/>
      <c r="T3371" s="1" t="s">
        <v>37</v>
      </c>
      <c r="U3371" s="1"/>
      <c r="V3371" s="1" t="s">
        <v>38</v>
      </c>
      <c r="W3371" s="1">
        <v>44.1355137</v>
      </c>
      <c r="X3371" s="1">
        <v>-72.4835208</v>
      </c>
      <c r="Y3371" s="1" t="s">
        <v>14208</v>
      </c>
      <c r="Z3371" s="1"/>
      <c r="AA3371" s="1" t="s">
        <v>40</v>
      </c>
      <c r="AB3371" s="1" t="s">
        <v>14209</v>
      </c>
      <c r="AC3371" s="1">
        <v>5654.0</v>
      </c>
    </row>
    <row r="3372">
      <c r="A3372" s="1" t="str">
        <f>"000W57"</f>
        <v>000W57</v>
      </c>
      <c r="B3372" s="1" t="s">
        <v>14210</v>
      </c>
      <c r="C3372" s="1" t="s">
        <v>14211</v>
      </c>
      <c r="D3372" s="1" t="str">
        <f>"8024967671"</f>
        <v>8024967671</v>
      </c>
      <c r="E3372" s="1">
        <v>5051.0</v>
      </c>
      <c r="F3372" s="1" t="s">
        <v>31</v>
      </c>
      <c r="G3372" s="1" t="s">
        <v>14212</v>
      </c>
      <c r="H3372" s="1">
        <v>4.0</v>
      </c>
      <c r="I3372" s="1"/>
      <c r="J3372" s="1"/>
      <c r="K3372" s="1"/>
      <c r="L3372" s="1"/>
      <c r="M3372" s="1" t="s">
        <v>33</v>
      </c>
      <c r="N3372" s="1" t="s">
        <v>135</v>
      </c>
      <c r="O3372" s="1" t="s">
        <v>1798</v>
      </c>
      <c r="P3372" s="1" t="s">
        <v>14213</v>
      </c>
      <c r="Q3372" s="3">
        <v>42569.0</v>
      </c>
      <c r="R3372" s="1"/>
      <c r="S3372" s="1"/>
      <c r="T3372" s="1" t="s">
        <v>37</v>
      </c>
      <c r="U3372" s="1"/>
      <c r="V3372" s="1" t="s">
        <v>38</v>
      </c>
      <c r="W3372" s="1">
        <v>44.101921</v>
      </c>
      <c r="X3372" s="1">
        <v>-72.859482</v>
      </c>
      <c r="Y3372" s="1" t="s">
        <v>14214</v>
      </c>
      <c r="Z3372" s="1"/>
      <c r="AA3372" s="1" t="s">
        <v>40</v>
      </c>
      <c r="AB3372" s="1" t="s">
        <v>1799</v>
      </c>
      <c r="AC3372" s="1">
        <v>5674.0</v>
      </c>
    </row>
    <row r="3373">
      <c r="A3373" s="1" t="str">
        <f>"000W5K"</f>
        <v>000W5K</v>
      </c>
      <c r="B3373" s="1" t="s">
        <v>14215</v>
      </c>
      <c r="C3373" s="1" t="s">
        <v>14216</v>
      </c>
      <c r="D3373" s="1" t="str">
        <f>"8026446488"</f>
        <v>8026446488</v>
      </c>
      <c r="E3373" s="1">
        <v>5052.0</v>
      </c>
      <c r="F3373" s="1" t="s">
        <v>117</v>
      </c>
      <c r="G3373" s="1" t="s">
        <v>14217</v>
      </c>
      <c r="H3373" s="1">
        <v>2.0</v>
      </c>
      <c r="I3373" s="2">
        <v>1.0</v>
      </c>
      <c r="J3373" s="2" t="s">
        <v>119</v>
      </c>
      <c r="K3373" s="2" t="s">
        <v>119</v>
      </c>
      <c r="L3373" s="2" t="s">
        <v>14218</v>
      </c>
      <c r="M3373" s="1">
        <v>1.0</v>
      </c>
      <c r="N3373" s="1" t="s">
        <v>213</v>
      </c>
      <c r="O3373" s="1" t="s">
        <v>620</v>
      </c>
      <c r="P3373" s="1" t="s">
        <v>14219</v>
      </c>
      <c r="Q3373" s="3">
        <v>42571.0</v>
      </c>
      <c r="R3373" s="1"/>
      <c r="S3373" s="1"/>
      <c r="T3373" s="1" t="s">
        <v>37</v>
      </c>
      <c r="U3373" s="1"/>
      <c r="V3373" s="1" t="s">
        <v>38</v>
      </c>
      <c r="W3373" s="1">
        <v>44.619662</v>
      </c>
      <c r="X3373" s="1">
        <v>-72.846853</v>
      </c>
      <c r="Y3373" s="1" t="s">
        <v>14220</v>
      </c>
      <c r="Z3373" s="1"/>
      <c r="AA3373" s="1" t="s">
        <v>40</v>
      </c>
      <c r="AB3373" s="1" t="s">
        <v>14221</v>
      </c>
      <c r="AC3373" s="1">
        <v>5464.0</v>
      </c>
    </row>
    <row r="3374">
      <c r="A3374" s="1" t="str">
        <f>"000W5V"</f>
        <v>000W5V</v>
      </c>
      <c r="B3374" s="1" t="s">
        <v>14222</v>
      </c>
      <c r="C3374" s="1" t="s">
        <v>14223</v>
      </c>
      <c r="D3374" s="1" t="str">
        <f>"8026581908"</f>
        <v>8026581908</v>
      </c>
      <c r="E3374" s="1">
        <v>5053.0</v>
      </c>
      <c r="F3374" s="1" t="s">
        <v>117</v>
      </c>
      <c r="G3374" s="1" t="s">
        <v>14224</v>
      </c>
      <c r="H3374" s="1">
        <v>1.0</v>
      </c>
      <c r="I3374" s="2">
        <v>1.0</v>
      </c>
      <c r="J3374" s="2">
        <v>1.0</v>
      </c>
      <c r="K3374" s="2" t="s">
        <v>119</v>
      </c>
      <c r="L3374" s="2" t="s">
        <v>14225</v>
      </c>
      <c r="M3374" s="1">
        <v>1.0</v>
      </c>
      <c r="N3374" s="1" t="s">
        <v>57</v>
      </c>
      <c r="O3374" s="1" t="s">
        <v>175</v>
      </c>
      <c r="P3374" s="1" t="s">
        <v>176</v>
      </c>
      <c r="Q3374" s="3">
        <v>42571.0</v>
      </c>
      <c r="R3374" s="1"/>
      <c r="S3374" s="3">
        <v>42571.0</v>
      </c>
      <c r="T3374" s="1" t="s">
        <v>37</v>
      </c>
      <c r="U3374" s="1"/>
      <c r="V3374" s="1" t="s">
        <v>38</v>
      </c>
      <c r="W3374" s="1">
        <v>44.506193</v>
      </c>
      <c r="X3374" s="1">
        <v>-73.2613382</v>
      </c>
      <c r="Y3374" s="1" t="s">
        <v>14226</v>
      </c>
      <c r="Z3374" s="1"/>
      <c r="AA3374" s="1" t="s">
        <v>40</v>
      </c>
      <c r="AB3374" s="1" t="s">
        <v>176</v>
      </c>
      <c r="AC3374" s="1">
        <v>5401.0</v>
      </c>
    </row>
    <row r="3375">
      <c r="A3375" s="1" t="str">
        <f>"000W5W"</f>
        <v>000W5W</v>
      </c>
      <c r="B3375" s="1" t="s">
        <v>14227</v>
      </c>
      <c r="C3375" s="1" t="s">
        <v>14228</v>
      </c>
      <c r="D3375" s="1" t="str">
        <f>"8022267277"</f>
        <v>8022267277</v>
      </c>
      <c r="E3375" s="1">
        <v>5054.0</v>
      </c>
      <c r="F3375" s="1" t="s">
        <v>117</v>
      </c>
      <c r="G3375" s="1" t="s">
        <v>14229</v>
      </c>
      <c r="H3375" s="1">
        <v>2.0</v>
      </c>
      <c r="I3375" s="2">
        <v>2.0</v>
      </c>
      <c r="J3375" s="2">
        <v>2.0</v>
      </c>
      <c r="K3375" s="2" t="s">
        <v>119</v>
      </c>
      <c r="L3375" s="2"/>
      <c r="M3375" s="1">
        <v>1.0</v>
      </c>
      <c r="N3375" s="1" t="s">
        <v>34</v>
      </c>
      <c r="O3375" s="1" t="s">
        <v>457</v>
      </c>
      <c r="P3375" s="1" t="s">
        <v>14230</v>
      </c>
      <c r="Q3375" s="3">
        <v>42571.0</v>
      </c>
      <c r="R3375" s="1"/>
      <c r="S3375" s="1"/>
      <c r="T3375" s="1" t="s">
        <v>37</v>
      </c>
      <c r="U3375" s="1"/>
      <c r="V3375" s="1" t="s">
        <v>38</v>
      </c>
      <c r="W3375" s="1">
        <v>43.393799</v>
      </c>
      <c r="X3375" s="1">
        <v>-72.5929259999999</v>
      </c>
      <c r="Y3375" s="1" t="s">
        <v>14231</v>
      </c>
      <c r="Z3375" s="1"/>
      <c r="AA3375" s="1" t="s">
        <v>40</v>
      </c>
      <c r="AB3375" s="1" t="s">
        <v>458</v>
      </c>
      <c r="AC3375" s="1">
        <v>5142.0</v>
      </c>
    </row>
    <row r="3376">
      <c r="A3376" s="1" t="str">
        <f>"000W5Y"</f>
        <v>000W5Y</v>
      </c>
      <c r="B3376" s="1" t="s">
        <v>14232</v>
      </c>
      <c r="C3376" s="1" t="s">
        <v>14233</v>
      </c>
      <c r="D3376" s="1" t="str">
        <f>"8024362500"</f>
        <v>8024362500</v>
      </c>
      <c r="E3376" s="1">
        <v>5056.0</v>
      </c>
      <c r="F3376" s="1" t="s">
        <v>44</v>
      </c>
      <c r="G3376" s="1" t="s">
        <v>14234</v>
      </c>
      <c r="H3376" s="1">
        <v>1.0</v>
      </c>
      <c r="I3376" s="1"/>
      <c r="J3376" s="1"/>
      <c r="K3376" s="1"/>
      <c r="L3376" s="1"/>
      <c r="M3376" s="1">
        <v>1.0</v>
      </c>
      <c r="N3376" s="1" t="s">
        <v>34</v>
      </c>
      <c r="O3376" s="1" t="s">
        <v>85</v>
      </c>
      <c r="P3376" s="1" t="s">
        <v>14235</v>
      </c>
      <c r="Q3376" s="3">
        <v>42571.0</v>
      </c>
      <c r="R3376" s="1"/>
      <c r="S3376" s="1"/>
      <c r="T3376" s="1" t="s">
        <v>37</v>
      </c>
      <c r="U3376" s="1"/>
      <c r="V3376" s="1" t="s">
        <v>38</v>
      </c>
      <c r="W3376" s="1">
        <v>43.6606148</v>
      </c>
      <c r="X3376" s="1">
        <v>-72.5715857</v>
      </c>
      <c r="Y3376" s="1" t="s">
        <v>14236</v>
      </c>
      <c r="Z3376" s="1"/>
      <c r="AA3376" s="1" t="s">
        <v>40</v>
      </c>
      <c r="AB3376" s="1" t="s">
        <v>86</v>
      </c>
      <c r="AC3376" s="1">
        <v>5091.0</v>
      </c>
    </row>
    <row r="3377">
      <c r="A3377" s="1" t="str">
        <f t="shared" ref="A3377:A3378" si="272">"000W5X"</f>
        <v>000W5X</v>
      </c>
      <c r="B3377" s="1" t="s">
        <v>14237</v>
      </c>
      <c r="C3377" s="1" t="s">
        <v>14238</v>
      </c>
      <c r="D3377" s="1" t="str">
        <f t="shared" ref="D3377:D3378" si="273">"8029892901"</f>
        <v>8029892901</v>
      </c>
      <c r="E3377" s="1">
        <v>5055.0</v>
      </c>
      <c r="F3377" s="1" t="s">
        <v>117</v>
      </c>
      <c r="G3377" s="1" t="s">
        <v>14239</v>
      </c>
      <c r="H3377" s="1">
        <v>15.0</v>
      </c>
      <c r="I3377" s="2">
        <v>4.0</v>
      </c>
      <c r="J3377" s="2">
        <v>4.0</v>
      </c>
      <c r="K3377" s="2" t="s">
        <v>119</v>
      </c>
      <c r="L3377" s="1"/>
      <c r="M3377" s="1" t="s">
        <v>14240</v>
      </c>
      <c r="N3377" s="1" t="s">
        <v>78</v>
      </c>
      <c r="O3377" s="1" t="s">
        <v>79</v>
      </c>
      <c r="P3377" s="1" t="s">
        <v>14241</v>
      </c>
      <c r="Q3377" s="3">
        <v>42572.0</v>
      </c>
      <c r="R3377" s="1"/>
      <c r="S3377" s="1"/>
      <c r="T3377" s="1" t="s">
        <v>37</v>
      </c>
      <c r="U3377" s="1"/>
      <c r="V3377" s="1" t="s">
        <v>38</v>
      </c>
      <c r="W3377" s="1">
        <v>43.695324</v>
      </c>
      <c r="X3377" s="1">
        <v>-73.051804</v>
      </c>
      <c r="Y3377" s="1" t="s">
        <v>14242</v>
      </c>
      <c r="Z3377" s="1"/>
      <c r="AA3377" s="1" t="s">
        <v>40</v>
      </c>
      <c r="AB3377" s="1" t="s">
        <v>80</v>
      </c>
      <c r="AC3377" s="1">
        <v>5744.0</v>
      </c>
    </row>
    <row r="3378">
      <c r="A3378" s="1" t="str">
        <f t="shared" si="272"/>
        <v>000W5X</v>
      </c>
      <c r="B3378" s="1" t="s">
        <v>14237</v>
      </c>
      <c r="C3378" s="1" t="s">
        <v>14238</v>
      </c>
      <c r="D3378" s="1" t="str">
        <f t="shared" si="273"/>
        <v>8029892901</v>
      </c>
      <c r="E3378" s="1">
        <v>5055.0</v>
      </c>
      <c r="F3378" s="1" t="s">
        <v>117</v>
      </c>
      <c r="G3378" s="1" t="s">
        <v>14243</v>
      </c>
      <c r="H3378" s="1">
        <v>16.0</v>
      </c>
      <c r="I3378" s="2">
        <v>2.0</v>
      </c>
      <c r="J3378" s="2">
        <v>2.0</v>
      </c>
      <c r="K3378" s="2" t="s">
        <v>119</v>
      </c>
      <c r="L3378" s="1"/>
      <c r="M3378" s="1" t="s">
        <v>14244</v>
      </c>
      <c r="N3378" s="1" t="s">
        <v>78</v>
      </c>
      <c r="O3378" s="1" t="s">
        <v>79</v>
      </c>
      <c r="P3378" s="1" t="s">
        <v>14245</v>
      </c>
      <c r="Q3378" s="3">
        <v>42572.0</v>
      </c>
      <c r="R3378" s="1"/>
      <c r="S3378" s="1"/>
      <c r="T3378" s="1" t="s">
        <v>37</v>
      </c>
      <c r="U3378" s="1"/>
      <c r="V3378" s="1" t="s">
        <v>38</v>
      </c>
      <c r="W3378" s="1">
        <v>43.728313</v>
      </c>
      <c r="X3378" s="1">
        <v>-73.058693</v>
      </c>
      <c r="Y3378" s="1" t="s">
        <v>14246</v>
      </c>
      <c r="Z3378" s="1"/>
      <c r="AA3378" s="1" t="s">
        <v>40</v>
      </c>
      <c r="AB3378" s="1" t="s">
        <v>80</v>
      </c>
      <c r="AC3378" s="1">
        <v>5733.0</v>
      </c>
    </row>
    <row r="3379">
      <c r="A3379" s="1" t="str">
        <f>"000W61"</f>
        <v>000W61</v>
      </c>
      <c r="B3379" s="1" t="s">
        <v>14247</v>
      </c>
      <c r="C3379" s="1" t="s">
        <v>14248</v>
      </c>
      <c r="D3379" s="1" t="str">
        <f>"8024399855"</f>
        <v>8024399855</v>
      </c>
      <c r="E3379" s="1">
        <v>5057.0</v>
      </c>
      <c r="F3379" s="1" t="s">
        <v>117</v>
      </c>
      <c r="G3379" s="1" t="s">
        <v>14249</v>
      </c>
      <c r="H3379" s="1">
        <v>2.0</v>
      </c>
      <c r="I3379" s="2" t="s">
        <v>119</v>
      </c>
      <c r="J3379" s="2">
        <v>1.0</v>
      </c>
      <c r="K3379" s="2" t="s">
        <v>119</v>
      </c>
      <c r="L3379" s="1"/>
      <c r="M3379" s="1">
        <v>1.0</v>
      </c>
      <c r="N3379" s="1" t="s">
        <v>142</v>
      </c>
      <c r="O3379" s="1" t="s">
        <v>222</v>
      </c>
      <c r="P3379" s="1" t="s">
        <v>14250</v>
      </c>
      <c r="Q3379" s="3">
        <v>42572.0</v>
      </c>
      <c r="R3379" s="1"/>
      <c r="S3379" s="1"/>
      <c r="T3379" s="1" t="s">
        <v>37</v>
      </c>
      <c r="U3379" s="1"/>
      <c r="V3379" s="1" t="s">
        <v>38</v>
      </c>
      <c r="W3379" s="1">
        <v>44.01173</v>
      </c>
      <c r="X3379" s="1">
        <v>-72.275665</v>
      </c>
      <c r="Y3379" s="1" t="s">
        <v>14251</v>
      </c>
      <c r="Z3379" s="1"/>
      <c r="AA3379" s="1" t="s">
        <v>40</v>
      </c>
      <c r="AB3379" s="1" t="s">
        <v>223</v>
      </c>
      <c r="AC3379" s="1">
        <v>5039.0</v>
      </c>
    </row>
    <row r="3380">
      <c r="A3380" s="1" t="str">
        <f>"000W62"</f>
        <v>000W62</v>
      </c>
      <c r="B3380" s="1" t="s">
        <v>9655</v>
      </c>
      <c r="C3380" s="1" t="s">
        <v>14252</v>
      </c>
      <c r="D3380" s="1" t="str">
        <f>"8027775357"</f>
        <v>8027775357</v>
      </c>
      <c r="E3380" s="1">
        <v>5058.0</v>
      </c>
      <c r="F3380" s="1" t="s">
        <v>31</v>
      </c>
      <c r="G3380" s="1" t="s">
        <v>14253</v>
      </c>
      <c r="H3380" s="1">
        <v>2.0</v>
      </c>
      <c r="I3380" s="1"/>
      <c r="J3380" s="1"/>
      <c r="K3380" s="1"/>
      <c r="L3380" s="1"/>
      <c r="M3380" s="1">
        <v>1.0</v>
      </c>
      <c r="N3380" s="1" t="s">
        <v>57</v>
      </c>
      <c r="O3380" s="1" t="s">
        <v>256</v>
      </c>
      <c r="P3380" s="1" t="s">
        <v>14254</v>
      </c>
      <c r="Q3380" s="3">
        <v>42572.0</v>
      </c>
      <c r="R3380" s="1"/>
      <c r="S3380" s="1"/>
      <c r="T3380" s="1" t="s">
        <v>37</v>
      </c>
      <c r="U3380" s="1"/>
      <c r="V3380" s="1" t="s">
        <v>38</v>
      </c>
      <c r="W3380" s="1">
        <v>44.632701</v>
      </c>
      <c r="X3380" s="1">
        <v>-73.18972</v>
      </c>
      <c r="Y3380" s="1" t="s">
        <v>2083</v>
      </c>
      <c r="Z3380" s="1"/>
      <c r="AA3380" s="1" t="s">
        <v>40</v>
      </c>
      <c r="AB3380" s="1"/>
      <c r="AC3380" s="1">
        <v>0.0</v>
      </c>
    </row>
    <row r="3381">
      <c r="A3381" s="1" t="str">
        <f>"000W64"</f>
        <v>000W64</v>
      </c>
      <c r="B3381" s="1" t="s">
        <v>14255</v>
      </c>
      <c r="C3381" s="1" t="s">
        <v>14256</v>
      </c>
      <c r="D3381" s="1" t="str">
        <f>"8027511560"</f>
        <v>8027511560</v>
      </c>
      <c r="E3381" s="1">
        <v>5059.0</v>
      </c>
      <c r="F3381" s="1" t="s">
        <v>117</v>
      </c>
      <c r="G3381" s="1" t="s">
        <v>14257</v>
      </c>
      <c r="H3381" s="1">
        <v>2.0</v>
      </c>
      <c r="I3381" s="2" t="s">
        <v>119</v>
      </c>
      <c r="J3381" s="2">
        <v>1.0</v>
      </c>
      <c r="K3381" s="2" t="s">
        <v>829</v>
      </c>
      <c r="L3381" s="1"/>
      <c r="M3381" s="1" t="s">
        <v>14258</v>
      </c>
      <c r="N3381" s="1" t="s">
        <v>128</v>
      </c>
      <c r="O3381" s="1" t="s">
        <v>1707</v>
      </c>
      <c r="P3381" s="1" t="s">
        <v>14259</v>
      </c>
      <c r="Q3381" s="3">
        <v>42573.0</v>
      </c>
      <c r="R3381" s="1"/>
      <c r="S3381" s="1"/>
      <c r="T3381" s="1" t="s">
        <v>37</v>
      </c>
      <c r="U3381" s="1"/>
      <c r="V3381" s="1" t="s">
        <v>38</v>
      </c>
      <c r="W3381" s="1">
        <v>44.4045599</v>
      </c>
      <c r="X3381" s="1">
        <v>-72.015846</v>
      </c>
      <c r="Y3381" s="1" t="s">
        <v>14260</v>
      </c>
      <c r="Z3381" s="1"/>
      <c r="AA3381" s="1" t="s">
        <v>40</v>
      </c>
      <c r="AB3381" s="1" t="s">
        <v>10410</v>
      </c>
      <c r="AC3381" s="1">
        <v>5819.0</v>
      </c>
    </row>
    <row r="3382">
      <c r="A3382" s="1" t="str">
        <f>"00088H"</f>
        <v>00088H</v>
      </c>
      <c r="B3382" s="1" t="s">
        <v>2463</v>
      </c>
      <c r="C3382" s="1" t="s">
        <v>2464</v>
      </c>
      <c r="D3382" s="1" t="str">
        <f>"8027442007"</f>
        <v>8027442007</v>
      </c>
      <c r="E3382" s="1">
        <v>3222.0</v>
      </c>
      <c r="F3382" s="1" t="s">
        <v>117</v>
      </c>
      <c r="G3382" s="1" t="s">
        <v>14261</v>
      </c>
      <c r="H3382" s="1">
        <v>32.0</v>
      </c>
      <c r="I3382" s="1"/>
      <c r="J3382" s="1"/>
      <c r="K3382" s="1"/>
      <c r="L3382" s="1"/>
      <c r="M3382" s="1" t="s">
        <v>14262</v>
      </c>
      <c r="N3382" s="1" t="s">
        <v>94</v>
      </c>
      <c r="O3382" s="1" t="s">
        <v>637</v>
      </c>
      <c r="P3382" s="1" t="s">
        <v>14262</v>
      </c>
      <c r="Q3382" s="3">
        <v>42573.0</v>
      </c>
      <c r="R3382" s="1"/>
      <c r="S3382" s="1"/>
      <c r="T3382" s="1" t="s">
        <v>37</v>
      </c>
      <c r="U3382" s="1"/>
      <c r="V3382" s="1" t="s">
        <v>38</v>
      </c>
      <c r="W3382" s="1">
        <v>44.91906</v>
      </c>
      <c r="X3382" s="1">
        <v>-73.32085</v>
      </c>
      <c r="Y3382" s="1" t="s">
        <v>2083</v>
      </c>
      <c r="Z3382" s="1"/>
      <c r="AA3382" s="1" t="s">
        <v>40</v>
      </c>
      <c r="AB3382" s="1" t="s">
        <v>1022</v>
      </c>
      <c r="AC3382" s="1">
        <v>0.0</v>
      </c>
    </row>
    <row r="3383">
      <c r="A3383" s="1" t="str">
        <f>"00082C"</f>
        <v>00082C</v>
      </c>
      <c r="B3383" s="1" t="s">
        <v>2920</v>
      </c>
      <c r="C3383" s="1" t="s">
        <v>2921</v>
      </c>
      <c r="D3383" s="1" t="str">
        <f>"8028683080"</f>
        <v>8028683080</v>
      </c>
      <c r="E3383" s="1">
        <v>2576.0</v>
      </c>
      <c r="F3383" s="1" t="s">
        <v>44</v>
      </c>
      <c r="G3383" s="1" t="s">
        <v>14263</v>
      </c>
      <c r="H3383" s="1">
        <v>0.0</v>
      </c>
      <c r="I3383" s="2">
        <v>3.0</v>
      </c>
      <c r="J3383" s="2"/>
      <c r="K3383" s="2"/>
      <c r="L3383" s="2"/>
      <c r="M3383" s="1"/>
      <c r="N3383" s="1" t="s">
        <v>49</v>
      </c>
      <c r="O3383" s="1"/>
      <c r="P3383" s="1"/>
      <c r="Q3383" s="3">
        <v>42576.0</v>
      </c>
      <c r="R3383" s="1"/>
      <c r="S3383" s="1"/>
      <c r="T3383" s="1" t="s">
        <v>37</v>
      </c>
      <c r="U3383" s="1"/>
      <c r="V3383" s="1" t="s">
        <v>38</v>
      </c>
      <c r="W3383" s="1">
        <v>44.9335253454084</v>
      </c>
      <c r="X3383" s="1">
        <v>-73.2053643466679</v>
      </c>
      <c r="Y3383" s="1" t="s">
        <v>2925</v>
      </c>
      <c r="Z3383" s="1"/>
      <c r="AA3383" s="1" t="s">
        <v>40</v>
      </c>
      <c r="AB3383" s="1" t="s">
        <v>1115</v>
      </c>
      <c r="AC3383" s="1">
        <v>5488.0</v>
      </c>
    </row>
    <row r="3384">
      <c r="A3384" s="1" t="str">
        <f>"000W69"</f>
        <v>000W69</v>
      </c>
      <c r="B3384" s="1" t="s">
        <v>14264</v>
      </c>
      <c r="C3384" s="1" t="s">
        <v>14265</v>
      </c>
      <c r="D3384" s="1" t="str">
        <f>"8023633579"</f>
        <v>8023633579</v>
      </c>
      <c r="E3384" s="1">
        <v>5060.0</v>
      </c>
      <c r="F3384" s="1" t="s">
        <v>117</v>
      </c>
      <c r="G3384" s="1" t="s">
        <v>14266</v>
      </c>
      <c r="H3384" s="1">
        <v>2.0</v>
      </c>
      <c r="I3384" s="2">
        <v>1.0</v>
      </c>
      <c r="J3384" s="2">
        <v>0.0</v>
      </c>
      <c r="K3384" s="2" t="s">
        <v>119</v>
      </c>
      <c r="L3384" s="2" t="s">
        <v>14267</v>
      </c>
      <c r="M3384" s="1" t="s">
        <v>13978</v>
      </c>
      <c r="N3384" s="1" t="s">
        <v>47</v>
      </c>
      <c r="O3384" s="1" t="s">
        <v>2753</v>
      </c>
      <c r="P3384" s="1" t="s">
        <v>14268</v>
      </c>
      <c r="Q3384" s="3">
        <v>42577.0</v>
      </c>
      <c r="R3384" s="1"/>
      <c r="S3384" s="1"/>
      <c r="T3384" s="1" t="s">
        <v>37</v>
      </c>
      <c r="U3384" s="1"/>
      <c r="V3384" s="1" t="s">
        <v>38</v>
      </c>
      <c r="W3384" s="1">
        <v>44.844738</v>
      </c>
      <c r="X3384" s="1">
        <v>-73.10775</v>
      </c>
      <c r="Y3384" s="1" t="s">
        <v>14269</v>
      </c>
      <c r="Z3384" s="1"/>
      <c r="AA3384" s="1" t="s">
        <v>40</v>
      </c>
      <c r="AB3384" s="1" t="s">
        <v>2753</v>
      </c>
      <c r="AC3384" s="1">
        <v>5488.0</v>
      </c>
    </row>
    <row r="3385">
      <c r="A3385" s="1" t="str">
        <f>"000W6A"</f>
        <v>000W6A</v>
      </c>
      <c r="B3385" s="1" t="s">
        <v>14270</v>
      </c>
      <c r="C3385" s="1" t="s">
        <v>14271</v>
      </c>
      <c r="D3385" s="1" t="str">
        <f>"8022572262"</f>
        <v>8022572262</v>
      </c>
      <c r="E3385" s="1">
        <v>5061.0</v>
      </c>
      <c r="F3385" s="1" t="s">
        <v>31</v>
      </c>
      <c r="G3385" s="1" t="s">
        <v>14272</v>
      </c>
      <c r="H3385" s="1">
        <v>1.0</v>
      </c>
      <c r="I3385" s="1"/>
      <c r="J3385" s="1"/>
      <c r="K3385" s="1"/>
      <c r="L3385" s="1"/>
      <c r="M3385" s="1">
        <v>1.0</v>
      </c>
      <c r="N3385" s="1" t="s">
        <v>66</v>
      </c>
      <c r="O3385" s="1" t="s">
        <v>2346</v>
      </c>
      <c r="P3385" s="1" t="s">
        <v>14273</v>
      </c>
      <c r="Q3385" s="3">
        <v>42577.0</v>
      </c>
      <c r="R3385" s="1"/>
      <c r="S3385" s="1"/>
      <c r="T3385" s="1" t="s">
        <v>37</v>
      </c>
      <c r="U3385" s="1"/>
      <c r="V3385" s="1" t="s">
        <v>38</v>
      </c>
      <c r="W3385" s="1">
        <v>42.8525</v>
      </c>
      <c r="X3385" s="1">
        <v>-72.5767799999999</v>
      </c>
      <c r="Y3385" s="1" t="s">
        <v>14274</v>
      </c>
      <c r="Z3385" s="1"/>
      <c r="AA3385" s="1" t="s">
        <v>40</v>
      </c>
      <c r="AB3385" s="1" t="s">
        <v>2349</v>
      </c>
      <c r="AC3385" s="1">
        <v>5301.0</v>
      </c>
    </row>
    <row r="3386">
      <c r="A3386" s="1" t="str">
        <f>"000W6B"</f>
        <v>000W6B</v>
      </c>
      <c r="B3386" s="1" t="s">
        <v>14275</v>
      </c>
      <c r="C3386" s="1" t="s">
        <v>14276</v>
      </c>
      <c r="D3386" s="1" t="str">
        <f>"8025632416"</f>
        <v>8025632416</v>
      </c>
      <c r="E3386" s="1">
        <v>5062.0</v>
      </c>
      <c r="F3386" s="1" t="s">
        <v>117</v>
      </c>
      <c r="G3386" s="1" t="s">
        <v>14277</v>
      </c>
      <c r="H3386" s="1">
        <v>1.0</v>
      </c>
      <c r="I3386" s="2">
        <v>1.0</v>
      </c>
      <c r="J3386" s="2">
        <v>1.0</v>
      </c>
      <c r="K3386" s="2" t="s">
        <v>119</v>
      </c>
      <c r="L3386" s="1"/>
      <c r="M3386" s="1">
        <v>1.0</v>
      </c>
      <c r="N3386" s="1" t="s">
        <v>128</v>
      </c>
      <c r="O3386" s="1" t="s">
        <v>887</v>
      </c>
      <c r="P3386" s="1" t="s">
        <v>14278</v>
      </c>
      <c r="Q3386" s="3">
        <v>42578.0</v>
      </c>
      <c r="R3386" s="1"/>
      <c r="S3386" s="1"/>
      <c r="T3386" s="1" t="s">
        <v>37</v>
      </c>
      <c r="U3386" s="1"/>
      <c r="V3386" s="1" t="s">
        <v>38</v>
      </c>
      <c r="W3386" s="1">
        <v>44.48064</v>
      </c>
      <c r="X3386" s="1">
        <v>-72.291382</v>
      </c>
      <c r="Y3386" s="1" t="s">
        <v>14279</v>
      </c>
      <c r="Z3386" s="1"/>
      <c r="AA3386" s="1" t="s">
        <v>40</v>
      </c>
      <c r="AB3386" s="1" t="s">
        <v>1080</v>
      </c>
      <c r="AC3386" s="1">
        <v>5843.0</v>
      </c>
    </row>
    <row r="3387">
      <c r="A3387" s="1" t="str">
        <f>"000W6F"</f>
        <v>000W6F</v>
      </c>
      <c r="B3387" s="1" t="s">
        <v>14280</v>
      </c>
      <c r="C3387" s="1" t="s">
        <v>14281</v>
      </c>
      <c r="D3387" s="1" t="str">
        <f>"8028274429"</f>
        <v>8028274429</v>
      </c>
      <c r="E3387" s="1">
        <v>5063.0</v>
      </c>
      <c r="F3387" s="1" t="s">
        <v>117</v>
      </c>
      <c r="G3387" s="1" t="s">
        <v>14282</v>
      </c>
      <c r="H3387" s="1">
        <v>4.0</v>
      </c>
      <c r="I3387" s="2">
        <v>1.0</v>
      </c>
      <c r="J3387" s="2">
        <v>1.0</v>
      </c>
      <c r="K3387" s="2" t="s">
        <v>829</v>
      </c>
      <c r="L3387" s="1"/>
      <c r="M3387" s="1" t="s">
        <v>7601</v>
      </c>
      <c r="N3387" s="1" t="s">
        <v>47</v>
      </c>
      <c r="O3387" s="1" t="s">
        <v>928</v>
      </c>
      <c r="P3387" s="1" t="s">
        <v>14283</v>
      </c>
      <c r="Q3387" s="3">
        <v>42578.0</v>
      </c>
      <c r="R3387" s="1"/>
      <c r="S3387" s="1"/>
      <c r="T3387" s="1" t="s">
        <v>37</v>
      </c>
      <c r="U3387" s="1"/>
      <c r="V3387" s="1" t="s">
        <v>38</v>
      </c>
      <c r="W3387" s="1">
        <v>44.782231</v>
      </c>
      <c r="X3387" s="1">
        <v>-72.8093576</v>
      </c>
      <c r="Y3387" s="1" t="s">
        <v>14284</v>
      </c>
      <c r="Z3387" s="1"/>
      <c r="AA3387" s="1" t="s">
        <v>40</v>
      </c>
      <c r="AB3387" s="1" t="s">
        <v>929</v>
      </c>
      <c r="AC3387" s="1">
        <v>5448.0</v>
      </c>
    </row>
    <row r="3388">
      <c r="A3388" s="1" t="str">
        <f>"000W6G"</f>
        <v>000W6G</v>
      </c>
      <c r="B3388" s="1" t="s">
        <v>14285</v>
      </c>
      <c r="C3388" s="1" t="s">
        <v>14286</v>
      </c>
      <c r="D3388" s="1" t="str">
        <f>"8022762171"</f>
        <v>8022762171</v>
      </c>
      <c r="E3388" s="1">
        <v>5064.0</v>
      </c>
      <c r="F3388" s="1" t="s">
        <v>117</v>
      </c>
      <c r="G3388" s="1" t="s">
        <v>14287</v>
      </c>
      <c r="H3388" s="1">
        <v>2.0</v>
      </c>
      <c r="I3388" s="2" t="s">
        <v>119</v>
      </c>
      <c r="J3388" s="2">
        <v>1.0</v>
      </c>
      <c r="K3388" s="2" t="s">
        <v>119</v>
      </c>
      <c r="L3388" s="1"/>
      <c r="M3388" s="1" t="s">
        <v>33</v>
      </c>
      <c r="N3388" s="1" t="s">
        <v>142</v>
      </c>
      <c r="O3388" s="1" t="s">
        <v>353</v>
      </c>
      <c r="P3388" s="1" t="s">
        <v>14288</v>
      </c>
      <c r="Q3388" s="3">
        <v>42578.0</v>
      </c>
      <c r="R3388" s="1"/>
      <c r="S3388" s="3">
        <v>42985.0</v>
      </c>
      <c r="T3388" s="1" t="s">
        <v>37</v>
      </c>
      <c r="U3388" s="1"/>
      <c r="V3388" s="1" t="s">
        <v>38</v>
      </c>
      <c r="W3388" s="1">
        <v>44.119555</v>
      </c>
      <c r="X3388" s="1">
        <v>-73.2015976999999</v>
      </c>
      <c r="Y3388" s="1" t="s">
        <v>14289</v>
      </c>
      <c r="Z3388" s="1"/>
      <c r="AA3388" s="1" t="s">
        <v>40</v>
      </c>
      <c r="AB3388" s="1" t="s">
        <v>355</v>
      </c>
      <c r="AC3388" s="1">
        <v>5036.0</v>
      </c>
    </row>
    <row r="3389">
      <c r="A3389" s="1" t="str">
        <f>"000W6H"</f>
        <v>000W6H</v>
      </c>
      <c r="B3389" s="1" t="s">
        <v>12173</v>
      </c>
      <c r="C3389" s="1" t="s">
        <v>14290</v>
      </c>
      <c r="D3389" s="1" t="str">
        <f>"8022891425"</f>
        <v>8022891425</v>
      </c>
      <c r="E3389" s="1">
        <v>5065.0</v>
      </c>
      <c r="F3389" s="1" t="s">
        <v>117</v>
      </c>
      <c r="G3389" s="1" t="s">
        <v>14291</v>
      </c>
      <c r="H3389" s="1">
        <v>15.0</v>
      </c>
      <c r="I3389" s="2">
        <v>6.0</v>
      </c>
      <c r="J3389" s="2">
        <v>4.0</v>
      </c>
      <c r="K3389" s="2" t="s">
        <v>119</v>
      </c>
      <c r="L3389" s="1"/>
      <c r="M3389" s="1" t="s">
        <v>14292</v>
      </c>
      <c r="N3389" s="1" t="s">
        <v>66</v>
      </c>
      <c r="O3389" s="1" t="s">
        <v>113</v>
      </c>
      <c r="P3389" s="1" t="s">
        <v>14293</v>
      </c>
      <c r="Q3389" s="3">
        <v>42578.0</v>
      </c>
      <c r="R3389" s="1"/>
      <c r="S3389" s="1"/>
      <c r="T3389" s="1" t="s">
        <v>37</v>
      </c>
      <c r="U3389" s="1"/>
      <c r="V3389" s="1" t="s">
        <v>38</v>
      </c>
      <c r="W3389" s="1">
        <v>43.1042832084731</v>
      </c>
      <c r="X3389" s="1">
        <v>-72.44637966156</v>
      </c>
      <c r="Y3389" s="1" t="s">
        <v>14294</v>
      </c>
      <c r="Z3389" s="1"/>
      <c r="AA3389" s="1" t="s">
        <v>40</v>
      </c>
      <c r="AB3389" s="1" t="s">
        <v>114</v>
      </c>
      <c r="AC3389" s="1">
        <v>5158.0</v>
      </c>
    </row>
    <row r="3390">
      <c r="A3390" s="1" t="str">
        <f t="shared" ref="A3390:A3391" si="274">"000W6K"</f>
        <v>000W6K</v>
      </c>
      <c r="B3390" s="1" t="s">
        <v>14295</v>
      </c>
      <c r="C3390" s="1" t="s">
        <v>14296</v>
      </c>
      <c r="D3390" s="1" t="str">
        <f t="shared" ref="D3390:D3391" si="275">"8023729619"</f>
        <v>8023729619</v>
      </c>
      <c r="E3390" s="1">
        <v>5067.0</v>
      </c>
      <c r="F3390" s="1" t="s">
        <v>117</v>
      </c>
      <c r="G3390" s="1" t="s">
        <v>14297</v>
      </c>
      <c r="H3390" s="1">
        <v>14.0</v>
      </c>
      <c r="I3390" s="2">
        <v>0.0</v>
      </c>
      <c r="J3390" s="2">
        <v>0.0</v>
      </c>
      <c r="K3390" s="2" t="s">
        <v>829</v>
      </c>
      <c r="L3390" s="2" t="s">
        <v>14298</v>
      </c>
      <c r="M3390" s="1" t="s">
        <v>14299</v>
      </c>
      <c r="N3390" s="1" t="s">
        <v>107</v>
      </c>
      <c r="O3390" s="1" t="s">
        <v>108</v>
      </c>
      <c r="P3390" s="1" t="s">
        <v>14300</v>
      </c>
      <c r="Q3390" s="3">
        <v>42578.0</v>
      </c>
      <c r="R3390" s="1"/>
      <c r="S3390" s="1"/>
      <c r="T3390" s="1" t="s">
        <v>37</v>
      </c>
      <c r="U3390" s="1"/>
      <c r="V3390" s="1" t="s">
        <v>38</v>
      </c>
      <c r="W3390" s="1">
        <v>44.7261889</v>
      </c>
      <c r="X3390" s="1">
        <v>-73.2965191999999</v>
      </c>
      <c r="Y3390" s="1" t="s">
        <v>14301</v>
      </c>
      <c r="Z3390" s="1"/>
      <c r="AA3390" s="1" t="s">
        <v>40</v>
      </c>
      <c r="AB3390" s="1" t="s">
        <v>107</v>
      </c>
      <c r="AC3390" s="1">
        <v>5458.0</v>
      </c>
    </row>
    <row r="3391">
      <c r="A3391" s="1" t="str">
        <f t="shared" si="274"/>
        <v>000W6K</v>
      </c>
      <c r="B3391" s="1" t="s">
        <v>14295</v>
      </c>
      <c r="C3391" s="1" t="s">
        <v>14296</v>
      </c>
      <c r="D3391" s="1" t="str">
        <f t="shared" si="275"/>
        <v>8023729619</v>
      </c>
      <c r="E3391" s="1">
        <v>5067.0</v>
      </c>
      <c r="F3391" s="1" t="s">
        <v>117</v>
      </c>
      <c r="G3391" s="1" t="s">
        <v>14302</v>
      </c>
      <c r="H3391" s="1">
        <v>4.0</v>
      </c>
      <c r="I3391" s="2">
        <v>0.0</v>
      </c>
      <c r="J3391" s="2">
        <v>0.0</v>
      </c>
      <c r="K3391" s="2" t="s">
        <v>829</v>
      </c>
      <c r="L3391" s="2" t="s">
        <v>14298</v>
      </c>
      <c r="M3391" s="1" t="s">
        <v>14303</v>
      </c>
      <c r="N3391" s="1" t="s">
        <v>107</v>
      </c>
      <c r="O3391" s="1" t="s">
        <v>108</v>
      </c>
      <c r="P3391" s="1" t="s">
        <v>14304</v>
      </c>
      <c r="Q3391" s="3">
        <v>42578.0</v>
      </c>
      <c r="R3391" s="1"/>
      <c r="S3391" s="1"/>
      <c r="T3391" s="1" t="s">
        <v>37</v>
      </c>
      <c r="U3391" s="1"/>
      <c r="V3391" s="1" t="s">
        <v>38</v>
      </c>
      <c r="W3391" s="1">
        <v>44.7278887</v>
      </c>
      <c r="X3391" s="1">
        <v>-73.3235856999999</v>
      </c>
      <c r="Y3391" s="1" t="s">
        <v>14305</v>
      </c>
      <c r="Z3391" s="1"/>
      <c r="AA3391" s="1" t="s">
        <v>40</v>
      </c>
      <c r="AB3391" s="1" t="s">
        <v>107</v>
      </c>
      <c r="AC3391" s="1">
        <v>5458.0</v>
      </c>
    </row>
    <row r="3392">
      <c r="A3392" s="1" t="str">
        <f>"000W71"</f>
        <v>000W71</v>
      </c>
      <c r="B3392" s="1" t="s">
        <v>14306</v>
      </c>
      <c r="C3392" s="1" t="s">
        <v>14307</v>
      </c>
      <c r="D3392" s="1" t="str">
        <f>"8022473931"</f>
        <v>8022473931</v>
      </c>
      <c r="E3392" s="1">
        <v>5068.0</v>
      </c>
      <c r="F3392" s="1" t="s">
        <v>117</v>
      </c>
      <c r="G3392" s="1" t="s">
        <v>14308</v>
      </c>
      <c r="H3392" s="1">
        <v>4.0</v>
      </c>
      <c r="I3392" s="2">
        <v>0.0</v>
      </c>
      <c r="J3392" s="2">
        <v>4.0</v>
      </c>
      <c r="K3392" s="2" t="s">
        <v>119</v>
      </c>
      <c r="L3392" s="1"/>
      <c r="M3392" s="1">
        <v>1.0</v>
      </c>
      <c r="N3392" s="1" t="s">
        <v>78</v>
      </c>
      <c r="O3392" s="1" t="s">
        <v>2574</v>
      </c>
      <c r="P3392" s="1" t="s">
        <v>14309</v>
      </c>
      <c r="Q3392" s="3">
        <v>42580.0</v>
      </c>
      <c r="R3392" s="1"/>
      <c r="S3392" s="1"/>
      <c r="T3392" s="1" t="s">
        <v>37</v>
      </c>
      <c r="U3392" s="1"/>
      <c r="V3392" s="1" t="s">
        <v>38</v>
      </c>
      <c r="W3392" s="1">
        <v>43.830955</v>
      </c>
      <c r="X3392" s="1">
        <v>-73.046627</v>
      </c>
      <c r="Y3392" s="1" t="s">
        <v>14310</v>
      </c>
      <c r="Z3392" s="1"/>
      <c r="AA3392" s="1" t="s">
        <v>40</v>
      </c>
      <c r="AB3392" s="1" t="s">
        <v>2575</v>
      </c>
      <c r="AC3392" s="1">
        <v>5733.0</v>
      </c>
    </row>
    <row r="3393">
      <c r="A3393" s="1" t="str">
        <f t="shared" ref="A3393:A3394" si="276">"000W74"</f>
        <v>000W74</v>
      </c>
      <c r="B3393" s="1" t="s">
        <v>14311</v>
      </c>
      <c r="C3393" s="1" t="s">
        <v>14312</v>
      </c>
      <c r="D3393" s="1" t="str">
        <f t="shared" ref="D3393:D3394" si="277">"6179212811"</f>
        <v>6179212811</v>
      </c>
      <c r="E3393" s="1">
        <v>5069.0</v>
      </c>
      <c r="F3393" s="1" t="s">
        <v>31</v>
      </c>
      <c r="G3393" s="1" t="s">
        <v>14313</v>
      </c>
      <c r="H3393" s="1">
        <v>38.0</v>
      </c>
      <c r="I3393" s="1"/>
      <c r="J3393" s="1"/>
      <c r="K3393" s="1"/>
      <c r="L3393" s="1"/>
      <c r="M3393" s="1">
        <v>1.0</v>
      </c>
      <c r="N3393" s="1" t="s">
        <v>47</v>
      </c>
      <c r="O3393" s="1" t="s">
        <v>980</v>
      </c>
      <c r="P3393" s="1" t="s">
        <v>14314</v>
      </c>
      <c r="Q3393" s="3">
        <v>42583.0</v>
      </c>
      <c r="R3393" s="1"/>
      <c r="S3393" s="1"/>
      <c r="T3393" s="1" t="s">
        <v>37</v>
      </c>
      <c r="U3393" s="1"/>
      <c r="V3393" s="1" t="s">
        <v>38</v>
      </c>
      <c r="W3393" s="1">
        <v>44.911072</v>
      </c>
      <c r="X3393" s="1">
        <v>-72.637779</v>
      </c>
      <c r="Y3393" s="1" t="s">
        <v>14315</v>
      </c>
      <c r="Z3393" s="1"/>
      <c r="AA3393" s="1" t="s">
        <v>40</v>
      </c>
      <c r="AB3393" s="1" t="s">
        <v>981</v>
      </c>
      <c r="AC3393" s="1">
        <v>5476.0</v>
      </c>
    </row>
    <row r="3394">
      <c r="A3394" s="1" t="str">
        <f t="shared" si="276"/>
        <v>000W74</v>
      </c>
      <c r="B3394" s="1" t="s">
        <v>14311</v>
      </c>
      <c r="C3394" s="1" t="s">
        <v>14312</v>
      </c>
      <c r="D3394" s="1" t="str">
        <f t="shared" si="277"/>
        <v>6179212811</v>
      </c>
      <c r="E3394" s="1">
        <v>5069.0</v>
      </c>
      <c r="F3394" s="1" t="s">
        <v>31</v>
      </c>
      <c r="G3394" s="1" t="s">
        <v>14316</v>
      </c>
      <c r="H3394" s="1">
        <v>38.0</v>
      </c>
      <c r="I3394" s="1"/>
      <c r="J3394" s="1"/>
      <c r="K3394" s="1"/>
      <c r="L3394" s="1"/>
      <c r="M3394" s="1">
        <v>2.0</v>
      </c>
      <c r="N3394" s="1" t="s">
        <v>47</v>
      </c>
      <c r="O3394" s="1" t="s">
        <v>48</v>
      </c>
      <c r="P3394" s="1" t="s">
        <v>14317</v>
      </c>
      <c r="Q3394" s="3">
        <v>42583.0</v>
      </c>
      <c r="R3394" s="1"/>
      <c r="S3394" s="1"/>
      <c r="T3394" s="1" t="s">
        <v>37</v>
      </c>
      <c r="U3394" s="1"/>
      <c r="V3394" s="1" t="s">
        <v>38</v>
      </c>
      <c r="W3394" s="1">
        <v>44.865486</v>
      </c>
      <c r="X3394" s="1">
        <v>-72.767624</v>
      </c>
      <c r="Y3394" s="1" t="s">
        <v>14318</v>
      </c>
      <c r="Z3394" s="1"/>
      <c r="AA3394" s="1" t="s">
        <v>40</v>
      </c>
      <c r="AB3394" s="1" t="s">
        <v>267</v>
      </c>
      <c r="AC3394" s="1">
        <v>5450.0</v>
      </c>
    </row>
    <row r="3395">
      <c r="A3395" s="1" t="str">
        <f t="shared" ref="A3395:A3396" si="278">"000W7D"</f>
        <v>000W7D</v>
      </c>
      <c r="B3395" s="1" t="s">
        <v>14319</v>
      </c>
      <c r="C3395" s="1" t="s">
        <v>14320</v>
      </c>
      <c r="D3395" s="1" t="str">
        <f t="shared" ref="D3395:D3396" si="279">"8026889069"</f>
        <v>8026889069</v>
      </c>
      <c r="E3395" s="1">
        <v>5070.0</v>
      </c>
      <c r="F3395" s="1" t="s">
        <v>31</v>
      </c>
      <c r="G3395" s="1" t="s">
        <v>14321</v>
      </c>
      <c r="H3395" s="1">
        <v>6.0</v>
      </c>
      <c r="I3395" s="1"/>
      <c r="J3395" s="1"/>
      <c r="K3395" s="1"/>
      <c r="L3395" s="1"/>
      <c r="M3395" s="1" t="s">
        <v>14322</v>
      </c>
      <c r="N3395" s="1" t="s">
        <v>34</v>
      </c>
      <c r="O3395" s="1" t="s">
        <v>4998</v>
      </c>
      <c r="P3395" s="1" t="s">
        <v>10166</v>
      </c>
      <c r="Q3395" s="3">
        <v>42586.0</v>
      </c>
      <c r="R3395" s="1"/>
      <c r="S3395" s="1"/>
      <c r="T3395" s="1" t="s">
        <v>37</v>
      </c>
      <c r="U3395" s="1"/>
      <c r="V3395" s="1" t="s">
        <v>38</v>
      </c>
      <c r="W3395" s="1">
        <v>43.30139</v>
      </c>
      <c r="X3395" s="1">
        <v>-72.7896448999999</v>
      </c>
      <c r="Y3395" s="1" t="s">
        <v>14323</v>
      </c>
      <c r="Z3395" s="1"/>
      <c r="AA3395" s="1" t="s">
        <v>40</v>
      </c>
      <c r="AB3395" s="1" t="s">
        <v>5001</v>
      </c>
      <c r="AC3395" s="1">
        <v>5161.0</v>
      </c>
    </row>
    <row r="3396">
      <c r="A3396" s="1" t="str">
        <f t="shared" si="278"/>
        <v>000W7D</v>
      </c>
      <c r="B3396" s="1" t="s">
        <v>14319</v>
      </c>
      <c r="C3396" s="1" t="s">
        <v>14320</v>
      </c>
      <c r="D3396" s="1" t="str">
        <f t="shared" si="279"/>
        <v>8026889069</v>
      </c>
      <c r="E3396" s="1">
        <v>5070.0</v>
      </c>
      <c r="F3396" s="1" t="s">
        <v>31</v>
      </c>
      <c r="G3396" s="1" t="s">
        <v>14324</v>
      </c>
      <c r="H3396" s="1">
        <v>6.0</v>
      </c>
      <c r="I3396" s="1"/>
      <c r="J3396" s="1"/>
      <c r="K3396" s="1"/>
      <c r="L3396" s="1"/>
      <c r="M3396" s="1" t="s">
        <v>14325</v>
      </c>
      <c r="N3396" s="1" t="s">
        <v>49</v>
      </c>
      <c r="O3396" s="1"/>
      <c r="P3396" s="1" t="s">
        <v>14326</v>
      </c>
      <c r="Q3396" s="3">
        <v>42586.0</v>
      </c>
      <c r="R3396" s="1"/>
      <c r="S3396" s="1"/>
      <c r="T3396" s="1" t="s">
        <v>37</v>
      </c>
      <c r="U3396" s="1"/>
      <c r="V3396" s="1" t="s">
        <v>38</v>
      </c>
      <c r="W3396" s="1"/>
      <c r="X3396" s="1"/>
      <c r="Y3396" s="1" t="s">
        <v>2083</v>
      </c>
      <c r="Z3396" s="1"/>
      <c r="AA3396" s="1" t="s">
        <v>40</v>
      </c>
      <c r="AB3396" s="1" t="s">
        <v>621</v>
      </c>
      <c r="AC3396" s="1">
        <v>0.0</v>
      </c>
    </row>
    <row r="3397">
      <c r="A3397" s="1" t="str">
        <f>"000W7H"</f>
        <v>000W7H</v>
      </c>
      <c r="B3397" s="1" t="s">
        <v>14327</v>
      </c>
      <c r="C3397" s="1" t="s">
        <v>14328</v>
      </c>
      <c r="D3397" s="1" t="str">
        <f>"8024567091"</f>
        <v>8024567091</v>
      </c>
      <c r="E3397" s="1">
        <v>5071.0</v>
      </c>
      <c r="F3397" s="1" t="s">
        <v>117</v>
      </c>
      <c r="G3397" s="1" t="s">
        <v>14329</v>
      </c>
      <c r="H3397" s="1">
        <v>1.0</v>
      </c>
      <c r="I3397" s="2">
        <v>2.0</v>
      </c>
      <c r="J3397" s="2">
        <v>2.0</v>
      </c>
      <c r="K3397" s="2" t="s">
        <v>829</v>
      </c>
      <c r="L3397" s="1"/>
      <c r="M3397" s="1" t="s">
        <v>14330</v>
      </c>
      <c r="N3397" s="1" t="s">
        <v>135</v>
      </c>
      <c r="O3397" s="1" t="s">
        <v>655</v>
      </c>
      <c r="P3397" s="1" t="s">
        <v>14331</v>
      </c>
      <c r="Q3397" s="3">
        <v>42586.0</v>
      </c>
      <c r="R3397" s="1"/>
      <c r="S3397" s="1"/>
      <c r="T3397" s="1" t="s">
        <v>37</v>
      </c>
      <c r="U3397" s="1"/>
      <c r="V3397" s="1" t="s">
        <v>38</v>
      </c>
      <c r="W3397" s="1">
        <v>44.430916</v>
      </c>
      <c r="X3397" s="1">
        <v>-72.459206</v>
      </c>
      <c r="Y3397" s="1" t="s">
        <v>14332</v>
      </c>
      <c r="Z3397" s="1"/>
      <c r="AA3397" s="1" t="s">
        <v>40</v>
      </c>
      <c r="AB3397" s="1" t="s">
        <v>656</v>
      </c>
      <c r="AC3397" s="1">
        <v>5650.0</v>
      </c>
    </row>
    <row r="3398">
      <c r="A3398" s="1" t="str">
        <f>"000W7J"</f>
        <v>000W7J</v>
      </c>
      <c r="B3398" s="1" t="s">
        <v>14333</v>
      </c>
      <c r="C3398" s="1" t="s">
        <v>14334</v>
      </c>
      <c r="D3398" s="1" t="str">
        <f>"8022331196"</f>
        <v>8022331196</v>
      </c>
      <c r="E3398" s="1">
        <v>5072.0</v>
      </c>
      <c r="F3398" s="1" t="s">
        <v>117</v>
      </c>
      <c r="G3398" s="1" t="s">
        <v>14335</v>
      </c>
      <c r="H3398" s="1">
        <v>5.0</v>
      </c>
      <c r="I3398" s="2">
        <v>4.0</v>
      </c>
      <c r="J3398" s="2" t="s">
        <v>119</v>
      </c>
      <c r="K3398" s="2" t="s">
        <v>119</v>
      </c>
      <c r="L3398" s="2" t="s">
        <v>14336</v>
      </c>
      <c r="M3398" s="1" t="s">
        <v>14337</v>
      </c>
      <c r="N3398" s="1" t="s">
        <v>57</v>
      </c>
      <c r="O3398" s="1" t="s">
        <v>155</v>
      </c>
      <c r="P3398" s="1" t="s">
        <v>14338</v>
      </c>
      <c r="Q3398" s="3">
        <v>42587.0</v>
      </c>
      <c r="R3398" s="1"/>
      <c r="S3398" s="1"/>
      <c r="T3398" s="1" t="s">
        <v>37</v>
      </c>
      <c r="U3398" s="1"/>
      <c r="V3398" s="1" t="s">
        <v>38</v>
      </c>
      <c r="W3398" s="1">
        <v>44.6065501</v>
      </c>
      <c r="X3398" s="1">
        <v>-72.9320564999999</v>
      </c>
      <c r="Y3398" s="1" t="s">
        <v>14339</v>
      </c>
      <c r="Z3398" s="1"/>
      <c r="AA3398" s="1" t="s">
        <v>40</v>
      </c>
      <c r="AB3398" s="1" t="s">
        <v>156</v>
      </c>
      <c r="AC3398" s="1">
        <v>5489.0</v>
      </c>
    </row>
    <row r="3399">
      <c r="A3399" s="1" t="str">
        <f>"000W7N"</f>
        <v>000W7N</v>
      </c>
      <c r="B3399" s="1" t="s">
        <v>14340</v>
      </c>
      <c r="C3399" s="1" t="s">
        <v>14341</v>
      </c>
      <c r="D3399" s="1" t="str">
        <f>"8024568190"</f>
        <v>8024568190</v>
      </c>
      <c r="E3399" s="1">
        <v>5073.0</v>
      </c>
      <c r="F3399" s="1" t="s">
        <v>117</v>
      </c>
      <c r="G3399" s="1" t="s">
        <v>14342</v>
      </c>
      <c r="H3399" s="1">
        <v>1.0</v>
      </c>
      <c r="I3399" s="2">
        <v>1.0</v>
      </c>
      <c r="J3399" s="2">
        <v>1.0</v>
      </c>
      <c r="K3399" s="2" t="s">
        <v>119</v>
      </c>
      <c r="L3399" s="1"/>
      <c r="M3399" s="1" t="s">
        <v>14343</v>
      </c>
      <c r="N3399" s="1" t="s">
        <v>135</v>
      </c>
      <c r="O3399" s="1" t="s">
        <v>3116</v>
      </c>
      <c r="P3399" s="1" t="s">
        <v>14344</v>
      </c>
      <c r="Q3399" s="3">
        <v>42587.0</v>
      </c>
      <c r="R3399" s="1"/>
      <c r="S3399" s="1"/>
      <c r="T3399" s="1" t="s">
        <v>37</v>
      </c>
      <c r="U3399" s="1"/>
      <c r="V3399" s="1" t="s">
        <v>38</v>
      </c>
      <c r="W3399" s="1">
        <v>44.3433909</v>
      </c>
      <c r="X3399" s="1">
        <v>-72.460823</v>
      </c>
      <c r="Y3399" s="1" t="s">
        <v>14345</v>
      </c>
      <c r="Z3399" s="1"/>
      <c r="AA3399" s="1" t="s">
        <v>40</v>
      </c>
      <c r="AB3399" s="1" t="s">
        <v>8853</v>
      </c>
      <c r="AC3399" s="1">
        <v>5650.0</v>
      </c>
    </row>
    <row r="3400">
      <c r="A3400" s="1" t="str">
        <f>"000W7Z"</f>
        <v>000W7Z</v>
      </c>
      <c r="B3400" s="1" t="s">
        <v>14346</v>
      </c>
      <c r="C3400" s="1" t="s">
        <v>14347</v>
      </c>
      <c r="D3400" s="1" t="str">
        <f>"8028558771"</f>
        <v>8028558771</v>
      </c>
      <c r="E3400" s="1">
        <v>5074.0</v>
      </c>
      <c r="F3400" s="1" t="s">
        <v>117</v>
      </c>
      <c r="G3400" s="1" t="s">
        <v>14348</v>
      </c>
      <c r="H3400" s="1">
        <v>2.0</v>
      </c>
      <c r="I3400" s="2">
        <v>0.0</v>
      </c>
      <c r="J3400" s="2">
        <v>0.0</v>
      </c>
      <c r="K3400" s="2"/>
      <c r="L3400" s="1"/>
      <c r="M3400" s="1" t="s">
        <v>14349</v>
      </c>
      <c r="N3400" s="1" t="s">
        <v>78</v>
      </c>
      <c r="O3400" s="1"/>
      <c r="P3400" s="1" t="s">
        <v>14350</v>
      </c>
      <c r="Q3400" s="3">
        <v>42590.0</v>
      </c>
      <c r="R3400" s="1"/>
      <c r="S3400" s="1"/>
      <c r="T3400" s="1" t="s">
        <v>37</v>
      </c>
      <c r="U3400" s="1"/>
      <c r="V3400" s="1" t="s">
        <v>38</v>
      </c>
      <c r="W3400" s="1">
        <v>43.6370359999999</v>
      </c>
      <c r="X3400" s="1">
        <v>-72.951618</v>
      </c>
      <c r="Y3400" s="1" t="s">
        <v>14351</v>
      </c>
      <c r="Z3400" s="1"/>
      <c r="AA3400" s="1" t="s">
        <v>40</v>
      </c>
      <c r="AB3400" s="1" t="s">
        <v>78</v>
      </c>
      <c r="AC3400" s="1">
        <v>5701.0</v>
      </c>
    </row>
    <row r="3401">
      <c r="A3401" s="1" t="str">
        <f>"00058V"</f>
        <v>00058V</v>
      </c>
      <c r="B3401" s="1" t="s">
        <v>14352</v>
      </c>
      <c r="C3401" s="1" t="s">
        <v>14353</v>
      </c>
      <c r="D3401" s="1" t="str">
        <f>"8022359219"</f>
        <v>8022359219</v>
      </c>
      <c r="E3401" s="1">
        <v>5075.0</v>
      </c>
      <c r="F3401" s="1" t="s">
        <v>31</v>
      </c>
      <c r="G3401" s="1" t="s">
        <v>14354</v>
      </c>
      <c r="H3401" s="1">
        <v>2.0</v>
      </c>
      <c r="I3401" s="2" t="s">
        <v>119</v>
      </c>
      <c r="J3401" s="2">
        <v>2.0</v>
      </c>
      <c r="K3401" s="2" t="s">
        <v>119</v>
      </c>
      <c r="L3401" s="1"/>
      <c r="M3401" s="1" t="s">
        <v>33</v>
      </c>
      <c r="N3401" s="1" t="s">
        <v>78</v>
      </c>
      <c r="O3401" s="1" t="s">
        <v>3326</v>
      </c>
      <c r="P3401" s="1" t="s">
        <v>14355</v>
      </c>
      <c r="Q3401" s="3">
        <v>42590.0</v>
      </c>
      <c r="R3401" s="1"/>
      <c r="S3401" s="1"/>
      <c r="T3401" s="1" t="s">
        <v>37</v>
      </c>
      <c r="U3401" s="1"/>
      <c r="V3401" s="1" t="s">
        <v>38</v>
      </c>
      <c r="W3401" s="1">
        <v>43.548842</v>
      </c>
      <c r="X3401" s="1">
        <v>-73.0686979999999</v>
      </c>
      <c r="Y3401" s="1" t="s">
        <v>14356</v>
      </c>
      <c r="Z3401" s="1"/>
      <c r="AA3401" s="1" t="s">
        <v>40</v>
      </c>
      <c r="AB3401" s="1" t="s">
        <v>3327</v>
      </c>
      <c r="AC3401" s="1">
        <v>5777.0</v>
      </c>
    </row>
    <row r="3402">
      <c r="A3402" s="1" t="str">
        <f>"000W8H"</f>
        <v>000W8H</v>
      </c>
      <c r="B3402" s="1" t="s">
        <v>14357</v>
      </c>
      <c r="C3402" s="1" t="s">
        <v>14358</v>
      </c>
      <c r="D3402" s="1" t="str">
        <f>"8027654713"</f>
        <v>8027654713</v>
      </c>
      <c r="E3402" s="1">
        <v>5076.0</v>
      </c>
      <c r="F3402" s="1" t="s">
        <v>117</v>
      </c>
      <c r="G3402" s="1" t="s">
        <v>14359</v>
      </c>
      <c r="H3402" s="1">
        <v>2.0</v>
      </c>
      <c r="I3402" s="2">
        <v>1.0</v>
      </c>
      <c r="J3402" s="2">
        <v>1.0</v>
      </c>
      <c r="K3402" s="2" t="s">
        <v>119</v>
      </c>
      <c r="L3402" s="2" t="s">
        <v>14360</v>
      </c>
      <c r="M3402" s="1" t="s">
        <v>14361</v>
      </c>
      <c r="N3402" s="1" t="s">
        <v>142</v>
      </c>
      <c r="O3402" s="1" t="s">
        <v>243</v>
      </c>
      <c r="P3402" s="1" t="s">
        <v>14362</v>
      </c>
      <c r="Q3402" s="3">
        <v>42593.0</v>
      </c>
      <c r="R3402" s="1"/>
      <c r="S3402" s="3">
        <v>42936.0</v>
      </c>
      <c r="T3402" s="1" t="s">
        <v>37</v>
      </c>
      <c r="U3402" s="1"/>
      <c r="V3402" s="1" t="s">
        <v>38</v>
      </c>
      <c r="W3402" s="1">
        <v>43.8937</v>
      </c>
      <c r="X3402" s="1">
        <v>-72.4006319999999</v>
      </c>
      <c r="Y3402" s="1" t="s">
        <v>14363</v>
      </c>
      <c r="Z3402" s="1"/>
      <c r="AA3402" s="1" t="s">
        <v>40</v>
      </c>
      <c r="AB3402" s="1" t="s">
        <v>246</v>
      </c>
      <c r="AC3402" s="1">
        <v>5072.0</v>
      </c>
    </row>
    <row r="3403">
      <c r="A3403" s="1" t="str">
        <f>"000W8N"</f>
        <v>000W8N</v>
      </c>
      <c r="B3403" s="1" t="s">
        <v>14364</v>
      </c>
      <c r="C3403" s="1" t="s">
        <v>14365</v>
      </c>
      <c r="D3403" s="1" t="str">
        <f>"8024472624"</f>
        <v>8024472624</v>
      </c>
      <c r="E3403" s="1">
        <v>5077.0</v>
      </c>
      <c r="F3403" s="1" t="s">
        <v>117</v>
      </c>
      <c r="G3403" s="1" t="s">
        <v>14366</v>
      </c>
      <c r="H3403" s="1">
        <v>1.0</v>
      </c>
      <c r="I3403" s="2">
        <v>1.0</v>
      </c>
      <c r="J3403" s="2">
        <v>1.0</v>
      </c>
      <c r="K3403" s="2" t="s">
        <v>119</v>
      </c>
      <c r="L3403" s="1"/>
      <c r="M3403" s="1" t="s">
        <v>14367</v>
      </c>
      <c r="N3403" s="1" t="s">
        <v>414</v>
      </c>
      <c r="O3403" s="1" t="s">
        <v>1160</v>
      </c>
      <c r="P3403" s="1" t="s">
        <v>14368</v>
      </c>
      <c r="Q3403" s="3">
        <v>42597.0</v>
      </c>
      <c r="R3403" s="1"/>
      <c r="S3403" s="1"/>
      <c r="T3403" s="1" t="s">
        <v>37</v>
      </c>
      <c r="U3403" s="1"/>
      <c r="V3403" s="1" t="s">
        <v>38</v>
      </c>
      <c r="W3403" s="1">
        <v>42.993057</v>
      </c>
      <c r="X3403" s="1">
        <v>-73.256752</v>
      </c>
      <c r="Y3403" s="1" t="s">
        <v>14369</v>
      </c>
      <c r="Z3403" s="1"/>
      <c r="AA3403" s="1" t="s">
        <v>40</v>
      </c>
      <c r="AB3403" s="1" t="s">
        <v>1161</v>
      </c>
      <c r="AC3403" s="1">
        <v>5257.0</v>
      </c>
    </row>
    <row r="3404">
      <c r="A3404" s="1" t="str">
        <f>"000W8P"</f>
        <v>000W8P</v>
      </c>
      <c r="B3404" s="1" t="s">
        <v>14370</v>
      </c>
      <c r="C3404" s="1" t="s">
        <v>14371</v>
      </c>
      <c r="D3404" s="1" t="str">
        <f>"8023234504"</f>
        <v>8023234504</v>
      </c>
      <c r="E3404" s="1">
        <v>5078.0</v>
      </c>
      <c r="F3404" s="1" t="s">
        <v>31</v>
      </c>
      <c r="G3404" s="1" t="s">
        <v>14372</v>
      </c>
      <c r="H3404" s="1">
        <v>2.0</v>
      </c>
      <c r="I3404" s="1"/>
      <c r="J3404" s="1"/>
      <c r="K3404" s="1"/>
      <c r="L3404" s="1"/>
      <c r="M3404" s="1" t="s">
        <v>14373</v>
      </c>
      <c r="N3404" s="1" t="s">
        <v>94</v>
      </c>
      <c r="O3404" s="1" t="s">
        <v>1688</v>
      </c>
      <c r="P3404" s="1" t="s">
        <v>14374</v>
      </c>
      <c r="Q3404" s="3">
        <v>42597.0</v>
      </c>
      <c r="R3404" s="1"/>
      <c r="S3404" s="1"/>
      <c r="T3404" s="1" t="s">
        <v>37</v>
      </c>
      <c r="U3404" s="1"/>
      <c r="V3404" s="1" t="s">
        <v>38</v>
      </c>
      <c r="W3404" s="1">
        <v>44.6379166</v>
      </c>
      <c r="X3404" s="1">
        <v>-72.3857843999999</v>
      </c>
      <c r="Y3404" s="1" t="s">
        <v>14375</v>
      </c>
      <c r="Z3404" s="1"/>
      <c r="AA3404" s="1" t="s">
        <v>40</v>
      </c>
      <c r="AB3404" s="1" t="s">
        <v>1690</v>
      </c>
      <c r="AC3404" s="1">
        <v>5826.0</v>
      </c>
    </row>
    <row r="3405">
      <c r="A3405" s="1" t="str">
        <f>"000W8V"</f>
        <v>000W8V</v>
      </c>
      <c r="B3405" s="1" t="s">
        <v>14376</v>
      </c>
      <c r="C3405" s="1" t="s">
        <v>14377</v>
      </c>
      <c r="D3405" s="1" t="str">
        <f>"9787645181"</f>
        <v>9787645181</v>
      </c>
      <c r="E3405" s="1">
        <v>5079.0</v>
      </c>
      <c r="F3405" s="1" t="s">
        <v>117</v>
      </c>
      <c r="G3405" s="1" t="s">
        <v>14378</v>
      </c>
      <c r="H3405" s="1">
        <v>2.0</v>
      </c>
      <c r="I3405" s="2">
        <v>0.0</v>
      </c>
      <c r="J3405" s="2">
        <v>1.0</v>
      </c>
      <c r="K3405" s="2" t="s">
        <v>119</v>
      </c>
      <c r="L3405" s="1"/>
      <c r="M3405" s="1" t="s">
        <v>14379</v>
      </c>
      <c r="N3405" s="1" t="s">
        <v>213</v>
      </c>
      <c r="O3405" s="1" t="s">
        <v>365</v>
      </c>
      <c r="P3405" s="1" t="s">
        <v>14380</v>
      </c>
      <c r="Q3405" s="3">
        <v>42597.0</v>
      </c>
      <c r="R3405" s="1"/>
      <c r="S3405" s="1"/>
      <c r="T3405" s="1" t="s">
        <v>37</v>
      </c>
      <c r="U3405" s="1"/>
      <c r="V3405" s="1" t="s">
        <v>38</v>
      </c>
      <c r="W3405" s="1">
        <v>44.470303</v>
      </c>
      <c r="X3405" s="1">
        <v>-72.7005449999999</v>
      </c>
      <c r="Y3405" s="1" t="s">
        <v>14381</v>
      </c>
      <c r="Z3405" s="1"/>
      <c r="AA3405" s="1" t="s">
        <v>40</v>
      </c>
      <c r="AB3405" s="1" t="s">
        <v>10075</v>
      </c>
      <c r="AC3405" s="1">
        <v>5672.0</v>
      </c>
    </row>
    <row r="3406">
      <c r="A3406" s="1" t="str">
        <f>"000XHJ"</f>
        <v>000XHJ</v>
      </c>
      <c r="B3406" s="1" t="s">
        <v>14382</v>
      </c>
      <c r="C3406" s="1" t="s">
        <v>14383</v>
      </c>
      <c r="D3406" s="1" t="str">
        <f>"2078311774"</f>
        <v>2078311774</v>
      </c>
      <c r="E3406" s="1">
        <v>5080.0</v>
      </c>
      <c r="F3406" s="1" t="s">
        <v>44</v>
      </c>
      <c r="G3406" s="1" t="s">
        <v>14384</v>
      </c>
      <c r="H3406" s="1">
        <v>1.0</v>
      </c>
      <c r="I3406" s="2">
        <v>1.0</v>
      </c>
      <c r="J3406" s="2">
        <v>1.0</v>
      </c>
      <c r="K3406" s="2" t="s">
        <v>119</v>
      </c>
      <c r="L3406" s="1"/>
      <c r="M3406" s="1" t="s">
        <v>13741</v>
      </c>
      <c r="N3406" s="1" t="s">
        <v>135</v>
      </c>
      <c r="O3406" s="1" t="s">
        <v>758</v>
      </c>
      <c r="P3406" s="1" t="s">
        <v>14385</v>
      </c>
      <c r="Q3406" s="3">
        <v>42599.0</v>
      </c>
      <c r="R3406" s="1"/>
      <c r="S3406" s="1"/>
      <c r="T3406" s="1" t="s">
        <v>37</v>
      </c>
      <c r="U3406" s="1"/>
      <c r="V3406" s="1" t="s">
        <v>38</v>
      </c>
      <c r="W3406" s="1">
        <v>44.268679</v>
      </c>
      <c r="X3406" s="1">
        <v>-72.400801</v>
      </c>
      <c r="Y3406" s="1" t="s">
        <v>14386</v>
      </c>
      <c r="Z3406" s="1"/>
      <c r="AA3406" s="1" t="s">
        <v>40</v>
      </c>
      <c r="AB3406" s="1" t="s">
        <v>759</v>
      </c>
      <c r="AC3406" s="1">
        <v>5667.0</v>
      </c>
    </row>
    <row r="3407">
      <c r="A3407" s="1" t="str">
        <f>"000XHX"</f>
        <v>000XHX</v>
      </c>
      <c r="B3407" s="1" t="s">
        <v>14387</v>
      </c>
      <c r="C3407" s="1" t="s">
        <v>14388</v>
      </c>
      <c r="D3407" s="1" t="str">
        <f>"8022998008"</f>
        <v>8022998008</v>
      </c>
      <c r="E3407" s="1">
        <v>5081.0</v>
      </c>
      <c r="F3407" s="1" t="s">
        <v>117</v>
      </c>
      <c r="G3407" s="1" t="s">
        <v>14389</v>
      </c>
      <c r="H3407" s="1">
        <v>3.0</v>
      </c>
      <c r="I3407" s="2" t="s">
        <v>119</v>
      </c>
      <c r="J3407" s="2" t="s">
        <v>119</v>
      </c>
      <c r="K3407" s="2" t="s">
        <v>119</v>
      </c>
      <c r="L3407" s="1"/>
      <c r="M3407" s="1" t="s">
        <v>14390</v>
      </c>
      <c r="N3407" s="1" t="s">
        <v>34</v>
      </c>
      <c r="O3407" s="1" t="s">
        <v>642</v>
      </c>
      <c r="P3407" s="1" t="s">
        <v>14391</v>
      </c>
      <c r="Q3407" s="3">
        <v>42605.0</v>
      </c>
      <c r="R3407" s="1"/>
      <c r="S3407" s="1"/>
      <c r="T3407" s="1" t="s">
        <v>37</v>
      </c>
      <c r="U3407" s="1"/>
      <c r="V3407" s="1" t="s">
        <v>38</v>
      </c>
      <c r="W3407" s="1">
        <v>43.382252</v>
      </c>
      <c r="X3407" s="1">
        <v>-72.4392699</v>
      </c>
      <c r="Y3407" s="1" t="s">
        <v>14392</v>
      </c>
      <c r="Z3407" s="1"/>
      <c r="AA3407" s="1" t="s">
        <v>40</v>
      </c>
      <c r="AB3407" s="1" t="s">
        <v>643</v>
      </c>
      <c r="AC3407" s="1">
        <v>5156.0</v>
      </c>
    </row>
    <row r="3408">
      <c r="A3408" s="1" t="str">
        <f>"000XJ4"</f>
        <v>000XJ4</v>
      </c>
      <c r="B3408" s="1" t="s">
        <v>14393</v>
      </c>
      <c r="C3408" s="1" t="s">
        <v>14394</v>
      </c>
      <c r="D3408" s="1" t="str">
        <f>"8022346722"</f>
        <v>8022346722</v>
      </c>
      <c r="E3408" s="1">
        <v>5082.0</v>
      </c>
      <c r="F3408" s="1" t="s">
        <v>117</v>
      </c>
      <c r="G3408" s="1" t="s">
        <v>14395</v>
      </c>
      <c r="H3408" s="1">
        <v>1.0</v>
      </c>
      <c r="I3408" s="2" t="s">
        <v>119</v>
      </c>
      <c r="J3408" s="2">
        <v>1.0</v>
      </c>
      <c r="K3408" s="2">
        <v>0.0</v>
      </c>
      <c r="L3408" s="1"/>
      <c r="M3408" s="1" t="s">
        <v>14396</v>
      </c>
      <c r="N3408" s="1" t="s">
        <v>34</v>
      </c>
      <c r="O3408" s="1" t="s">
        <v>150</v>
      </c>
      <c r="P3408" s="1" t="s">
        <v>14397</v>
      </c>
      <c r="Q3408" s="3">
        <v>42607.0</v>
      </c>
      <c r="R3408" s="1"/>
      <c r="S3408" s="1"/>
      <c r="T3408" s="1" t="s">
        <v>37</v>
      </c>
      <c r="U3408" s="1"/>
      <c r="V3408" s="1" t="s">
        <v>38</v>
      </c>
      <c r="W3408" s="1">
        <v>43.872215</v>
      </c>
      <c r="X3408" s="1">
        <v>-72.648272</v>
      </c>
      <c r="Y3408" s="1" t="s">
        <v>14398</v>
      </c>
      <c r="Z3408" s="1"/>
      <c r="AA3408" s="1" t="s">
        <v>40</v>
      </c>
      <c r="AB3408" s="1" t="s">
        <v>151</v>
      </c>
      <c r="AC3408" s="1">
        <v>5032.0</v>
      </c>
    </row>
    <row r="3409">
      <c r="A3409" s="1" t="str">
        <f>"000XJ6"</f>
        <v>000XJ6</v>
      </c>
      <c r="B3409" s="1" t="s">
        <v>14399</v>
      </c>
      <c r="C3409" s="1" t="s">
        <v>14400</v>
      </c>
      <c r="D3409" s="1"/>
      <c r="E3409" s="1">
        <v>5083.0</v>
      </c>
      <c r="F3409" s="1" t="s">
        <v>31</v>
      </c>
      <c r="G3409" s="1" t="s">
        <v>14401</v>
      </c>
      <c r="H3409" s="1">
        <v>2.0</v>
      </c>
      <c r="I3409" s="1"/>
      <c r="J3409" s="1"/>
      <c r="K3409" s="1"/>
      <c r="L3409" s="1"/>
      <c r="M3409" s="1"/>
      <c r="N3409" s="1" t="s">
        <v>142</v>
      </c>
      <c r="O3409" s="1"/>
      <c r="P3409" s="1" t="s">
        <v>14402</v>
      </c>
      <c r="Q3409" s="3">
        <v>42608.0</v>
      </c>
      <c r="R3409" s="1"/>
      <c r="S3409" s="3">
        <v>42880.0</v>
      </c>
      <c r="T3409" s="1" t="s">
        <v>37</v>
      </c>
      <c r="U3409" s="1"/>
      <c r="V3409" s="1" t="s">
        <v>38</v>
      </c>
      <c r="W3409" s="1">
        <v>43.8535241183822</v>
      </c>
      <c r="X3409" s="1">
        <v>-72.3159992518594</v>
      </c>
      <c r="Y3409" s="1" t="s">
        <v>14403</v>
      </c>
      <c r="Z3409" s="1"/>
      <c r="AA3409" s="1" t="s">
        <v>40</v>
      </c>
      <c r="AB3409" s="1" t="s">
        <v>246</v>
      </c>
      <c r="AC3409" s="1">
        <v>5075.0</v>
      </c>
    </row>
    <row r="3410">
      <c r="A3410" s="1" t="str">
        <f>"000XJ7"</f>
        <v>000XJ7</v>
      </c>
      <c r="B3410" s="1" t="s">
        <v>14404</v>
      </c>
      <c r="C3410" s="1" t="s">
        <v>14405</v>
      </c>
      <c r="D3410" s="1"/>
      <c r="E3410" s="1">
        <v>5084.0</v>
      </c>
      <c r="F3410" s="1" t="s">
        <v>31</v>
      </c>
      <c r="G3410" s="1" t="s">
        <v>14406</v>
      </c>
      <c r="H3410" s="1">
        <v>2.0</v>
      </c>
      <c r="I3410" s="1"/>
      <c r="J3410" s="1"/>
      <c r="K3410" s="1"/>
      <c r="L3410" s="1"/>
      <c r="M3410" s="1"/>
      <c r="N3410" s="1" t="s">
        <v>135</v>
      </c>
      <c r="O3410" s="1"/>
      <c r="P3410" s="1" t="s">
        <v>14407</v>
      </c>
      <c r="Q3410" s="3">
        <v>42608.0</v>
      </c>
      <c r="R3410" s="1"/>
      <c r="S3410" s="3">
        <v>42608.0</v>
      </c>
      <c r="T3410" s="1" t="s">
        <v>37</v>
      </c>
      <c r="U3410" s="1">
        <v>180.0</v>
      </c>
      <c r="V3410" s="1" t="s">
        <v>38</v>
      </c>
      <c r="W3410" s="1">
        <v>44.2382781996649</v>
      </c>
      <c r="X3410" s="1">
        <v>-72.7491456182087</v>
      </c>
      <c r="Y3410" s="1" t="s">
        <v>14408</v>
      </c>
      <c r="Z3410" s="1"/>
      <c r="AA3410" s="1" t="s">
        <v>40</v>
      </c>
      <c r="AB3410" s="1" t="s">
        <v>2332</v>
      </c>
      <c r="AC3410" s="1">
        <v>5660.0</v>
      </c>
    </row>
    <row r="3411">
      <c r="A3411" s="1" t="str">
        <f>"000XJ8"</f>
        <v>000XJ8</v>
      </c>
      <c r="B3411" s="1" t="s">
        <v>14409</v>
      </c>
      <c r="C3411" s="1" t="s">
        <v>14410</v>
      </c>
      <c r="D3411" s="1" t="str">
        <f>"4073762953"</f>
        <v>4073762953</v>
      </c>
      <c r="E3411" s="1">
        <v>5085.0</v>
      </c>
      <c r="F3411" s="1" t="s">
        <v>117</v>
      </c>
      <c r="G3411" s="1" t="s">
        <v>14411</v>
      </c>
      <c r="H3411" s="1">
        <v>2.0</v>
      </c>
      <c r="I3411" s="2">
        <v>1.0</v>
      </c>
      <c r="J3411" s="2">
        <v>0.0</v>
      </c>
      <c r="K3411" s="2" t="s">
        <v>119</v>
      </c>
      <c r="L3411" s="1"/>
      <c r="M3411" s="1" t="s">
        <v>14412</v>
      </c>
      <c r="N3411" s="1" t="s">
        <v>34</v>
      </c>
      <c r="O3411" s="1" t="s">
        <v>324</v>
      </c>
      <c r="P3411" s="1" t="s">
        <v>14413</v>
      </c>
      <c r="Q3411" s="3">
        <v>42608.0</v>
      </c>
      <c r="R3411" s="1"/>
      <c r="S3411" s="1"/>
      <c r="T3411" s="1" t="s">
        <v>37</v>
      </c>
      <c r="U3411" s="1"/>
      <c r="V3411" s="1" t="s">
        <v>38</v>
      </c>
      <c r="W3411" s="1">
        <v>43.6239438</v>
      </c>
      <c r="X3411" s="1">
        <v>-72.4814324</v>
      </c>
      <c r="Y3411" s="1" t="s">
        <v>14414</v>
      </c>
      <c r="Z3411" s="1"/>
      <c r="AA3411" s="1" t="s">
        <v>40</v>
      </c>
      <c r="AB3411" s="1" t="s">
        <v>14415</v>
      </c>
      <c r="AC3411" s="1">
        <v>5073.0</v>
      </c>
    </row>
    <row r="3412">
      <c r="A3412" s="1" t="str">
        <f>"000XJA"</f>
        <v>000XJA</v>
      </c>
      <c r="B3412" s="1" t="s">
        <v>14416</v>
      </c>
      <c r="C3412" s="1" t="s">
        <v>14417</v>
      </c>
      <c r="D3412" s="1" t="str">
        <f>"8022491434"</f>
        <v>8022491434</v>
      </c>
      <c r="E3412" s="1">
        <v>5086.0</v>
      </c>
      <c r="F3412" s="1" t="s">
        <v>117</v>
      </c>
      <c r="G3412" s="1" t="s">
        <v>14418</v>
      </c>
      <c r="H3412" s="1">
        <v>3.0</v>
      </c>
      <c r="I3412" s="2">
        <v>0.0</v>
      </c>
      <c r="J3412" s="2">
        <v>0.0</v>
      </c>
      <c r="K3412" s="2" t="s">
        <v>119</v>
      </c>
      <c r="L3412" s="2" t="s">
        <v>8935</v>
      </c>
      <c r="M3412" s="1" t="s">
        <v>14419</v>
      </c>
      <c r="N3412" s="1" t="s">
        <v>135</v>
      </c>
      <c r="O3412" s="1" t="s">
        <v>2713</v>
      </c>
      <c r="P3412" s="1" t="s">
        <v>14420</v>
      </c>
      <c r="Q3412" s="3">
        <v>42611.0</v>
      </c>
      <c r="R3412" s="1"/>
      <c r="S3412" s="1"/>
      <c r="T3412" s="1" t="s">
        <v>37</v>
      </c>
      <c r="U3412" s="1"/>
      <c r="V3412" s="1" t="s">
        <v>38</v>
      </c>
      <c r="W3412" s="1"/>
      <c r="X3412" s="1"/>
      <c r="Y3412" s="1" t="s">
        <v>14421</v>
      </c>
      <c r="Z3412" s="1"/>
      <c r="AA3412" s="1" t="s">
        <v>40</v>
      </c>
      <c r="AB3412" s="1" t="s">
        <v>2715</v>
      </c>
      <c r="AC3412" s="1">
        <v>5602.0</v>
      </c>
    </row>
    <row r="3413">
      <c r="A3413" s="1" t="str">
        <f>"000XJB"</f>
        <v>000XJB</v>
      </c>
      <c r="B3413" s="1" t="s">
        <v>14422</v>
      </c>
      <c r="C3413" s="1" t="s">
        <v>14423</v>
      </c>
      <c r="D3413" s="1" t="str">
        <f>"8028744072"</f>
        <v>8028744072</v>
      </c>
      <c r="E3413" s="1">
        <v>5087.0</v>
      </c>
      <c r="F3413" s="1" t="s">
        <v>117</v>
      </c>
      <c r="G3413" s="1" t="s">
        <v>14424</v>
      </c>
      <c r="H3413" s="1">
        <v>2.0</v>
      </c>
      <c r="I3413" s="2">
        <v>2.0</v>
      </c>
      <c r="J3413" s="2">
        <v>2.0</v>
      </c>
      <c r="K3413" s="2" t="s">
        <v>119</v>
      </c>
      <c r="L3413" s="1"/>
      <c r="M3413" s="1" t="s">
        <v>14425</v>
      </c>
      <c r="N3413" s="1" t="s">
        <v>66</v>
      </c>
      <c r="O3413" s="1" t="s">
        <v>67</v>
      </c>
      <c r="P3413" s="1" t="s">
        <v>14426</v>
      </c>
      <c r="Q3413" s="3">
        <v>42611.0</v>
      </c>
      <c r="R3413" s="1"/>
      <c r="S3413" s="1"/>
      <c r="T3413" s="1" t="s">
        <v>37</v>
      </c>
      <c r="U3413" s="1"/>
      <c r="V3413" s="1" t="s">
        <v>38</v>
      </c>
      <c r="W3413" s="1"/>
      <c r="X3413" s="1"/>
      <c r="Y3413" s="1" t="s">
        <v>14427</v>
      </c>
      <c r="Z3413" s="1"/>
      <c r="AA3413" s="1" t="s">
        <v>40</v>
      </c>
      <c r="AB3413" s="1" t="s">
        <v>11102</v>
      </c>
      <c r="AC3413" s="1" t="s">
        <v>14428</v>
      </c>
    </row>
    <row r="3414">
      <c r="A3414" s="1" t="str">
        <f>"000XJZ"</f>
        <v>000XJZ</v>
      </c>
      <c r="B3414" s="1" t="s">
        <v>14429</v>
      </c>
      <c r="C3414" s="1" t="s">
        <v>14430</v>
      </c>
      <c r="D3414" s="1" t="str">
        <f>"8022240362"</f>
        <v>8022240362</v>
      </c>
      <c r="E3414" s="1">
        <v>5088.0</v>
      </c>
      <c r="F3414" s="1" t="s">
        <v>117</v>
      </c>
      <c r="G3414" s="1" t="s">
        <v>14431</v>
      </c>
      <c r="H3414" s="1">
        <v>1.0</v>
      </c>
      <c r="I3414" s="2">
        <v>1.0</v>
      </c>
      <c r="J3414" s="2">
        <v>1.0</v>
      </c>
      <c r="K3414" s="2" t="s">
        <v>119</v>
      </c>
      <c r="L3414" s="1"/>
      <c r="M3414" s="1" t="s">
        <v>14432</v>
      </c>
      <c r="N3414" s="1" t="s">
        <v>135</v>
      </c>
      <c r="O3414" s="1" t="s">
        <v>805</v>
      </c>
      <c r="P3414" s="1" t="s">
        <v>14429</v>
      </c>
      <c r="Q3414" s="3">
        <v>42612.0</v>
      </c>
      <c r="R3414" s="1"/>
      <c r="S3414" s="1"/>
      <c r="T3414" s="1" t="s">
        <v>37</v>
      </c>
      <c r="U3414" s="1"/>
      <c r="V3414" s="1" t="s">
        <v>38</v>
      </c>
      <c r="W3414" s="1">
        <v>44.33873</v>
      </c>
      <c r="X3414" s="1">
        <v>-72.5328559999999</v>
      </c>
      <c r="Y3414" s="1" t="s">
        <v>14433</v>
      </c>
      <c r="Z3414" s="1"/>
      <c r="AA3414" s="1" t="s">
        <v>40</v>
      </c>
      <c r="AB3414" s="1" t="s">
        <v>9760</v>
      </c>
      <c r="AC3414" s="1">
        <v>5648.0</v>
      </c>
    </row>
    <row r="3415">
      <c r="A3415" s="1" t="str">
        <f>"0008DK"</f>
        <v>0008DK</v>
      </c>
      <c r="B3415" s="1" t="s">
        <v>1370</v>
      </c>
      <c r="C3415" s="1" t="s">
        <v>1371</v>
      </c>
      <c r="D3415" s="1" t="str">
        <f>"8024427968"</f>
        <v>8024427968</v>
      </c>
      <c r="E3415" s="1">
        <v>3204.0</v>
      </c>
      <c r="F3415" s="1" t="s">
        <v>44</v>
      </c>
      <c r="G3415" s="1" t="s">
        <v>14434</v>
      </c>
      <c r="H3415" s="1">
        <v>7.0</v>
      </c>
      <c r="I3415" s="2" t="s">
        <v>119</v>
      </c>
      <c r="J3415" s="2" t="s">
        <v>119</v>
      </c>
      <c r="K3415" s="2" t="s">
        <v>119</v>
      </c>
      <c r="L3415" s="1"/>
      <c r="M3415" s="1" t="s">
        <v>14435</v>
      </c>
      <c r="N3415" s="1" t="s">
        <v>414</v>
      </c>
      <c r="O3415" s="1" t="s">
        <v>720</v>
      </c>
      <c r="P3415" s="1" t="s">
        <v>14436</v>
      </c>
      <c r="Q3415" s="3">
        <v>42613.0</v>
      </c>
      <c r="R3415" s="1"/>
      <c r="S3415" s="1"/>
      <c r="T3415" s="1" t="s">
        <v>37</v>
      </c>
      <c r="U3415" s="1"/>
      <c r="V3415" s="1" t="s">
        <v>38</v>
      </c>
      <c r="W3415" s="1"/>
      <c r="X3415" s="1"/>
      <c r="Y3415" s="1" t="s">
        <v>14437</v>
      </c>
      <c r="Z3415" s="1"/>
      <c r="AA3415" s="1" t="s">
        <v>40</v>
      </c>
      <c r="AB3415" s="1" t="s">
        <v>414</v>
      </c>
      <c r="AC3415" s="1">
        <v>5257.0</v>
      </c>
    </row>
    <row r="3416">
      <c r="A3416" s="1" t="str">
        <f>"000XK1"</f>
        <v>000XK1</v>
      </c>
      <c r="B3416" s="1" t="s">
        <v>14438</v>
      </c>
      <c r="C3416" s="1" t="s">
        <v>14439</v>
      </c>
      <c r="D3416" s="1" t="str">
        <f>"8026491230"</f>
        <v>8026491230</v>
      </c>
      <c r="E3416" s="1">
        <v>5089.0</v>
      </c>
      <c r="F3416" s="1" t="s">
        <v>31</v>
      </c>
      <c r="G3416" s="1" t="s">
        <v>14440</v>
      </c>
      <c r="H3416" s="1">
        <v>15.0</v>
      </c>
      <c r="I3416" s="1"/>
      <c r="J3416" s="1"/>
      <c r="K3416" s="1"/>
      <c r="L3416" s="1"/>
      <c r="M3416" s="1" t="s">
        <v>33</v>
      </c>
      <c r="N3416" s="1" t="s">
        <v>135</v>
      </c>
      <c r="O3416" s="1" t="s">
        <v>136</v>
      </c>
      <c r="P3416" s="1" t="s">
        <v>14441</v>
      </c>
      <c r="Q3416" s="3">
        <v>42613.0</v>
      </c>
      <c r="R3416" s="1"/>
      <c r="S3416" s="1"/>
      <c r="T3416" s="1" t="s">
        <v>37</v>
      </c>
      <c r="U3416" s="1"/>
      <c r="V3416" s="1" t="s">
        <v>38</v>
      </c>
      <c r="W3416" s="1"/>
      <c r="X3416" s="1"/>
      <c r="Y3416" s="1" t="s">
        <v>14442</v>
      </c>
      <c r="Z3416" s="1"/>
      <c r="AA3416" s="1" t="s">
        <v>40</v>
      </c>
      <c r="AB3416" s="1" t="s">
        <v>466</v>
      </c>
      <c r="AC3416" s="1">
        <v>5055.0</v>
      </c>
    </row>
    <row r="3417">
      <c r="A3417" s="1" t="str">
        <f>"0008DK"</f>
        <v>0008DK</v>
      </c>
      <c r="B3417" s="1" t="s">
        <v>1370</v>
      </c>
      <c r="C3417" s="1" t="s">
        <v>1371</v>
      </c>
      <c r="D3417" s="1" t="str">
        <f>"8024427968"</f>
        <v>8024427968</v>
      </c>
      <c r="E3417" s="1">
        <v>3204.0</v>
      </c>
      <c r="F3417" s="1" t="s">
        <v>44</v>
      </c>
      <c r="G3417" s="1" t="s">
        <v>14443</v>
      </c>
      <c r="H3417" s="1">
        <v>15.0</v>
      </c>
      <c r="I3417" s="2" t="s">
        <v>119</v>
      </c>
      <c r="J3417" s="2" t="s">
        <v>119</v>
      </c>
      <c r="K3417" s="2" t="s">
        <v>119</v>
      </c>
      <c r="L3417" s="1"/>
      <c r="M3417" s="1"/>
      <c r="N3417" s="1" t="s">
        <v>414</v>
      </c>
      <c r="O3417" s="1"/>
      <c r="P3417" s="1" t="s">
        <v>14444</v>
      </c>
      <c r="Q3417" s="3">
        <v>42613.0</v>
      </c>
      <c r="R3417" s="1"/>
      <c r="S3417" s="1"/>
      <c r="T3417" s="1" t="s">
        <v>37</v>
      </c>
      <c r="U3417" s="1"/>
      <c r="V3417" s="1" t="s">
        <v>38</v>
      </c>
      <c r="W3417" s="1">
        <v>43.0009574446815</v>
      </c>
      <c r="X3417" s="1">
        <v>-73.1977046281099</v>
      </c>
      <c r="Y3417" s="1" t="s">
        <v>14445</v>
      </c>
      <c r="Z3417" s="1"/>
      <c r="AA3417" s="1" t="s">
        <v>40</v>
      </c>
      <c r="AB3417" s="1" t="s">
        <v>1161</v>
      </c>
      <c r="AC3417" s="1">
        <v>5262.0</v>
      </c>
    </row>
    <row r="3418">
      <c r="A3418" s="1" t="str">
        <f>"000XK2"</f>
        <v>000XK2</v>
      </c>
      <c r="B3418" s="1" t="s">
        <v>14446</v>
      </c>
      <c r="C3418" s="1" t="s">
        <v>14447</v>
      </c>
      <c r="D3418" s="1"/>
      <c r="E3418" s="1">
        <v>5090.0</v>
      </c>
      <c r="F3418" s="1" t="s">
        <v>31</v>
      </c>
      <c r="G3418" s="1" t="s">
        <v>14448</v>
      </c>
      <c r="H3418" s="1">
        <v>2.0</v>
      </c>
      <c r="I3418" s="1"/>
      <c r="J3418" s="1"/>
      <c r="K3418" s="1"/>
      <c r="L3418" s="1"/>
      <c r="M3418" s="1"/>
      <c r="N3418" s="1" t="s">
        <v>414</v>
      </c>
      <c r="O3418" s="1"/>
      <c r="P3418" s="1"/>
      <c r="Q3418" s="3">
        <v>42613.0</v>
      </c>
      <c r="R3418" s="1"/>
      <c r="S3418" s="3">
        <v>42606.0</v>
      </c>
      <c r="T3418" s="1" t="s">
        <v>37</v>
      </c>
      <c r="U3418" s="1"/>
      <c r="V3418" s="1" t="s">
        <v>38</v>
      </c>
      <c r="W3418" s="1">
        <v>42.9993773451541</v>
      </c>
      <c r="X3418" s="1">
        <v>-73.1988177448511</v>
      </c>
      <c r="Y3418" s="1" t="s">
        <v>14449</v>
      </c>
      <c r="Z3418" s="1"/>
      <c r="AA3418" s="1" t="s">
        <v>40</v>
      </c>
      <c r="AB3418" s="1" t="s">
        <v>1161</v>
      </c>
      <c r="AC3418" s="1">
        <v>5262.0</v>
      </c>
    </row>
    <row r="3419">
      <c r="A3419" s="1" t="str">
        <f>"000XK3"</f>
        <v>000XK3</v>
      </c>
      <c r="B3419" s="1" t="s">
        <v>14450</v>
      </c>
      <c r="C3419" s="1" t="s">
        <v>14451</v>
      </c>
      <c r="D3419" s="1" t="str">
        <f>"8025253851"</f>
        <v>8025253851</v>
      </c>
      <c r="E3419" s="1">
        <v>5091.0</v>
      </c>
      <c r="F3419" s="1" t="s">
        <v>117</v>
      </c>
      <c r="G3419" s="1" t="s">
        <v>14452</v>
      </c>
      <c r="H3419" s="1">
        <v>2.0</v>
      </c>
      <c r="I3419" s="2" t="s">
        <v>119</v>
      </c>
      <c r="J3419" s="2" t="s">
        <v>119</v>
      </c>
      <c r="K3419" s="2" t="s">
        <v>119</v>
      </c>
      <c r="L3419" s="1"/>
      <c r="M3419" s="1" t="s">
        <v>14453</v>
      </c>
      <c r="N3419" s="1" t="s">
        <v>94</v>
      </c>
      <c r="O3419" s="1" t="s">
        <v>1672</v>
      </c>
      <c r="P3419" s="1" t="s">
        <v>14454</v>
      </c>
      <c r="Q3419" s="3">
        <v>42614.0</v>
      </c>
      <c r="R3419" s="1"/>
      <c r="S3419" s="1"/>
      <c r="T3419" s="1" t="s">
        <v>37</v>
      </c>
      <c r="U3419" s="1"/>
      <c r="V3419" s="1" t="s">
        <v>38</v>
      </c>
      <c r="W3419" s="1">
        <v>44.721733</v>
      </c>
      <c r="X3419" s="1">
        <v>-72.131752</v>
      </c>
      <c r="Y3419" s="1" t="s">
        <v>14455</v>
      </c>
      <c r="Z3419" s="1"/>
      <c r="AA3419" s="1" t="s">
        <v>40</v>
      </c>
      <c r="AB3419" s="1" t="s">
        <v>1673</v>
      </c>
      <c r="AC3419" s="1">
        <v>5822.0</v>
      </c>
    </row>
    <row r="3420">
      <c r="A3420" s="1" t="str">
        <f>"000XK9"</f>
        <v>000XK9</v>
      </c>
      <c r="B3420" s="1" t="s">
        <v>14456</v>
      </c>
      <c r="C3420" s="1" t="s">
        <v>14457</v>
      </c>
      <c r="D3420" s="1" t="str">
        <f>"8022385352"</f>
        <v>8022385352</v>
      </c>
      <c r="E3420" s="1">
        <v>5092.0</v>
      </c>
      <c r="F3420" s="1" t="s">
        <v>117</v>
      </c>
      <c r="G3420" s="1" t="s">
        <v>14458</v>
      </c>
      <c r="H3420" s="1">
        <v>2.0</v>
      </c>
      <c r="I3420" s="2">
        <v>2.0</v>
      </c>
      <c r="J3420" s="2">
        <v>2.0</v>
      </c>
      <c r="K3420" s="2" t="s">
        <v>119</v>
      </c>
      <c r="L3420" s="1"/>
      <c r="M3420" s="1" t="s">
        <v>10790</v>
      </c>
      <c r="N3420" s="1" t="s">
        <v>47</v>
      </c>
      <c r="O3420" s="1" t="s">
        <v>582</v>
      </c>
      <c r="P3420" s="1" t="s">
        <v>14459</v>
      </c>
      <c r="Q3420" s="3">
        <v>42615.0</v>
      </c>
      <c r="R3420" s="1"/>
      <c r="S3420" s="1"/>
      <c r="T3420" s="1" t="s">
        <v>37</v>
      </c>
      <c r="U3420" s="1"/>
      <c r="V3420" s="1" t="s">
        <v>38</v>
      </c>
      <c r="W3420" s="1">
        <v>44.729214</v>
      </c>
      <c r="X3420" s="1">
        <v>-73.1319889999999</v>
      </c>
      <c r="Y3420" s="1" t="s">
        <v>14460</v>
      </c>
      <c r="Z3420" s="1"/>
      <c r="AA3420" s="1" t="s">
        <v>40</v>
      </c>
      <c r="AB3420" s="1" t="s">
        <v>583</v>
      </c>
      <c r="AC3420" s="1">
        <v>5468.0</v>
      </c>
    </row>
    <row r="3421">
      <c r="A3421" s="1" t="str">
        <f>"000XKF"</f>
        <v>000XKF</v>
      </c>
      <c r="B3421" s="1" t="s">
        <v>14461</v>
      </c>
      <c r="C3421" s="1" t="s">
        <v>14462</v>
      </c>
      <c r="D3421" s="1" t="str">
        <f>"8024824489"</f>
        <v>8024824489</v>
      </c>
      <c r="E3421" s="1">
        <v>5093.0</v>
      </c>
      <c r="F3421" s="1" t="s">
        <v>117</v>
      </c>
      <c r="G3421" s="1" t="s">
        <v>14463</v>
      </c>
      <c r="H3421" s="1">
        <v>2.0</v>
      </c>
      <c r="I3421" s="2">
        <v>4.0</v>
      </c>
      <c r="J3421" s="2">
        <v>4.0</v>
      </c>
      <c r="K3421" s="2" t="s">
        <v>119</v>
      </c>
      <c r="L3421" s="1"/>
      <c r="M3421" s="1" t="s">
        <v>14464</v>
      </c>
      <c r="N3421" s="1" t="s">
        <v>57</v>
      </c>
      <c r="O3421" s="1" t="s">
        <v>204</v>
      </c>
      <c r="P3421" s="1" t="s">
        <v>14465</v>
      </c>
      <c r="Q3421" s="3">
        <v>42620.0</v>
      </c>
      <c r="R3421" s="1"/>
      <c r="S3421" s="1"/>
      <c r="T3421" s="1" t="s">
        <v>37</v>
      </c>
      <c r="U3421" s="1"/>
      <c r="V3421" s="1" t="s">
        <v>38</v>
      </c>
      <c r="W3421" s="1">
        <v>44.327202</v>
      </c>
      <c r="X3421" s="1">
        <v>-73.0616759999999</v>
      </c>
      <c r="Y3421" s="1" t="s">
        <v>14466</v>
      </c>
      <c r="Z3421" s="1"/>
      <c r="AA3421" s="1" t="s">
        <v>40</v>
      </c>
      <c r="AB3421" s="1" t="s">
        <v>205</v>
      </c>
      <c r="AC3421" s="1">
        <v>5461.0</v>
      </c>
    </row>
    <row r="3422">
      <c r="A3422" s="1" t="str">
        <f>"000XKK"</f>
        <v>000XKK</v>
      </c>
      <c r="B3422" s="1" t="s">
        <v>14467</v>
      </c>
      <c r="C3422" s="1" t="s">
        <v>14468</v>
      </c>
      <c r="D3422" s="1" t="str">
        <f>"8022241065"</f>
        <v>8022241065</v>
      </c>
      <c r="E3422" s="1">
        <v>5094.0</v>
      </c>
      <c r="F3422" s="1" t="s">
        <v>31</v>
      </c>
      <c r="G3422" s="1" t="s">
        <v>14469</v>
      </c>
      <c r="H3422" s="1">
        <v>2.0</v>
      </c>
      <c r="I3422" s="1"/>
      <c r="J3422" s="1"/>
      <c r="K3422" s="1"/>
      <c r="L3422" s="1"/>
      <c r="M3422" s="1" t="s">
        <v>33</v>
      </c>
      <c r="N3422" s="1" t="s">
        <v>135</v>
      </c>
      <c r="O3422" s="1" t="s">
        <v>2713</v>
      </c>
      <c r="P3422" s="1" t="s">
        <v>14470</v>
      </c>
      <c r="Q3422" s="3">
        <v>42625.0</v>
      </c>
      <c r="R3422" s="1"/>
      <c r="S3422" s="1"/>
      <c r="T3422" s="1" t="s">
        <v>37</v>
      </c>
      <c r="U3422" s="1"/>
      <c r="V3422" s="1" t="s">
        <v>38</v>
      </c>
      <c r="W3422" s="1"/>
      <c r="X3422" s="1"/>
      <c r="Y3422" s="1" t="s">
        <v>14471</v>
      </c>
      <c r="Z3422" s="1"/>
      <c r="AA3422" s="1" t="s">
        <v>40</v>
      </c>
      <c r="AB3422" s="1" t="s">
        <v>2715</v>
      </c>
      <c r="AC3422" s="1">
        <v>5602.0</v>
      </c>
    </row>
    <row r="3423">
      <c r="A3423" s="1" t="str">
        <f t="shared" ref="A3423:A3424" si="280">"000XKM"</f>
        <v>000XKM</v>
      </c>
      <c r="B3423" s="1" t="s">
        <v>14472</v>
      </c>
      <c r="C3423" s="1" t="s">
        <v>14473</v>
      </c>
      <c r="D3423" s="1" t="str">
        <f t="shared" ref="D3423:D3424" si="281">"8025273942"</f>
        <v>8025273942</v>
      </c>
      <c r="E3423" s="1">
        <v>5095.0</v>
      </c>
      <c r="F3423" s="1" t="s">
        <v>117</v>
      </c>
      <c r="G3423" s="1" t="s">
        <v>14474</v>
      </c>
      <c r="H3423" s="1">
        <v>3.0</v>
      </c>
      <c r="I3423" s="2">
        <v>1.0</v>
      </c>
      <c r="J3423" s="2">
        <v>0.0</v>
      </c>
      <c r="K3423" s="2" t="s">
        <v>119</v>
      </c>
      <c r="L3423" s="1"/>
      <c r="M3423" s="1" t="s">
        <v>14475</v>
      </c>
      <c r="N3423" s="1" t="s">
        <v>47</v>
      </c>
      <c r="O3423" s="1" t="s">
        <v>582</v>
      </c>
      <c r="P3423" s="1" t="s">
        <v>14476</v>
      </c>
      <c r="Q3423" s="3">
        <v>42625.0</v>
      </c>
      <c r="R3423" s="1"/>
      <c r="S3423" s="1"/>
      <c r="T3423" s="1" t="s">
        <v>37</v>
      </c>
      <c r="U3423" s="1"/>
      <c r="V3423" s="1" t="s">
        <v>38</v>
      </c>
      <c r="W3423" s="1">
        <v>44.7575</v>
      </c>
      <c r="X3423" s="1">
        <v>-73.110321</v>
      </c>
      <c r="Y3423" s="1" t="s">
        <v>14477</v>
      </c>
      <c r="Z3423" s="1"/>
      <c r="AA3423" s="1" t="s">
        <v>40</v>
      </c>
      <c r="AB3423" s="1" t="s">
        <v>583</v>
      </c>
      <c r="AC3423" s="1">
        <v>5468.0</v>
      </c>
    </row>
    <row r="3424">
      <c r="A3424" s="1" t="str">
        <f t="shared" si="280"/>
        <v>000XKM</v>
      </c>
      <c r="B3424" s="1" t="s">
        <v>14472</v>
      </c>
      <c r="C3424" s="1" t="s">
        <v>14473</v>
      </c>
      <c r="D3424" s="1" t="str">
        <f t="shared" si="281"/>
        <v>8025273942</v>
      </c>
      <c r="E3424" s="1">
        <v>5095.0</v>
      </c>
      <c r="F3424" s="1" t="s">
        <v>117</v>
      </c>
      <c r="G3424" s="1" t="s">
        <v>14478</v>
      </c>
      <c r="H3424" s="1">
        <v>2.0</v>
      </c>
      <c r="I3424" s="2">
        <v>0.0</v>
      </c>
      <c r="J3424" s="2">
        <v>0.0</v>
      </c>
      <c r="K3424" s="2" t="s">
        <v>119</v>
      </c>
      <c r="L3424" s="1"/>
      <c r="M3424" s="1" t="s">
        <v>14479</v>
      </c>
      <c r="N3424" s="1" t="s">
        <v>57</v>
      </c>
      <c r="O3424" s="1" t="s">
        <v>256</v>
      </c>
      <c r="P3424" s="1" t="s">
        <v>14480</v>
      </c>
      <c r="Q3424" s="3">
        <v>42625.0</v>
      </c>
      <c r="R3424" s="1"/>
      <c r="S3424" s="1"/>
      <c r="T3424" s="1" t="s">
        <v>37</v>
      </c>
      <c r="U3424" s="1"/>
      <c r="V3424" s="1" t="s">
        <v>38</v>
      </c>
      <c r="W3424" s="1"/>
      <c r="X3424" s="1"/>
      <c r="Y3424" s="1" t="s">
        <v>14481</v>
      </c>
      <c r="Z3424" s="1"/>
      <c r="AA3424" s="1" t="s">
        <v>40</v>
      </c>
      <c r="AB3424" s="1" t="s">
        <v>257</v>
      </c>
      <c r="AC3424" s="1">
        <v>5468.0</v>
      </c>
    </row>
    <row r="3425">
      <c r="A3425" s="1" t="str">
        <f>"000XKX"</f>
        <v>000XKX</v>
      </c>
      <c r="B3425" s="1" t="s">
        <v>14482</v>
      </c>
      <c r="C3425" s="1" t="s">
        <v>14483</v>
      </c>
      <c r="D3425" s="1" t="str">
        <f>"8028754207"</f>
        <v>8028754207</v>
      </c>
      <c r="E3425" s="1">
        <v>5096.0</v>
      </c>
      <c r="F3425" s="1" t="s">
        <v>117</v>
      </c>
      <c r="G3425" s="1" t="s">
        <v>14484</v>
      </c>
      <c r="H3425" s="1">
        <v>1.0</v>
      </c>
      <c r="I3425" s="2">
        <v>0.0</v>
      </c>
      <c r="J3425" s="2">
        <v>0.0</v>
      </c>
      <c r="K3425" s="2" t="s">
        <v>119</v>
      </c>
      <c r="L3425" s="1"/>
      <c r="M3425" s="1" t="s">
        <v>14485</v>
      </c>
      <c r="N3425" s="1" t="s">
        <v>34</v>
      </c>
      <c r="O3425" s="1" t="s">
        <v>5592</v>
      </c>
      <c r="P3425" s="1" t="s">
        <v>14486</v>
      </c>
      <c r="Q3425" s="3">
        <v>42627.0</v>
      </c>
      <c r="R3425" s="1"/>
      <c r="S3425" s="3">
        <v>42976.0</v>
      </c>
      <c r="T3425" s="1" t="s">
        <v>37</v>
      </c>
      <c r="U3425" s="1"/>
      <c r="V3425" s="1" t="s">
        <v>38</v>
      </c>
      <c r="W3425" s="1"/>
      <c r="X3425" s="1"/>
      <c r="Y3425" s="1" t="s">
        <v>14487</v>
      </c>
      <c r="Z3425" s="1"/>
      <c r="AA3425" s="1" t="s">
        <v>40</v>
      </c>
      <c r="AB3425" s="1" t="s">
        <v>5595</v>
      </c>
      <c r="AC3425" s="1">
        <v>5143.0</v>
      </c>
    </row>
    <row r="3426">
      <c r="A3426" s="1" t="str">
        <f>"000XM2"</f>
        <v>000XM2</v>
      </c>
      <c r="B3426" s="1" t="s">
        <v>14488</v>
      </c>
      <c r="C3426" s="1" t="s">
        <v>14489</v>
      </c>
      <c r="D3426" s="1" t="str">
        <f>"8022267154"</f>
        <v>8022267154</v>
      </c>
      <c r="E3426" s="1">
        <v>5097.0</v>
      </c>
      <c r="F3426" s="1" t="s">
        <v>117</v>
      </c>
      <c r="G3426" s="1" t="s">
        <v>14490</v>
      </c>
      <c r="H3426" s="1">
        <v>3.0</v>
      </c>
      <c r="I3426" s="2">
        <v>2.0</v>
      </c>
      <c r="J3426" s="2">
        <v>2.0</v>
      </c>
      <c r="K3426" s="2">
        <v>0.0</v>
      </c>
      <c r="L3426" s="1"/>
      <c r="M3426" s="1">
        <v>1.0</v>
      </c>
      <c r="N3426" s="1" t="s">
        <v>34</v>
      </c>
      <c r="O3426" s="1"/>
      <c r="P3426" s="1" t="s">
        <v>14491</v>
      </c>
      <c r="Q3426" s="3">
        <v>42633.0</v>
      </c>
      <c r="R3426" s="1"/>
      <c r="S3426" s="1"/>
      <c r="T3426" s="1" t="s">
        <v>37</v>
      </c>
      <c r="U3426" s="1"/>
      <c r="V3426" s="1" t="s">
        <v>38</v>
      </c>
      <c r="W3426" s="1"/>
      <c r="X3426" s="1"/>
      <c r="Y3426" s="1" t="s">
        <v>14492</v>
      </c>
      <c r="Z3426" s="1"/>
      <c r="AA3426" s="1" t="s">
        <v>40</v>
      </c>
      <c r="AB3426" s="1" t="s">
        <v>10736</v>
      </c>
      <c r="AC3426" s="1">
        <v>5153.0</v>
      </c>
    </row>
    <row r="3427">
      <c r="A3427" s="1" t="str">
        <f t="shared" ref="A3427:A3429" si="282">"000XM3"</f>
        <v>000XM3</v>
      </c>
      <c r="B3427" s="1" t="s">
        <v>14493</v>
      </c>
      <c r="C3427" s="1" t="s">
        <v>14494</v>
      </c>
      <c r="D3427" s="1" t="str">
        <f t="shared" ref="D3427:D3429" si="283">"8027829951"</f>
        <v>8027829951</v>
      </c>
      <c r="E3427" s="1">
        <v>5098.0</v>
      </c>
      <c r="F3427" s="1" t="s">
        <v>117</v>
      </c>
      <c r="G3427" s="1" t="s">
        <v>14495</v>
      </c>
      <c r="H3427" s="1">
        <v>15.0</v>
      </c>
      <c r="I3427" s="2" t="s">
        <v>119</v>
      </c>
      <c r="J3427" s="2" t="s">
        <v>119</v>
      </c>
      <c r="K3427" s="2" t="s">
        <v>119</v>
      </c>
      <c r="L3427" s="1"/>
      <c r="M3427" s="1" t="s">
        <v>14496</v>
      </c>
      <c r="N3427" s="1" t="s">
        <v>47</v>
      </c>
      <c r="O3427" s="1" t="s">
        <v>2889</v>
      </c>
      <c r="P3427" s="1" t="s">
        <v>14497</v>
      </c>
      <c r="Q3427" s="3">
        <v>42633.0</v>
      </c>
      <c r="R3427" s="1"/>
      <c r="S3427" s="1"/>
      <c r="T3427" s="1" t="s">
        <v>37</v>
      </c>
      <c r="U3427" s="1"/>
      <c r="V3427" s="1" t="s">
        <v>38</v>
      </c>
      <c r="W3427" s="1">
        <v>44.9320963</v>
      </c>
      <c r="X3427" s="1">
        <v>-72.9854381999999</v>
      </c>
      <c r="Y3427" s="1" t="s">
        <v>14498</v>
      </c>
      <c r="Z3427" s="1"/>
      <c r="AA3427" s="1" t="s">
        <v>40</v>
      </c>
      <c r="AB3427" s="1" t="s">
        <v>2773</v>
      </c>
      <c r="AC3427" s="1">
        <v>5459.0</v>
      </c>
    </row>
    <row r="3428">
      <c r="A3428" s="1" t="str">
        <f t="shared" si="282"/>
        <v>000XM3</v>
      </c>
      <c r="B3428" s="1" t="s">
        <v>14493</v>
      </c>
      <c r="C3428" s="1" t="s">
        <v>14494</v>
      </c>
      <c r="D3428" s="1" t="str">
        <f t="shared" si="283"/>
        <v>8027829951</v>
      </c>
      <c r="E3428" s="1">
        <v>5098.0</v>
      </c>
      <c r="F3428" s="1" t="s">
        <v>117</v>
      </c>
      <c r="G3428" s="1" t="s">
        <v>14499</v>
      </c>
      <c r="H3428" s="1">
        <v>15.0</v>
      </c>
      <c r="I3428" s="2" t="s">
        <v>119</v>
      </c>
      <c r="J3428" s="2" t="s">
        <v>119</v>
      </c>
      <c r="K3428" s="2" t="s">
        <v>119</v>
      </c>
      <c r="L3428" s="1"/>
      <c r="M3428" s="1" t="s">
        <v>14496</v>
      </c>
      <c r="N3428" s="1" t="s">
        <v>47</v>
      </c>
      <c r="O3428" s="1" t="s">
        <v>2889</v>
      </c>
      <c r="P3428" s="1" t="s">
        <v>14500</v>
      </c>
      <c r="Q3428" s="3">
        <v>42633.0</v>
      </c>
      <c r="R3428" s="1"/>
      <c r="S3428" s="1"/>
      <c r="T3428" s="1" t="s">
        <v>37</v>
      </c>
      <c r="U3428" s="1"/>
      <c r="V3428" s="1" t="s">
        <v>38</v>
      </c>
      <c r="W3428" s="1">
        <v>44.9748738</v>
      </c>
      <c r="X3428" s="1">
        <v>-73.0090027</v>
      </c>
      <c r="Y3428" s="1" t="s">
        <v>14501</v>
      </c>
      <c r="Z3428" s="1"/>
      <c r="AA3428" s="1" t="s">
        <v>40</v>
      </c>
      <c r="AB3428" s="1" t="s">
        <v>2773</v>
      </c>
      <c r="AC3428" s="1">
        <v>5459.0</v>
      </c>
    </row>
    <row r="3429">
      <c r="A3429" s="1" t="str">
        <f t="shared" si="282"/>
        <v>000XM3</v>
      </c>
      <c r="B3429" s="1" t="s">
        <v>14493</v>
      </c>
      <c r="C3429" s="1" t="s">
        <v>14494</v>
      </c>
      <c r="D3429" s="1" t="str">
        <f t="shared" si="283"/>
        <v>8027829951</v>
      </c>
      <c r="E3429" s="1">
        <v>5098.0</v>
      </c>
      <c r="F3429" s="1" t="s">
        <v>117</v>
      </c>
      <c r="G3429" s="1" t="s">
        <v>14502</v>
      </c>
      <c r="H3429" s="1">
        <v>15.0</v>
      </c>
      <c r="I3429" s="2" t="s">
        <v>119</v>
      </c>
      <c r="J3429" s="2" t="s">
        <v>119</v>
      </c>
      <c r="K3429" s="2" t="s">
        <v>119</v>
      </c>
      <c r="L3429" s="1"/>
      <c r="M3429" s="1" t="s">
        <v>14496</v>
      </c>
      <c r="N3429" s="1" t="s">
        <v>47</v>
      </c>
      <c r="O3429" s="1" t="s">
        <v>2889</v>
      </c>
      <c r="P3429" s="1" t="s">
        <v>14497</v>
      </c>
      <c r="Q3429" s="3">
        <v>42633.0</v>
      </c>
      <c r="R3429" s="1"/>
      <c r="S3429" s="1"/>
      <c r="T3429" s="1" t="s">
        <v>37</v>
      </c>
      <c r="U3429" s="1"/>
      <c r="V3429" s="1" t="s">
        <v>38</v>
      </c>
      <c r="W3429" s="1">
        <v>44.9356607</v>
      </c>
      <c r="X3429" s="1">
        <v>-73.0217835999999</v>
      </c>
      <c r="Y3429" s="1" t="s">
        <v>14503</v>
      </c>
      <c r="Z3429" s="1"/>
      <c r="AA3429" s="1" t="s">
        <v>40</v>
      </c>
      <c r="AB3429" s="1" t="s">
        <v>2773</v>
      </c>
      <c r="AC3429" s="1">
        <v>5459.0</v>
      </c>
    </row>
    <row r="3430">
      <c r="A3430" s="1" t="str">
        <f>"00097F"</f>
        <v>00097F</v>
      </c>
      <c r="B3430" s="1" t="s">
        <v>14504</v>
      </c>
      <c r="C3430" s="1" t="s">
        <v>14505</v>
      </c>
      <c r="D3430" s="1" t="str">
        <f>"8023386572"</f>
        <v>8023386572</v>
      </c>
      <c r="E3430" s="1">
        <v>4031.0</v>
      </c>
      <c r="F3430" s="1" t="s">
        <v>117</v>
      </c>
      <c r="G3430" s="1" t="s">
        <v>14506</v>
      </c>
      <c r="H3430" s="1">
        <v>1.0</v>
      </c>
      <c r="I3430" s="2">
        <v>2.0</v>
      </c>
      <c r="J3430" s="2">
        <v>1.0</v>
      </c>
      <c r="K3430" s="2" t="s">
        <v>829</v>
      </c>
      <c r="L3430" s="2" t="s">
        <v>830</v>
      </c>
      <c r="M3430" s="1" t="s">
        <v>14507</v>
      </c>
      <c r="N3430" s="1" t="s">
        <v>57</v>
      </c>
      <c r="O3430" s="1" t="s">
        <v>745</v>
      </c>
      <c r="P3430" s="1" t="s">
        <v>14508</v>
      </c>
      <c r="Q3430" s="3">
        <v>42634.0</v>
      </c>
      <c r="R3430" s="1"/>
      <c r="S3430" s="1"/>
      <c r="T3430" s="1" t="s">
        <v>37</v>
      </c>
      <c r="U3430" s="1"/>
      <c r="V3430" s="1" t="s">
        <v>38</v>
      </c>
      <c r="W3430" s="1">
        <v>44.5108903</v>
      </c>
      <c r="X3430" s="1">
        <v>-72.9623427999999</v>
      </c>
      <c r="Y3430" s="1" t="s">
        <v>14015</v>
      </c>
      <c r="Z3430" s="1"/>
      <c r="AA3430" s="1" t="s">
        <v>40</v>
      </c>
      <c r="AB3430" s="1" t="s">
        <v>746</v>
      </c>
      <c r="AC3430" s="1">
        <v>5465.0</v>
      </c>
    </row>
    <row r="3431">
      <c r="A3431" s="1" t="str">
        <f t="shared" ref="A3431:A3432" si="284">"000V4D"</f>
        <v>000V4D</v>
      </c>
      <c r="B3431" s="1" t="s">
        <v>13221</v>
      </c>
      <c r="C3431" s="1" t="s">
        <v>13222</v>
      </c>
      <c r="D3431" s="1" t="str">
        <f t="shared" ref="D3431:D3432" si="285">"8022852290"</f>
        <v>8022852290</v>
      </c>
      <c r="E3431" s="1">
        <v>4919.0</v>
      </c>
      <c r="F3431" s="1" t="s">
        <v>117</v>
      </c>
      <c r="G3431" s="1" t="s">
        <v>14509</v>
      </c>
      <c r="H3431" s="1">
        <v>2.0</v>
      </c>
      <c r="I3431" s="2">
        <v>2.0</v>
      </c>
      <c r="J3431" s="2" t="s">
        <v>119</v>
      </c>
      <c r="K3431" s="2" t="s">
        <v>119</v>
      </c>
      <c r="L3431" s="1"/>
      <c r="M3431" s="1" t="s">
        <v>14510</v>
      </c>
      <c r="N3431" s="1" t="s">
        <v>47</v>
      </c>
      <c r="O3431" s="1" t="s">
        <v>2319</v>
      </c>
      <c r="P3431" s="1" t="s">
        <v>14511</v>
      </c>
      <c r="Q3431" s="3">
        <v>42635.0</v>
      </c>
      <c r="R3431" s="1"/>
      <c r="S3431" s="1"/>
      <c r="T3431" s="1" t="s">
        <v>37</v>
      </c>
      <c r="U3431" s="1"/>
      <c r="V3431" s="1" t="s">
        <v>38</v>
      </c>
      <c r="W3431" s="1">
        <v>44.987201</v>
      </c>
      <c r="X3431" s="1">
        <v>-72.9085331</v>
      </c>
      <c r="Y3431" s="1" t="s">
        <v>14510</v>
      </c>
      <c r="Z3431" s="1"/>
      <c r="AA3431" s="1" t="s">
        <v>40</v>
      </c>
      <c r="AB3431" s="1" t="s">
        <v>47</v>
      </c>
      <c r="AC3431" s="1">
        <v>5457.0</v>
      </c>
    </row>
    <row r="3432">
      <c r="A3432" s="1" t="str">
        <f t="shared" si="284"/>
        <v>000V4D</v>
      </c>
      <c r="B3432" s="1" t="s">
        <v>13221</v>
      </c>
      <c r="C3432" s="1" t="s">
        <v>13222</v>
      </c>
      <c r="D3432" s="1" t="str">
        <f t="shared" si="285"/>
        <v>8022852290</v>
      </c>
      <c r="E3432" s="1">
        <v>4919.0</v>
      </c>
      <c r="F3432" s="1" t="s">
        <v>117</v>
      </c>
      <c r="G3432" s="1" t="s">
        <v>14512</v>
      </c>
      <c r="H3432" s="1">
        <v>2.0</v>
      </c>
      <c r="I3432" s="2">
        <v>4.0</v>
      </c>
      <c r="J3432" s="2" t="s">
        <v>119</v>
      </c>
      <c r="K3432" s="2" t="s">
        <v>119</v>
      </c>
      <c r="L3432" s="1"/>
      <c r="M3432" s="1" t="s">
        <v>14513</v>
      </c>
      <c r="N3432" s="1" t="s">
        <v>47</v>
      </c>
      <c r="O3432" s="1" t="s">
        <v>2319</v>
      </c>
      <c r="P3432" s="1" t="s">
        <v>14514</v>
      </c>
      <c r="Q3432" s="3">
        <v>42635.0</v>
      </c>
      <c r="R3432" s="1"/>
      <c r="S3432" s="1"/>
      <c r="T3432" s="1" t="s">
        <v>37</v>
      </c>
      <c r="U3432" s="1"/>
      <c r="V3432" s="1" t="s">
        <v>38</v>
      </c>
      <c r="W3432" s="1">
        <v>44.9707837</v>
      </c>
      <c r="X3432" s="1">
        <v>-72.9684212</v>
      </c>
      <c r="Y3432" s="1" t="s">
        <v>14513</v>
      </c>
      <c r="Z3432" s="1"/>
      <c r="AA3432" s="1" t="s">
        <v>40</v>
      </c>
      <c r="AB3432" s="1" t="s">
        <v>47</v>
      </c>
      <c r="AC3432" s="1">
        <v>5457.0</v>
      </c>
    </row>
    <row r="3433">
      <c r="A3433" s="1" t="str">
        <f>"000QYX"</f>
        <v>000QYX</v>
      </c>
      <c r="B3433" s="1" t="s">
        <v>13063</v>
      </c>
      <c r="C3433" s="1" t="s">
        <v>13064</v>
      </c>
      <c r="D3433" s="1" t="str">
        <f>"8023188191"</f>
        <v>8023188191</v>
      </c>
      <c r="E3433" s="1">
        <v>4904.0</v>
      </c>
      <c r="F3433" s="1" t="s">
        <v>117</v>
      </c>
      <c r="G3433" s="1" t="s">
        <v>14515</v>
      </c>
      <c r="H3433" s="1">
        <v>3.0</v>
      </c>
      <c r="I3433" s="2" t="s">
        <v>119</v>
      </c>
      <c r="J3433" s="2">
        <v>1.0</v>
      </c>
      <c r="K3433" s="2" t="s">
        <v>119</v>
      </c>
      <c r="L3433" s="1"/>
      <c r="M3433" s="1">
        <v>2.0</v>
      </c>
      <c r="N3433" s="1" t="s">
        <v>57</v>
      </c>
      <c r="O3433" s="1" t="s">
        <v>175</v>
      </c>
      <c r="P3433" s="1" t="s">
        <v>14516</v>
      </c>
      <c r="Q3433" s="3">
        <v>42639.0</v>
      </c>
      <c r="R3433" s="1"/>
      <c r="S3433" s="1"/>
      <c r="T3433" s="1" t="s">
        <v>37</v>
      </c>
      <c r="U3433" s="1"/>
      <c r="V3433" s="1" t="s">
        <v>38</v>
      </c>
      <c r="W3433" s="1">
        <v>44.502463</v>
      </c>
      <c r="X3433" s="1">
        <v>-73.2111224999999</v>
      </c>
      <c r="Y3433" s="1" t="s">
        <v>14517</v>
      </c>
      <c r="Z3433" s="1"/>
      <c r="AA3433" s="1" t="s">
        <v>40</v>
      </c>
      <c r="AB3433" s="1" t="s">
        <v>175</v>
      </c>
      <c r="AC3433" s="1">
        <v>5401.0</v>
      </c>
    </row>
    <row r="3434">
      <c r="A3434" s="1" t="str">
        <f>"000ND6"</f>
        <v>000ND6</v>
      </c>
      <c r="B3434" s="1" t="s">
        <v>11882</v>
      </c>
      <c r="C3434" s="1" t="s">
        <v>11883</v>
      </c>
      <c r="D3434" s="1" t="str">
        <f>"8023098325"</f>
        <v>8023098325</v>
      </c>
      <c r="E3434" s="1">
        <v>4731.0</v>
      </c>
      <c r="F3434" s="2" t="s">
        <v>44</v>
      </c>
      <c r="G3434" s="1" t="s">
        <v>14518</v>
      </c>
      <c r="H3434" s="1">
        <v>0.0</v>
      </c>
      <c r="I3434" s="2" t="s">
        <v>119</v>
      </c>
      <c r="J3434" s="2" t="s">
        <v>119</v>
      </c>
      <c r="K3434" s="2" t="s">
        <v>119</v>
      </c>
      <c r="L3434" s="1"/>
      <c r="M3434" s="1" t="s">
        <v>14519</v>
      </c>
      <c r="N3434" s="1" t="s">
        <v>47</v>
      </c>
      <c r="O3434" s="1" t="s">
        <v>378</v>
      </c>
      <c r="P3434" s="1" t="s">
        <v>14520</v>
      </c>
      <c r="Q3434" s="3">
        <v>42639.0</v>
      </c>
      <c r="R3434" s="1"/>
      <c r="S3434" s="1"/>
      <c r="T3434" s="1" t="s">
        <v>37</v>
      </c>
      <c r="U3434" s="1"/>
      <c r="V3434" s="1" t="s">
        <v>38</v>
      </c>
      <c r="W3434" s="1"/>
      <c r="X3434" s="1"/>
      <c r="Y3434" s="1" t="s">
        <v>14521</v>
      </c>
      <c r="Z3434" s="1"/>
      <c r="AA3434" s="1" t="s">
        <v>40</v>
      </c>
      <c r="AB3434" s="1" t="s">
        <v>381</v>
      </c>
      <c r="AC3434" s="1">
        <v>5454.0</v>
      </c>
    </row>
    <row r="3435">
      <c r="A3435" s="1" t="str">
        <f>"000XMC"</f>
        <v>000XMC</v>
      </c>
      <c r="B3435" s="1" t="s">
        <v>14522</v>
      </c>
      <c r="C3435" s="1" t="s">
        <v>14523</v>
      </c>
      <c r="D3435" s="1" t="str">
        <f>"8024561001"</f>
        <v>8024561001</v>
      </c>
      <c r="E3435" s="1">
        <v>5099.0</v>
      </c>
      <c r="F3435" s="1" t="s">
        <v>31</v>
      </c>
      <c r="G3435" s="1" t="s">
        <v>14524</v>
      </c>
      <c r="H3435" s="1">
        <v>65.0</v>
      </c>
      <c r="I3435" s="1"/>
      <c r="J3435" s="1"/>
      <c r="K3435" s="1"/>
      <c r="L3435" s="1"/>
      <c r="M3435" s="1">
        <v>1.0</v>
      </c>
      <c r="N3435" s="1" t="s">
        <v>135</v>
      </c>
      <c r="O3435" s="1" t="s">
        <v>655</v>
      </c>
      <c r="P3435" s="1" t="s">
        <v>14525</v>
      </c>
      <c r="Q3435" s="3">
        <v>42639.0</v>
      </c>
      <c r="R3435" s="1"/>
      <c r="S3435" s="1"/>
      <c r="T3435" s="1" t="s">
        <v>37</v>
      </c>
      <c r="U3435" s="1"/>
      <c r="V3435" s="1" t="s">
        <v>38</v>
      </c>
      <c r="W3435" s="1">
        <v>44.440891</v>
      </c>
      <c r="X3435" s="1">
        <v>-72.451088</v>
      </c>
      <c r="Y3435" s="1" t="s">
        <v>8559</v>
      </c>
      <c r="Z3435" s="1"/>
      <c r="AA3435" s="1" t="s">
        <v>40</v>
      </c>
      <c r="AB3435" s="1" t="s">
        <v>656</v>
      </c>
      <c r="AC3435" s="1">
        <v>5650.0</v>
      </c>
    </row>
    <row r="3436">
      <c r="A3436" s="1" t="str">
        <f>"000XMN"</f>
        <v>000XMN</v>
      </c>
      <c r="B3436" s="1" t="s">
        <v>14526</v>
      </c>
      <c r="C3436" s="1" t="s">
        <v>14527</v>
      </c>
      <c r="D3436" s="1" t="str">
        <f>"8023808174"</f>
        <v>8023808174</v>
      </c>
      <c r="E3436" s="1">
        <v>5100.0</v>
      </c>
      <c r="F3436" s="1" t="s">
        <v>117</v>
      </c>
      <c r="G3436" s="1" t="s">
        <v>14528</v>
      </c>
      <c r="H3436" s="1">
        <v>2.0</v>
      </c>
      <c r="I3436" s="2">
        <v>1.0</v>
      </c>
      <c r="J3436" s="2">
        <v>1.0</v>
      </c>
      <c r="K3436" s="2" t="s">
        <v>119</v>
      </c>
      <c r="L3436" s="1"/>
      <c r="M3436" s="1" t="s">
        <v>14529</v>
      </c>
      <c r="N3436" s="1" t="s">
        <v>66</v>
      </c>
      <c r="O3436" s="1" t="s">
        <v>67</v>
      </c>
      <c r="P3436" s="1" t="s">
        <v>14530</v>
      </c>
      <c r="Q3436" s="3">
        <v>42641.0</v>
      </c>
      <c r="R3436" s="1"/>
      <c r="S3436" s="1"/>
      <c r="T3436" s="1" t="s">
        <v>37</v>
      </c>
      <c r="U3436" s="1"/>
      <c r="V3436" s="1" t="s">
        <v>38</v>
      </c>
      <c r="W3436" s="1"/>
      <c r="X3436" s="1"/>
      <c r="Y3436" s="1" t="s">
        <v>2083</v>
      </c>
      <c r="Z3436" s="1"/>
      <c r="AA3436" s="1" t="s">
        <v>40</v>
      </c>
      <c r="AB3436" s="1" t="s">
        <v>2083</v>
      </c>
      <c r="AC3436" s="1">
        <v>0.0</v>
      </c>
    </row>
    <row r="3437">
      <c r="A3437" s="1" t="str">
        <f>"000QQ0"</f>
        <v>000QQ0</v>
      </c>
      <c r="B3437" s="1" t="s">
        <v>12670</v>
      </c>
      <c r="C3437" s="1" t="s">
        <v>12671</v>
      </c>
      <c r="D3437" s="1" t="str">
        <f>"8023225020"</f>
        <v>8023225020</v>
      </c>
      <c r="E3437" s="1">
        <v>4877.0</v>
      </c>
      <c r="F3437" s="1" t="s">
        <v>31</v>
      </c>
      <c r="G3437" s="1" t="s">
        <v>14531</v>
      </c>
      <c r="H3437" s="1">
        <v>1.0</v>
      </c>
      <c r="I3437" s="1"/>
      <c r="J3437" s="1"/>
      <c r="K3437" s="1"/>
      <c r="L3437" s="1"/>
      <c r="M3437" s="1" t="s">
        <v>33</v>
      </c>
      <c r="N3437" s="1" t="s">
        <v>135</v>
      </c>
      <c r="O3437" s="1" t="s">
        <v>758</v>
      </c>
      <c r="P3437" s="1" t="s">
        <v>12673</v>
      </c>
      <c r="Q3437" s="3">
        <v>42647.0</v>
      </c>
      <c r="R3437" s="1"/>
      <c r="S3437" s="1"/>
      <c r="T3437" s="1" t="s">
        <v>37</v>
      </c>
      <c r="U3437" s="1"/>
      <c r="V3437" s="1" t="s">
        <v>38</v>
      </c>
      <c r="W3437" s="1">
        <v>44.258064</v>
      </c>
      <c r="X3437" s="1">
        <v>-72.426934</v>
      </c>
      <c r="Y3437" s="1" t="s">
        <v>12674</v>
      </c>
      <c r="Z3437" s="1"/>
      <c r="AA3437" s="1" t="s">
        <v>40</v>
      </c>
      <c r="AB3437" s="1" t="s">
        <v>759</v>
      </c>
      <c r="AC3437" s="1">
        <v>5667.0</v>
      </c>
    </row>
    <row r="3438">
      <c r="A3438" s="1" t="str">
        <f>"000XN6"</f>
        <v>000XN6</v>
      </c>
      <c r="B3438" s="1" t="s">
        <v>14532</v>
      </c>
      <c r="C3438" s="1" t="s">
        <v>14533</v>
      </c>
      <c r="D3438" s="1" t="str">
        <f>"8023262091"</f>
        <v>8023262091</v>
      </c>
      <c r="E3438" s="1">
        <v>5102.0</v>
      </c>
      <c r="F3438" s="1" t="s">
        <v>31</v>
      </c>
      <c r="G3438" s="1" t="s">
        <v>14534</v>
      </c>
      <c r="H3438" s="1">
        <v>6.0</v>
      </c>
      <c r="I3438" s="1"/>
      <c r="J3438" s="1"/>
      <c r="K3438" s="1"/>
      <c r="L3438" s="1"/>
      <c r="M3438" s="1" t="s">
        <v>13579</v>
      </c>
      <c r="N3438" s="1" t="s">
        <v>47</v>
      </c>
      <c r="O3438" s="1" t="s">
        <v>599</v>
      </c>
      <c r="P3438" s="1" t="s">
        <v>14535</v>
      </c>
      <c r="Q3438" s="3">
        <v>42656.0</v>
      </c>
      <c r="R3438" s="1"/>
      <c r="S3438" s="1"/>
      <c r="T3438" s="1" t="s">
        <v>37</v>
      </c>
      <c r="U3438" s="1"/>
      <c r="V3438" s="1" t="s">
        <v>38</v>
      </c>
      <c r="W3438" s="1"/>
      <c r="X3438" s="1"/>
      <c r="Y3438" s="1" t="s">
        <v>2083</v>
      </c>
      <c r="Z3438" s="1"/>
      <c r="AA3438" s="1" t="s">
        <v>40</v>
      </c>
      <c r="AB3438" s="1" t="s">
        <v>602</v>
      </c>
      <c r="AC3438" s="1">
        <v>5470.0</v>
      </c>
    </row>
    <row r="3439">
      <c r="A3439" s="1" t="str">
        <f>"00084K"</f>
        <v>00084K</v>
      </c>
      <c r="B3439" s="1" t="s">
        <v>2393</v>
      </c>
      <c r="C3439" s="1" t="s">
        <v>2394</v>
      </c>
      <c r="D3439" s="1" t="str">
        <f>"8027488508"</f>
        <v>8027488508</v>
      </c>
      <c r="E3439" s="1">
        <v>1640.0</v>
      </c>
      <c r="F3439" s="1" t="s">
        <v>117</v>
      </c>
      <c r="G3439" s="1" t="s">
        <v>14536</v>
      </c>
      <c r="H3439" s="1">
        <v>1.0</v>
      </c>
      <c r="I3439" s="2">
        <v>0.0</v>
      </c>
      <c r="J3439" s="2" t="s">
        <v>119</v>
      </c>
      <c r="K3439" s="2" t="s">
        <v>119</v>
      </c>
      <c r="L3439" s="1"/>
      <c r="M3439" s="1" t="s">
        <v>49</v>
      </c>
      <c r="N3439" s="1" t="s">
        <v>128</v>
      </c>
      <c r="O3439" s="1" t="s">
        <v>1707</v>
      </c>
      <c r="P3439" s="1" t="s">
        <v>14537</v>
      </c>
      <c r="Q3439" s="3">
        <v>42657.0</v>
      </c>
      <c r="R3439" s="1"/>
      <c r="S3439" s="1"/>
      <c r="T3439" s="1" t="s">
        <v>37</v>
      </c>
      <c r="U3439" s="1"/>
      <c r="V3439" s="1" t="s">
        <v>38</v>
      </c>
      <c r="W3439" s="1"/>
      <c r="X3439" s="1"/>
      <c r="Y3439" s="1" t="s">
        <v>14538</v>
      </c>
      <c r="Z3439" s="1"/>
      <c r="AA3439" s="1" t="s">
        <v>40</v>
      </c>
      <c r="AB3439" s="1" t="s">
        <v>12794</v>
      </c>
      <c r="AC3439" s="1">
        <v>5819.0</v>
      </c>
    </row>
    <row r="3440">
      <c r="A3440" s="1" t="str">
        <f>"0008W6"</f>
        <v>0008W6</v>
      </c>
      <c r="B3440" s="1" t="s">
        <v>6906</v>
      </c>
      <c r="C3440" s="1" t="s">
        <v>6907</v>
      </c>
      <c r="D3440" s="1" t="str">
        <f>"8024853901"</f>
        <v>8024853901</v>
      </c>
      <c r="E3440" s="1">
        <v>3377.0</v>
      </c>
      <c r="F3440" s="1" t="s">
        <v>31</v>
      </c>
      <c r="G3440" s="1" t="s">
        <v>14539</v>
      </c>
      <c r="H3440" s="1">
        <v>1.0</v>
      </c>
      <c r="I3440" s="1"/>
      <c r="J3440" s="1"/>
      <c r="K3440" s="1"/>
      <c r="L3440" s="1"/>
      <c r="M3440" s="1" t="s">
        <v>49</v>
      </c>
      <c r="N3440" s="1" t="s">
        <v>135</v>
      </c>
      <c r="O3440" s="1" t="s">
        <v>136</v>
      </c>
      <c r="P3440" s="1" t="s">
        <v>14540</v>
      </c>
      <c r="Q3440" s="3">
        <v>42657.0</v>
      </c>
      <c r="R3440" s="1"/>
      <c r="S3440" s="1"/>
      <c r="T3440" s="1" t="s">
        <v>37</v>
      </c>
      <c r="U3440" s="1"/>
      <c r="V3440" s="1" t="s">
        <v>38</v>
      </c>
      <c r="W3440" s="1"/>
      <c r="X3440" s="1"/>
      <c r="Y3440" s="1" t="s">
        <v>14541</v>
      </c>
      <c r="Z3440" s="1"/>
      <c r="AA3440" s="1" t="s">
        <v>40</v>
      </c>
      <c r="AB3440" s="1" t="s">
        <v>137</v>
      </c>
      <c r="AC3440" s="1">
        <v>5663.0</v>
      </c>
    </row>
    <row r="3441">
      <c r="A3441" s="1" t="str">
        <f>"000NKJ"</f>
        <v>000NKJ</v>
      </c>
      <c r="B3441" s="1" t="s">
        <v>14542</v>
      </c>
      <c r="C3441" s="1" t="s">
        <v>14543</v>
      </c>
      <c r="D3441" s="1" t="str">
        <f>"8022363169"</f>
        <v>8022363169</v>
      </c>
      <c r="E3441" s="1">
        <v>4747.0</v>
      </c>
      <c r="F3441" s="1" t="s">
        <v>31</v>
      </c>
      <c r="G3441" s="1" t="s">
        <v>14544</v>
      </c>
      <c r="H3441" s="1">
        <v>30.0</v>
      </c>
      <c r="I3441" s="1"/>
      <c r="J3441" s="1"/>
      <c r="K3441" s="1"/>
      <c r="L3441" s="1"/>
      <c r="M3441" s="1" t="s">
        <v>14545</v>
      </c>
      <c r="N3441" s="1" t="s">
        <v>78</v>
      </c>
      <c r="O3441" s="1"/>
      <c r="P3441" s="1" t="s">
        <v>14546</v>
      </c>
      <c r="Q3441" s="3">
        <v>42664.0</v>
      </c>
      <c r="R3441" s="1"/>
      <c r="S3441" s="3">
        <v>42580.0</v>
      </c>
      <c r="T3441" s="1" t="s">
        <v>37</v>
      </c>
      <c r="U3441" s="1"/>
      <c r="V3441" s="1" t="s">
        <v>38</v>
      </c>
      <c r="W3441" s="1">
        <v>43.5523874687213</v>
      </c>
      <c r="X3441" s="1">
        <v>-73.023792207241</v>
      </c>
      <c r="Y3441" s="1" t="s">
        <v>14547</v>
      </c>
      <c r="Z3441" s="1"/>
      <c r="AA3441" s="1" t="s">
        <v>40</v>
      </c>
      <c r="AB3441" s="1" t="s">
        <v>6012</v>
      </c>
      <c r="AC3441" s="1">
        <v>5777.0</v>
      </c>
    </row>
    <row r="3442">
      <c r="A3442" s="1" t="str">
        <f>"000XP3"</f>
        <v>000XP3</v>
      </c>
      <c r="B3442" s="1" t="s">
        <v>14548</v>
      </c>
      <c r="C3442" s="1" t="s">
        <v>14549</v>
      </c>
      <c r="D3442" s="1" t="str">
        <f>"8025053860"</f>
        <v>8025053860</v>
      </c>
      <c r="E3442" s="1">
        <v>5103.0</v>
      </c>
      <c r="F3442" s="1" t="s">
        <v>117</v>
      </c>
      <c r="G3442" s="1" t="s">
        <v>14550</v>
      </c>
      <c r="H3442" s="1">
        <v>1.0</v>
      </c>
      <c r="I3442" s="2" t="s">
        <v>119</v>
      </c>
      <c r="J3442" s="2">
        <v>1.0</v>
      </c>
      <c r="K3442" s="2">
        <v>0.0</v>
      </c>
      <c r="L3442" s="1"/>
      <c r="M3442" s="1" t="s">
        <v>14551</v>
      </c>
      <c r="N3442" s="1" t="s">
        <v>135</v>
      </c>
      <c r="O3442" s="1" t="s">
        <v>440</v>
      </c>
      <c r="P3442" s="1" t="s">
        <v>14552</v>
      </c>
      <c r="Q3442" s="3">
        <v>42667.0</v>
      </c>
      <c r="R3442" s="1"/>
      <c r="S3442" s="1"/>
      <c r="T3442" s="1" t="s">
        <v>37</v>
      </c>
      <c r="U3442" s="1"/>
      <c r="V3442" s="1" t="s">
        <v>38</v>
      </c>
      <c r="W3442" s="1">
        <v>44.221733</v>
      </c>
      <c r="X3442" s="1">
        <v>-72.759796</v>
      </c>
      <c r="Y3442" s="1" t="s">
        <v>14553</v>
      </c>
      <c r="Z3442" s="1"/>
      <c r="AA3442" s="1" t="s">
        <v>40</v>
      </c>
      <c r="AB3442" s="1" t="s">
        <v>441</v>
      </c>
      <c r="AC3442" s="1">
        <v>5660.0</v>
      </c>
    </row>
    <row r="3443">
      <c r="A3443" s="1" t="str">
        <f>"000QAZ"</f>
        <v>000QAZ</v>
      </c>
      <c r="B3443" s="1" t="s">
        <v>14554</v>
      </c>
      <c r="C3443" s="1" t="s">
        <v>14555</v>
      </c>
      <c r="D3443" s="1" t="str">
        <f>"8024561099"</f>
        <v>8024561099</v>
      </c>
      <c r="E3443" s="1">
        <v>4783.0</v>
      </c>
      <c r="F3443" s="1" t="s">
        <v>31</v>
      </c>
      <c r="G3443" s="1" t="s">
        <v>14556</v>
      </c>
      <c r="H3443" s="1">
        <v>2.0</v>
      </c>
      <c r="I3443" s="1"/>
      <c r="J3443" s="1"/>
      <c r="K3443" s="1"/>
      <c r="L3443" s="1"/>
      <c r="M3443" s="1">
        <v>1.0</v>
      </c>
      <c r="N3443" s="1" t="s">
        <v>135</v>
      </c>
      <c r="O3443" s="1" t="s">
        <v>1073</v>
      </c>
      <c r="P3443" s="1" t="s">
        <v>14557</v>
      </c>
      <c r="Q3443" s="3">
        <v>42671.0</v>
      </c>
      <c r="R3443" s="1"/>
      <c r="S3443" s="1"/>
      <c r="T3443" s="1" t="s">
        <v>37</v>
      </c>
      <c r="U3443" s="1"/>
      <c r="V3443" s="1" t="s">
        <v>38</v>
      </c>
      <c r="W3443" s="1">
        <v>44.404747</v>
      </c>
      <c r="X3443" s="1">
        <v>-72.390373</v>
      </c>
      <c r="Y3443" s="1" t="s">
        <v>14558</v>
      </c>
      <c r="Z3443" s="1"/>
      <c r="AA3443" s="1" t="s">
        <v>40</v>
      </c>
      <c r="AB3443" s="1" t="s">
        <v>1075</v>
      </c>
      <c r="AC3443" s="1">
        <v>5658.0</v>
      </c>
    </row>
    <row r="3444">
      <c r="A3444" s="1" t="str">
        <f>"000V4W"</f>
        <v>000V4W</v>
      </c>
      <c r="B3444" s="1" t="s">
        <v>13245</v>
      </c>
      <c r="C3444" s="1" t="s">
        <v>13246</v>
      </c>
      <c r="D3444" s="1" t="str">
        <f>"8027632183"</f>
        <v>8027632183</v>
      </c>
      <c r="E3444" s="1">
        <v>4921.0</v>
      </c>
      <c r="F3444" s="1" t="s">
        <v>117</v>
      </c>
      <c r="G3444" s="1" t="s">
        <v>14559</v>
      </c>
      <c r="H3444" s="1">
        <v>4.0</v>
      </c>
      <c r="I3444" s="2" t="s">
        <v>119</v>
      </c>
      <c r="J3444" s="2" t="s">
        <v>119</v>
      </c>
      <c r="K3444" s="4">
        <v>42799.0</v>
      </c>
      <c r="L3444" s="2" t="s">
        <v>14560</v>
      </c>
      <c r="M3444" s="1" t="s">
        <v>49</v>
      </c>
      <c r="N3444" s="1" t="s">
        <v>34</v>
      </c>
      <c r="O3444" s="1" t="s">
        <v>35</v>
      </c>
      <c r="P3444" s="1" t="s">
        <v>14561</v>
      </c>
      <c r="Q3444" s="3">
        <v>42674.0</v>
      </c>
      <c r="R3444" s="1"/>
      <c r="S3444" s="3">
        <v>42922.0</v>
      </c>
      <c r="T3444" s="1" t="s">
        <v>37</v>
      </c>
      <c r="U3444" s="1"/>
      <c r="V3444" s="1" t="s">
        <v>38</v>
      </c>
      <c r="W3444" s="1"/>
      <c r="X3444" s="1"/>
      <c r="Y3444" s="1" t="s">
        <v>2083</v>
      </c>
      <c r="Z3444" s="1"/>
      <c r="AA3444" s="1" t="s">
        <v>40</v>
      </c>
      <c r="AB3444" s="1" t="s">
        <v>345</v>
      </c>
      <c r="AC3444" s="1">
        <v>5068.0</v>
      </c>
    </row>
    <row r="3445">
      <c r="A3445" s="1" t="str">
        <f>"000W3M"</f>
        <v>000W3M</v>
      </c>
      <c r="B3445" s="1" t="s">
        <v>14117</v>
      </c>
      <c r="C3445" s="1" t="s">
        <v>14118</v>
      </c>
      <c r="D3445" s="1" t="str">
        <f>"8022473832"</f>
        <v>8022473832</v>
      </c>
      <c r="E3445" s="1">
        <v>5036.0</v>
      </c>
      <c r="F3445" s="1" t="s">
        <v>117</v>
      </c>
      <c r="G3445" s="1" t="s">
        <v>14562</v>
      </c>
      <c r="H3445" s="1">
        <v>3.0</v>
      </c>
      <c r="I3445" s="2">
        <v>0.0</v>
      </c>
      <c r="J3445" s="2">
        <v>0.0</v>
      </c>
      <c r="K3445" s="2" t="s">
        <v>119</v>
      </c>
      <c r="L3445" s="1"/>
      <c r="M3445" s="1">
        <v>2.0</v>
      </c>
      <c r="N3445" s="1" t="s">
        <v>161</v>
      </c>
      <c r="O3445" s="1" t="s">
        <v>769</v>
      </c>
      <c r="P3445" s="1" t="s">
        <v>14563</v>
      </c>
      <c r="Q3445" s="3">
        <v>42677.0</v>
      </c>
      <c r="R3445" s="1"/>
      <c r="S3445" s="1"/>
      <c r="T3445" s="1" t="s">
        <v>37</v>
      </c>
      <c r="U3445" s="1"/>
      <c r="V3445" s="1" t="s">
        <v>38</v>
      </c>
      <c r="W3445" s="1">
        <v>44.240373</v>
      </c>
      <c r="X3445" s="1">
        <v>-73.2356389999999</v>
      </c>
      <c r="Y3445" s="1" t="s">
        <v>14564</v>
      </c>
      <c r="Z3445" s="1"/>
      <c r="AA3445" s="1" t="s">
        <v>40</v>
      </c>
      <c r="AB3445" s="1" t="s">
        <v>12103</v>
      </c>
      <c r="AC3445" s="1">
        <v>5473.0</v>
      </c>
    </row>
    <row r="3446">
      <c r="A3446" s="1" t="str">
        <f t="shared" ref="A3446:A3447" si="286">"0007K0"</f>
        <v>0007K0</v>
      </c>
      <c r="B3446" s="1" t="s">
        <v>2767</v>
      </c>
      <c r="C3446" s="1" t="s">
        <v>2768</v>
      </c>
      <c r="D3446" s="1" t="str">
        <f t="shared" ref="D3446:D3447" si="287">"8023887724"</f>
        <v>8023887724</v>
      </c>
      <c r="E3446" s="1">
        <v>851.0</v>
      </c>
      <c r="F3446" s="1" t="s">
        <v>117</v>
      </c>
      <c r="G3446" s="1" t="s">
        <v>14565</v>
      </c>
      <c r="H3446" s="1">
        <v>5.0</v>
      </c>
      <c r="I3446" s="2" t="s">
        <v>119</v>
      </c>
      <c r="J3446" s="2" t="s">
        <v>119</v>
      </c>
      <c r="K3446" s="2" t="s">
        <v>119</v>
      </c>
      <c r="L3446" s="1"/>
      <c r="M3446" s="1" t="s">
        <v>14566</v>
      </c>
      <c r="N3446" s="1" t="s">
        <v>161</v>
      </c>
      <c r="O3446" s="1" t="s">
        <v>943</v>
      </c>
      <c r="P3446" s="1" t="s">
        <v>14567</v>
      </c>
      <c r="Q3446" s="3">
        <v>42678.0</v>
      </c>
      <c r="R3446" s="1"/>
      <c r="S3446" s="1"/>
      <c r="T3446" s="1" t="s">
        <v>37</v>
      </c>
      <c r="U3446" s="1"/>
      <c r="V3446" s="1" t="s">
        <v>38</v>
      </c>
      <c r="W3446" s="1">
        <v>44.0188600675595</v>
      </c>
      <c r="X3446" s="1">
        <v>-73.1609275087248</v>
      </c>
      <c r="Y3446" s="1" t="s">
        <v>14568</v>
      </c>
      <c r="Z3446" s="1"/>
      <c r="AA3446" s="1" t="s">
        <v>40</v>
      </c>
      <c r="AB3446" s="1" t="s">
        <v>945</v>
      </c>
      <c r="AC3446" s="1">
        <v>5753.0</v>
      </c>
    </row>
    <row r="3447">
      <c r="A3447" s="1" t="str">
        <f t="shared" si="286"/>
        <v>0007K0</v>
      </c>
      <c r="B3447" s="1" t="s">
        <v>2767</v>
      </c>
      <c r="C3447" s="1" t="s">
        <v>2768</v>
      </c>
      <c r="D3447" s="1" t="str">
        <f t="shared" si="287"/>
        <v>8023887724</v>
      </c>
      <c r="E3447" s="1">
        <v>851.0</v>
      </c>
      <c r="F3447" s="1" t="s">
        <v>117</v>
      </c>
      <c r="G3447" s="1" t="s">
        <v>14569</v>
      </c>
      <c r="H3447" s="1">
        <v>15.0</v>
      </c>
      <c r="I3447" s="2" t="s">
        <v>119</v>
      </c>
      <c r="J3447" s="2" t="s">
        <v>119</v>
      </c>
      <c r="K3447" s="2" t="s">
        <v>119</v>
      </c>
      <c r="L3447" s="1"/>
      <c r="M3447" s="1" t="s">
        <v>14570</v>
      </c>
      <c r="N3447" s="1" t="s">
        <v>161</v>
      </c>
      <c r="O3447" s="1" t="s">
        <v>943</v>
      </c>
      <c r="P3447" s="1" t="s">
        <v>14571</v>
      </c>
      <c r="Q3447" s="3">
        <v>42678.0</v>
      </c>
      <c r="R3447" s="1"/>
      <c r="S3447" s="1"/>
      <c r="T3447" s="1" t="s">
        <v>37</v>
      </c>
      <c r="U3447" s="1"/>
      <c r="V3447" s="1" t="s">
        <v>38</v>
      </c>
      <c r="W3447" s="1">
        <v>44.0161114549524</v>
      </c>
      <c r="X3447" s="1">
        <v>-73.1648435338866</v>
      </c>
      <c r="Y3447" s="1" t="s">
        <v>14572</v>
      </c>
      <c r="Z3447" s="1"/>
      <c r="AA3447" s="1" t="s">
        <v>40</v>
      </c>
      <c r="AB3447" s="1" t="s">
        <v>945</v>
      </c>
      <c r="AC3447" s="1">
        <v>5753.0</v>
      </c>
    </row>
    <row r="3448">
      <c r="A3448" s="1" t="str">
        <f>"000JQZ"</f>
        <v>000JQZ</v>
      </c>
      <c r="B3448" s="1" t="s">
        <v>8823</v>
      </c>
      <c r="C3448" s="1" t="s">
        <v>8824</v>
      </c>
      <c r="D3448" s="1" t="str">
        <f>"8028623414"</f>
        <v>8028623414</v>
      </c>
      <c r="E3448" s="1">
        <v>4435.0</v>
      </c>
      <c r="F3448" s="1" t="s">
        <v>117</v>
      </c>
      <c r="G3448" s="1" t="s">
        <v>14573</v>
      </c>
      <c r="H3448" s="1">
        <v>2.0</v>
      </c>
      <c r="I3448" s="2">
        <v>3.0</v>
      </c>
      <c r="J3448" s="2">
        <v>3.0</v>
      </c>
      <c r="K3448" s="2" t="s">
        <v>829</v>
      </c>
      <c r="L3448" s="1"/>
      <c r="M3448" s="1">
        <v>2.0</v>
      </c>
      <c r="N3448" s="1" t="s">
        <v>57</v>
      </c>
      <c r="O3448" s="1" t="s">
        <v>559</v>
      </c>
      <c r="P3448" s="1" t="s">
        <v>14574</v>
      </c>
      <c r="Q3448" s="3">
        <v>42681.0</v>
      </c>
      <c r="R3448" s="1"/>
      <c r="S3448" s="1"/>
      <c r="T3448" s="1" t="s">
        <v>37</v>
      </c>
      <c r="U3448" s="1"/>
      <c r="V3448" s="1" t="s">
        <v>38</v>
      </c>
      <c r="W3448" s="1"/>
      <c r="X3448" s="1"/>
      <c r="Y3448" s="1" t="s">
        <v>2083</v>
      </c>
      <c r="Z3448" s="1"/>
      <c r="AA3448" s="1" t="s">
        <v>40</v>
      </c>
      <c r="AB3448" s="1" t="s">
        <v>560</v>
      </c>
      <c r="AC3448" s="1">
        <v>0.0</v>
      </c>
    </row>
    <row r="3449">
      <c r="A3449" s="1" t="str">
        <f>"000XPX"</f>
        <v>000XPX</v>
      </c>
      <c r="B3449" s="1" t="s">
        <v>14575</v>
      </c>
      <c r="C3449" s="1" t="s">
        <v>14576</v>
      </c>
      <c r="D3449" s="1" t="str">
        <f>"8023800460"</f>
        <v>8023800460</v>
      </c>
      <c r="E3449" s="1">
        <v>5105.0</v>
      </c>
      <c r="F3449" s="1" t="s">
        <v>117</v>
      </c>
      <c r="G3449" s="1" t="s">
        <v>14577</v>
      </c>
      <c r="H3449" s="1">
        <v>1.0</v>
      </c>
      <c r="I3449" s="2">
        <v>1.0</v>
      </c>
      <c r="J3449" s="2" t="s">
        <v>119</v>
      </c>
      <c r="K3449" s="2" t="s">
        <v>119</v>
      </c>
      <c r="L3449" s="1"/>
      <c r="M3449" s="1">
        <v>1.0</v>
      </c>
      <c r="N3449" s="1" t="s">
        <v>66</v>
      </c>
      <c r="O3449" s="1" t="s">
        <v>1256</v>
      </c>
      <c r="P3449" s="1" t="s">
        <v>14578</v>
      </c>
      <c r="Q3449" s="3">
        <v>42681.0</v>
      </c>
      <c r="R3449" s="1"/>
      <c r="S3449" s="1"/>
      <c r="T3449" s="1" t="s">
        <v>37</v>
      </c>
      <c r="U3449" s="1"/>
      <c r="V3449" s="1" t="s">
        <v>38</v>
      </c>
      <c r="W3449" s="1">
        <v>42.9446429</v>
      </c>
      <c r="X3449" s="1">
        <v>-72.5561022</v>
      </c>
      <c r="Y3449" s="1" t="s">
        <v>14579</v>
      </c>
      <c r="Z3449" s="1"/>
      <c r="AA3449" s="1" t="s">
        <v>40</v>
      </c>
      <c r="AB3449" s="1" t="s">
        <v>14580</v>
      </c>
      <c r="AC3449" s="1">
        <v>5346.0</v>
      </c>
    </row>
    <row r="3450">
      <c r="A3450" s="1" t="str">
        <f>"0007GW"</f>
        <v>0007GW</v>
      </c>
      <c r="B3450" s="1" t="s">
        <v>1365</v>
      </c>
      <c r="C3450" s="1" t="s">
        <v>1366</v>
      </c>
      <c r="D3450" s="1" t="str">
        <f>"8022352203"</f>
        <v>8022352203</v>
      </c>
      <c r="E3450" s="1">
        <v>2937.0</v>
      </c>
      <c r="F3450" s="1" t="s">
        <v>44</v>
      </c>
      <c r="G3450" s="1" t="s">
        <v>14581</v>
      </c>
      <c r="H3450" s="1">
        <v>1.0</v>
      </c>
      <c r="I3450" s="2" t="s">
        <v>119</v>
      </c>
      <c r="J3450" s="2" t="s">
        <v>119</v>
      </c>
      <c r="K3450" s="2" t="s">
        <v>119</v>
      </c>
      <c r="L3450" s="1"/>
      <c r="M3450" s="1">
        <v>5.0</v>
      </c>
      <c r="N3450" s="1" t="s">
        <v>78</v>
      </c>
      <c r="O3450" s="1" t="s">
        <v>420</v>
      </c>
      <c r="P3450" s="1" t="s">
        <v>13418</v>
      </c>
      <c r="Q3450" s="3">
        <v>42681.0</v>
      </c>
      <c r="R3450" s="1"/>
      <c r="S3450" s="1"/>
      <c r="T3450" s="1" t="s">
        <v>37</v>
      </c>
      <c r="U3450" s="1"/>
      <c r="V3450" s="1" t="s">
        <v>38</v>
      </c>
      <c r="W3450" s="1">
        <v>43.4856519999999</v>
      </c>
      <c r="X3450" s="1">
        <v>-73.151771</v>
      </c>
      <c r="Y3450" s="1" t="s">
        <v>14582</v>
      </c>
      <c r="Z3450" s="1"/>
      <c r="AA3450" s="1" t="s">
        <v>40</v>
      </c>
      <c r="AB3450" s="1" t="s">
        <v>7161</v>
      </c>
      <c r="AC3450" s="1">
        <v>5757.0</v>
      </c>
    </row>
    <row r="3451">
      <c r="A3451" s="1" t="str">
        <f t="shared" ref="A3451:A3452" si="288">"000NQ4"</f>
        <v>000NQ4</v>
      </c>
      <c r="B3451" s="1" t="s">
        <v>12031</v>
      </c>
      <c r="C3451" s="1" t="s">
        <v>12032</v>
      </c>
      <c r="D3451" s="1" t="str">
        <f t="shared" ref="D3451:D3452" si="289">"8027795780"</f>
        <v>8027795780</v>
      </c>
      <c r="E3451" s="1">
        <v>4758.0</v>
      </c>
      <c r="F3451" s="1" t="s">
        <v>31</v>
      </c>
      <c r="G3451" s="1" t="s">
        <v>14583</v>
      </c>
      <c r="H3451" s="1">
        <v>4.0</v>
      </c>
      <c r="I3451" s="1"/>
      <c r="J3451" s="1"/>
      <c r="K3451" s="1"/>
      <c r="L3451" s="1"/>
      <c r="M3451" s="1">
        <v>2.0</v>
      </c>
      <c r="N3451" s="1" t="s">
        <v>78</v>
      </c>
      <c r="O3451" s="1" t="s">
        <v>3828</v>
      </c>
      <c r="P3451" s="1" t="s">
        <v>14584</v>
      </c>
      <c r="Q3451" s="3">
        <v>42681.0</v>
      </c>
      <c r="R3451" s="1"/>
      <c r="S3451" s="1"/>
      <c r="T3451" s="1" t="s">
        <v>37</v>
      </c>
      <c r="U3451" s="1"/>
      <c r="V3451" s="1" t="s">
        <v>38</v>
      </c>
      <c r="W3451" s="1">
        <v>43.502041</v>
      </c>
      <c r="X3451" s="1">
        <v>-72.9471209999999</v>
      </c>
      <c r="Y3451" s="1" t="s">
        <v>14585</v>
      </c>
      <c r="Z3451" s="1"/>
      <c r="AA3451" s="1" t="s">
        <v>40</v>
      </c>
      <c r="AB3451" s="1">
        <v>5759.0</v>
      </c>
      <c r="AC3451" s="1">
        <v>5759.0</v>
      </c>
    </row>
    <row r="3452">
      <c r="A3452" s="1" t="str">
        <f t="shared" si="288"/>
        <v>000NQ4</v>
      </c>
      <c r="B3452" s="1" t="s">
        <v>12031</v>
      </c>
      <c r="C3452" s="1" t="s">
        <v>12032</v>
      </c>
      <c r="D3452" s="1" t="str">
        <f t="shared" si="289"/>
        <v>8027795780</v>
      </c>
      <c r="E3452" s="1">
        <v>4758.0</v>
      </c>
      <c r="F3452" s="1" t="s">
        <v>31</v>
      </c>
      <c r="G3452" s="1" t="s">
        <v>14586</v>
      </c>
      <c r="H3452" s="1">
        <v>2.0</v>
      </c>
      <c r="I3452" s="1"/>
      <c r="J3452" s="1"/>
      <c r="K3452" s="1"/>
      <c r="L3452" s="1"/>
      <c r="M3452" s="1">
        <v>3.0</v>
      </c>
      <c r="N3452" s="1" t="s">
        <v>78</v>
      </c>
      <c r="O3452" s="1" t="s">
        <v>79</v>
      </c>
      <c r="P3452" s="1" t="s">
        <v>14587</v>
      </c>
      <c r="Q3452" s="3">
        <v>42681.0</v>
      </c>
      <c r="R3452" s="1"/>
      <c r="S3452" s="1"/>
      <c r="T3452" s="1" t="s">
        <v>37</v>
      </c>
      <c r="U3452" s="1"/>
      <c r="V3452" s="1" t="s">
        <v>38</v>
      </c>
      <c r="W3452" s="1">
        <v>43.6817629</v>
      </c>
      <c r="X3452" s="1">
        <v>-73.02758</v>
      </c>
      <c r="Y3452" s="1" t="s">
        <v>14588</v>
      </c>
      <c r="Z3452" s="1"/>
      <c r="AA3452" s="1" t="s">
        <v>40</v>
      </c>
      <c r="AB3452" s="1" t="s">
        <v>80</v>
      </c>
      <c r="AC3452" s="1">
        <v>5763.0</v>
      </c>
    </row>
    <row r="3453">
      <c r="A3453" s="1" t="str">
        <f>"000XQ0"</f>
        <v>000XQ0</v>
      </c>
      <c r="B3453" s="1" t="s">
        <v>14589</v>
      </c>
      <c r="C3453" s="1" t="s">
        <v>14590</v>
      </c>
      <c r="D3453" s="1" t="str">
        <f>"8023245769"</f>
        <v>8023245769</v>
      </c>
      <c r="E3453" s="1">
        <v>5106.0</v>
      </c>
      <c r="F3453" s="1" t="s">
        <v>31</v>
      </c>
      <c r="G3453" s="1" t="s">
        <v>14591</v>
      </c>
      <c r="H3453" s="1">
        <v>14.0</v>
      </c>
      <c r="I3453" s="1"/>
      <c r="J3453" s="1"/>
      <c r="K3453" s="1"/>
      <c r="L3453" s="1"/>
      <c r="M3453" s="1">
        <v>1.0</v>
      </c>
      <c r="N3453" s="1" t="s">
        <v>135</v>
      </c>
      <c r="O3453" s="1" t="s">
        <v>409</v>
      </c>
      <c r="P3453" s="1" t="s">
        <v>14592</v>
      </c>
      <c r="Q3453" s="3">
        <v>42683.0</v>
      </c>
      <c r="R3453" s="1"/>
      <c r="S3453" s="1"/>
      <c r="T3453" s="1" t="s">
        <v>37</v>
      </c>
      <c r="U3453" s="1"/>
      <c r="V3453" s="1" t="s">
        <v>38</v>
      </c>
      <c r="W3453" s="1">
        <v>44.396961</v>
      </c>
      <c r="X3453" s="1">
        <v>-72.275192</v>
      </c>
      <c r="Y3453" s="1" t="s">
        <v>14593</v>
      </c>
      <c r="Z3453" s="1"/>
      <c r="AA3453" s="1" t="s">
        <v>40</v>
      </c>
      <c r="AB3453" s="1" t="s">
        <v>410</v>
      </c>
      <c r="AC3453" s="1">
        <v>5647.0</v>
      </c>
    </row>
    <row r="3454">
      <c r="A3454" s="1" t="str">
        <f>"000XQ2"</f>
        <v>000XQ2</v>
      </c>
      <c r="B3454" s="1" t="s">
        <v>14594</v>
      </c>
      <c r="C3454" s="1" t="s">
        <v>14595</v>
      </c>
      <c r="D3454" s="1" t="str">
        <f>"8025354550"</f>
        <v>8025354550</v>
      </c>
      <c r="E3454" s="1">
        <v>5107.0</v>
      </c>
      <c r="F3454" s="1" t="s">
        <v>44</v>
      </c>
      <c r="G3454" s="1" t="s">
        <v>14596</v>
      </c>
      <c r="H3454" s="1">
        <v>7.0</v>
      </c>
      <c r="I3454" s="1"/>
      <c r="J3454" s="1"/>
      <c r="K3454" s="1"/>
      <c r="L3454" s="1"/>
      <c r="M3454" s="1" t="s">
        <v>72</v>
      </c>
      <c r="N3454" s="1" t="s">
        <v>135</v>
      </c>
      <c r="O3454" s="1" t="s">
        <v>409</v>
      </c>
      <c r="P3454" s="1" t="s">
        <v>14594</v>
      </c>
      <c r="Q3454" s="3">
        <v>42683.0</v>
      </c>
      <c r="R3454" s="1"/>
      <c r="S3454" s="1"/>
      <c r="T3454" s="1" t="s">
        <v>37</v>
      </c>
      <c r="U3454" s="1"/>
      <c r="V3454" s="1" t="s">
        <v>38</v>
      </c>
      <c r="W3454" s="1">
        <v>44.392218</v>
      </c>
      <c r="X3454" s="1">
        <v>-72.3041539999999</v>
      </c>
      <c r="Y3454" s="1" t="s">
        <v>14597</v>
      </c>
      <c r="Z3454" s="1"/>
      <c r="AA3454" s="1" t="s">
        <v>40</v>
      </c>
      <c r="AB3454" s="1" t="s">
        <v>410</v>
      </c>
      <c r="AC3454" s="1">
        <v>5647.0</v>
      </c>
    </row>
    <row r="3455">
      <c r="A3455" s="1" t="str">
        <f>"000N5F"</f>
        <v>000N5F</v>
      </c>
      <c r="B3455" s="1" t="s">
        <v>11545</v>
      </c>
      <c r="C3455" s="1" t="s">
        <v>11546</v>
      </c>
      <c r="D3455" s="1" t="str">
        <f>"8023738378"</f>
        <v>8023738378</v>
      </c>
      <c r="E3455" s="1">
        <v>4674.0</v>
      </c>
      <c r="F3455" s="1" t="s">
        <v>117</v>
      </c>
      <c r="G3455" s="1" t="s">
        <v>14598</v>
      </c>
      <c r="H3455" s="1">
        <v>5.0</v>
      </c>
      <c r="I3455" s="2">
        <v>0.0</v>
      </c>
      <c r="J3455" s="2">
        <v>0.0</v>
      </c>
      <c r="K3455" s="2" t="s">
        <v>119</v>
      </c>
      <c r="L3455" s="2" t="s">
        <v>14599</v>
      </c>
      <c r="M3455" s="1">
        <v>1.0</v>
      </c>
      <c r="N3455" s="1" t="s">
        <v>57</v>
      </c>
      <c r="O3455" s="1" t="s">
        <v>1633</v>
      </c>
      <c r="P3455" s="1" t="s">
        <v>14600</v>
      </c>
      <c r="Q3455" s="3">
        <v>42689.0</v>
      </c>
      <c r="R3455" s="1"/>
      <c r="S3455" s="1"/>
      <c r="T3455" s="1" t="s">
        <v>37</v>
      </c>
      <c r="U3455" s="1"/>
      <c r="V3455" s="1" t="s">
        <v>38</v>
      </c>
      <c r="W3455" s="1">
        <v>44.290135</v>
      </c>
      <c r="X3455" s="1">
        <v>-73.182565</v>
      </c>
      <c r="Y3455" s="1" t="s">
        <v>14601</v>
      </c>
      <c r="Z3455" s="1"/>
      <c r="AA3455" s="1" t="s">
        <v>40</v>
      </c>
      <c r="AB3455" s="1" t="s">
        <v>1634</v>
      </c>
      <c r="AC3455" s="1">
        <v>5445.0</v>
      </c>
    </row>
    <row r="3456">
      <c r="A3456" s="1" t="str">
        <f>"000XQH"</f>
        <v>000XQH</v>
      </c>
      <c r="B3456" s="1" t="s">
        <v>14602</v>
      </c>
      <c r="C3456" s="1" t="s">
        <v>14603</v>
      </c>
      <c r="D3456" s="1" t="str">
        <f>"8024729429"</f>
        <v>8024729429</v>
      </c>
      <c r="E3456" s="1">
        <v>5108.0</v>
      </c>
      <c r="F3456" s="1" t="s">
        <v>44</v>
      </c>
      <c r="G3456" s="1" t="s">
        <v>14604</v>
      </c>
      <c r="H3456" s="1">
        <v>0.0</v>
      </c>
      <c r="I3456" s="1"/>
      <c r="J3456" s="1"/>
      <c r="K3456" s="1"/>
      <c r="L3456" s="1"/>
      <c r="M3456" s="1"/>
      <c r="N3456" s="1" t="s">
        <v>49</v>
      </c>
      <c r="O3456" s="1"/>
      <c r="P3456" s="1"/>
      <c r="Q3456" s="3">
        <v>42695.0</v>
      </c>
      <c r="R3456" s="1"/>
      <c r="S3456" s="1"/>
      <c r="T3456" s="1" t="s">
        <v>37</v>
      </c>
      <c r="U3456" s="1"/>
      <c r="V3456" s="1" t="s">
        <v>38</v>
      </c>
      <c r="W3456" s="1"/>
      <c r="X3456" s="1"/>
      <c r="Y3456" s="1" t="s">
        <v>14605</v>
      </c>
      <c r="Z3456" s="1"/>
      <c r="AA3456" s="1" t="s">
        <v>40</v>
      </c>
      <c r="AB3456" s="1" t="s">
        <v>2563</v>
      </c>
      <c r="AC3456" s="1">
        <v>5680.0</v>
      </c>
    </row>
    <row r="3457">
      <c r="A3457" s="1" t="str">
        <f>"000XVF"</f>
        <v>000XVF</v>
      </c>
      <c r="B3457" s="1" t="s">
        <v>14606</v>
      </c>
      <c r="C3457" s="1" t="s">
        <v>14607</v>
      </c>
      <c r="D3457" s="1" t="str">
        <f>"8029895928"</f>
        <v>8029895928</v>
      </c>
      <c r="E3457" s="1">
        <v>5109.0</v>
      </c>
      <c r="F3457" s="1" t="s">
        <v>117</v>
      </c>
      <c r="G3457" s="1" t="s">
        <v>14608</v>
      </c>
      <c r="H3457" s="1">
        <v>6.0</v>
      </c>
      <c r="I3457" s="2">
        <v>5.0</v>
      </c>
      <c r="J3457" s="2">
        <v>3.0</v>
      </c>
      <c r="K3457" s="2" t="s">
        <v>119</v>
      </c>
      <c r="L3457" s="1"/>
      <c r="M3457" s="1">
        <v>1.0</v>
      </c>
      <c r="N3457" s="1" t="s">
        <v>78</v>
      </c>
      <c r="O3457" s="1" t="s">
        <v>2574</v>
      </c>
      <c r="P3457" s="1" t="s">
        <v>14609</v>
      </c>
      <c r="Q3457" s="3">
        <v>42712.0</v>
      </c>
      <c r="R3457" s="1"/>
      <c r="S3457" s="3">
        <v>42972.0</v>
      </c>
      <c r="T3457" s="1" t="s">
        <v>37</v>
      </c>
      <c r="U3457" s="1"/>
      <c r="V3457" s="1" t="s">
        <v>38</v>
      </c>
      <c r="W3457" s="1">
        <v>43.807847</v>
      </c>
      <c r="X3457" s="1">
        <v>-73.0557499999999</v>
      </c>
      <c r="Y3457" s="1" t="s">
        <v>14610</v>
      </c>
      <c r="Z3457" s="1"/>
      <c r="AA3457" s="1" t="s">
        <v>40</v>
      </c>
      <c r="AB3457" s="1" t="s">
        <v>2575</v>
      </c>
      <c r="AC3457" s="1">
        <v>5733.0</v>
      </c>
    </row>
    <row r="3458">
      <c r="A3458" s="1" t="str">
        <f>"000XW1"</f>
        <v>000XW1</v>
      </c>
      <c r="B3458" s="1" t="s">
        <v>14611</v>
      </c>
      <c r="C3458" s="1" t="s">
        <v>14612</v>
      </c>
      <c r="D3458" s="1" t="str">
        <f>"8023162229"</f>
        <v>8023162229</v>
      </c>
      <c r="E3458" s="1">
        <v>5110.0</v>
      </c>
      <c r="F3458" s="1" t="s">
        <v>117</v>
      </c>
      <c r="G3458" s="1" t="s">
        <v>14613</v>
      </c>
      <c r="H3458" s="1">
        <v>1.0</v>
      </c>
      <c r="I3458" s="2" t="s">
        <v>119</v>
      </c>
      <c r="J3458" s="2">
        <v>1.0</v>
      </c>
      <c r="K3458" s="2" t="s">
        <v>119</v>
      </c>
      <c r="L3458" s="1"/>
      <c r="M3458" s="1">
        <v>1.0</v>
      </c>
      <c r="N3458" s="1" t="s">
        <v>107</v>
      </c>
      <c r="O3458" s="1" t="s">
        <v>724</v>
      </c>
      <c r="P3458" s="1" t="s">
        <v>14614</v>
      </c>
      <c r="Q3458" s="3">
        <v>42724.0</v>
      </c>
      <c r="R3458" s="1"/>
      <c r="S3458" s="1"/>
      <c r="T3458" s="1" t="s">
        <v>37</v>
      </c>
      <c r="U3458" s="1"/>
      <c r="V3458" s="1" t="s">
        <v>38</v>
      </c>
      <c r="W3458" s="1">
        <v>44.820659</v>
      </c>
      <c r="X3458" s="1">
        <v>-73.2881373</v>
      </c>
      <c r="Y3458" s="1" t="s">
        <v>14615</v>
      </c>
      <c r="Z3458" s="1"/>
      <c r="AA3458" s="1" t="s">
        <v>40</v>
      </c>
      <c r="AB3458" s="1" t="s">
        <v>725</v>
      </c>
      <c r="AC3458" s="1">
        <v>5474.0</v>
      </c>
    </row>
    <row r="3459">
      <c r="A3459" s="1" t="str">
        <f t="shared" ref="A3459:A3460" si="290">"000M83"</f>
        <v>000M83</v>
      </c>
      <c r="B3459" s="1" t="s">
        <v>1435</v>
      </c>
      <c r="C3459" s="1" t="s">
        <v>1436</v>
      </c>
      <c r="D3459" s="1" t="str">
        <f t="shared" ref="D3459:D3460" si="291">"8025373294"</f>
        <v>8025373294</v>
      </c>
      <c r="E3459" s="1">
        <v>4622.0</v>
      </c>
      <c r="F3459" s="1" t="s">
        <v>117</v>
      </c>
      <c r="G3459" s="1" t="s">
        <v>14616</v>
      </c>
      <c r="H3459" s="1">
        <v>60.0</v>
      </c>
      <c r="I3459" s="2">
        <v>2.0</v>
      </c>
      <c r="J3459" s="2">
        <v>2.0</v>
      </c>
      <c r="K3459" s="2" t="s">
        <v>119</v>
      </c>
      <c r="L3459" s="1"/>
      <c r="M3459" s="1" t="s">
        <v>14617</v>
      </c>
      <c r="N3459" s="1" t="s">
        <v>78</v>
      </c>
      <c r="O3459" s="1" t="s">
        <v>426</v>
      </c>
      <c r="P3459" s="1" t="s">
        <v>14617</v>
      </c>
      <c r="Q3459" s="3">
        <v>42739.0</v>
      </c>
      <c r="R3459" s="1"/>
      <c r="S3459" s="1"/>
      <c r="T3459" s="1" t="s">
        <v>37</v>
      </c>
      <c r="U3459" s="1"/>
      <c r="V3459" s="1" t="s">
        <v>38</v>
      </c>
      <c r="W3459" s="1"/>
      <c r="X3459" s="1"/>
      <c r="Y3459" s="1" t="s">
        <v>2083</v>
      </c>
      <c r="Z3459" s="1"/>
      <c r="AA3459" s="1" t="s">
        <v>40</v>
      </c>
      <c r="AB3459" s="1" t="s">
        <v>427</v>
      </c>
      <c r="AC3459" s="1">
        <v>0.0</v>
      </c>
    </row>
    <row r="3460">
      <c r="A3460" s="1" t="str">
        <f t="shared" si="290"/>
        <v>000M83</v>
      </c>
      <c r="B3460" s="1" t="s">
        <v>1435</v>
      </c>
      <c r="C3460" s="1" t="s">
        <v>1436</v>
      </c>
      <c r="D3460" s="1" t="str">
        <f t="shared" si="291"/>
        <v>8025373294</v>
      </c>
      <c r="E3460" s="1">
        <v>4622.0</v>
      </c>
      <c r="F3460" s="1" t="s">
        <v>117</v>
      </c>
      <c r="G3460" s="1" t="s">
        <v>14618</v>
      </c>
      <c r="H3460" s="1">
        <v>60.0</v>
      </c>
      <c r="I3460" s="2">
        <v>12.0</v>
      </c>
      <c r="J3460" s="2">
        <v>12.0</v>
      </c>
      <c r="K3460" s="2" t="s">
        <v>119</v>
      </c>
      <c r="L3460" s="1"/>
      <c r="M3460" s="1" t="s">
        <v>14619</v>
      </c>
      <c r="N3460" s="1" t="s">
        <v>78</v>
      </c>
      <c r="O3460" s="1" t="s">
        <v>426</v>
      </c>
      <c r="P3460" s="1" t="s">
        <v>14620</v>
      </c>
      <c r="Q3460" s="3">
        <v>42739.0</v>
      </c>
      <c r="R3460" s="1"/>
      <c r="S3460" s="1"/>
      <c r="T3460" s="1" t="s">
        <v>37</v>
      </c>
      <c r="U3460" s="1"/>
      <c r="V3460" s="1" t="s">
        <v>38</v>
      </c>
      <c r="W3460" s="1"/>
      <c r="X3460" s="1"/>
      <c r="Y3460" s="1" t="s">
        <v>2083</v>
      </c>
      <c r="Z3460" s="1"/>
      <c r="AA3460" s="1" t="s">
        <v>40</v>
      </c>
      <c r="AB3460" s="1" t="s">
        <v>427</v>
      </c>
      <c r="AC3460" s="1">
        <v>5743.0</v>
      </c>
    </row>
    <row r="3461">
      <c r="A3461" s="1" t="str">
        <f>"000XYD"</f>
        <v>000XYD</v>
      </c>
      <c r="B3461" s="1" t="s">
        <v>14621</v>
      </c>
      <c r="C3461" s="1" t="s">
        <v>14622</v>
      </c>
      <c r="D3461" s="1" t="str">
        <f>"8028659999"</f>
        <v>8028659999</v>
      </c>
      <c r="E3461" s="1">
        <v>5112.0</v>
      </c>
      <c r="F3461" s="1" t="s">
        <v>117</v>
      </c>
      <c r="G3461" s="1" t="s">
        <v>14623</v>
      </c>
      <c r="H3461" s="1">
        <v>5.0</v>
      </c>
      <c r="I3461" s="1"/>
      <c r="J3461" s="1"/>
      <c r="K3461" s="1"/>
      <c r="L3461" s="1"/>
      <c r="M3461" s="1" t="s">
        <v>14624</v>
      </c>
      <c r="N3461" s="1" t="s">
        <v>57</v>
      </c>
      <c r="O3461" s="1" t="s">
        <v>503</v>
      </c>
      <c r="P3461" s="1" t="s">
        <v>14625</v>
      </c>
      <c r="Q3461" s="3">
        <v>42774.0</v>
      </c>
      <c r="R3461" s="1"/>
      <c r="S3461" s="1"/>
      <c r="T3461" s="1" t="s">
        <v>37</v>
      </c>
      <c r="U3461" s="1"/>
      <c r="V3461" s="1" t="s">
        <v>38</v>
      </c>
      <c r="W3461" s="1">
        <v>44.437427</v>
      </c>
      <c r="X3461" s="1">
        <v>-73.1603499</v>
      </c>
      <c r="Y3461" s="1" t="s">
        <v>14626</v>
      </c>
      <c r="Z3461" s="1"/>
      <c r="AA3461" s="1" t="s">
        <v>40</v>
      </c>
      <c r="AB3461" s="1" t="s">
        <v>5195</v>
      </c>
      <c r="AC3461" s="1">
        <v>5403.0</v>
      </c>
    </row>
    <row r="3462">
      <c r="A3462" s="1" t="str">
        <f>"000Y05"</f>
        <v>000Y05</v>
      </c>
      <c r="B3462" s="1" t="s">
        <v>14627</v>
      </c>
      <c r="C3462" s="1" t="s">
        <v>14628</v>
      </c>
      <c r="D3462" s="1" t="str">
        <f>"8024428326"</f>
        <v>8024428326</v>
      </c>
      <c r="E3462" s="1">
        <v>5113.0</v>
      </c>
      <c r="F3462" s="1" t="s">
        <v>117</v>
      </c>
      <c r="G3462" s="1" t="s">
        <v>14629</v>
      </c>
      <c r="H3462" s="1">
        <v>2.0</v>
      </c>
      <c r="I3462" s="2">
        <v>2.0</v>
      </c>
      <c r="J3462" s="2">
        <v>2.0</v>
      </c>
      <c r="K3462" s="2" t="s">
        <v>119</v>
      </c>
      <c r="L3462" s="1"/>
      <c r="M3462" s="1">
        <v>1.0</v>
      </c>
      <c r="N3462" s="1" t="s">
        <v>414</v>
      </c>
      <c r="O3462" s="1" t="s">
        <v>720</v>
      </c>
      <c r="P3462" s="1" t="s">
        <v>14630</v>
      </c>
      <c r="Q3462" s="3">
        <v>42794.0</v>
      </c>
      <c r="R3462" s="1"/>
      <c r="S3462" s="1"/>
      <c r="T3462" s="1" t="s">
        <v>37</v>
      </c>
      <c r="U3462" s="1"/>
      <c r="V3462" s="1" t="s">
        <v>38</v>
      </c>
      <c r="W3462" s="1">
        <v>42.938072</v>
      </c>
      <c r="X3462" s="1">
        <v>-73.231308</v>
      </c>
      <c r="Y3462" s="1" t="s">
        <v>14631</v>
      </c>
      <c r="Z3462" s="1"/>
      <c r="AA3462" s="1" t="s">
        <v>40</v>
      </c>
      <c r="AB3462" s="1" t="s">
        <v>1161</v>
      </c>
      <c r="AC3462" s="1">
        <v>5257.0</v>
      </c>
    </row>
    <row r="3463">
      <c r="A3463" s="1" t="str">
        <f>"000Y1M"</f>
        <v>000Y1M</v>
      </c>
      <c r="B3463" s="1" t="s">
        <v>14632</v>
      </c>
      <c r="C3463" s="1" t="s">
        <v>14633</v>
      </c>
      <c r="D3463" s="1" t="str">
        <f>"3192705876"</f>
        <v>3192705876</v>
      </c>
      <c r="E3463" s="1">
        <v>5114.0</v>
      </c>
      <c r="F3463" s="1" t="s">
        <v>117</v>
      </c>
      <c r="G3463" s="1" t="s">
        <v>14634</v>
      </c>
      <c r="H3463" s="1">
        <v>9.0</v>
      </c>
      <c r="I3463" s="2">
        <v>0.0</v>
      </c>
      <c r="J3463" s="2" t="s">
        <v>119</v>
      </c>
      <c r="K3463" s="2" t="s">
        <v>829</v>
      </c>
      <c r="L3463" s="1"/>
      <c r="M3463" s="1" t="s">
        <v>14635</v>
      </c>
      <c r="N3463" s="1" t="s">
        <v>135</v>
      </c>
      <c r="O3463" s="1" t="s">
        <v>343</v>
      </c>
      <c r="P3463" s="1" t="s">
        <v>14636</v>
      </c>
      <c r="Q3463" s="3">
        <v>42817.0</v>
      </c>
      <c r="R3463" s="1"/>
      <c r="S3463" s="1"/>
      <c r="T3463" s="1" t="s">
        <v>37</v>
      </c>
      <c r="U3463" s="1"/>
      <c r="V3463" s="1" t="s">
        <v>38</v>
      </c>
      <c r="W3463" s="1">
        <v>44.213955</v>
      </c>
      <c r="X3463" s="1">
        <v>-72.5085232</v>
      </c>
      <c r="Y3463" s="1" t="s">
        <v>14637</v>
      </c>
      <c r="Z3463" s="1"/>
      <c r="AA3463" s="1" t="s">
        <v>40</v>
      </c>
      <c r="AB3463" s="1" t="s">
        <v>4019</v>
      </c>
      <c r="AC3463" s="1">
        <v>5641.0</v>
      </c>
    </row>
    <row r="3464">
      <c r="A3464" s="1" t="str">
        <f t="shared" ref="A3464:A3470" si="292">"000Y23"</f>
        <v>000Y23</v>
      </c>
      <c r="B3464" s="1" t="s">
        <v>14638</v>
      </c>
      <c r="C3464" s="1" t="s">
        <v>14639</v>
      </c>
      <c r="D3464" s="1" t="str">
        <f t="shared" ref="D3464:D3470" si="293">"6032987209"</f>
        <v>6032987209</v>
      </c>
      <c r="E3464" s="1">
        <v>5115.0</v>
      </c>
      <c r="F3464" s="1" t="s">
        <v>117</v>
      </c>
      <c r="G3464" s="1" t="s">
        <v>14640</v>
      </c>
      <c r="H3464" s="1">
        <v>18.0</v>
      </c>
      <c r="I3464" s="2">
        <v>13.0</v>
      </c>
      <c r="J3464" s="2">
        <v>11.0</v>
      </c>
      <c r="K3464" s="2" t="s">
        <v>119</v>
      </c>
      <c r="L3464" s="1"/>
      <c r="M3464" s="1" t="s">
        <v>14641</v>
      </c>
      <c r="N3464" s="1" t="s">
        <v>34</v>
      </c>
      <c r="O3464" s="1" t="s">
        <v>295</v>
      </c>
      <c r="P3464" s="1" t="s">
        <v>14642</v>
      </c>
      <c r="Q3464" s="3">
        <v>42818.0</v>
      </c>
      <c r="R3464" s="1"/>
      <c r="S3464" s="1"/>
      <c r="T3464" s="1" t="s">
        <v>37</v>
      </c>
      <c r="U3464" s="1"/>
      <c r="V3464" s="1" t="s">
        <v>38</v>
      </c>
      <c r="W3464" s="1"/>
      <c r="X3464" s="1"/>
      <c r="Y3464" s="1" t="s">
        <v>2083</v>
      </c>
      <c r="Z3464" s="1"/>
      <c r="AA3464" s="1" t="s">
        <v>40</v>
      </c>
      <c r="AB3464" s="1" t="s">
        <v>34</v>
      </c>
      <c r="AC3464" s="1">
        <v>0.0</v>
      </c>
    </row>
    <row r="3465">
      <c r="A3465" s="1" t="str">
        <f t="shared" si="292"/>
        <v>000Y23</v>
      </c>
      <c r="B3465" s="1" t="s">
        <v>14638</v>
      </c>
      <c r="C3465" s="1" t="s">
        <v>14639</v>
      </c>
      <c r="D3465" s="1" t="str">
        <f t="shared" si="293"/>
        <v>6032987209</v>
      </c>
      <c r="E3465" s="1">
        <v>5115.0</v>
      </c>
      <c r="F3465" s="1" t="s">
        <v>117</v>
      </c>
      <c r="G3465" s="1" t="s">
        <v>14643</v>
      </c>
      <c r="H3465" s="1">
        <v>12.0</v>
      </c>
      <c r="I3465" s="2">
        <v>3.0</v>
      </c>
      <c r="J3465" s="2">
        <v>3.0</v>
      </c>
      <c r="K3465" s="2" t="s">
        <v>119</v>
      </c>
      <c r="L3465" s="1"/>
      <c r="M3465" s="1" t="s">
        <v>14644</v>
      </c>
      <c r="N3465" s="1" t="s">
        <v>34</v>
      </c>
      <c r="O3465" s="1" t="s">
        <v>463</v>
      </c>
      <c r="P3465" s="1" t="s">
        <v>14645</v>
      </c>
      <c r="Q3465" s="3">
        <v>42818.0</v>
      </c>
      <c r="R3465" s="1"/>
      <c r="S3465" s="1"/>
      <c r="T3465" s="1" t="s">
        <v>37</v>
      </c>
      <c r="U3465" s="1"/>
      <c r="V3465" s="1" t="s">
        <v>38</v>
      </c>
      <c r="W3465" s="1"/>
      <c r="X3465" s="1"/>
      <c r="Y3465" s="1" t="s">
        <v>2083</v>
      </c>
      <c r="Z3465" s="1"/>
      <c r="AA3465" s="1" t="s">
        <v>40</v>
      </c>
      <c r="AB3465" s="1" t="s">
        <v>466</v>
      </c>
      <c r="AC3465" s="1">
        <v>5055.0</v>
      </c>
    </row>
    <row r="3466">
      <c r="A3466" s="1" t="str">
        <f t="shared" si="292"/>
        <v>000Y23</v>
      </c>
      <c r="B3466" s="1" t="s">
        <v>14638</v>
      </c>
      <c r="C3466" s="1" t="s">
        <v>14639</v>
      </c>
      <c r="D3466" s="1" t="str">
        <f t="shared" si="293"/>
        <v>6032987209</v>
      </c>
      <c r="E3466" s="1">
        <v>5115.0</v>
      </c>
      <c r="F3466" s="1" t="s">
        <v>117</v>
      </c>
      <c r="G3466" s="1" t="s">
        <v>14646</v>
      </c>
      <c r="H3466" s="1">
        <v>8.0</v>
      </c>
      <c r="I3466" s="2">
        <v>2.0</v>
      </c>
      <c r="J3466" s="2">
        <v>2.0</v>
      </c>
      <c r="K3466" s="2" t="s">
        <v>119</v>
      </c>
      <c r="L3466" s="1"/>
      <c r="M3466" s="1" t="s">
        <v>14647</v>
      </c>
      <c r="N3466" s="1" t="s">
        <v>34</v>
      </c>
      <c r="O3466" s="1" t="s">
        <v>463</v>
      </c>
      <c r="P3466" s="1" t="s">
        <v>14648</v>
      </c>
      <c r="Q3466" s="3">
        <v>42818.0</v>
      </c>
      <c r="R3466" s="1"/>
      <c r="S3466" s="1"/>
      <c r="T3466" s="1" t="s">
        <v>37</v>
      </c>
      <c r="U3466" s="1"/>
      <c r="V3466" s="1" t="s">
        <v>38</v>
      </c>
      <c r="W3466" s="1"/>
      <c r="X3466" s="1"/>
      <c r="Y3466" s="1" t="s">
        <v>2083</v>
      </c>
      <c r="Z3466" s="1"/>
      <c r="AA3466" s="1" t="s">
        <v>40</v>
      </c>
      <c r="AB3466" s="1" t="s">
        <v>466</v>
      </c>
      <c r="AC3466" s="1">
        <v>5055.0</v>
      </c>
    </row>
    <row r="3467">
      <c r="A3467" s="1" t="str">
        <f t="shared" si="292"/>
        <v>000Y23</v>
      </c>
      <c r="B3467" s="1" t="s">
        <v>14638</v>
      </c>
      <c r="C3467" s="1" t="s">
        <v>14639</v>
      </c>
      <c r="D3467" s="1" t="str">
        <f t="shared" si="293"/>
        <v>6032987209</v>
      </c>
      <c r="E3467" s="1">
        <v>5115.0</v>
      </c>
      <c r="F3467" s="1" t="s">
        <v>117</v>
      </c>
      <c r="G3467" s="1" t="s">
        <v>14649</v>
      </c>
      <c r="H3467" s="1">
        <v>18.0</v>
      </c>
      <c r="I3467" s="2">
        <v>7.0</v>
      </c>
      <c r="J3467" s="2">
        <v>5.0</v>
      </c>
      <c r="K3467" s="2" t="s">
        <v>119</v>
      </c>
      <c r="L3467" s="1"/>
      <c r="M3467" s="1" t="s">
        <v>14650</v>
      </c>
      <c r="N3467" s="1" t="s">
        <v>34</v>
      </c>
      <c r="O3467" s="1" t="s">
        <v>463</v>
      </c>
      <c r="P3467" s="1" t="s">
        <v>14650</v>
      </c>
      <c r="Q3467" s="3">
        <v>42818.0</v>
      </c>
      <c r="R3467" s="1"/>
      <c r="S3467" s="1"/>
      <c r="T3467" s="1" t="s">
        <v>37</v>
      </c>
      <c r="U3467" s="1"/>
      <c r="V3467" s="1" t="s">
        <v>38</v>
      </c>
      <c r="W3467" s="1"/>
      <c r="X3467" s="1"/>
      <c r="Y3467" s="1" t="s">
        <v>2083</v>
      </c>
      <c r="Z3467" s="1"/>
      <c r="AA3467" s="1" t="s">
        <v>40</v>
      </c>
      <c r="AB3467" s="1" t="s">
        <v>466</v>
      </c>
      <c r="AC3467" s="1">
        <v>5055.0</v>
      </c>
    </row>
    <row r="3468">
      <c r="A3468" s="1" t="str">
        <f t="shared" si="292"/>
        <v>000Y23</v>
      </c>
      <c r="B3468" s="1" t="s">
        <v>14638</v>
      </c>
      <c r="C3468" s="1" t="s">
        <v>14639</v>
      </c>
      <c r="D3468" s="1" t="str">
        <f t="shared" si="293"/>
        <v>6032987209</v>
      </c>
      <c r="E3468" s="1">
        <v>5115.0</v>
      </c>
      <c r="F3468" s="1" t="s">
        <v>117</v>
      </c>
      <c r="G3468" s="1" t="s">
        <v>14651</v>
      </c>
      <c r="H3468" s="1">
        <v>18.0</v>
      </c>
      <c r="I3468" s="2" t="s">
        <v>119</v>
      </c>
      <c r="J3468" s="2" t="s">
        <v>119</v>
      </c>
      <c r="K3468" s="2" t="s">
        <v>119</v>
      </c>
      <c r="L3468" s="1"/>
      <c r="M3468" s="1" t="s">
        <v>14652</v>
      </c>
      <c r="N3468" s="1" t="s">
        <v>142</v>
      </c>
      <c r="O3468" s="1"/>
      <c r="P3468" s="1" t="s">
        <v>14645</v>
      </c>
      <c r="Q3468" s="3">
        <v>42818.0</v>
      </c>
      <c r="R3468" s="1"/>
      <c r="S3468" s="1"/>
      <c r="T3468" s="1" t="s">
        <v>37</v>
      </c>
      <c r="U3468" s="1"/>
      <c r="V3468" s="1" t="s">
        <v>38</v>
      </c>
      <c r="W3468" s="1"/>
      <c r="X3468" s="1"/>
      <c r="Y3468" s="1" t="s">
        <v>2083</v>
      </c>
      <c r="Z3468" s="1"/>
      <c r="AA3468" s="1" t="s">
        <v>40</v>
      </c>
      <c r="AB3468" s="1" t="s">
        <v>2083</v>
      </c>
      <c r="AC3468" s="1">
        <v>0.0</v>
      </c>
    </row>
    <row r="3469">
      <c r="A3469" s="1" t="str">
        <f t="shared" si="292"/>
        <v>000Y23</v>
      </c>
      <c r="B3469" s="1" t="s">
        <v>14638</v>
      </c>
      <c r="C3469" s="1" t="s">
        <v>14639</v>
      </c>
      <c r="D3469" s="1" t="str">
        <f t="shared" si="293"/>
        <v>6032987209</v>
      </c>
      <c r="E3469" s="1">
        <v>5115.0</v>
      </c>
      <c r="F3469" s="1" t="s">
        <v>117</v>
      </c>
      <c r="G3469" s="1" t="s">
        <v>14653</v>
      </c>
      <c r="H3469" s="1">
        <v>50.0</v>
      </c>
      <c r="I3469" s="2">
        <v>23.0</v>
      </c>
      <c r="J3469" s="2">
        <v>8.0</v>
      </c>
      <c r="K3469" s="2" t="s">
        <v>119</v>
      </c>
      <c r="L3469" s="1"/>
      <c r="M3469" s="1" t="s">
        <v>14654</v>
      </c>
      <c r="N3469" s="1" t="s">
        <v>34</v>
      </c>
      <c r="O3469" s="1" t="s">
        <v>85</v>
      </c>
      <c r="P3469" s="1" t="s">
        <v>14655</v>
      </c>
      <c r="Q3469" s="3">
        <v>42818.0</v>
      </c>
      <c r="R3469" s="1"/>
      <c r="S3469" s="1"/>
      <c r="T3469" s="1" t="s">
        <v>37</v>
      </c>
      <c r="U3469" s="1"/>
      <c r="V3469" s="1" t="s">
        <v>38</v>
      </c>
      <c r="W3469" s="1"/>
      <c r="X3469" s="1"/>
      <c r="Y3469" s="1" t="s">
        <v>2083</v>
      </c>
      <c r="Z3469" s="1"/>
      <c r="AA3469" s="1" t="s">
        <v>40</v>
      </c>
      <c r="AB3469" s="1" t="s">
        <v>86</v>
      </c>
      <c r="AC3469" s="1">
        <v>0.0</v>
      </c>
    </row>
    <row r="3470">
      <c r="A3470" s="1" t="str">
        <f t="shared" si="292"/>
        <v>000Y23</v>
      </c>
      <c r="B3470" s="1" t="s">
        <v>14638</v>
      </c>
      <c r="C3470" s="1" t="s">
        <v>14639</v>
      </c>
      <c r="D3470" s="1" t="str">
        <f t="shared" si="293"/>
        <v>6032987209</v>
      </c>
      <c r="E3470" s="1">
        <v>5115.0</v>
      </c>
      <c r="F3470" s="1" t="s">
        <v>117</v>
      </c>
      <c r="G3470" s="1" t="s">
        <v>14656</v>
      </c>
      <c r="H3470" s="1">
        <v>120.0</v>
      </c>
      <c r="I3470" s="2">
        <v>120.0</v>
      </c>
      <c r="J3470" s="2">
        <v>120.0</v>
      </c>
      <c r="K3470" s="2" t="s">
        <v>119</v>
      </c>
      <c r="L3470" s="1"/>
      <c r="M3470" s="1" t="s">
        <v>14657</v>
      </c>
      <c r="N3470" s="1" t="s">
        <v>34</v>
      </c>
      <c r="O3470" s="1" t="s">
        <v>85</v>
      </c>
      <c r="P3470" s="1" t="s">
        <v>14658</v>
      </c>
      <c r="Q3470" s="3">
        <v>42818.0</v>
      </c>
      <c r="R3470" s="1"/>
      <c r="S3470" s="1"/>
      <c r="T3470" s="1" t="s">
        <v>37</v>
      </c>
      <c r="U3470" s="1"/>
      <c r="V3470" s="1" t="s">
        <v>38</v>
      </c>
      <c r="W3470" s="1"/>
      <c r="X3470" s="1"/>
      <c r="Y3470" s="1" t="s">
        <v>2083</v>
      </c>
      <c r="Z3470" s="1"/>
      <c r="AA3470" s="1" t="s">
        <v>40</v>
      </c>
      <c r="AB3470" s="1" t="s">
        <v>14659</v>
      </c>
      <c r="AC3470" s="1">
        <v>0.0</v>
      </c>
    </row>
    <row r="3471">
      <c r="A3471" s="1" t="str">
        <f>"000Y2Z"</f>
        <v>000Y2Z</v>
      </c>
      <c r="B3471" s="1" t="s">
        <v>14660</v>
      </c>
      <c r="C3471" s="1" t="s">
        <v>14661</v>
      </c>
      <c r="D3471" s="1" t="str">
        <f>"8029997911"</f>
        <v>8029997911</v>
      </c>
      <c r="E3471" s="1">
        <v>5116.0</v>
      </c>
      <c r="F3471" s="1" t="s">
        <v>117</v>
      </c>
      <c r="G3471" s="1" t="s">
        <v>14662</v>
      </c>
      <c r="H3471" s="1">
        <v>3.0</v>
      </c>
      <c r="I3471" s="2">
        <v>1.0</v>
      </c>
      <c r="J3471" s="2">
        <v>1.0</v>
      </c>
      <c r="K3471" s="2" t="s">
        <v>119</v>
      </c>
      <c r="L3471" s="1"/>
      <c r="M3471" s="1">
        <v>1.0</v>
      </c>
      <c r="N3471" s="1" t="s">
        <v>57</v>
      </c>
      <c r="O3471" s="1" t="s">
        <v>745</v>
      </c>
      <c r="P3471" s="1" t="s">
        <v>6946</v>
      </c>
      <c r="Q3471" s="3">
        <v>42824.0</v>
      </c>
      <c r="R3471" s="1"/>
      <c r="S3471" s="1"/>
      <c r="T3471" s="1" t="s">
        <v>37</v>
      </c>
      <c r="U3471" s="1"/>
      <c r="V3471" s="1" t="s">
        <v>38</v>
      </c>
      <c r="W3471" s="1">
        <v>44.440033</v>
      </c>
      <c r="X3471" s="1">
        <v>-72.96901</v>
      </c>
      <c r="Y3471" s="1" t="s">
        <v>14663</v>
      </c>
      <c r="Z3471" s="1"/>
      <c r="AA3471" s="1" t="s">
        <v>40</v>
      </c>
      <c r="AB3471" s="1" t="s">
        <v>14664</v>
      </c>
      <c r="AC3471" s="1">
        <v>5465.0</v>
      </c>
    </row>
    <row r="3472">
      <c r="A3472" s="1" t="str">
        <f>"0008G3"</f>
        <v>0008G3</v>
      </c>
      <c r="B3472" s="1" t="s">
        <v>8083</v>
      </c>
      <c r="C3472" s="1" t="s">
        <v>8084</v>
      </c>
      <c r="D3472" s="1" t="str">
        <f>"8023330084"</f>
        <v>8023330084</v>
      </c>
      <c r="E3472" s="1">
        <v>3796.0</v>
      </c>
      <c r="F3472" s="1" t="s">
        <v>117</v>
      </c>
      <c r="G3472" s="1" t="s">
        <v>14665</v>
      </c>
      <c r="H3472" s="1">
        <v>4.0</v>
      </c>
      <c r="I3472" s="2">
        <v>3.0</v>
      </c>
      <c r="J3472" s="2">
        <v>3.0</v>
      </c>
      <c r="K3472" s="2" t="s">
        <v>119</v>
      </c>
      <c r="L3472" s="2" t="s">
        <v>3077</v>
      </c>
      <c r="M3472" s="1" t="s">
        <v>14666</v>
      </c>
      <c r="N3472" s="1" t="s">
        <v>161</v>
      </c>
      <c r="O3472" s="1" t="s">
        <v>394</v>
      </c>
      <c r="P3472" s="1" t="s">
        <v>14667</v>
      </c>
      <c r="Q3472" s="3">
        <v>42829.0</v>
      </c>
      <c r="R3472" s="1"/>
      <c r="S3472" s="1"/>
      <c r="T3472" s="1" t="s">
        <v>37</v>
      </c>
      <c r="U3472" s="1"/>
      <c r="V3472" s="1" t="s">
        <v>38</v>
      </c>
      <c r="W3472" s="1">
        <v>44.2604262849964</v>
      </c>
      <c r="X3472" s="1">
        <v>-73.1282642483711</v>
      </c>
      <c r="Y3472" s="1" t="s">
        <v>14668</v>
      </c>
      <c r="Z3472" s="1"/>
      <c r="AA3472" s="1" t="s">
        <v>40</v>
      </c>
      <c r="AB3472" s="1" t="s">
        <v>395</v>
      </c>
      <c r="AC3472" s="1">
        <v>5473.0</v>
      </c>
    </row>
    <row r="3473">
      <c r="A3473" s="1" t="str">
        <f>"000Y3N"</f>
        <v>000Y3N</v>
      </c>
      <c r="B3473" s="1" t="s">
        <v>14669</v>
      </c>
      <c r="C3473" s="1" t="s">
        <v>14670</v>
      </c>
      <c r="D3473" s="1" t="str">
        <f>"8023459163"</f>
        <v>8023459163</v>
      </c>
      <c r="E3473" s="1">
        <v>5117.0</v>
      </c>
      <c r="F3473" s="1" t="s">
        <v>117</v>
      </c>
      <c r="G3473" s="1" t="s">
        <v>14671</v>
      </c>
      <c r="H3473" s="1">
        <v>3.0</v>
      </c>
      <c r="I3473" s="2" t="s">
        <v>119</v>
      </c>
      <c r="J3473" s="2">
        <v>4.0</v>
      </c>
      <c r="K3473" s="2" t="s">
        <v>119</v>
      </c>
      <c r="L3473" s="1"/>
      <c r="M3473" s="1">
        <v>1.0</v>
      </c>
      <c r="N3473" s="1" t="s">
        <v>78</v>
      </c>
      <c r="O3473" s="1" t="s">
        <v>3828</v>
      </c>
      <c r="P3473" s="1" t="s">
        <v>14672</v>
      </c>
      <c r="Q3473" s="3">
        <v>42831.0</v>
      </c>
      <c r="R3473" s="1"/>
      <c r="S3473" s="1"/>
      <c r="T3473" s="1" t="s">
        <v>37</v>
      </c>
      <c r="U3473" s="1"/>
      <c r="V3473" s="1" t="s">
        <v>38</v>
      </c>
      <c r="W3473" s="1">
        <v>43.561634</v>
      </c>
      <c r="X3473" s="1">
        <v>-72.946887</v>
      </c>
      <c r="Y3473" s="1" t="s">
        <v>14673</v>
      </c>
      <c r="Z3473" s="1"/>
      <c r="AA3473" s="1" t="s">
        <v>40</v>
      </c>
      <c r="AB3473" s="1" t="s">
        <v>11073</v>
      </c>
      <c r="AC3473" s="1">
        <v>5759.0</v>
      </c>
    </row>
    <row r="3474">
      <c r="A3474" s="1" t="str">
        <f>"000Y92"</f>
        <v>000Y92</v>
      </c>
      <c r="B3474" s="1" t="s">
        <v>14674</v>
      </c>
      <c r="C3474" s="1" t="s">
        <v>14675</v>
      </c>
      <c r="D3474" s="1" t="str">
        <f>"5183702709"</f>
        <v>5183702709</v>
      </c>
      <c r="E3474" s="1">
        <v>5118.0</v>
      </c>
      <c r="F3474" s="1" t="s">
        <v>117</v>
      </c>
      <c r="G3474" s="1" t="s">
        <v>14676</v>
      </c>
      <c r="H3474" s="1">
        <v>1.0</v>
      </c>
      <c r="I3474" s="2" t="s">
        <v>119</v>
      </c>
      <c r="J3474" s="2" t="s">
        <v>119</v>
      </c>
      <c r="K3474" s="2" t="s">
        <v>119</v>
      </c>
      <c r="L3474" s="1"/>
      <c r="M3474" s="1" t="s">
        <v>72</v>
      </c>
      <c r="N3474" s="1" t="s">
        <v>78</v>
      </c>
      <c r="O3474" s="1"/>
      <c r="P3474" s="1" t="s">
        <v>14677</v>
      </c>
      <c r="Q3474" s="3">
        <v>42858.0</v>
      </c>
      <c r="R3474" s="1"/>
      <c r="S3474" s="3">
        <v>42858.0</v>
      </c>
      <c r="T3474" s="1" t="s">
        <v>37</v>
      </c>
      <c r="U3474" s="1"/>
      <c r="V3474" s="1" t="s">
        <v>38</v>
      </c>
      <c r="W3474" s="1">
        <v>43.4198925</v>
      </c>
      <c r="X3474" s="1">
        <v>-73.2059304</v>
      </c>
      <c r="Y3474" s="1" t="s">
        <v>14678</v>
      </c>
      <c r="Z3474" s="1"/>
      <c r="AA3474" s="1" t="s">
        <v>40</v>
      </c>
      <c r="AB3474" s="1" t="s">
        <v>374</v>
      </c>
      <c r="AC3474" s="1">
        <v>5774.0</v>
      </c>
    </row>
    <row r="3475">
      <c r="A3475" s="1" t="str">
        <f>"000Y9Q"</f>
        <v>000Y9Q</v>
      </c>
      <c r="B3475" s="1" t="s">
        <v>14679</v>
      </c>
      <c r="C3475" s="1" t="s">
        <v>14680</v>
      </c>
      <c r="D3475" s="1" t="str">
        <f>"8028886637"</f>
        <v>8028886637</v>
      </c>
      <c r="E3475" s="1">
        <v>5119.0</v>
      </c>
      <c r="F3475" s="1" t="s">
        <v>117</v>
      </c>
      <c r="G3475" s="1" t="s">
        <v>14681</v>
      </c>
      <c r="H3475" s="1">
        <v>2.0</v>
      </c>
      <c r="I3475" s="2" t="s">
        <v>119</v>
      </c>
      <c r="J3475" s="2" t="s">
        <v>119</v>
      </c>
      <c r="K3475" s="2" t="s">
        <v>119</v>
      </c>
      <c r="L3475" s="1"/>
      <c r="M3475" s="1">
        <v>1.0</v>
      </c>
      <c r="N3475" s="1" t="s">
        <v>213</v>
      </c>
      <c r="O3475" s="1" t="s">
        <v>625</v>
      </c>
      <c r="P3475" s="1" t="s">
        <v>14682</v>
      </c>
      <c r="Q3475" s="3">
        <v>42860.0</v>
      </c>
      <c r="R3475" s="1"/>
      <c r="S3475" s="1"/>
      <c r="T3475" s="1" t="s">
        <v>37</v>
      </c>
      <c r="U3475" s="1"/>
      <c r="V3475" s="1" t="s">
        <v>38</v>
      </c>
      <c r="W3475" s="1">
        <v>44.5981219</v>
      </c>
      <c r="X3475" s="1">
        <v>-72.611471</v>
      </c>
      <c r="Y3475" s="1" t="s">
        <v>14683</v>
      </c>
      <c r="Z3475" s="1"/>
      <c r="AA3475" s="1" t="s">
        <v>40</v>
      </c>
      <c r="AB3475" s="1" t="s">
        <v>14684</v>
      </c>
      <c r="AC3475" s="1">
        <v>5655.0</v>
      </c>
    </row>
    <row r="3476">
      <c r="A3476" s="1" t="str">
        <f>"000Y9V"</f>
        <v>000Y9V</v>
      </c>
      <c r="B3476" s="1" t="s">
        <v>14685</v>
      </c>
      <c r="C3476" s="1" t="s">
        <v>14686</v>
      </c>
      <c r="D3476" s="1" t="str">
        <f>"8028794868"</f>
        <v>8028794868</v>
      </c>
      <c r="E3476" s="1">
        <v>5120.0</v>
      </c>
      <c r="F3476" s="1" t="s">
        <v>117</v>
      </c>
      <c r="G3476" s="1" t="s">
        <v>14687</v>
      </c>
      <c r="H3476" s="1">
        <v>2.0</v>
      </c>
      <c r="I3476" s="2" t="s">
        <v>119</v>
      </c>
      <c r="J3476" s="2" t="s">
        <v>119</v>
      </c>
      <c r="K3476" s="2" t="s">
        <v>119</v>
      </c>
      <c r="L3476" s="1"/>
      <c r="M3476" s="1" t="s">
        <v>33</v>
      </c>
      <c r="N3476" s="1" t="s">
        <v>57</v>
      </c>
      <c r="O3476" s="1" t="s">
        <v>2092</v>
      </c>
      <c r="P3476" s="1" t="s">
        <v>14688</v>
      </c>
      <c r="Q3476" s="3">
        <v>42860.0</v>
      </c>
      <c r="R3476" s="1"/>
      <c r="S3476" s="1"/>
      <c r="T3476" s="1" t="s">
        <v>37</v>
      </c>
      <c r="U3476" s="1"/>
      <c r="V3476" s="1" t="s">
        <v>38</v>
      </c>
      <c r="W3476" s="1">
        <v>44.465191</v>
      </c>
      <c r="X3476" s="1">
        <v>-73.048035</v>
      </c>
      <c r="Y3476" s="1" t="s">
        <v>14689</v>
      </c>
      <c r="Z3476" s="1"/>
      <c r="AA3476" s="1" t="s">
        <v>40</v>
      </c>
      <c r="AB3476" s="1" t="s">
        <v>14690</v>
      </c>
      <c r="AC3476" s="1">
        <v>5495.0</v>
      </c>
    </row>
    <row r="3477">
      <c r="A3477" s="1" t="str">
        <f>"000Y9W"</f>
        <v>000Y9W</v>
      </c>
      <c r="B3477" s="1" t="s">
        <v>14691</v>
      </c>
      <c r="C3477" s="1" t="s">
        <v>14692</v>
      </c>
      <c r="D3477" s="1" t="str">
        <f>"8024533610"</f>
        <v>8024533610</v>
      </c>
      <c r="E3477" s="1">
        <v>5121.0</v>
      </c>
      <c r="F3477" s="1" t="s">
        <v>117</v>
      </c>
      <c r="G3477" s="1" t="s">
        <v>14693</v>
      </c>
      <c r="H3477" s="1">
        <v>2.0</v>
      </c>
      <c r="I3477" s="2" t="s">
        <v>119</v>
      </c>
      <c r="J3477" s="2" t="s">
        <v>119</v>
      </c>
      <c r="K3477" s="2" t="s">
        <v>119</v>
      </c>
      <c r="L3477" s="1"/>
      <c r="M3477" s="1"/>
      <c r="N3477" s="1" t="s">
        <v>161</v>
      </c>
      <c r="O3477" s="1" t="s">
        <v>394</v>
      </c>
      <c r="P3477" s="1" t="s">
        <v>14694</v>
      </c>
      <c r="Q3477" s="3">
        <v>42860.0</v>
      </c>
      <c r="R3477" s="1"/>
      <c r="S3477" s="1"/>
      <c r="T3477" s="1" t="s">
        <v>37</v>
      </c>
      <c r="U3477" s="1"/>
      <c r="V3477" s="1" t="s">
        <v>38</v>
      </c>
      <c r="W3477" s="1">
        <v>44.235096</v>
      </c>
      <c r="X3477" s="1">
        <v>-73.1463239999999</v>
      </c>
      <c r="Y3477" s="1" t="s">
        <v>14695</v>
      </c>
      <c r="Z3477" s="1"/>
      <c r="AA3477" s="1" t="s">
        <v>40</v>
      </c>
      <c r="AB3477" s="1" t="s">
        <v>14696</v>
      </c>
      <c r="AC3477" s="1">
        <v>5469.0</v>
      </c>
    </row>
    <row r="3478">
      <c r="A3478" s="1" t="str">
        <f>"000Y9X"</f>
        <v>000Y9X</v>
      </c>
      <c r="B3478" s="1" t="s">
        <v>14697</v>
      </c>
      <c r="C3478" s="1" t="s">
        <v>14698</v>
      </c>
      <c r="D3478" s="1" t="str">
        <f>"8024426530"</f>
        <v>8024426530</v>
      </c>
      <c r="E3478" s="1">
        <v>5122.0</v>
      </c>
      <c r="F3478" s="1" t="s">
        <v>117</v>
      </c>
      <c r="G3478" s="1" t="s">
        <v>14699</v>
      </c>
      <c r="H3478" s="1">
        <v>5.0</v>
      </c>
      <c r="I3478" s="2" t="s">
        <v>119</v>
      </c>
      <c r="J3478" s="2" t="s">
        <v>119</v>
      </c>
      <c r="K3478" s="2" t="s">
        <v>119</v>
      </c>
      <c r="L3478" s="1"/>
      <c r="M3478" s="1" t="s">
        <v>72</v>
      </c>
      <c r="N3478" s="1" t="s">
        <v>414</v>
      </c>
      <c r="O3478" s="1" t="s">
        <v>720</v>
      </c>
      <c r="P3478" s="1" t="s">
        <v>14700</v>
      </c>
      <c r="Q3478" s="3">
        <v>42860.0</v>
      </c>
      <c r="R3478" s="1"/>
      <c r="S3478" s="1"/>
      <c r="T3478" s="1" t="s">
        <v>37</v>
      </c>
      <c r="U3478" s="1"/>
      <c r="V3478" s="1" t="s">
        <v>38</v>
      </c>
      <c r="W3478" s="1">
        <v>42.931953</v>
      </c>
      <c r="X3478" s="1">
        <v>-73.2450789999999</v>
      </c>
      <c r="Y3478" s="1" t="s">
        <v>14701</v>
      </c>
      <c r="Z3478" s="1"/>
      <c r="AA3478" s="1" t="s">
        <v>40</v>
      </c>
      <c r="AB3478" s="1" t="s">
        <v>14702</v>
      </c>
      <c r="AC3478" s="1">
        <v>5257.0</v>
      </c>
    </row>
    <row r="3479">
      <c r="A3479" s="1" t="str">
        <f>"000YAY"</f>
        <v>000YAY</v>
      </c>
      <c r="B3479" s="1" t="s">
        <v>14703</v>
      </c>
      <c r="C3479" s="1" t="s">
        <v>14704</v>
      </c>
      <c r="D3479" s="1" t="str">
        <f>"8028533922"</f>
        <v>8028533922</v>
      </c>
      <c r="E3479" s="1">
        <v>5123.0</v>
      </c>
      <c r="F3479" s="1" t="s">
        <v>117</v>
      </c>
      <c r="G3479" s="1" t="s">
        <v>14705</v>
      </c>
      <c r="H3479" s="1">
        <v>2.0</v>
      </c>
      <c r="I3479" s="2" t="s">
        <v>119</v>
      </c>
      <c r="J3479" s="2" t="s">
        <v>119</v>
      </c>
      <c r="K3479" s="2" t="s">
        <v>119</v>
      </c>
      <c r="L3479" s="1"/>
      <c r="M3479" s="1">
        <v>1.0</v>
      </c>
      <c r="N3479" s="1" t="s">
        <v>49</v>
      </c>
      <c r="O3479" s="1"/>
      <c r="P3479" s="1" t="s">
        <v>14706</v>
      </c>
      <c r="Q3479" s="3">
        <v>42865.0</v>
      </c>
      <c r="R3479" s="1"/>
      <c r="S3479" s="1"/>
      <c r="T3479" s="1" t="s">
        <v>37</v>
      </c>
      <c r="U3479" s="1"/>
      <c r="V3479" s="1" t="s">
        <v>38</v>
      </c>
      <c r="W3479" s="1">
        <v>44.4348979</v>
      </c>
      <c r="X3479" s="1">
        <v>-72.714553</v>
      </c>
      <c r="Y3479" s="1" t="s">
        <v>14707</v>
      </c>
      <c r="Z3479" s="1"/>
      <c r="AA3479" s="1" t="s">
        <v>40</v>
      </c>
      <c r="AB3479" s="1" t="s">
        <v>14708</v>
      </c>
      <c r="AC3479" s="1">
        <v>5672.0</v>
      </c>
    </row>
    <row r="3480">
      <c r="A3480" s="1" t="str">
        <f>"000YAZ"</f>
        <v>000YAZ</v>
      </c>
      <c r="B3480" s="1" t="s">
        <v>14709</v>
      </c>
      <c r="C3480" s="1" t="s">
        <v>14710</v>
      </c>
      <c r="D3480" s="1" t="str">
        <f>"8028796252"</f>
        <v>8028796252</v>
      </c>
      <c r="E3480" s="1">
        <v>5124.0</v>
      </c>
      <c r="F3480" s="1" t="s">
        <v>117</v>
      </c>
      <c r="G3480" s="1" t="s">
        <v>14711</v>
      </c>
      <c r="H3480" s="1">
        <v>2.0</v>
      </c>
      <c r="I3480" s="2" t="s">
        <v>119</v>
      </c>
      <c r="J3480" s="2" t="s">
        <v>119</v>
      </c>
      <c r="K3480" s="2" t="s">
        <v>119</v>
      </c>
      <c r="L3480" s="1"/>
      <c r="M3480" s="1" t="s">
        <v>14712</v>
      </c>
      <c r="N3480" s="1" t="s">
        <v>57</v>
      </c>
      <c r="O3480" s="1" t="s">
        <v>559</v>
      </c>
      <c r="P3480" s="1" t="s">
        <v>14713</v>
      </c>
      <c r="Q3480" s="3">
        <v>42865.0</v>
      </c>
      <c r="R3480" s="1"/>
      <c r="S3480" s="1"/>
      <c r="T3480" s="1" t="s">
        <v>37</v>
      </c>
      <c r="U3480" s="1"/>
      <c r="V3480" s="1" t="s">
        <v>38</v>
      </c>
      <c r="W3480" s="1">
        <v>44.562052</v>
      </c>
      <c r="X3480" s="1">
        <v>-73.149855</v>
      </c>
      <c r="Y3480" s="1" t="s">
        <v>14714</v>
      </c>
      <c r="Z3480" s="1"/>
      <c r="AA3480" s="1" t="s">
        <v>40</v>
      </c>
      <c r="AB3480" s="1" t="s">
        <v>14715</v>
      </c>
      <c r="AC3480" s="1">
        <v>5446.0</v>
      </c>
    </row>
    <row r="3481">
      <c r="A3481" s="1" t="str">
        <f>"000YB0"</f>
        <v>000YB0</v>
      </c>
      <c r="B3481" s="1" t="s">
        <v>14716</v>
      </c>
      <c r="C3481" s="1" t="s">
        <v>14717</v>
      </c>
      <c r="D3481" s="1" t="str">
        <f>"8023187744"</f>
        <v>8023187744</v>
      </c>
      <c r="E3481" s="1">
        <v>5125.0</v>
      </c>
      <c r="F3481" s="1" t="s">
        <v>117</v>
      </c>
      <c r="G3481" s="1" t="s">
        <v>14718</v>
      </c>
      <c r="H3481" s="1">
        <v>1.0</v>
      </c>
      <c r="I3481" s="1"/>
      <c r="J3481" s="1"/>
      <c r="K3481" s="1"/>
      <c r="L3481" s="1"/>
      <c r="M3481" s="1" t="s">
        <v>13741</v>
      </c>
      <c r="N3481" s="1" t="s">
        <v>47</v>
      </c>
      <c r="O3481" s="1" t="s">
        <v>582</v>
      </c>
      <c r="P3481" s="1" t="s">
        <v>14719</v>
      </c>
      <c r="Q3481" s="3">
        <v>42865.0</v>
      </c>
      <c r="R3481" s="1"/>
      <c r="S3481" s="1"/>
      <c r="T3481" s="1" t="s">
        <v>37</v>
      </c>
      <c r="U3481" s="1"/>
      <c r="V3481" s="1" t="s">
        <v>38</v>
      </c>
      <c r="W3481" s="1"/>
      <c r="X3481" s="1"/>
      <c r="Y3481" s="1" t="s">
        <v>14720</v>
      </c>
      <c r="Z3481" s="1"/>
      <c r="AA3481" s="1" t="s">
        <v>40</v>
      </c>
      <c r="AB3481" s="1" t="s">
        <v>583</v>
      </c>
      <c r="AC3481" s="1">
        <v>5478.0</v>
      </c>
    </row>
    <row r="3482">
      <c r="A3482" s="1" t="str">
        <f>"000N11"</f>
        <v>000N11</v>
      </c>
      <c r="B3482" s="1" t="s">
        <v>14721</v>
      </c>
      <c r="C3482" s="1" t="s">
        <v>14722</v>
      </c>
      <c r="D3482" s="1" t="str">
        <f>"8034858586"</f>
        <v>8034858586</v>
      </c>
      <c r="E3482" s="1">
        <v>5126.0</v>
      </c>
      <c r="F3482" s="1" t="s">
        <v>117</v>
      </c>
      <c r="G3482" s="1" t="s">
        <v>14723</v>
      </c>
      <c r="H3482" s="1">
        <v>1.0</v>
      </c>
      <c r="I3482" s="1"/>
      <c r="J3482" s="1"/>
      <c r="K3482" s="1"/>
      <c r="L3482" s="1"/>
      <c r="M3482" s="1" t="s">
        <v>33</v>
      </c>
      <c r="N3482" s="1" t="s">
        <v>135</v>
      </c>
      <c r="O3482" s="1" t="s">
        <v>136</v>
      </c>
      <c r="P3482" s="1" t="s">
        <v>14724</v>
      </c>
      <c r="Q3482" s="3">
        <v>42865.0</v>
      </c>
      <c r="R3482" s="1"/>
      <c r="S3482" s="1"/>
      <c r="T3482" s="1" t="s">
        <v>37</v>
      </c>
      <c r="U3482" s="1"/>
      <c r="V3482" s="1" t="s">
        <v>38</v>
      </c>
      <c r="W3482" s="1"/>
      <c r="X3482" s="1"/>
      <c r="Y3482" s="1" t="s">
        <v>14725</v>
      </c>
      <c r="Z3482" s="1"/>
      <c r="AA3482" s="1" t="s">
        <v>40</v>
      </c>
      <c r="AB3482" s="1" t="s">
        <v>137</v>
      </c>
      <c r="AC3482" s="1">
        <v>5663.0</v>
      </c>
    </row>
    <row r="3483">
      <c r="A3483" s="1" t="str">
        <f>"000YB2"</f>
        <v>000YB2</v>
      </c>
      <c r="B3483" s="1" t="s">
        <v>14726</v>
      </c>
      <c r="C3483" s="1" t="s">
        <v>14727</v>
      </c>
      <c r="D3483" s="1" t="str">
        <f>"8024533868"</f>
        <v>8024533868</v>
      </c>
      <c r="E3483" s="1">
        <v>5128.0</v>
      </c>
      <c r="F3483" s="1" t="s">
        <v>117</v>
      </c>
      <c r="G3483" s="1" t="s">
        <v>14728</v>
      </c>
      <c r="H3483" s="1">
        <v>2.0</v>
      </c>
      <c r="I3483" s="1"/>
      <c r="J3483" s="1"/>
      <c r="K3483" s="1"/>
      <c r="L3483" s="1"/>
      <c r="M3483" s="1" t="s">
        <v>14729</v>
      </c>
      <c r="N3483" s="1" t="s">
        <v>161</v>
      </c>
      <c r="O3483" s="1" t="s">
        <v>307</v>
      </c>
      <c r="P3483" s="1" t="s">
        <v>14730</v>
      </c>
      <c r="Q3483" s="3">
        <v>42865.0</v>
      </c>
      <c r="R3483" s="1"/>
      <c r="S3483" s="1"/>
      <c r="T3483" s="1" t="s">
        <v>37</v>
      </c>
      <c r="U3483" s="1"/>
      <c r="V3483" s="1" t="s">
        <v>38</v>
      </c>
      <c r="W3483" s="1">
        <v>44.070816</v>
      </c>
      <c r="X3483" s="1">
        <v>-73.056366</v>
      </c>
      <c r="Y3483" s="1" t="s">
        <v>8392</v>
      </c>
      <c r="Z3483" s="1"/>
      <c r="AA3483" s="1" t="s">
        <v>40</v>
      </c>
      <c r="AB3483" s="1" t="s">
        <v>308</v>
      </c>
      <c r="AC3483" s="1">
        <v>5443.0</v>
      </c>
    </row>
    <row r="3484">
      <c r="A3484" s="1" t="str">
        <f>"000YB3"</f>
        <v>000YB3</v>
      </c>
      <c r="B3484" s="1" t="s">
        <v>14731</v>
      </c>
      <c r="C3484" s="1" t="s">
        <v>14732</v>
      </c>
      <c r="D3484" s="1" t="str">
        <f>"8024292308"</f>
        <v>8024292308</v>
      </c>
      <c r="E3484" s="1">
        <v>5129.0</v>
      </c>
      <c r="F3484" s="1" t="s">
        <v>117</v>
      </c>
      <c r="G3484" s="1" t="s">
        <v>14733</v>
      </c>
      <c r="H3484" s="1">
        <v>3.0</v>
      </c>
      <c r="I3484" s="1"/>
      <c r="J3484" s="1"/>
      <c r="K3484" s="1"/>
      <c r="L3484" s="1"/>
      <c r="M3484" s="1" t="s">
        <v>33</v>
      </c>
      <c r="N3484" s="1" t="s">
        <v>142</v>
      </c>
      <c r="O3484" s="1" t="s">
        <v>540</v>
      </c>
      <c r="P3484" s="1" t="s">
        <v>14734</v>
      </c>
      <c r="Q3484" s="3">
        <v>42865.0</v>
      </c>
      <c r="R3484" s="1"/>
      <c r="S3484" s="1"/>
      <c r="T3484" s="1" t="s">
        <v>37</v>
      </c>
      <c r="U3484" s="1"/>
      <c r="V3484" s="1" t="s">
        <v>38</v>
      </c>
      <c r="W3484" s="1"/>
      <c r="X3484" s="1"/>
      <c r="Y3484" s="1" t="s">
        <v>14735</v>
      </c>
      <c r="Z3484" s="1"/>
      <c r="AA3484" s="1" t="s">
        <v>40</v>
      </c>
      <c r="AB3484" s="1" t="s">
        <v>6797</v>
      </c>
      <c r="AC3484" s="1">
        <v>5085.0</v>
      </c>
    </row>
    <row r="3485">
      <c r="A3485" s="1" t="str">
        <f>"000YB4"</f>
        <v>000YB4</v>
      </c>
      <c r="B3485" s="1" t="s">
        <v>14736</v>
      </c>
      <c r="C3485" s="1" t="s">
        <v>14737</v>
      </c>
      <c r="D3485" s="1" t="str">
        <f>"8029336829"</f>
        <v>8029336829</v>
      </c>
      <c r="E3485" s="1">
        <v>5130.0</v>
      </c>
      <c r="F3485" s="1" t="s">
        <v>117</v>
      </c>
      <c r="G3485" s="1" t="s">
        <v>14738</v>
      </c>
      <c r="H3485" s="1">
        <v>0.0</v>
      </c>
      <c r="I3485" s="1"/>
      <c r="J3485" s="1"/>
      <c r="K3485" s="1"/>
      <c r="L3485" s="1"/>
      <c r="M3485" s="1" t="s">
        <v>14739</v>
      </c>
      <c r="N3485" s="1" t="s">
        <v>47</v>
      </c>
      <c r="O3485" s="1" t="s">
        <v>264</v>
      </c>
      <c r="P3485" s="1" t="s">
        <v>14740</v>
      </c>
      <c r="Q3485" s="3">
        <v>42865.0</v>
      </c>
      <c r="R3485" s="1"/>
      <c r="S3485" s="1"/>
      <c r="T3485" s="1" t="s">
        <v>37</v>
      </c>
      <c r="U3485" s="1"/>
      <c r="V3485" s="1" t="s">
        <v>38</v>
      </c>
      <c r="W3485" s="1">
        <v>44.935806</v>
      </c>
      <c r="X3485" s="1">
        <v>-72.8184739999999</v>
      </c>
      <c r="Y3485" s="1" t="s">
        <v>14741</v>
      </c>
      <c r="Z3485" s="1"/>
      <c r="AA3485" s="1" t="s">
        <v>40</v>
      </c>
      <c r="AB3485" s="1" t="s">
        <v>267</v>
      </c>
      <c r="AC3485" s="1">
        <v>5450.0</v>
      </c>
    </row>
    <row r="3486">
      <c r="A3486" s="1" t="str">
        <f>"000YB8"</f>
        <v>000YB8</v>
      </c>
      <c r="B3486" s="1" t="s">
        <v>14742</v>
      </c>
      <c r="C3486" s="1" t="s">
        <v>14743</v>
      </c>
      <c r="D3486" s="1" t="str">
        <f>"8024752070"</f>
        <v>8024752070</v>
      </c>
      <c r="E3486" s="1">
        <v>5131.0</v>
      </c>
      <c r="F3486" s="1" t="s">
        <v>117</v>
      </c>
      <c r="G3486" s="1" t="s">
        <v>14744</v>
      </c>
      <c r="H3486" s="1">
        <v>1.0</v>
      </c>
      <c r="I3486" s="2" t="s">
        <v>119</v>
      </c>
      <c r="J3486" s="2" t="s">
        <v>119</v>
      </c>
      <c r="K3486" s="2" t="s">
        <v>119</v>
      </c>
      <c r="L3486" s="1"/>
      <c r="M3486" s="1" t="s">
        <v>33</v>
      </c>
      <c r="N3486" s="1" t="s">
        <v>161</v>
      </c>
      <c r="O3486" s="1" t="s">
        <v>769</v>
      </c>
      <c r="P3486" s="1" t="s">
        <v>14745</v>
      </c>
      <c r="Q3486" s="3">
        <v>42866.0</v>
      </c>
      <c r="R3486" s="1"/>
      <c r="S3486" s="1"/>
      <c r="T3486" s="1" t="s">
        <v>37</v>
      </c>
      <c r="U3486" s="1"/>
      <c r="V3486" s="1" t="s">
        <v>38</v>
      </c>
      <c r="W3486" s="1">
        <v>44.2041499</v>
      </c>
      <c r="X3486" s="1">
        <v>-73.3227706999999</v>
      </c>
      <c r="Y3486" s="1" t="s">
        <v>14746</v>
      </c>
      <c r="Z3486" s="1"/>
      <c r="AA3486" s="1" t="s">
        <v>40</v>
      </c>
      <c r="AB3486" s="1" t="s">
        <v>14747</v>
      </c>
      <c r="AC3486" s="1">
        <v>5491.0</v>
      </c>
    </row>
    <row r="3487">
      <c r="A3487" s="1" t="str">
        <f>"000YB9"</f>
        <v>000YB9</v>
      </c>
      <c r="B3487" s="1" t="s">
        <v>14748</v>
      </c>
      <c r="C3487" s="1" t="s">
        <v>14749</v>
      </c>
      <c r="D3487" s="1" t="str">
        <f>"8023554598"</f>
        <v>8023554598</v>
      </c>
      <c r="E3487" s="1">
        <v>5132.0</v>
      </c>
      <c r="F3487" s="1" t="s">
        <v>117</v>
      </c>
      <c r="G3487" s="1" t="s">
        <v>14750</v>
      </c>
      <c r="H3487" s="1">
        <v>1.0</v>
      </c>
      <c r="I3487" s="2" t="s">
        <v>119</v>
      </c>
      <c r="J3487" s="2" t="s">
        <v>119</v>
      </c>
      <c r="K3487" s="2" t="s">
        <v>119</v>
      </c>
      <c r="L3487" s="1"/>
      <c r="M3487" s="1"/>
      <c r="N3487" s="1" t="s">
        <v>49</v>
      </c>
      <c r="O3487" s="1"/>
      <c r="P3487" s="1" t="s">
        <v>14751</v>
      </c>
      <c r="Q3487" s="3">
        <v>42866.0</v>
      </c>
      <c r="R3487" s="1"/>
      <c r="S3487" s="1"/>
      <c r="T3487" s="1" t="s">
        <v>37</v>
      </c>
      <c r="U3487" s="1"/>
      <c r="V3487" s="1" t="s">
        <v>38</v>
      </c>
      <c r="W3487" s="1">
        <v>44.3722754</v>
      </c>
      <c r="X3487" s="1">
        <v>-73.0131142999999</v>
      </c>
      <c r="Y3487" s="1" t="s">
        <v>14752</v>
      </c>
      <c r="Z3487" s="1"/>
      <c r="AA3487" s="1" t="s">
        <v>40</v>
      </c>
      <c r="AB3487" s="1" t="s">
        <v>14753</v>
      </c>
      <c r="AC3487" s="1">
        <v>5477.0</v>
      </c>
    </row>
    <row r="3488">
      <c r="A3488" s="1" t="str">
        <f>"000YBB"</f>
        <v>000YBB</v>
      </c>
      <c r="B3488" s="1" t="s">
        <v>14754</v>
      </c>
      <c r="C3488" s="1" t="s">
        <v>14755</v>
      </c>
      <c r="D3488" s="1" t="str">
        <f>"8024792004"</f>
        <v>8024792004</v>
      </c>
      <c r="E3488" s="1">
        <v>5133.0</v>
      </c>
      <c r="F3488" s="1" t="s">
        <v>117</v>
      </c>
      <c r="G3488" s="1" t="s">
        <v>14756</v>
      </c>
      <c r="H3488" s="1">
        <v>2.0</v>
      </c>
      <c r="I3488" s="2" t="s">
        <v>119</v>
      </c>
      <c r="J3488" s="2" t="s">
        <v>119</v>
      </c>
      <c r="K3488" s="2" t="s">
        <v>119</v>
      </c>
      <c r="L3488" s="1"/>
      <c r="M3488" s="1"/>
      <c r="N3488" s="1" t="s">
        <v>142</v>
      </c>
      <c r="O3488" s="1" t="s">
        <v>2376</v>
      </c>
      <c r="P3488" s="1" t="s">
        <v>14757</v>
      </c>
      <c r="Q3488" s="3">
        <v>42866.0</v>
      </c>
      <c r="R3488" s="1"/>
      <c r="S3488" s="1"/>
      <c r="T3488" s="1" t="s">
        <v>37</v>
      </c>
      <c r="U3488" s="1"/>
      <c r="V3488" s="1" t="s">
        <v>38</v>
      </c>
      <c r="W3488" s="1">
        <v>44.1369319999999</v>
      </c>
      <c r="X3488" s="1">
        <v>-72.4067149999999</v>
      </c>
      <c r="Y3488" s="1" t="s">
        <v>14758</v>
      </c>
      <c r="Z3488" s="1"/>
      <c r="AA3488" s="1" t="s">
        <v>40</v>
      </c>
      <c r="AB3488" s="1" t="s">
        <v>14759</v>
      </c>
      <c r="AC3488" s="1">
        <v>5641.0</v>
      </c>
    </row>
    <row r="3489">
      <c r="A3489" s="1" t="str">
        <f>"000YBC"</f>
        <v>000YBC</v>
      </c>
      <c r="B3489" s="1" t="s">
        <v>14760</v>
      </c>
      <c r="C3489" s="1" t="s">
        <v>14761</v>
      </c>
      <c r="D3489" s="1"/>
      <c r="E3489" s="1">
        <v>5134.0</v>
      </c>
      <c r="F3489" s="1" t="s">
        <v>117</v>
      </c>
      <c r="G3489" s="1" t="s">
        <v>14762</v>
      </c>
      <c r="H3489" s="1">
        <v>2.0</v>
      </c>
      <c r="I3489" s="2" t="s">
        <v>119</v>
      </c>
      <c r="J3489" s="2" t="s">
        <v>119</v>
      </c>
      <c r="K3489" s="2" t="s">
        <v>119</v>
      </c>
      <c r="L3489" s="1"/>
      <c r="M3489" s="1"/>
      <c r="N3489" s="1" t="s">
        <v>34</v>
      </c>
      <c r="O3489" s="1"/>
      <c r="P3489" s="1" t="s">
        <v>14763</v>
      </c>
      <c r="Q3489" s="3">
        <v>42866.0</v>
      </c>
      <c r="R3489" s="1"/>
      <c r="S3489" s="3">
        <v>42908.0</v>
      </c>
      <c r="T3489" s="1" t="s">
        <v>37</v>
      </c>
      <c r="U3489" s="1"/>
      <c r="V3489" s="1" t="s">
        <v>38</v>
      </c>
      <c r="W3489" s="1">
        <v>43.662024</v>
      </c>
      <c r="X3489" s="1">
        <v>-72.3358999999999</v>
      </c>
      <c r="Y3489" s="1" t="s">
        <v>14764</v>
      </c>
      <c r="Z3489" s="1"/>
      <c r="AA3489" s="1" t="s">
        <v>40</v>
      </c>
      <c r="AB3489" s="1" t="s">
        <v>14765</v>
      </c>
      <c r="AC3489" s="1">
        <v>5001.0</v>
      </c>
    </row>
    <row r="3490">
      <c r="A3490" s="1" t="str">
        <f>"000YBD"</f>
        <v>000YBD</v>
      </c>
      <c r="B3490" s="1" t="s">
        <v>14766</v>
      </c>
      <c r="C3490" s="1" t="s">
        <v>14767</v>
      </c>
      <c r="D3490" s="1" t="str">
        <f>"8024362930"</f>
        <v>8024362930</v>
      </c>
      <c r="E3490" s="1">
        <v>5135.0</v>
      </c>
      <c r="F3490" s="1" t="s">
        <v>117</v>
      </c>
      <c r="G3490" s="1" t="s">
        <v>14768</v>
      </c>
      <c r="H3490" s="1">
        <v>1.0</v>
      </c>
      <c r="I3490" s="2" t="s">
        <v>119</v>
      </c>
      <c r="J3490" s="2" t="s">
        <v>119</v>
      </c>
      <c r="K3490" s="2" t="s">
        <v>119</v>
      </c>
      <c r="L3490" s="1"/>
      <c r="M3490" s="1" t="s">
        <v>1179</v>
      </c>
      <c r="N3490" s="1" t="s">
        <v>34</v>
      </c>
      <c r="O3490" s="1" t="s">
        <v>85</v>
      </c>
      <c r="P3490" s="1" t="s">
        <v>14769</v>
      </c>
      <c r="Q3490" s="3">
        <v>42866.0</v>
      </c>
      <c r="R3490" s="1"/>
      <c r="S3490" s="3">
        <v>42901.0</v>
      </c>
      <c r="T3490" s="1" t="s">
        <v>37</v>
      </c>
      <c r="U3490" s="1"/>
      <c r="V3490" s="1" t="s">
        <v>38</v>
      </c>
      <c r="W3490" s="1">
        <v>43.561619</v>
      </c>
      <c r="X3490" s="1">
        <v>-72.429055</v>
      </c>
      <c r="Y3490" s="1" t="s">
        <v>14770</v>
      </c>
      <c r="Z3490" s="1"/>
      <c r="AA3490" s="1" t="s">
        <v>40</v>
      </c>
      <c r="AB3490" s="1" t="s">
        <v>14771</v>
      </c>
      <c r="AC3490" s="1">
        <v>5048.0</v>
      </c>
    </row>
    <row r="3491">
      <c r="A3491" s="1" t="str">
        <f>"000YBF"</f>
        <v>000YBF</v>
      </c>
      <c r="B3491" s="1" t="s">
        <v>14772</v>
      </c>
      <c r="C3491" s="1" t="s">
        <v>14773</v>
      </c>
      <c r="D3491" s="1" t="str">
        <f>"8024571376"</f>
        <v>8024571376</v>
      </c>
      <c r="E3491" s="1">
        <v>5136.0</v>
      </c>
      <c r="F3491" s="1" t="s">
        <v>117</v>
      </c>
      <c r="G3491" s="1" t="s">
        <v>14774</v>
      </c>
      <c r="H3491" s="1">
        <v>1.0</v>
      </c>
      <c r="I3491" s="2" t="s">
        <v>119</v>
      </c>
      <c r="J3491" s="2" t="s">
        <v>119</v>
      </c>
      <c r="K3491" s="2" t="s">
        <v>119</v>
      </c>
      <c r="L3491" s="1"/>
      <c r="M3491" s="1" t="s">
        <v>33</v>
      </c>
      <c r="N3491" s="1" t="s">
        <v>34</v>
      </c>
      <c r="O3491" s="1" t="s">
        <v>324</v>
      </c>
      <c r="P3491" s="1" t="s">
        <v>14775</v>
      </c>
      <c r="Q3491" s="3">
        <v>42866.0</v>
      </c>
      <c r="R3491" s="1"/>
      <c r="S3491" s="3">
        <v>42964.0</v>
      </c>
      <c r="T3491" s="1" t="s">
        <v>37</v>
      </c>
      <c r="U3491" s="1"/>
      <c r="V3491" s="1" t="s">
        <v>38</v>
      </c>
      <c r="W3491" s="1">
        <v>43.5724091</v>
      </c>
      <c r="X3491" s="1">
        <v>-72.5581214</v>
      </c>
      <c r="Y3491" s="1" t="s">
        <v>14776</v>
      </c>
      <c r="Z3491" s="1"/>
      <c r="AA3491" s="1" t="s">
        <v>40</v>
      </c>
      <c r="AB3491" s="1" t="s">
        <v>14777</v>
      </c>
      <c r="AC3491" s="1">
        <v>5071.0</v>
      </c>
    </row>
    <row r="3492">
      <c r="A3492" s="1" t="str">
        <f>"000YBG"</f>
        <v>000YBG</v>
      </c>
      <c r="B3492" s="1" t="s">
        <v>14778</v>
      </c>
      <c r="C3492" s="1" t="s">
        <v>14779</v>
      </c>
      <c r="D3492" s="1" t="str">
        <f>"8022296876"</f>
        <v>8022296876</v>
      </c>
      <c r="E3492" s="1">
        <v>5137.0</v>
      </c>
      <c r="F3492" s="1" t="s">
        <v>117</v>
      </c>
      <c r="G3492" s="1" t="s">
        <v>14780</v>
      </c>
      <c r="H3492" s="1">
        <v>1.0</v>
      </c>
      <c r="I3492" s="1"/>
      <c r="J3492" s="1"/>
      <c r="K3492" s="1"/>
      <c r="L3492" s="1"/>
      <c r="M3492" s="1" t="s">
        <v>33</v>
      </c>
      <c r="N3492" s="1" t="s">
        <v>135</v>
      </c>
      <c r="O3492" s="1" t="s">
        <v>3116</v>
      </c>
      <c r="P3492" s="1" t="s">
        <v>14781</v>
      </c>
      <c r="Q3492" s="3">
        <v>42866.0</v>
      </c>
      <c r="R3492" s="1"/>
      <c r="S3492" s="1"/>
      <c r="T3492" s="1" t="s">
        <v>37</v>
      </c>
      <c r="U3492" s="1"/>
      <c r="V3492" s="1" t="s">
        <v>38</v>
      </c>
      <c r="W3492" s="1"/>
      <c r="X3492" s="1"/>
      <c r="Y3492" s="1" t="s">
        <v>14782</v>
      </c>
      <c r="Z3492" s="1"/>
      <c r="AA3492" s="1" t="s">
        <v>40</v>
      </c>
      <c r="AB3492" s="1" t="s">
        <v>9760</v>
      </c>
      <c r="AC3492" s="1">
        <v>5640.0</v>
      </c>
    </row>
    <row r="3493">
      <c r="A3493" s="1" t="str">
        <f>"000YBH"</f>
        <v>000YBH</v>
      </c>
      <c r="B3493" s="1" t="s">
        <v>14783</v>
      </c>
      <c r="C3493" s="1" t="s">
        <v>14784</v>
      </c>
      <c r="D3493" s="1" t="str">
        <f>"8026854559"</f>
        <v>8026854559</v>
      </c>
      <c r="E3493" s="1">
        <v>5138.0</v>
      </c>
      <c r="F3493" s="1" t="s">
        <v>117</v>
      </c>
      <c r="G3493" s="1" t="s">
        <v>14785</v>
      </c>
      <c r="H3493" s="1">
        <v>2.0</v>
      </c>
      <c r="I3493" s="1"/>
      <c r="J3493" s="1"/>
      <c r="K3493" s="1"/>
      <c r="L3493" s="1"/>
      <c r="M3493" s="1" t="s">
        <v>33</v>
      </c>
      <c r="N3493" s="1" t="s">
        <v>142</v>
      </c>
      <c r="O3493" s="1" t="s">
        <v>844</v>
      </c>
      <c r="P3493" s="1" t="s">
        <v>14786</v>
      </c>
      <c r="Q3493" s="3">
        <v>42867.0</v>
      </c>
      <c r="R3493" s="1"/>
      <c r="S3493" s="1"/>
      <c r="T3493" s="1" t="s">
        <v>37</v>
      </c>
      <c r="U3493" s="1"/>
      <c r="V3493" s="1" t="s">
        <v>38</v>
      </c>
      <c r="W3493" s="1"/>
      <c r="X3493" s="1"/>
      <c r="Y3493" s="1" t="s">
        <v>14787</v>
      </c>
      <c r="Z3493" s="1"/>
      <c r="AA3493" s="1" t="s">
        <v>40</v>
      </c>
      <c r="AB3493" s="1" t="s">
        <v>847</v>
      </c>
      <c r="AC3493" s="1">
        <v>5038.0</v>
      </c>
    </row>
    <row r="3494">
      <c r="A3494" s="1" t="str">
        <f>"000YBJ"</f>
        <v>000YBJ</v>
      </c>
      <c r="B3494" s="1" t="s">
        <v>14788</v>
      </c>
      <c r="C3494" s="1" t="s">
        <v>14789</v>
      </c>
      <c r="D3494" s="1" t="str">
        <f>"8028788505"</f>
        <v>8028788505</v>
      </c>
      <c r="E3494" s="1">
        <v>5139.0</v>
      </c>
      <c r="F3494" s="1" t="s">
        <v>117</v>
      </c>
      <c r="G3494" s="1" t="s">
        <v>14790</v>
      </c>
      <c r="H3494" s="1">
        <v>1.0</v>
      </c>
      <c r="I3494" s="1"/>
      <c r="J3494" s="1"/>
      <c r="K3494" s="1"/>
      <c r="L3494" s="1"/>
      <c r="M3494" s="1" t="s">
        <v>14791</v>
      </c>
      <c r="N3494" s="1" t="s">
        <v>57</v>
      </c>
      <c r="O3494" s="1" t="s">
        <v>155</v>
      </c>
      <c r="P3494" s="1" t="s">
        <v>14792</v>
      </c>
      <c r="Q3494" s="3">
        <v>42867.0</v>
      </c>
      <c r="R3494" s="1"/>
      <c r="S3494" s="1"/>
      <c r="T3494" s="1" t="s">
        <v>37</v>
      </c>
      <c r="U3494" s="1"/>
      <c r="V3494" s="1" t="s">
        <v>38</v>
      </c>
      <c r="W3494" s="1">
        <v>44.599569</v>
      </c>
      <c r="X3494" s="1">
        <v>-73.051894</v>
      </c>
      <c r="Y3494" s="1" t="s">
        <v>14793</v>
      </c>
      <c r="Z3494" s="1"/>
      <c r="AA3494" s="1" t="s">
        <v>40</v>
      </c>
      <c r="AB3494" s="1" t="s">
        <v>156</v>
      </c>
      <c r="AC3494" s="1">
        <v>5494.0</v>
      </c>
    </row>
    <row r="3495">
      <c r="A3495" s="1" t="str">
        <f t="shared" ref="A3495:A3496" si="294">"000YBK"</f>
        <v>000YBK</v>
      </c>
      <c r="B3495" s="1" t="s">
        <v>14794</v>
      </c>
      <c r="C3495" s="1" t="s">
        <v>14795</v>
      </c>
      <c r="D3495" s="1" t="str">
        <f t="shared" ref="D3495:D3496" si="295">"8023340204"</f>
        <v>8023340204</v>
      </c>
      <c r="E3495" s="1">
        <v>5140.0</v>
      </c>
      <c r="F3495" s="1" t="s">
        <v>117</v>
      </c>
      <c r="G3495" s="1" t="s">
        <v>14796</v>
      </c>
      <c r="H3495" s="1">
        <v>5.0</v>
      </c>
      <c r="I3495" s="2">
        <v>0.0</v>
      </c>
      <c r="J3495" s="2">
        <v>0.0</v>
      </c>
      <c r="K3495" s="2" t="s">
        <v>119</v>
      </c>
      <c r="L3495" s="1"/>
      <c r="M3495" s="1" t="s">
        <v>14797</v>
      </c>
      <c r="N3495" s="1" t="s">
        <v>94</v>
      </c>
      <c r="O3495" s="1" t="s">
        <v>300</v>
      </c>
      <c r="P3495" s="1" t="s">
        <v>14798</v>
      </c>
      <c r="Q3495" s="3">
        <v>42867.0</v>
      </c>
      <c r="R3495" s="1"/>
      <c r="S3495" s="1"/>
      <c r="T3495" s="1" t="s">
        <v>37</v>
      </c>
      <c r="U3495" s="1"/>
      <c r="V3495" s="1" t="s">
        <v>38</v>
      </c>
      <c r="W3495" s="1">
        <v>44.9422115</v>
      </c>
      <c r="X3495" s="1">
        <v>-72.2473031999999</v>
      </c>
      <c r="Y3495" s="1" t="s">
        <v>14799</v>
      </c>
      <c r="Z3495" s="1"/>
      <c r="AA3495" s="1" t="s">
        <v>40</v>
      </c>
      <c r="AB3495" s="1" t="s">
        <v>1022</v>
      </c>
      <c r="AC3495" s="1">
        <v>5855.0</v>
      </c>
    </row>
    <row r="3496">
      <c r="A3496" s="1" t="str">
        <f t="shared" si="294"/>
        <v>000YBK</v>
      </c>
      <c r="B3496" s="1" t="s">
        <v>14794</v>
      </c>
      <c r="C3496" s="1" t="s">
        <v>14795</v>
      </c>
      <c r="D3496" s="1" t="str">
        <f t="shared" si="295"/>
        <v>8023340204</v>
      </c>
      <c r="E3496" s="1">
        <v>5140.0</v>
      </c>
      <c r="F3496" s="1" t="s">
        <v>117</v>
      </c>
      <c r="G3496" s="1" t="s">
        <v>14800</v>
      </c>
      <c r="H3496" s="1">
        <v>2.0</v>
      </c>
      <c r="I3496" s="2">
        <v>0.0</v>
      </c>
      <c r="J3496" s="2">
        <v>0.0</v>
      </c>
      <c r="K3496" s="2" t="s">
        <v>119</v>
      </c>
      <c r="L3496" s="1"/>
      <c r="M3496" s="1" t="s">
        <v>14801</v>
      </c>
      <c r="N3496" s="1" t="s">
        <v>331</v>
      </c>
      <c r="O3496" s="1" t="s">
        <v>6178</v>
      </c>
      <c r="P3496" s="1" t="s">
        <v>14798</v>
      </c>
      <c r="Q3496" s="3">
        <v>42867.0</v>
      </c>
      <c r="R3496" s="1"/>
      <c r="S3496" s="1"/>
      <c r="T3496" s="1" t="s">
        <v>37</v>
      </c>
      <c r="U3496" s="1"/>
      <c r="V3496" s="1" t="s">
        <v>38</v>
      </c>
      <c r="W3496" s="1">
        <v>44.9327259</v>
      </c>
      <c r="X3496" s="1">
        <v>-71.5426264999999</v>
      </c>
      <c r="Y3496" s="1" t="s">
        <v>14802</v>
      </c>
      <c r="Z3496" s="1"/>
      <c r="AA3496" s="1" t="s">
        <v>40</v>
      </c>
      <c r="AB3496" s="1" t="s">
        <v>6179</v>
      </c>
      <c r="AC3496" s="1">
        <v>5903.0</v>
      </c>
    </row>
    <row r="3497">
      <c r="A3497" s="1" t="str">
        <f>"000YD3"</f>
        <v>000YD3</v>
      </c>
      <c r="B3497" s="1" t="s">
        <v>14803</v>
      </c>
      <c r="C3497" s="1" t="s">
        <v>14804</v>
      </c>
      <c r="D3497" s="1" t="str">
        <f>"8024292039"</f>
        <v>8024292039</v>
      </c>
      <c r="E3497" s="1">
        <v>5142.0</v>
      </c>
      <c r="F3497" s="1" t="s">
        <v>117</v>
      </c>
      <c r="G3497" s="1" t="s">
        <v>14805</v>
      </c>
      <c r="H3497" s="1">
        <v>1.0</v>
      </c>
      <c r="I3497" s="2" t="s">
        <v>119</v>
      </c>
      <c r="J3497" s="2" t="s">
        <v>119</v>
      </c>
      <c r="K3497" s="2" t="s">
        <v>119</v>
      </c>
      <c r="L3497" s="1"/>
      <c r="M3497" s="1"/>
      <c r="N3497" s="1" t="s">
        <v>142</v>
      </c>
      <c r="O3497" s="1"/>
      <c r="P3497" s="1" t="s">
        <v>14806</v>
      </c>
      <c r="Q3497" s="3">
        <v>42870.0</v>
      </c>
      <c r="R3497" s="1"/>
      <c r="S3497" s="1"/>
      <c r="T3497" s="1" t="s">
        <v>37</v>
      </c>
      <c r="U3497" s="1"/>
      <c r="V3497" s="1" t="s">
        <v>38</v>
      </c>
      <c r="W3497" s="1">
        <v>44.1415932</v>
      </c>
      <c r="X3497" s="1">
        <v>-72.1043742</v>
      </c>
      <c r="Y3497" s="1" t="s">
        <v>14807</v>
      </c>
      <c r="Z3497" s="1"/>
      <c r="AA3497" s="1" t="s">
        <v>40</v>
      </c>
      <c r="AB3497" s="1" t="s">
        <v>14808</v>
      </c>
      <c r="AC3497" s="1">
        <v>5081.0</v>
      </c>
    </row>
    <row r="3498">
      <c r="A3498" s="1" t="str">
        <f>"000YD2"</f>
        <v>000YD2</v>
      </c>
      <c r="B3498" s="1" t="s">
        <v>14809</v>
      </c>
      <c r="C3498" s="1" t="s">
        <v>14810</v>
      </c>
      <c r="D3498" s="1" t="str">
        <f>"8028832298"</f>
        <v>8028832298</v>
      </c>
      <c r="E3498" s="1">
        <v>5141.0</v>
      </c>
      <c r="F3498" s="1" t="s">
        <v>117</v>
      </c>
      <c r="G3498" s="1" t="s">
        <v>14811</v>
      </c>
      <c r="H3498" s="1">
        <v>2.0</v>
      </c>
      <c r="I3498" s="1"/>
      <c r="J3498" s="1"/>
      <c r="K3498" s="1"/>
      <c r="L3498" s="1"/>
      <c r="M3498" s="1" t="s">
        <v>33</v>
      </c>
      <c r="N3498" s="1" t="s">
        <v>142</v>
      </c>
      <c r="O3498" s="1" t="s">
        <v>1026</v>
      </c>
      <c r="P3498" s="1" t="s">
        <v>14812</v>
      </c>
      <c r="Q3498" s="3">
        <v>42870.0</v>
      </c>
      <c r="R3498" s="1"/>
      <c r="S3498" s="3">
        <v>42937.0</v>
      </c>
      <c r="T3498" s="1" t="s">
        <v>37</v>
      </c>
      <c r="U3498" s="1"/>
      <c r="V3498" s="1" t="s">
        <v>38</v>
      </c>
      <c r="W3498" s="1"/>
      <c r="X3498" s="1"/>
      <c r="Y3498" s="1" t="s">
        <v>14813</v>
      </c>
      <c r="Z3498" s="1"/>
      <c r="AA3498" s="1" t="s">
        <v>40</v>
      </c>
      <c r="AB3498" s="1" t="s">
        <v>135</v>
      </c>
      <c r="AC3498" s="1">
        <v>5675.0</v>
      </c>
    </row>
    <row r="3499">
      <c r="A3499" s="1" t="str">
        <f>"000YD4"</f>
        <v>000YD4</v>
      </c>
      <c r="B3499" s="1" t="s">
        <v>14814</v>
      </c>
      <c r="C3499" s="1" t="s">
        <v>14815</v>
      </c>
      <c r="D3499" s="1" t="str">
        <f>"8022951290"</f>
        <v>8022951290</v>
      </c>
      <c r="E3499" s="1">
        <v>5143.0</v>
      </c>
      <c r="F3499" s="1" t="s">
        <v>117</v>
      </c>
      <c r="G3499" s="1" t="s">
        <v>14816</v>
      </c>
      <c r="H3499" s="1">
        <v>1.0</v>
      </c>
      <c r="I3499" s="2" t="s">
        <v>119</v>
      </c>
      <c r="J3499" s="2" t="s">
        <v>119</v>
      </c>
      <c r="K3499" s="2" t="s">
        <v>119</v>
      </c>
      <c r="L3499" s="1"/>
      <c r="M3499" s="1"/>
      <c r="N3499" s="1"/>
      <c r="O3499" s="1"/>
      <c r="P3499" s="1" t="s">
        <v>12266</v>
      </c>
      <c r="Q3499" s="3">
        <v>42870.0</v>
      </c>
      <c r="R3499" s="1"/>
      <c r="S3499" s="3">
        <v>42951.0</v>
      </c>
      <c r="T3499" s="1" t="s">
        <v>37</v>
      </c>
      <c r="U3499" s="1"/>
      <c r="V3499" s="1" t="s">
        <v>38</v>
      </c>
      <c r="W3499" s="1">
        <v>43.6821356</v>
      </c>
      <c r="X3499" s="1">
        <v>-72.4248701</v>
      </c>
      <c r="Y3499" s="1" t="s">
        <v>14817</v>
      </c>
      <c r="Z3499" s="1"/>
      <c r="AA3499" s="1" t="s">
        <v>40</v>
      </c>
      <c r="AB3499" s="1" t="s">
        <v>14818</v>
      </c>
      <c r="AC3499" s="1">
        <v>5059.0</v>
      </c>
    </row>
    <row r="3500">
      <c r="A3500" s="1" t="str">
        <f>"000YD5"</f>
        <v>000YD5</v>
      </c>
      <c r="B3500" s="1" t="s">
        <v>14819</v>
      </c>
      <c r="C3500" s="1" t="s">
        <v>14820</v>
      </c>
      <c r="D3500" s="1" t="str">
        <f>"8023094319"</f>
        <v>8023094319</v>
      </c>
      <c r="E3500" s="1">
        <v>5144.0</v>
      </c>
      <c r="F3500" s="1" t="s">
        <v>117</v>
      </c>
      <c r="G3500" s="1" t="s">
        <v>14821</v>
      </c>
      <c r="H3500" s="1">
        <v>2.0</v>
      </c>
      <c r="I3500" s="1"/>
      <c r="J3500" s="1"/>
      <c r="K3500" s="1"/>
      <c r="L3500" s="1"/>
      <c r="M3500" s="1" t="s">
        <v>33</v>
      </c>
      <c r="N3500" s="1" t="s">
        <v>57</v>
      </c>
      <c r="O3500" s="1" t="s">
        <v>155</v>
      </c>
      <c r="P3500" s="1" t="s">
        <v>14822</v>
      </c>
      <c r="Q3500" s="3">
        <v>42870.0</v>
      </c>
      <c r="R3500" s="1"/>
      <c r="S3500" s="1"/>
      <c r="T3500" s="1" t="s">
        <v>37</v>
      </c>
      <c r="U3500" s="1"/>
      <c r="V3500" s="1" t="s">
        <v>38</v>
      </c>
      <c r="W3500" s="1"/>
      <c r="X3500" s="1"/>
      <c r="Y3500" s="1" t="s">
        <v>14823</v>
      </c>
      <c r="Z3500" s="1"/>
      <c r="AA3500" s="1" t="s">
        <v>40</v>
      </c>
      <c r="AB3500" s="1" t="s">
        <v>156</v>
      </c>
      <c r="AC3500" s="1">
        <v>5494.0</v>
      </c>
    </row>
    <row r="3501">
      <c r="A3501" s="1" t="str">
        <f>"000YD7"</f>
        <v>000YD7</v>
      </c>
      <c r="B3501" s="1" t="s">
        <v>14824</v>
      </c>
      <c r="C3501" s="1" t="s">
        <v>14825</v>
      </c>
      <c r="D3501" s="1" t="str">
        <f>"8023872222"</f>
        <v>8023872222</v>
      </c>
      <c r="E3501" s="1">
        <v>5145.0</v>
      </c>
      <c r="F3501" s="1" t="s">
        <v>117</v>
      </c>
      <c r="G3501" s="1" t="s">
        <v>14826</v>
      </c>
      <c r="H3501" s="1">
        <v>2.0</v>
      </c>
      <c r="I3501" s="1"/>
      <c r="J3501" s="1"/>
      <c r="K3501" s="1"/>
      <c r="L3501" s="1"/>
      <c r="M3501" s="1" t="s">
        <v>33</v>
      </c>
      <c r="N3501" s="1" t="s">
        <v>66</v>
      </c>
      <c r="O3501" s="1" t="s">
        <v>593</v>
      </c>
      <c r="P3501" s="1" t="s">
        <v>14827</v>
      </c>
      <c r="Q3501" s="3">
        <v>42870.0</v>
      </c>
      <c r="R3501" s="1"/>
      <c r="S3501" s="1"/>
      <c r="T3501" s="1" t="s">
        <v>37</v>
      </c>
      <c r="U3501" s="1"/>
      <c r="V3501" s="1" t="s">
        <v>38</v>
      </c>
      <c r="W3501" s="1"/>
      <c r="X3501" s="1"/>
      <c r="Y3501" s="1" t="s">
        <v>7097</v>
      </c>
      <c r="Z3501" s="1"/>
      <c r="AA3501" s="1" t="s">
        <v>40</v>
      </c>
      <c r="AB3501" s="1" t="s">
        <v>594</v>
      </c>
      <c r="AC3501" s="1">
        <v>5346.0</v>
      </c>
    </row>
    <row r="3502">
      <c r="A3502" s="1" t="str">
        <f>"000YD9"</f>
        <v>000YD9</v>
      </c>
      <c r="B3502" s="1" t="s">
        <v>14828</v>
      </c>
      <c r="C3502" s="1" t="s">
        <v>14829</v>
      </c>
      <c r="D3502" s="1" t="str">
        <f>"8028883455"</f>
        <v>8028883455</v>
      </c>
      <c r="E3502" s="1">
        <v>5146.0</v>
      </c>
      <c r="F3502" s="1" t="s">
        <v>117</v>
      </c>
      <c r="G3502" s="1" t="s">
        <v>14830</v>
      </c>
      <c r="H3502" s="1">
        <v>1.0</v>
      </c>
      <c r="I3502" s="1"/>
      <c r="J3502" s="1"/>
      <c r="K3502" s="1"/>
      <c r="L3502" s="1"/>
      <c r="M3502" s="1" t="s">
        <v>33</v>
      </c>
      <c r="N3502" s="1" t="s">
        <v>213</v>
      </c>
      <c r="O3502" s="1" t="s">
        <v>2156</v>
      </c>
      <c r="P3502" s="1" t="s">
        <v>14831</v>
      </c>
      <c r="Q3502" s="3">
        <v>42871.0</v>
      </c>
      <c r="R3502" s="1"/>
      <c r="S3502" s="1"/>
      <c r="T3502" s="1" t="s">
        <v>37</v>
      </c>
      <c r="U3502" s="1"/>
      <c r="V3502" s="1" t="s">
        <v>38</v>
      </c>
      <c r="W3502" s="1"/>
      <c r="X3502" s="1"/>
      <c r="Y3502" s="1" t="s">
        <v>14832</v>
      </c>
      <c r="Z3502" s="1"/>
      <c r="AA3502" s="1" t="s">
        <v>40</v>
      </c>
      <c r="AB3502" s="1" t="s">
        <v>2563</v>
      </c>
      <c r="AC3502" s="1">
        <v>5680.0</v>
      </c>
    </row>
    <row r="3503">
      <c r="A3503" s="1" t="str">
        <f>"000YDA"</f>
        <v>000YDA</v>
      </c>
      <c r="B3503" s="1" t="s">
        <v>14833</v>
      </c>
      <c r="C3503" s="1" t="s">
        <v>14834</v>
      </c>
      <c r="D3503" s="1" t="str">
        <f>"8025279892"</f>
        <v>8025279892</v>
      </c>
      <c r="E3503" s="1">
        <v>5147.0</v>
      </c>
      <c r="F3503" s="1" t="s">
        <v>117</v>
      </c>
      <c r="G3503" s="1" t="s">
        <v>14835</v>
      </c>
      <c r="H3503" s="1">
        <v>2.0</v>
      </c>
      <c r="I3503" s="1"/>
      <c r="J3503" s="1"/>
      <c r="K3503" s="1"/>
      <c r="L3503" s="1"/>
      <c r="M3503" s="1" t="s">
        <v>33</v>
      </c>
      <c r="N3503" s="1" t="s">
        <v>47</v>
      </c>
      <c r="O3503" s="1" t="s">
        <v>2837</v>
      </c>
      <c r="P3503" s="1" t="s">
        <v>14836</v>
      </c>
      <c r="Q3503" s="3">
        <v>42871.0</v>
      </c>
      <c r="R3503" s="1"/>
      <c r="S3503" s="1"/>
      <c r="T3503" s="1" t="s">
        <v>37</v>
      </c>
      <c r="U3503" s="1"/>
      <c r="V3503" s="1" t="s">
        <v>38</v>
      </c>
      <c r="W3503" s="1"/>
      <c r="X3503" s="1"/>
      <c r="Y3503" s="1" t="s">
        <v>14837</v>
      </c>
      <c r="Z3503" s="1"/>
      <c r="AA3503" s="1" t="s">
        <v>40</v>
      </c>
      <c r="AB3503" s="1" t="s">
        <v>2800</v>
      </c>
      <c r="AC3503" s="1">
        <v>5478.0</v>
      </c>
    </row>
    <row r="3504">
      <c r="A3504" s="1" t="str">
        <f>"000YDB"</f>
        <v>000YDB</v>
      </c>
      <c r="B3504" s="1" t="s">
        <v>14838</v>
      </c>
      <c r="C3504" s="1" t="s">
        <v>14839</v>
      </c>
      <c r="D3504" s="1" t="str">
        <f>"8028747016"</f>
        <v>8028747016</v>
      </c>
      <c r="E3504" s="1">
        <v>5148.0</v>
      </c>
      <c r="F3504" s="1" t="s">
        <v>117</v>
      </c>
      <c r="G3504" s="1" t="s">
        <v>14840</v>
      </c>
      <c r="H3504" s="1">
        <v>4.0</v>
      </c>
      <c r="I3504" s="2" t="s">
        <v>119</v>
      </c>
      <c r="J3504" s="2" t="s">
        <v>119</v>
      </c>
      <c r="K3504" s="2" t="s">
        <v>119</v>
      </c>
      <c r="L3504" s="1"/>
      <c r="M3504" s="1" t="s">
        <v>14841</v>
      </c>
      <c r="N3504" s="1" t="s">
        <v>66</v>
      </c>
      <c r="O3504" s="1" t="s">
        <v>751</v>
      </c>
      <c r="P3504" s="1" t="s">
        <v>14842</v>
      </c>
      <c r="Q3504" s="3">
        <v>42872.0</v>
      </c>
      <c r="R3504" s="1"/>
      <c r="S3504" s="1"/>
      <c r="T3504" s="1" t="s">
        <v>37</v>
      </c>
      <c r="U3504" s="1"/>
      <c r="V3504" s="1" t="s">
        <v>38</v>
      </c>
      <c r="W3504" s="1">
        <v>43.084442</v>
      </c>
      <c r="X3504" s="1">
        <v>-72.7465819999999</v>
      </c>
      <c r="Y3504" s="1" t="s">
        <v>14843</v>
      </c>
      <c r="Z3504" s="1"/>
      <c r="AA3504" s="1" t="s">
        <v>40</v>
      </c>
      <c r="AB3504" s="1" t="s">
        <v>14844</v>
      </c>
      <c r="AC3504" s="1">
        <v>5343.0</v>
      </c>
    </row>
    <row r="3505">
      <c r="A3505" s="1" t="str">
        <f>"000YDG"</f>
        <v>000YDG</v>
      </c>
      <c r="B3505" s="1" t="s">
        <v>14845</v>
      </c>
      <c r="C3505" s="1" t="s">
        <v>14846</v>
      </c>
      <c r="D3505" s="1" t="str">
        <f>"8028792911"</f>
        <v>8028792911</v>
      </c>
      <c r="E3505" s="1">
        <v>5149.0</v>
      </c>
      <c r="F3505" s="1" t="s">
        <v>117</v>
      </c>
      <c r="G3505" s="1" t="s">
        <v>14847</v>
      </c>
      <c r="H3505" s="1">
        <v>2.0</v>
      </c>
      <c r="I3505" s="2">
        <v>0.0</v>
      </c>
      <c r="J3505" s="2">
        <v>0.0</v>
      </c>
      <c r="K3505" s="2">
        <v>0.0</v>
      </c>
      <c r="L3505" s="1"/>
      <c r="M3505" s="1">
        <v>1.0</v>
      </c>
      <c r="N3505" s="1" t="s">
        <v>57</v>
      </c>
      <c r="O3505" s="1" t="s">
        <v>509</v>
      </c>
      <c r="P3505" s="1" t="s">
        <v>14848</v>
      </c>
      <c r="Q3505" s="3">
        <v>42873.0</v>
      </c>
      <c r="R3505" s="1"/>
      <c r="S3505" s="1"/>
      <c r="T3505" s="1" t="s">
        <v>37</v>
      </c>
      <c r="U3505" s="1"/>
      <c r="V3505" s="1" t="s">
        <v>38</v>
      </c>
      <c r="W3505" s="1">
        <v>44.4827869999999</v>
      </c>
      <c r="X3505" s="1">
        <v>-73.1185659999999</v>
      </c>
      <c r="Y3505" s="1" t="s">
        <v>14849</v>
      </c>
      <c r="Z3505" s="1"/>
      <c r="AA3505" s="1" t="s">
        <v>40</v>
      </c>
      <c r="AB3505" s="1" t="s">
        <v>3296</v>
      </c>
      <c r="AC3505" s="1">
        <v>5452.0</v>
      </c>
    </row>
    <row r="3506">
      <c r="A3506" s="1" t="str">
        <f>"000YDH"</f>
        <v>000YDH</v>
      </c>
      <c r="B3506" s="1" t="s">
        <v>14850</v>
      </c>
      <c r="C3506" s="1" t="s">
        <v>14851</v>
      </c>
      <c r="D3506" s="1" t="str">
        <f>"8022349818"</f>
        <v>8022349818</v>
      </c>
      <c r="E3506" s="1">
        <v>5150.0</v>
      </c>
      <c r="F3506" s="1" t="s">
        <v>117</v>
      </c>
      <c r="G3506" s="1" t="s">
        <v>14852</v>
      </c>
      <c r="H3506" s="1">
        <v>2.0</v>
      </c>
      <c r="I3506" s="2" t="s">
        <v>119</v>
      </c>
      <c r="J3506" s="2" t="s">
        <v>119</v>
      </c>
      <c r="K3506" s="2" t="s">
        <v>119</v>
      </c>
      <c r="L3506" s="1"/>
      <c r="M3506" s="1">
        <v>1.0</v>
      </c>
      <c r="N3506" s="1" t="s">
        <v>34</v>
      </c>
      <c r="O3506" s="1" t="s">
        <v>150</v>
      </c>
      <c r="P3506" s="1" t="s">
        <v>14853</v>
      </c>
      <c r="Q3506" s="3">
        <v>42873.0</v>
      </c>
      <c r="R3506" s="1"/>
      <c r="S3506" s="1"/>
      <c r="T3506" s="1" t="s">
        <v>37</v>
      </c>
      <c r="U3506" s="1"/>
      <c r="V3506" s="1" t="s">
        <v>38</v>
      </c>
      <c r="W3506" s="1">
        <v>43.847083</v>
      </c>
      <c r="X3506" s="1">
        <v>-72.60122</v>
      </c>
      <c r="Y3506" s="1" t="s">
        <v>14854</v>
      </c>
      <c r="Z3506" s="1"/>
      <c r="AA3506" s="1" t="s">
        <v>40</v>
      </c>
      <c r="AB3506" s="1" t="s">
        <v>14855</v>
      </c>
      <c r="AC3506" s="1">
        <v>5032.0</v>
      </c>
    </row>
    <row r="3507">
      <c r="A3507" s="1" t="str">
        <f>"000YDM"</f>
        <v>000YDM</v>
      </c>
      <c r="B3507" s="1" t="s">
        <v>14856</v>
      </c>
      <c r="C3507" s="1" t="s">
        <v>14857</v>
      </c>
      <c r="D3507" s="1" t="str">
        <f>"8025959194"</f>
        <v>8025959194</v>
      </c>
      <c r="E3507" s="1">
        <v>5151.0</v>
      </c>
      <c r="F3507" s="1" t="s">
        <v>117</v>
      </c>
      <c r="G3507" s="1" t="s">
        <v>14858</v>
      </c>
      <c r="H3507" s="1">
        <v>1.0</v>
      </c>
      <c r="I3507" s="1"/>
      <c r="J3507" s="1"/>
      <c r="K3507" s="1"/>
      <c r="L3507" s="1"/>
      <c r="M3507" s="1" t="s">
        <v>33</v>
      </c>
      <c r="N3507" s="1" t="s">
        <v>57</v>
      </c>
      <c r="O3507" s="1" t="s">
        <v>204</v>
      </c>
      <c r="P3507" s="1" t="s">
        <v>14859</v>
      </c>
      <c r="Q3507" s="3">
        <v>42873.0</v>
      </c>
      <c r="R3507" s="1"/>
      <c r="S3507" s="1"/>
      <c r="T3507" s="1" t="s">
        <v>37</v>
      </c>
      <c r="U3507" s="1"/>
      <c r="V3507" s="1" t="s">
        <v>38</v>
      </c>
      <c r="W3507" s="1"/>
      <c r="X3507" s="1"/>
      <c r="Y3507" s="1" t="s">
        <v>14860</v>
      </c>
      <c r="Z3507" s="1"/>
      <c r="AA3507" s="1" t="s">
        <v>40</v>
      </c>
      <c r="AB3507" s="1" t="s">
        <v>205</v>
      </c>
      <c r="AC3507" s="1" t="s">
        <v>14861</v>
      </c>
    </row>
    <row r="3508">
      <c r="A3508" s="1" t="str">
        <f>"000YDV"</f>
        <v>000YDV</v>
      </c>
      <c r="B3508" s="1" t="s">
        <v>14862</v>
      </c>
      <c r="C3508" s="1" t="s">
        <v>14863</v>
      </c>
      <c r="D3508" s="1" t="str">
        <f>"8028813770"</f>
        <v>8028813770</v>
      </c>
      <c r="E3508" s="1">
        <v>5152.0</v>
      </c>
      <c r="F3508" s="1" t="s">
        <v>117</v>
      </c>
      <c r="G3508" s="1" t="s">
        <v>14864</v>
      </c>
      <c r="H3508" s="1">
        <v>1.0</v>
      </c>
      <c r="I3508" s="1"/>
      <c r="J3508" s="1"/>
      <c r="K3508" s="1"/>
      <c r="L3508" s="1"/>
      <c r="M3508" s="1" t="s">
        <v>33</v>
      </c>
      <c r="N3508" s="1" t="s">
        <v>57</v>
      </c>
      <c r="O3508" s="1" t="s">
        <v>204</v>
      </c>
      <c r="P3508" s="1" t="s">
        <v>14865</v>
      </c>
      <c r="Q3508" s="3">
        <v>42874.0</v>
      </c>
      <c r="R3508" s="1"/>
      <c r="S3508" s="1"/>
      <c r="T3508" s="1" t="s">
        <v>37</v>
      </c>
      <c r="U3508" s="1"/>
      <c r="V3508" s="1" t="s">
        <v>38</v>
      </c>
      <c r="W3508" s="1"/>
      <c r="X3508" s="1"/>
      <c r="Y3508" s="1" t="s">
        <v>14866</v>
      </c>
      <c r="Z3508" s="1"/>
      <c r="AA3508" s="1" t="s">
        <v>40</v>
      </c>
      <c r="AB3508" s="1" t="s">
        <v>205</v>
      </c>
      <c r="AC3508" s="1">
        <v>5461.0</v>
      </c>
    </row>
    <row r="3509">
      <c r="A3509" s="1" t="str">
        <f t="shared" ref="A3509:A3510" si="296">"000YF6"</f>
        <v>000YF6</v>
      </c>
      <c r="B3509" s="1" t="s">
        <v>14867</v>
      </c>
      <c r="C3509" s="1" t="s">
        <v>14868</v>
      </c>
      <c r="D3509" s="1" t="str">
        <f t="shared" ref="D3509:D3510" si="297">"8027854141"</f>
        <v>8027854141</v>
      </c>
      <c r="E3509" s="1">
        <v>5153.0</v>
      </c>
      <c r="F3509" s="1" t="s">
        <v>117</v>
      </c>
      <c r="G3509" s="1" t="s">
        <v>14869</v>
      </c>
      <c r="H3509" s="1">
        <v>3.0</v>
      </c>
      <c r="I3509" s="2">
        <v>0.0</v>
      </c>
      <c r="J3509" s="2">
        <v>0.0</v>
      </c>
      <c r="K3509" s="2" t="s">
        <v>119</v>
      </c>
      <c r="L3509" s="1"/>
      <c r="M3509" s="1">
        <v>1.0</v>
      </c>
      <c r="N3509" s="1" t="s">
        <v>142</v>
      </c>
      <c r="O3509" s="1" t="s">
        <v>143</v>
      </c>
      <c r="P3509" s="1" t="s">
        <v>14870</v>
      </c>
      <c r="Q3509" s="3">
        <v>42877.0</v>
      </c>
      <c r="R3509" s="1"/>
      <c r="S3509" s="3">
        <v>42964.0</v>
      </c>
      <c r="T3509" s="1" t="s">
        <v>37</v>
      </c>
      <c r="U3509" s="1"/>
      <c r="V3509" s="1" t="s">
        <v>38</v>
      </c>
      <c r="W3509" s="1">
        <v>43.862312</v>
      </c>
      <c r="X3509" s="1">
        <v>-72.2743299999999</v>
      </c>
      <c r="Y3509" s="1" t="s">
        <v>14871</v>
      </c>
      <c r="Z3509" s="1"/>
      <c r="AA3509" s="1" t="s">
        <v>40</v>
      </c>
      <c r="AB3509" s="1" t="s">
        <v>14872</v>
      </c>
      <c r="AC3509" s="1">
        <v>5075.0</v>
      </c>
    </row>
    <row r="3510">
      <c r="A3510" s="1" t="str">
        <f t="shared" si="296"/>
        <v>000YF6</v>
      </c>
      <c r="B3510" s="1" t="s">
        <v>14867</v>
      </c>
      <c r="C3510" s="1" t="s">
        <v>14868</v>
      </c>
      <c r="D3510" s="1" t="str">
        <f t="shared" si="297"/>
        <v>8027854141</v>
      </c>
      <c r="E3510" s="1">
        <v>5153.0</v>
      </c>
      <c r="F3510" s="1" t="s">
        <v>117</v>
      </c>
      <c r="G3510" s="1" t="s">
        <v>14873</v>
      </c>
      <c r="H3510" s="1">
        <v>2.0</v>
      </c>
      <c r="I3510" s="2">
        <v>0.0</v>
      </c>
      <c r="J3510" s="2">
        <v>0.0</v>
      </c>
      <c r="K3510" s="2" t="s">
        <v>119</v>
      </c>
      <c r="L3510" s="1"/>
      <c r="M3510" s="1">
        <v>1.0</v>
      </c>
      <c r="N3510" s="1" t="s">
        <v>142</v>
      </c>
      <c r="O3510" s="1" t="s">
        <v>1213</v>
      </c>
      <c r="P3510" s="1" t="s">
        <v>14874</v>
      </c>
      <c r="Q3510" s="3">
        <v>42877.0</v>
      </c>
      <c r="R3510" s="1"/>
      <c r="S3510" s="3">
        <v>42964.0</v>
      </c>
      <c r="T3510" s="1" t="s">
        <v>37</v>
      </c>
      <c r="U3510" s="1"/>
      <c r="V3510" s="1" t="s">
        <v>38</v>
      </c>
      <c r="W3510" s="1">
        <v>43.949494</v>
      </c>
      <c r="X3510" s="1">
        <v>-72.334002</v>
      </c>
      <c r="Y3510" s="1" t="s">
        <v>14875</v>
      </c>
      <c r="Z3510" s="1"/>
      <c r="AA3510" s="1" t="s">
        <v>40</v>
      </c>
      <c r="AB3510" s="1" t="s">
        <v>1214</v>
      </c>
      <c r="AC3510" s="1">
        <v>5079.0</v>
      </c>
    </row>
    <row r="3511">
      <c r="A3511" s="1" t="str">
        <f>"000YF7"</f>
        <v>000YF7</v>
      </c>
      <c r="B3511" s="1" t="s">
        <v>14876</v>
      </c>
      <c r="C3511" s="1" t="s">
        <v>14877</v>
      </c>
      <c r="D3511" s="1" t="str">
        <f>"8022870928"</f>
        <v>8022870928</v>
      </c>
      <c r="E3511" s="1">
        <v>5154.0</v>
      </c>
      <c r="F3511" s="1" t="s">
        <v>117</v>
      </c>
      <c r="G3511" s="1" t="s">
        <v>14878</v>
      </c>
      <c r="H3511" s="1">
        <v>4.0</v>
      </c>
      <c r="I3511" s="2" t="s">
        <v>119</v>
      </c>
      <c r="J3511" s="2" t="s">
        <v>119</v>
      </c>
      <c r="K3511" s="2" t="s">
        <v>119</v>
      </c>
      <c r="L3511" s="1"/>
      <c r="M3511" s="1" t="s">
        <v>14879</v>
      </c>
      <c r="N3511" s="1" t="s">
        <v>78</v>
      </c>
      <c r="O3511" s="1" t="s">
        <v>4889</v>
      </c>
      <c r="P3511" s="1" t="s">
        <v>14880</v>
      </c>
      <c r="Q3511" s="3">
        <v>42877.0</v>
      </c>
      <c r="R3511" s="1"/>
      <c r="S3511" s="1"/>
      <c r="T3511" s="1" t="s">
        <v>37</v>
      </c>
      <c r="U3511" s="1"/>
      <c r="V3511" s="1" t="s">
        <v>38</v>
      </c>
      <c r="W3511" s="1">
        <v>43.677268</v>
      </c>
      <c r="X3511" s="1">
        <v>-73.1379789999999</v>
      </c>
      <c r="Y3511" s="1" t="s">
        <v>14881</v>
      </c>
      <c r="Z3511" s="1"/>
      <c r="AA3511" s="1" t="s">
        <v>40</v>
      </c>
      <c r="AB3511" s="1" t="s">
        <v>14882</v>
      </c>
      <c r="AC3511" s="1">
        <v>5735.0</v>
      </c>
    </row>
    <row r="3512">
      <c r="A3512" s="1" t="str">
        <f>"000YF8"</f>
        <v>000YF8</v>
      </c>
      <c r="B3512" s="1" t="s">
        <v>14883</v>
      </c>
      <c r="C3512" s="1" t="s">
        <v>14884</v>
      </c>
      <c r="D3512" s="1" t="str">
        <f>"8024558071"</f>
        <v>8024558071</v>
      </c>
      <c r="E3512" s="1">
        <v>5155.0</v>
      </c>
      <c r="F3512" s="1" t="s">
        <v>117</v>
      </c>
      <c r="G3512" s="1" t="s">
        <v>14885</v>
      </c>
      <c r="H3512" s="1">
        <v>2.0</v>
      </c>
      <c r="I3512" s="2" t="s">
        <v>119</v>
      </c>
      <c r="J3512" s="2" t="s">
        <v>119</v>
      </c>
      <c r="K3512" s="2" t="s">
        <v>119</v>
      </c>
      <c r="L3512" s="1"/>
      <c r="M3512" s="1"/>
      <c r="N3512" s="1" t="s">
        <v>135</v>
      </c>
      <c r="O3512" s="1"/>
      <c r="P3512" s="1" t="s">
        <v>14886</v>
      </c>
      <c r="Q3512" s="3">
        <v>42877.0</v>
      </c>
      <c r="R3512" s="1"/>
      <c r="S3512" s="1"/>
      <c r="T3512" s="1" t="s">
        <v>37</v>
      </c>
      <c r="U3512" s="1"/>
      <c r="V3512" s="1" t="s">
        <v>38</v>
      </c>
      <c r="W3512" s="1">
        <v>44.0495765</v>
      </c>
      <c r="X3512" s="1">
        <v>-72.4794953</v>
      </c>
      <c r="Y3512" s="1" t="s">
        <v>14887</v>
      </c>
      <c r="Z3512" s="1"/>
      <c r="AA3512" s="1" t="s">
        <v>40</v>
      </c>
      <c r="AB3512" s="1" t="s">
        <v>14888</v>
      </c>
      <c r="AC3512" s="1">
        <v>5679.0</v>
      </c>
    </row>
    <row r="3513">
      <c r="A3513" s="1" t="str">
        <f>"000YFP"</f>
        <v>000YFP</v>
      </c>
      <c r="B3513" s="1" t="s">
        <v>14889</v>
      </c>
      <c r="C3513" s="1" t="s">
        <v>14890</v>
      </c>
      <c r="D3513" s="1" t="str">
        <f>"8023765860"</f>
        <v>8023765860</v>
      </c>
      <c r="E3513" s="1">
        <v>5157.0</v>
      </c>
      <c r="F3513" s="1" t="s">
        <v>117</v>
      </c>
      <c r="G3513" s="1" t="s">
        <v>14891</v>
      </c>
      <c r="H3513" s="1">
        <v>1.0</v>
      </c>
      <c r="I3513" s="2">
        <v>1.0</v>
      </c>
      <c r="J3513" s="2">
        <v>1.0</v>
      </c>
      <c r="K3513" s="2" t="s">
        <v>119</v>
      </c>
      <c r="L3513" s="2" t="s">
        <v>14892</v>
      </c>
      <c r="M3513" s="1" t="s">
        <v>14893</v>
      </c>
      <c r="N3513" s="1" t="s">
        <v>142</v>
      </c>
      <c r="O3513" s="1" t="s">
        <v>474</v>
      </c>
      <c r="P3513" s="1" t="s">
        <v>14894</v>
      </c>
      <c r="Q3513" s="3">
        <v>42879.0</v>
      </c>
      <c r="R3513" s="1"/>
      <c r="S3513" s="1"/>
      <c r="T3513" s="1" t="s">
        <v>37</v>
      </c>
      <c r="U3513" s="1"/>
      <c r="V3513" s="1" t="s">
        <v>38</v>
      </c>
      <c r="W3513" s="1"/>
      <c r="X3513" s="1"/>
      <c r="Y3513" s="1" t="s">
        <v>14895</v>
      </c>
      <c r="Z3513" s="1"/>
      <c r="AA3513" s="1" t="s">
        <v>40</v>
      </c>
      <c r="AB3513" s="1" t="s">
        <v>736</v>
      </c>
      <c r="AC3513" s="1">
        <v>5061.0</v>
      </c>
    </row>
    <row r="3514">
      <c r="A3514" s="1" t="str">
        <f>"000YFZ"</f>
        <v>000YFZ</v>
      </c>
      <c r="B3514" s="1" t="s">
        <v>14896</v>
      </c>
      <c r="C3514" s="1" t="s">
        <v>14897</v>
      </c>
      <c r="D3514" s="1" t="str">
        <f>"8023924655"</f>
        <v>8023924655</v>
      </c>
      <c r="E3514" s="1">
        <v>5158.0</v>
      </c>
      <c r="F3514" s="1" t="s">
        <v>117</v>
      </c>
      <c r="G3514" s="1" t="s">
        <v>14898</v>
      </c>
      <c r="H3514" s="1">
        <v>1.0</v>
      </c>
      <c r="I3514" s="2" t="s">
        <v>119</v>
      </c>
      <c r="J3514" s="2" t="s">
        <v>119</v>
      </c>
      <c r="K3514" s="2" t="s">
        <v>119</v>
      </c>
      <c r="L3514" s="1"/>
      <c r="M3514" s="1" t="s">
        <v>14899</v>
      </c>
      <c r="N3514" s="1" t="s">
        <v>34</v>
      </c>
      <c r="O3514" s="1" t="s">
        <v>551</v>
      </c>
      <c r="P3514" s="1" t="s">
        <v>14900</v>
      </c>
      <c r="Q3514" s="3">
        <v>42879.0</v>
      </c>
      <c r="R3514" s="1"/>
      <c r="S3514" s="1"/>
      <c r="T3514" s="1" t="s">
        <v>37</v>
      </c>
      <c r="U3514" s="1"/>
      <c r="V3514" s="1" t="s">
        <v>38</v>
      </c>
      <c r="W3514" s="1">
        <v>43.770897</v>
      </c>
      <c r="X3514" s="1">
        <v>-72.614189</v>
      </c>
      <c r="Y3514" s="1" t="s">
        <v>14901</v>
      </c>
      <c r="Z3514" s="1"/>
      <c r="AA3514" s="1" t="s">
        <v>40</v>
      </c>
      <c r="AB3514" s="1" t="s">
        <v>151</v>
      </c>
      <c r="AC3514" s="1">
        <v>5032.0</v>
      </c>
    </row>
    <row r="3515">
      <c r="A3515" s="1" t="str">
        <f>"000YG0"</f>
        <v>000YG0</v>
      </c>
      <c r="B3515" s="1" t="s">
        <v>14902</v>
      </c>
      <c r="C3515" s="1" t="s">
        <v>14903</v>
      </c>
      <c r="D3515" s="1" t="str">
        <f>"8022912118"</f>
        <v>8022912118</v>
      </c>
      <c r="E3515" s="1">
        <v>5159.0</v>
      </c>
      <c r="F3515" s="1" t="s">
        <v>117</v>
      </c>
      <c r="G3515" s="1" t="s">
        <v>14904</v>
      </c>
      <c r="H3515" s="1">
        <v>1.0</v>
      </c>
      <c r="I3515" s="2" t="s">
        <v>119</v>
      </c>
      <c r="J3515" s="2" t="s">
        <v>119</v>
      </c>
      <c r="K3515" s="2" t="s">
        <v>119</v>
      </c>
      <c r="L3515" s="1"/>
      <c r="M3515" s="1">
        <v>1.0</v>
      </c>
      <c r="N3515" s="1" t="s">
        <v>34</v>
      </c>
      <c r="O3515" s="1" t="s">
        <v>88</v>
      </c>
      <c r="P3515" s="1" t="s">
        <v>14905</v>
      </c>
      <c r="Q3515" s="3">
        <v>42879.0</v>
      </c>
      <c r="R3515" s="1"/>
      <c r="S3515" s="1"/>
      <c r="T3515" s="1" t="s">
        <v>37</v>
      </c>
      <c r="U3515" s="1"/>
      <c r="V3515" s="1" t="s">
        <v>38</v>
      </c>
      <c r="W3515" s="1">
        <v>43.7823299999999</v>
      </c>
      <c r="X3515" s="1">
        <v>-72.392967</v>
      </c>
      <c r="Y3515" s="1" t="s">
        <v>14906</v>
      </c>
      <c r="Z3515" s="1"/>
      <c r="AA3515" s="1" t="s">
        <v>40</v>
      </c>
      <c r="AB3515" s="1" t="s">
        <v>89</v>
      </c>
      <c r="AC3515" s="1">
        <v>5065.0</v>
      </c>
    </row>
    <row r="3516">
      <c r="A3516" s="1" t="str">
        <f>"000YG6"</f>
        <v>000YG6</v>
      </c>
      <c r="B3516" s="1" t="s">
        <v>14907</v>
      </c>
      <c r="C3516" s="1" t="s">
        <v>14908</v>
      </c>
      <c r="D3516" s="1" t="str">
        <f>"8028817498"</f>
        <v>8028817498</v>
      </c>
      <c r="E3516" s="1">
        <v>5160.0</v>
      </c>
      <c r="F3516" s="1" t="s">
        <v>117</v>
      </c>
      <c r="G3516" s="1" t="s">
        <v>14909</v>
      </c>
      <c r="H3516" s="1">
        <v>1.0</v>
      </c>
      <c r="I3516" s="2" t="s">
        <v>119</v>
      </c>
      <c r="J3516" s="2" t="s">
        <v>119</v>
      </c>
      <c r="K3516" s="2" t="s">
        <v>119</v>
      </c>
      <c r="L3516" s="1"/>
      <c r="M3516" s="1" t="s">
        <v>14910</v>
      </c>
      <c r="N3516" s="1" t="s">
        <v>47</v>
      </c>
      <c r="O3516" s="1" t="s">
        <v>582</v>
      </c>
      <c r="P3516" s="1" t="s">
        <v>14911</v>
      </c>
      <c r="Q3516" s="3">
        <v>42880.0</v>
      </c>
      <c r="R3516" s="1"/>
      <c r="S3516" s="1"/>
      <c r="T3516" s="1" t="s">
        <v>37</v>
      </c>
      <c r="U3516" s="1"/>
      <c r="V3516" s="1" t="s">
        <v>38</v>
      </c>
      <c r="W3516" s="1">
        <v>44.772789</v>
      </c>
      <c r="X3516" s="1">
        <v>-73.139252</v>
      </c>
      <c r="Y3516" s="1" t="s">
        <v>14912</v>
      </c>
      <c r="Z3516" s="1"/>
      <c r="AA3516" s="1" t="s">
        <v>40</v>
      </c>
      <c r="AB3516" s="1" t="s">
        <v>583</v>
      </c>
      <c r="AC3516" s="1">
        <v>5478.0</v>
      </c>
    </row>
    <row r="3517">
      <c r="A3517" s="1" t="str">
        <f>"000XJ5"</f>
        <v>000XJ5</v>
      </c>
      <c r="B3517" s="1" t="s">
        <v>14399</v>
      </c>
      <c r="C3517" s="1" t="s">
        <v>14913</v>
      </c>
      <c r="D3517" s="1" t="str">
        <f>"8027854324"</f>
        <v>8027854324</v>
      </c>
      <c r="E3517" s="1">
        <v>5161.0</v>
      </c>
      <c r="F3517" s="1" t="s">
        <v>117</v>
      </c>
      <c r="G3517" s="1" t="s">
        <v>14914</v>
      </c>
      <c r="H3517" s="1">
        <v>1.0</v>
      </c>
      <c r="I3517" s="2">
        <v>2.0</v>
      </c>
      <c r="J3517" s="2" t="s">
        <v>119</v>
      </c>
      <c r="K3517" s="2" t="s">
        <v>119</v>
      </c>
      <c r="L3517" s="2" t="s">
        <v>14915</v>
      </c>
      <c r="M3517" s="1" t="s">
        <v>14916</v>
      </c>
      <c r="N3517" s="1" t="s">
        <v>142</v>
      </c>
      <c r="O3517" s="1" t="s">
        <v>143</v>
      </c>
      <c r="P3517" s="1" t="s">
        <v>14917</v>
      </c>
      <c r="Q3517" s="3">
        <v>42881.0</v>
      </c>
      <c r="R3517" s="1"/>
      <c r="S3517" s="3">
        <v>42972.0</v>
      </c>
      <c r="T3517" s="1" t="s">
        <v>37</v>
      </c>
      <c r="U3517" s="1"/>
      <c r="V3517" s="1" t="s">
        <v>38</v>
      </c>
      <c r="W3517" s="1">
        <v>43.852657</v>
      </c>
      <c r="X3517" s="1">
        <v>-72.316277</v>
      </c>
      <c r="Y3517" s="1" t="s">
        <v>14918</v>
      </c>
      <c r="Z3517" s="1"/>
      <c r="AA3517" s="1" t="s">
        <v>40</v>
      </c>
      <c r="AB3517" s="1" t="s">
        <v>14872</v>
      </c>
      <c r="AC3517" s="1">
        <v>5075.0</v>
      </c>
    </row>
    <row r="3518">
      <c r="A3518" s="1" t="str">
        <f>"000YGD"</f>
        <v>000YGD</v>
      </c>
      <c r="B3518" s="1" t="s">
        <v>14919</v>
      </c>
      <c r="C3518" s="1" t="s">
        <v>14920</v>
      </c>
      <c r="D3518" s="1" t="str">
        <f>"4436436678"</f>
        <v>4436436678</v>
      </c>
      <c r="E3518" s="1">
        <v>5162.0</v>
      </c>
      <c r="F3518" s="1" t="s">
        <v>117</v>
      </c>
      <c r="G3518" s="1" t="s">
        <v>14921</v>
      </c>
      <c r="H3518" s="1">
        <v>12.0</v>
      </c>
      <c r="I3518" s="2" t="s">
        <v>119</v>
      </c>
      <c r="J3518" s="2" t="s">
        <v>119</v>
      </c>
      <c r="K3518" s="2" t="s">
        <v>119</v>
      </c>
      <c r="L3518" s="2" t="s">
        <v>3077</v>
      </c>
      <c r="M3518" s="1" t="s">
        <v>14922</v>
      </c>
      <c r="N3518" s="1" t="s">
        <v>34</v>
      </c>
      <c r="O3518" s="1" t="s">
        <v>642</v>
      </c>
      <c r="P3518" s="1" t="s">
        <v>14923</v>
      </c>
      <c r="Q3518" s="3">
        <v>42881.0</v>
      </c>
      <c r="R3518" s="1"/>
      <c r="S3518" s="1"/>
      <c r="T3518" s="1" t="s">
        <v>37</v>
      </c>
      <c r="U3518" s="1"/>
      <c r="V3518" s="1" t="s">
        <v>38</v>
      </c>
      <c r="W3518" s="1"/>
      <c r="X3518" s="1"/>
      <c r="Y3518" s="1" t="s">
        <v>2083</v>
      </c>
      <c r="Z3518" s="1"/>
      <c r="AA3518" s="1" t="s">
        <v>40</v>
      </c>
      <c r="AB3518" s="1" t="s">
        <v>14924</v>
      </c>
      <c r="AC3518" s="1">
        <v>5401.0</v>
      </c>
    </row>
    <row r="3519">
      <c r="A3519" s="1" t="str">
        <f>"000NMY"</f>
        <v>000NMY</v>
      </c>
      <c r="B3519" s="1" t="s">
        <v>11996</v>
      </c>
      <c r="C3519" s="1" t="s">
        <v>11997</v>
      </c>
      <c r="D3519" s="1" t="str">
        <f>"8023634579"</f>
        <v>8023634579</v>
      </c>
      <c r="E3519" s="1">
        <v>4753.0</v>
      </c>
      <c r="F3519" s="1" t="s">
        <v>117</v>
      </c>
      <c r="G3519" s="1" t="s">
        <v>14925</v>
      </c>
      <c r="H3519" s="1">
        <v>3.0</v>
      </c>
      <c r="I3519" s="2" t="s">
        <v>119</v>
      </c>
      <c r="J3519" s="2" t="s">
        <v>119</v>
      </c>
      <c r="K3519" s="2" t="s">
        <v>119</v>
      </c>
      <c r="L3519" s="2" t="s">
        <v>11999</v>
      </c>
      <c r="M3519" s="1" t="s">
        <v>14926</v>
      </c>
      <c r="N3519" s="1" t="s">
        <v>57</v>
      </c>
      <c r="O3519" s="1" t="s">
        <v>1633</v>
      </c>
      <c r="P3519" s="1" t="s">
        <v>14927</v>
      </c>
      <c r="Q3519" s="3">
        <v>42885.0</v>
      </c>
      <c r="R3519" s="1"/>
      <c r="S3519" s="1"/>
      <c r="T3519" s="1" t="s">
        <v>37</v>
      </c>
      <c r="U3519" s="1"/>
      <c r="V3519" s="1" t="s">
        <v>38</v>
      </c>
      <c r="W3519" s="1">
        <v>44.3078765</v>
      </c>
      <c r="X3519" s="1">
        <v>-73.2784825</v>
      </c>
      <c r="Y3519" s="1" t="s">
        <v>14928</v>
      </c>
      <c r="Z3519" s="1"/>
      <c r="AA3519" s="1" t="s">
        <v>40</v>
      </c>
      <c r="AB3519" s="1" t="s">
        <v>1634</v>
      </c>
      <c r="AC3519" s="1">
        <v>5445.0</v>
      </c>
    </row>
    <row r="3520">
      <c r="A3520" s="1" t="str">
        <f>"000YGK"</f>
        <v>000YGK</v>
      </c>
      <c r="B3520" s="1" t="s">
        <v>14929</v>
      </c>
      <c r="C3520" s="1" t="s">
        <v>14930</v>
      </c>
      <c r="D3520" s="1" t="str">
        <f>"8025051293"</f>
        <v>8025051293</v>
      </c>
      <c r="E3520" s="1">
        <v>5163.0</v>
      </c>
      <c r="F3520" s="1" t="s">
        <v>117</v>
      </c>
      <c r="G3520" s="1" t="s">
        <v>14931</v>
      </c>
      <c r="H3520" s="1">
        <v>1.0</v>
      </c>
      <c r="I3520" s="2" t="s">
        <v>119</v>
      </c>
      <c r="J3520" s="2" t="s">
        <v>119</v>
      </c>
      <c r="K3520" s="2" t="s">
        <v>119</v>
      </c>
      <c r="L3520" s="1"/>
      <c r="M3520" s="1" t="s">
        <v>14932</v>
      </c>
      <c r="N3520" s="1" t="s">
        <v>128</v>
      </c>
      <c r="O3520" s="1" t="s">
        <v>129</v>
      </c>
      <c r="P3520" s="1" t="s">
        <v>14933</v>
      </c>
      <c r="Q3520" s="3">
        <v>42886.0</v>
      </c>
      <c r="R3520" s="1"/>
      <c r="S3520" s="1"/>
      <c r="T3520" s="1" t="s">
        <v>37</v>
      </c>
      <c r="U3520" s="1"/>
      <c r="V3520" s="1" t="s">
        <v>38</v>
      </c>
      <c r="W3520" s="1">
        <v>44.407968</v>
      </c>
      <c r="X3520" s="1">
        <v>-72.1962889999999</v>
      </c>
      <c r="Y3520" s="1" t="s">
        <v>14934</v>
      </c>
      <c r="Z3520" s="1"/>
      <c r="AA3520" s="1" t="s">
        <v>40</v>
      </c>
      <c r="AB3520" s="1" t="s">
        <v>14935</v>
      </c>
      <c r="AC3520" s="1">
        <v>5873.0</v>
      </c>
    </row>
    <row r="3521">
      <c r="A3521" s="1" t="str">
        <f>"000YH1"</f>
        <v>000YH1</v>
      </c>
      <c r="B3521" s="1" t="s">
        <v>14936</v>
      </c>
      <c r="C3521" s="1" t="s">
        <v>14937</v>
      </c>
      <c r="D3521" s="1" t="str">
        <f>"8023248488"</f>
        <v>8023248488</v>
      </c>
      <c r="E3521" s="1">
        <v>5164.0</v>
      </c>
      <c r="F3521" s="1" t="s">
        <v>117</v>
      </c>
      <c r="G3521" s="1" t="s">
        <v>14938</v>
      </c>
      <c r="H3521" s="1">
        <v>3.0</v>
      </c>
      <c r="I3521" s="2" t="s">
        <v>119</v>
      </c>
      <c r="J3521" s="2" t="s">
        <v>119</v>
      </c>
      <c r="K3521" s="2" t="s">
        <v>119</v>
      </c>
      <c r="L3521" s="1"/>
      <c r="M3521" s="1">
        <v>0.0</v>
      </c>
      <c r="N3521" s="1" t="s">
        <v>94</v>
      </c>
      <c r="O3521" s="1" t="s">
        <v>1582</v>
      </c>
      <c r="P3521" s="1" t="s">
        <v>14939</v>
      </c>
      <c r="Q3521" s="3">
        <v>42886.0</v>
      </c>
      <c r="R3521" s="1"/>
      <c r="S3521" s="1"/>
      <c r="T3521" s="1" t="s">
        <v>37</v>
      </c>
      <c r="U3521" s="1"/>
      <c r="V3521" s="1" t="s">
        <v>38</v>
      </c>
      <c r="W3521" s="1">
        <v>44.8805043</v>
      </c>
      <c r="X3521" s="1">
        <v>-72.1766809</v>
      </c>
      <c r="Y3521" s="1" t="s">
        <v>14940</v>
      </c>
      <c r="Z3521" s="1"/>
      <c r="AA3521" s="1" t="s">
        <v>40</v>
      </c>
      <c r="AB3521" s="1" t="s">
        <v>1583</v>
      </c>
      <c r="AC3521" s="1">
        <v>5855.0</v>
      </c>
    </row>
    <row r="3522">
      <c r="A3522" s="1" t="str">
        <f>"00097Z"</f>
        <v>00097Z</v>
      </c>
      <c r="B3522" s="1" t="s">
        <v>7821</v>
      </c>
      <c r="C3522" s="1" t="s">
        <v>7822</v>
      </c>
      <c r="D3522" s="1" t="str">
        <f>"8022234201"</f>
        <v>8022234201</v>
      </c>
      <c r="E3522" s="1">
        <v>4047.0</v>
      </c>
      <c r="F3522" s="1" t="s">
        <v>117</v>
      </c>
      <c r="G3522" s="1" t="s">
        <v>14941</v>
      </c>
      <c r="H3522" s="1">
        <v>2.0</v>
      </c>
      <c r="I3522" s="2" t="s">
        <v>119</v>
      </c>
      <c r="J3522" s="2" t="s">
        <v>119</v>
      </c>
      <c r="K3522" s="2" t="s">
        <v>119</v>
      </c>
      <c r="L3522" s="1"/>
      <c r="M3522" s="1">
        <v>1.0</v>
      </c>
      <c r="N3522" s="1" t="s">
        <v>135</v>
      </c>
      <c r="O3522" s="1" t="s">
        <v>805</v>
      </c>
      <c r="P3522" s="1" t="s">
        <v>14942</v>
      </c>
      <c r="Q3522" s="3">
        <v>42887.0</v>
      </c>
      <c r="R3522" s="1"/>
      <c r="S3522" s="1"/>
      <c r="T3522" s="1" t="s">
        <v>37</v>
      </c>
      <c r="U3522" s="1"/>
      <c r="V3522" s="1" t="s">
        <v>38</v>
      </c>
      <c r="W3522" s="1">
        <v>44.297043</v>
      </c>
      <c r="X3522" s="1">
        <v>-72.477463</v>
      </c>
      <c r="Y3522" s="1" t="s">
        <v>14943</v>
      </c>
      <c r="Z3522" s="1"/>
      <c r="AA3522" s="1" t="s">
        <v>40</v>
      </c>
      <c r="AB3522" s="1" t="s">
        <v>10229</v>
      </c>
      <c r="AC3522" s="1">
        <v>5651.0</v>
      </c>
    </row>
    <row r="3523">
      <c r="A3523" s="1" t="str">
        <f>"000MXJ"</f>
        <v>000MXJ</v>
      </c>
      <c r="B3523" s="1" t="s">
        <v>11356</v>
      </c>
      <c r="C3523" s="1" t="s">
        <v>11357</v>
      </c>
      <c r="D3523" s="1" t="str">
        <f>"8027778235"</f>
        <v>8027778235</v>
      </c>
      <c r="E3523" s="1">
        <v>4644.0</v>
      </c>
      <c r="F3523" s="1" t="s">
        <v>117</v>
      </c>
      <c r="G3523" s="1" t="s">
        <v>14944</v>
      </c>
      <c r="H3523" s="1">
        <v>3.0</v>
      </c>
      <c r="I3523" s="2" t="s">
        <v>119</v>
      </c>
      <c r="J3523" s="2" t="s">
        <v>119</v>
      </c>
      <c r="K3523" s="2" t="s">
        <v>119</v>
      </c>
      <c r="L3523" s="1"/>
      <c r="M3523" s="1">
        <v>2.0</v>
      </c>
      <c r="N3523" s="1" t="s">
        <v>47</v>
      </c>
      <c r="O3523" s="1" t="s">
        <v>2319</v>
      </c>
      <c r="P3523" s="1" t="s">
        <v>14945</v>
      </c>
      <c r="Q3523" s="3">
        <v>42887.0</v>
      </c>
      <c r="R3523" s="1"/>
      <c r="S3523" s="1"/>
      <c r="T3523" s="1" t="s">
        <v>37</v>
      </c>
      <c r="U3523" s="1"/>
      <c r="V3523" s="1" t="s">
        <v>38</v>
      </c>
      <c r="W3523" s="1">
        <v>44.7256318</v>
      </c>
      <c r="X3523" s="1">
        <v>-73.1642006</v>
      </c>
      <c r="Y3523" s="1" t="s">
        <v>14946</v>
      </c>
      <c r="Z3523" s="1"/>
      <c r="AA3523" s="1" t="s">
        <v>40</v>
      </c>
      <c r="AB3523" s="1" t="s">
        <v>47</v>
      </c>
      <c r="AC3523" s="1">
        <v>5478.0</v>
      </c>
    </row>
    <row r="3524">
      <c r="A3524" s="1" t="str">
        <f>"0007V0"</f>
        <v>0007V0</v>
      </c>
      <c r="B3524" s="1" t="s">
        <v>8109</v>
      </c>
      <c r="C3524" s="1" t="s">
        <v>8110</v>
      </c>
      <c r="D3524" s="1" t="str">
        <f>"8024623722"</f>
        <v>8024623722</v>
      </c>
      <c r="E3524" s="1">
        <v>4027.0</v>
      </c>
      <c r="F3524" s="1" t="s">
        <v>117</v>
      </c>
      <c r="G3524" s="1" t="s">
        <v>14947</v>
      </c>
      <c r="H3524" s="1">
        <v>160.0</v>
      </c>
      <c r="I3524" s="2" t="s">
        <v>119</v>
      </c>
      <c r="J3524" s="2" t="s">
        <v>119</v>
      </c>
      <c r="K3524" s="2" t="s">
        <v>119</v>
      </c>
      <c r="L3524" s="1"/>
      <c r="M3524" s="1" t="s">
        <v>307</v>
      </c>
      <c r="N3524" s="1" t="s">
        <v>161</v>
      </c>
      <c r="O3524" s="1" t="s">
        <v>307</v>
      </c>
      <c r="P3524" s="1" t="s">
        <v>14948</v>
      </c>
      <c r="Q3524" s="3">
        <v>42887.0</v>
      </c>
      <c r="R3524" s="1"/>
      <c r="S3524" s="3">
        <v>42934.0</v>
      </c>
      <c r="T3524" s="1" t="s">
        <v>37</v>
      </c>
      <c r="U3524" s="1"/>
      <c r="V3524" s="1" t="s">
        <v>38</v>
      </c>
      <c r="W3524" s="1">
        <v>44.1228209454868</v>
      </c>
      <c r="X3524" s="1">
        <v>-73.0890228599309</v>
      </c>
      <c r="Y3524" s="1" t="s">
        <v>14949</v>
      </c>
      <c r="Z3524" s="1"/>
      <c r="AA3524" s="1" t="s">
        <v>40</v>
      </c>
      <c r="AB3524" s="1" t="s">
        <v>308</v>
      </c>
      <c r="AC3524" s="1">
        <v>5443.0</v>
      </c>
    </row>
    <row r="3525">
      <c r="A3525" s="1" t="str">
        <f>"0008GQ"</f>
        <v>0008GQ</v>
      </c>
      <c r="B3525" s="1" t="s">
        <v>3445</v>
      </c>
      <c r="C3525" s="1" t="s">
        <v>3446</v>
      </c>
      <c r="D3525" s="1" t="str">
        <f>"8025243805"</f>
        <v>8025243805</v>
      </c>
      <c r="E3525" s="1">
        <v>4017.0</v>
      </c>
      <c r="F3525" s="1" t="s">
        <v>117</v>
      </c>
      <c r="G3525" s="1" t="s">
        <v>14950</v>
      </c>
      <c r="H3525" s="1">
        <v>1.0</v>
      </c>
      <c r="I3525" s="2" t="s">
        <v>119</v>
      </c>
      <c r="J3525" s="2" t="s">
        <v>119</v>
      </c>
      <c r="K3525" s="2" t="s">
        <v>119</v>
      </c>
      <c r="L3525" s="1"/>
      <c r="M3525" s="1">
        <v>9.0</v>
      </c>
      <c r="N3525" s="1" t="s">
        <v>57</v>
      </c>
      <c r="O3525" s="1" t="s">
        <v>256</v>
      </c>
      <c r="P3525" s="1" t="s">
        <v>14951</v>
      </c>
      <c r="Q3525" s="3">
        <v>42887.0</v>
      </c>
      <c r="R3525" s="1"/>
      <c r="S3525" s="1"/>
      <c r="T3525" s="1" t="s">
        <v>37</v>
      </c>
      <c r="U3525" s="1"/>
      <c r="V3525" s="1" t="s">
        <v>38</v>
      </c>
      <c r="W3525" s="1"/>
      <c r="X3525" s="1"/>
      <c r="Y3525" s="1" t="s">
        <v>14952</v>
      </c>
      <c r="Z3525" s="1"/>
      <c r="AA3525" s="1" t="s">
        <v>40</v>
      </c>
      <c r="AB3525" s="1" t="s">
        <v>256</v>
      </c>
      <c r="AC3525" s="1">
        <v>5468.0</v>
      </c>
    </row>
    <row r="3526">
      <c r="A3526" s="1" t="str">
        <f t="shared" ref="A3526:A3531" si="298">"000YHA"</f>
        <v>000YHA</v>
      </c>
      <c r="B3526" s="1" t="s">
        <v>14953</v>
      </c>
      <c r="C3526" s="1" t="s">
        <v>14954</v>
      </c>
      <c r="D3526" s="1" t="str">
        <f t="shared" ref="D3526:D3531" si="299">"8024582303"</f>
        <v>8024582303</v>
      </c>
      <c r="E3526" s="1">
        <v>5165.0</v>
      </c>
      <c r="F3526" s="1" t="s">
        <v>117</v>
      </c>
      <c r="G3526" s="1" t="s">
        <v>14955</v>
      </c>
      <c r="H3526" s="1">
        <v>16.0</v>
      </c>
      <c r="I3526" s="2">
        <v>20.0</v>
      </c>
      <c r="J3526" s="2">
        <v>20.0</v>
      </c>
      <c r="K3526" s="2" t="s">
        <v>119</v>
      </c>
      <c r="L3526" s="2" t="s">
        <v>14218</v>
      </c>
      <c r="M3526" s="1">
        <v>1.0</v>
      </c>
      <c r="N3526" s="1" t="s">
        <v>213</v>
      </c>
      <c r="O3526" s="1" t="s">
        <v>1154</v>
      </c>
      <c r="P3526" s="1" t="s">
        <v>14956</v>
      </c>
      <c r="Q3526" s="3">
        <v>42888.0</v>
      </c>
      <c r="R3526" s="1"/>
      <c r="S3526" s="1"/>
      <c r="T3526" s="1" t="s">
        <v>37</v>
      </c>
      <c r="U3526" s="1"/>
      <c r="V3526" s="1" t="s">
        <v>38</v>
      </c>
      <c r="W3526" s="1">
        <v>44.606655</v>
      </c>
      <c r="X3526" s="1">
        <v>-72.6937558999999</v>
      </c>
      <c r="Y3526" s="1" t="s">
        <v>14957</v>
      </c>
      <c r="Z3526" s="1"/>
      <c r="AA3526" s="1" t="s">
        <v>40</v>
      </c>
      <c r="AB3526" s="1" t="s">
        <v>1155</v>
      </c>
      <c r="AC3526" s="1">
        <v>5656.0</v>
      </c>
    </row>
    <row r="3527">
      <c r="A3527" s="1" t="str">
        <f t="shared" si="298"/>
        <v>000YHA</v>
      </c>
      <c r="B3527" s="1" t="s">
        <v>14953</v>
      </c>
      <c r="C3527" s="1" t="s">
        <v>14954</v>
      </c>
      <c r="D3527" s="1" t="str">
        <f t="shared" si="299"/>
        <v>8024582303</v>
      </c>
      <c r="E3527" s="1">
        <v>5165.0</v>
      </c>
      <c r="F3527" s="1" t="s">
        <v>117</v>
      </c>
      <c r="G3527" s="1" t="s">
        <v>14958</v>
      </c>
      <c r="H3527" s="1">
        <v>16.0</v>
      </c>
      <c r="I3527" s="2" t="s">
        <v>119</v>
      </c>
      <c r="J3527" s="2" t="s">
        <v>119</v>
      </c>
      <c r="K3527" s="2" t="s">
        <v>119</v>
      </c>
      <c r="L3527" s="1"/>
      <c r="M3527" s="1">
        <v>2.0</v>
      </c>
      <c r="N3527" s="1" t="s">
        <v>213</v>
      </c>
      <c r="O3527" s="1" t="s">
        <v>625</v>
      </c>
      <c r="P3527" s="1" t="s">
        <v>14959</v>
      </c>
      <c r="Q3527" s="3">
        <v>42888.0</v>
      </c>
      <c r="R3527" s="1"/>
      <c r="S3527" s="1"/>
      <c r="T3527" s="1" t="s">
        <v>37</v>
      </c>
      <c r="U3527" s="1"/>
      <c r="V3527" s="1" t="s">
        <v>38</v>
      </c>
      <c r="W3527" s="1">
        <v>44.6094859</v>
      </c>
      <c r="X3527" s="1">
        <v>-72.561707</v>
      </c>
      <c r="Y3527" s="1" t="s">
        <v>14960</v>
      </c>
      <c r="Z3527" s="1"/>
      <c r="AA3527" s="1" t="s">
        <v>40</v>
      </c>
      <c r="AB3527" s="1" t="s">
        <v>626</v>
      </c>
      <c r="AC3527" s="1">
        <v>5655.0</v>
      </c>
    </row>
    <row r="3528">
      <c r="A3528" s="1" t="str">
        <f t="shared" si="298"/>
        <v>000YHA</v>
      </c>
      <c r="B3528" s="1" t="s">
        <v>14953</v>
      </c>
      <c r="C3528" s="1" t="s">
        <v>14954</v>
      </c>
      <c r="D3528" s="1" t="str">
        <f t="shared" si="299"/>
        <v>8024582303</v>
      </c>
      <c r="E3528" s="1">
        <v>5165.0</v>
      </c>
      <c r="F3528" s="1" t="s">
        <v>117</v>
      </c>
      <c r="G3528" s="1" t="s">
        <v>14961</v>
      </c>
      <c r="H3528" s="1">
        <v>16.0</v>
      </c>
      <c r="I3528" s="2" t="s">
        <v>119</v>
      </c>
      <c r="J3528" s="2" t="s">
        <v>119</v>
      </c>
      <c r="K3528" s="2" t="s">
        <v>119</v>
      </c>
      <c r="L3528" s="1"/>
      <c r="M3528" s="1">
        <v>3.0</v>
      </c>
      <c r="N3528" s="1" t="s">
        <v>213</v>
      </c>
      <c r="O3528" s="1" t="s">
        <v>4949</v>
      </c>
      <c r="P3528" s="1" t="s">
        <v>14962</v>
      </c>
      <c r="Q3528" s="3">
        <v>42888.0</v>
      </c>
      <c r="R3528" s="1"/>
      <c r="S3528" s="1"/>
      <c r="T3528" s="1" t="s">
        <v>37</v>
      </c>
      <c r="U3528" s="1"/>
      <c r="V3528" s="1" t="s">
        <v>38</v>
      </c>
      <c r="W3528" s="1">
        <v>44.731312</v>
      </c>
      <c r="X3528" s="1">
        <v>-72.5624619999999</v>
      </c>
      <c r="Y3528" s="1" t="s">
        <v>14963</v>
      </c>
      <c r="Z3528" s="1"/>
      <c r="AA3528" s="1" t="s">
        <v>40</v>
      </c>
      <c r="AB3528" s="1" t="s">
        <v>4950</v>
      </c>
      <c r="AC3528" s="1">
        <v>5652.0</v>
      </c>
    </row>
    <row r="3529">
      <c r="A3529" s="1" t="str">
        <f t="shared" si="298"/>
        <v>000YHA</v>
      </c>
      <c r="B3529" s="1" t="s">
        <v>14953</v>
      </c>
      <c r="C3529" s="1" t="s">
        <v>14954</v>
      </c>
      <c r="D3529" s="1" t="str">
        <f t="shared" si="299"/>
        <v>8024582303</v>
      </c>
      <c r="E3529" s="1">
        <v>5165.0</v>
      </c>
      <c r="F3529" s="1" t="s">
        <v>117</v>
      </c>
      <c r="G3529" s="1" t="s">
        <v>14964</v>
      </c>
      <c r="H3529" s="1">
        <v>16.0</v>
      </c>
      <c r="I3529" s="2" t="s">
        <v>119</v>
      </c>
      <c r="J3529" s="2" t="s">
        <v>119</v>
      </c>
      <c r="K3529" s="2" t="s">
        <v>119</v>
      </c>
      <c r="L3529" s="1"/>
      <c r="M3529" s="1">
        <v>4.0</v>
      </c>
      <c r="N3529" s="1" t="s">
        <v>57</v>
      </c>
      <c r="O3529" s="1" t="s">
        <v>256</v>
      </c>
      <c r="P3529" s="1" t="s">
        <v>14965</v>
      </c>
      <c r="Q3529" s="3">
        <v>42888.0</v>
      </c>
      <c r="R3529" s="1"/>
      <c r="S3529" s="1"/>
      <c r="T3529" s="1" t="s">
        <v>37</v>
      </c>
      <c r="U3529" s="1"/>
      <c r="V3529" s="1" t="s">
        <v>38</v>
      </c>
      <c r="W3529" s="1">
        <v>44.615191</v>
      </c>
      <c r="X3529" s="1">
        <v>-73.1440589999999</v>
      </c>
      <c r="Y3529" s="1" t="s">
        <v>14966</v>
      </c>
      <c r="Z3529" s="1"/>
      <c r="AA3529" s="1" t="s">
        <v>40</v>
      </c>
      <c r="AB3529" s="1" t="s">
        <v>257</v>
      </c>
      <c r="AC3529" s="1">
        <v>5468.0</v>
      </c>
    </row>
    <row r="3530">
      <c r="A3530" s="1" t="str">
        <f t="shared" si="298"/>
        <v>000YHA</v>
      </c>
      <c r="B3530" s="1" t="s">
        <v>14953</v>
      </c>
      <c r="C3530" s="1" t="s">
        <v>14954</v>
      </c>
      <c r="D3530" s="1" t="str">
        <f t="shared" si="299"/>
        <v>8024582303</v>
      </c>
      <c r="E3530" s="1">
        <v>5165.0</v>
      </c>
      <c r="F3530" s="1" t="s">
        <v>117</v>
      </c>
      <c r="G3530" s="1" t="s">
        <v>14967</v>
      </c>
      <c r="H3530" s="1">
        <v>16.0</v>
      </c>
      <c r="I3530" s="2" t="s">
        <v>119</v>
      </c>
      <c r="J3530" s="2" t="s">
        <v>119</v>
      </c>
      <c r="K3530" s="2" t="s">
        <v>119</v>
      </c>
      <c r="L3530" s="1"/>
      <c r="M3530" s="1">
        <v>5.0</v>
      </c>
      <c r="N3530" s="1" t="s">
        <v>57</v>
      </c>
      <c r="O3530" s="1" t="s">
        <v>256</v>
      </c>
      <c r="P3530" s="1" t="s">
        <v>14968</v>
      </c>
      <c r="Q3530" s="3">
        <v>42888.0</v>
      </c>
      <c r="R3530" s="1"/>
      <c r="S3530" s="1"/>
      <c r="T3530" s="1" t="s">
        <v>37</v>
      </c>
      <c r="U3530" s="1"/>
      <c r="V3530" s="1" t="s">
        <v>38</v>
      </c>
      <c r="W3530" s="1">
        <v>44.6798172</v>
      </c>
      <c r="X3530" s="1">
        <v>-73.1150513</v>
      </c>
      <c r="Y3530" s="1" t="s">
        <v>14969</v>
      </c>
      <c r="Z3530" s="1"/>
      <c r="AA3530" s="1" t="s">
        <v>40</v>
      </c>
      <c r="AB3530" s="1" t="s">
        <v>257</v>
      </c>
      <c r="AC3530" s="1">
        <v>5468.0</v>
      </c>
    </row>
    <row r="3531">
      <c r="A3531" s="1" t="str">
        <f t="shared" si="298"/>
        <v>000YHA</v>
      </c>
      <c r="B3531" s="1" t="s">
        <v>14953</v>
      </c>
      <c r="C3531" s="1" t="s">
        <v>14954</v>
      </c>
      <c r="D3531" s="1" t="str">
        <f t="shared" si="299"/>
        <v>8024582303</v>
      </c>
      <c r="E3531" s="1">
        <v>5165.0</v>
      </c>
      <c r="F3531" s="1" t="s">
        <v>117</v>
      </c>
      <c r="G3531" s="1" t="s">
        <v>14970</v>
      </c>
      <c r="H3531" s="1">
        <v>20.0</v>
      </c>
      <c r="I3531" s="2" t="s">
        <v>119</v>
      </c>
      <c r="J3531" s="2" t="s">
        <v>119</v>
      </c>
      <c r="K3531" s="2" t="s">
        <v>119</v>
      </c>
      <c r="L3531" s="1"/>
      <c r="M3531" s="1">
        <v>6.0</v>
      </c>
      <c r="N3531" s="1" t="s">
        <v>57</v>
      </c>
      <c r="O3531" s="1" t="s">
        <v>256</v>
      </c>
      <c r="P3531" s="1" t="s">
        <v>14971</v>
      </c>
      <c r="Q3531" s="3">
        <v>42888.0</v>
      </c>
      <c r="R3531" s="1"/>
      <c r="S3531" s="1"/>
      <c r="T3531" s="1" t="s">
        <v>37</v>
      </c>
      <c r="U3531" s="1"/>
      <c r="V3531" s="1" t="s">
        <v>38</v>
      </c>
      <c r="W3531" s="1">
        <v>44.6882929999999</v>
      </c>
      <c r="X3531" s="1">
        <v>-73.1771509999999</v>
      </c>
      <c r="Y3531" s="1" t="s">
        <v>14972</v>
      </c>
      <c r="Z3531" s="1"/>
      <c r="AA3531" s="1" t="s">
        <v>40</v>
      </c>
      <c r="AB3531" s="1" t="s">
        <v>257</v>
      </c>
      <c r="AC3531" s="1">
        <v>5468.0</v>
      </c>
    </row>
    <row r="3532">
      <c r="A3532" s="1" t="str">
        <f>"000866"</f>
        <v>000866</v>
      </c>
      <c r="B3532" s="1" t="s">
        <v>1826</v>
      </c>
      <c r="C3532" s="1" t="s">
        <v>1827</v>
      </c>
      <c r="D3532" s="1" t="str">
        <f>"8024395435"</f>
        <v>8024395435</v>
      </c>
      <c r="E3532" s="1">
        <v>1717.0</v>
      </c>
      <c r="F3532" s="1" t="s">
        <v>31</v>
      </c>
      <c r="G3532" s="1" t="s">
        <v>14973</v>
      </c>
      <c r="H3532" s="1">
        <v>1.0</v>
      </c>
      <c r="I3532" s="1"/>
      <c r="J3532" s="1"/>
      <c r="K3532" s="1"/>
      <c r="L3532" s="1"/>
      <c r="M3532" s="1" t="s">
        <v>146</v>
      </c>
      <c r="N3532" s="1" t="s">
        <v>49</v>
      </c>
      <c r="O3532" s="1"/>
      <c r="P3532" s="1" t="s">
        <v>14974</v>
      </c>
      <c r="Q3532" s="3">
        <v>42888.0</v>
      </c>
      <c r="R3532" s="1"/>
      <c r="S3532" s="3">
        <v>42873.0</v>
      </c>
      <c r="T3532" s="1" t="s">
        <v>37</v>
      </c>
      <c r="U3532" s="1"/>
      <c r="V3532" s="1" t="s">
        <v>38</v>
      </c>
      <c r="W3532" s="1"/>
      <c r="X3532" s="1"/>
      <c r="Y3532" s="1" t="s">
        <v>14975</v>
      </c>
      <c r="Z3532" s="1"/>
      <c r="AA3532" s="1" t="s">
        <v>40</v>
      </c>
      <c r="AB3532" s="1" t="s">
        <v>146</v>
      </c>
      <c r="AC3532" s="1">
        <v>5075.0</v>
      </c>
    </row>
    <row r="3533">
      <c r="A3533" s="1" t="str">
        <f>"000FPB"</f>
        <v>000FPB</v>
      </c>
      <c r="B3533" s="1" t="s">
        <v>14976</v>
      </c>
      <c r="C3533" s="1" t="s">
        <v>14977</v>
      </c>
      <c r="D3533" s="1" t="str">
        <f>"8024568802"</f>
        <v>8024568802</v>
      </c>
      <c r="E3533" s="1">
        <v>5166.0</v>
      </c>
      <c r="F3533" s="1" t="s">
        <v>117</v>
      </c>
      <c r="G3533" s="1" t="s">
        <v>14978</v>
      </c>
      <c r="H3533" s="1">
        <v>1.0</v>
      </c>
      <c r="I3533" s="2" t="s">
        <v>119</v>
      </c>
      <c r="J3533" s="2" t="s">
        <v>119</v>
      </c>
      <c r="K3533" s="2" t="s">
        <v>119</v>
      </c>
      <c r="L3533" s="1"/>
      <c r="M3533" s="1">
        <v>1.0</v>
      </c>
      <c r="N3533" s="1" t="s">
        <v>135</v>
      </c>
      <c r="O3533" s="1" t="s">
        <v>3116</v>
      </c>
      <c r="P3533" s="1" t="s">
        <v>14979</v>
      </c>
      <c r="Q3533" s="3">
        <v>42888.0</v>
      </c>
      <c r="R3533" s="1"/>
      <c r="S3533" s="1"/>
      <c r="T3533" s="1" t="s">
        <v>37</v>
      </c>
      <c r="U3533" s="1"/>
      <c r="V3533" s="1" t="s">
        <v>38</v>
      </c>
      <c r="W3533" s="1">
        <v>44.345291</v>
      </c>
      <c r="X3533" s="1">
        <v>-72.426987</v>
      </c>
      <c r="Y3533" s="1" t="s">
        <v>14980</v>
      </c>
      <c r="Z3533" s="1"/>
      <c r="AA3533" s="1" t="s">
        <v>40</v>
      </c>
      <c r="AB3533" s="1" t="s">
        <v>9760</v>
      </c>
      <c r="AC3533" s="1">
        <v>5667.0</v>
      </c>
    </row>
    <row r="3534">
      <c r="A3534" s="1" t="str">
        <f t="shared" ref="A3534:A3535" si="300">"0008C6"</f>
        <v>0008C6</v>
      </c>
      <c r="B3534" s="1" t="s">
        <v>7440</v>
      </c>
      <c r="C3534" s="1" t="s">
        <v>7441</v>
      </c>
      <c r="D3534" s="1" t="str">
        <f t="shared" ref="D3534:D3535" si="301">"8023682383"</f>
        <v>8023682383</v>
      </c>
      <c r="E3534" s="1">
        <v>3869.0</v>
      </c>
      <c r="F3534" s="1" t="s">
        <v>117</v>
      </c>
      <c r="G3534" s="1" t="s">
        <v>14981</v>
      </c>
      <c r="H3534" s="1">
        <v>2.0</v>
      </c>
      <c r="I3534" s="2">
        <v>2.0</v>
      </c>
      <c r="J3534" s="2">
        <v>2.0</v>
      </c>
      <c r="K3534" s="2" t="s">
        <v>119</v>
      </c>
      <c r="L3534" s="1"/>
      <c r="M3534" s="1">
        <v>2.0</v>
      </c>
      <c r="N3534" s="1" t="s">
        <v>66</v>
      </c>
      <c r="O3534" s="1" t="s">
        <v>788</v>
      </c>
      <c r="P3534" s="1" t="s">
        <v>14982</v>
      </c>
      <c r="Q3534" s="3">
        <v>42891.0</v>
      </c>
      <c r="R3534" s="1"/>
      <c r="S3534" s="1"/>
      <c r="T3534" s="1" t="s">
        <v>37</v>
      </c>
      <c r="U3534" s="1"/>
      <c r="V3534" s="1" t="s">
        <v>38</v>
      </c>
      <c r="W3534" s="1">
        <v>42.736782</v>
      </c>
      <c r="X3534" s="1">
        <v>-72.8175959999999</v>
      </c>
      <c r="Y3534" s="1" t="s">
        <v>14983</v>
      </c>
      <c r="Z3534" s="1"/>
      <c r="AA3534" s="1" t="s">
        <v>40</v>
      </c>
      <c r="AB3534" s="1" t="s">
        <v>789</v>
      </c>
      <c r="AC3534" s="1">
        <v>5342.0</v>
      </c>
    </row>
    <row r="3535">
      <c r="A3535" s="1" t="str">
        <f t="shared" si="300"/>
        <v>0008C6</v>
      </c>
      <c r="B3535" s="1" t="s">
        <v>7440</v>
      </c>
      <c r="C3535" s="1" t="s">
        <v>7441</v>
      </c>
      <c r="D3535" s="1" t="str">
        <f t="shared" si="301"/>
        <v>8023682383</v>
      </c>
      <c r="E3535" s="1">
        <v>3869.0</v>
      </c>
      <c r="F3535" s="1" t="s">
        <v>117</v>
      </c>
      <c r="G3535" s="1" t="s">
        <v>14984</v>
      </c>
      <c r="H3535" s="1">
        <v>6.0</v>
      </c>
      <c r="I3535" s="2">
        <v>6.0</v>
      </c>
      <c r="J3535" s="2">
        <v>6.0</v>
      </c>
      <c r="K3535" s="2" t="s">
        <v>119</v>
      </c>
      <c r="L3535" s="1"/>
      <c r="M3535" s="1">
        <v>3.0</v>
      </c>
      <c r="N3535" s="1" t="s">
        <v>66</v>
      </c>
      <c r="O3535" s="1" t="s">
        <v>788</v>
      </c>
      <c r="P3535" s="1" t="s">
        <v>14985</v>
      </c>
      <c r="Q3535" s="3">
        <v>42891.0</v>
      </c>
      <c r="R3535" s="1"/>
      <c r="S3535" s="1"/>
      <c r="T3535" s="1" t="s">
        <v>37</v>
      </c>
      <c r="U3535" s="1"/>
      <c r="V3535" s="1" t="s">
        <v>38</v>
      </c>
      <c r="W3535" s="1">
        <v>42.761356</v>
      </c>
      <c r="X3535" s="1">
        <v>-72.8118438999999</v>
      </c>
      <c r="Y3535" s="1" t="s">
        <v>14986</v>
      </c>
      <c r="Z3535" s="1"/>
      <c r="AA3535" s="1" t="s">
        <v>40</v>
      </c>
      <c r="AB3535" s="1" t="s">
        <v>789</v>
      </c>
      <c r="AC3535" s="1">
        <v>5342.0</v>
      </c>
    </row>
    <row r="3536">
      <c r="A3536" s="1" t="str">
        <f>"0008GB"</f>
        <v>0008GB</v>
      </c>
      <c r="B3536" s="1" t="s">
        <v>5299</v>
      </c>
      <c r="C3536" s="1" t="s">
        <v>5300</v>
      </c>
      <c r="D3536" s="1" t="str">
        <f>"8029482615"</f>
        <v>8029482615</v>
      </c>
      <c r="E3536" s="1">
        <v>2706.0</v>
      </c>
      <c r="F3536" s="1" t="s">
        <v>117</v>
      </c>
      <c r="G3536" s="1" t="s">
        <v>14987</v>
      </c>
      <c r="H3536" s="1">
        <v>15.0</v>
      </c>
      <c r="I3536" s="2" t="s">
        <v>119</v>
      </c>
      <c r="J3536" s="2" t="s">
        <v>119</v>
      </c>
      <c r="K3536" s="2" t="s">
        <v>119</v>
      </c>
      <c r="L3536" s="1"/>
      <c r="M3536" s="1" t="s">
        <v>2574</v>
      </c>
      <c r="N3536" s="1" t="s">
        <v>78</v>
      </c>
      <c r="O3536" s="1" t="s">
        <v>2574</v>
      </c>
      <c r="P3536" s="1" t="s">
        <v>14988</v>
      </c>
      <c r="Q3536" s="3">
        <v>42891.0</v>
      </c>
      <c r="R3536" s="1"/>
      <c r="S3536" s="1"/>
      <c r="T3536" s="1" t="s">
        <v>37</v>
      </c>
      <c r="U3536" s="1"/>
      <c r="V3536" s="1" t="s">
        <v>38</v>
      </c>
      <c r="W3536" s="1">
        <v>43.8234767627874</v>
      </c>
      <c r="X3536" s="1">
        <v>-73.1225270032882</v>
      </c>
      <c r="Y3536" s="1" t="s">
        <v>14989</v>
      </c>
      <c r="Z3536" s="1"/>
      <c r="AA3536" s="1" t="s">
        <v>40</v>
      </c>
      <c r="AB3536" s="1" t="s">
        <v>2575</v>
      </c>
      <c r="AC3536" s="1">
        <v>5733.0</v>
      </c>
    </row>
    <row r="3537">
      <c r="A3537" s="1" t="str">
        <f>"000YJC"</f>
        <v>000YJC</v>
      </c>
      <c r="B3537" s="1" t="s">
        <v>14990</v>
      </c>
      <c r="C3537" s="1" t="s">
        <v>14991</v>
      </c>
      <c r="D3537" s="1" t="str">
        <f>"4436687262"</f>
        <v>4436687262</v>
      </c>
      <c r="E3537" s="1">
        <v>5167.0</v>
      </c>
      <c r="F3537" s="1" t="s">
        <v>117</v>
      </c>
      <c r="G3537" s="1" t="s">
        <v>14992</v>
      </c>
      <c r="H3537" s="1">
        <v>6.0</v>
      </c>
      <c r="I3537" s="2">
        <v>3.0</v>
      </c>
      <c r="J3537" s="2">
        <v>3.0</v>
      </c>
      <c r="K3537" s="2" t="s">
        <v>119</v>
      </c>
      <c r="L3537" s="1"/>
      <c r="M3537" s="1">
        <v>1.0</v>
      </c>
      <c r="N3537" s="1" t="s">
        <v>78</v>
      </c>
      <c r="O3537" s="1" t="s">
        <v>855</v>
      </c>
      <c r="P3537" s="1" t="s">
        <v>14993</v>
      </c>
      <c r="Q3537" s="3">
        <v>42891.0</v>
      </c>
      <c r="R3537" s="1"/>
      <c r="S3537" s="1"/>
      <c r="T3537" s="1" t="s">
        <v>37</v>
      </c>
      <c r="U3537" s="1"/>
      <c r="V3537" s="1" t="s">
        <v>38</v>
      </c>
      <c r="W3537" s="1">
        <v>43.677601</v>
      </c>
      <c r="X3537" s="1">
        <v>-73.203545</v>
      </c>
      <c r="Y3537" s="1" t="s">
        <v>14994</v>
      </c>
      <c r="Z3537" s="1"/>
      <c r="AA3537" s="1" t="s">
        <v>40</v>
      </c>
      <c r="AB3537" s="1" t="s">
        <v>857</v>
      </c>
      <c r="AC3537" s="1">
        <v>5735.0</v>
      </c>
    </row>
    <row r="3538">
      <c r="A3538" s="1" t="str">
        <f>"000YJD"</f>
        <v>000YJD</v>
      </c>
      <c r="B3538" s="1" t="s">
        <v>14995</v>
      </c>
      <c r="C3538" s="1" t="s">
        <v>14996</v>
      </c>
      <c r="D3538" s="1" t="str">
        <f>"8024962131"</f>
        <v>8024962131</v>
      </c>
      <c r="E3538" s="1">
        <v>5168.0</v>
      </c>
      <c r="F3538" s="1" t="s">
        <v>117</v>
      </c>
      <c r="G3538" s="1" t="s">
        <v>14997</v>
      </c>
      <c r="H3538" s="1">
        <v>1.0</v>
      </c>
      <c r="I3538" s="2" t="s">
        <v>119</v>
      </c>
      <c r="J3538" s="2" t="s">
        <v>119</v>
      </c>
      <c r="K3538" s="2" t="s">
        <v>119</v>
      </c>
      <c r="L3538" s="1"/>
      <c r="M3538" s="1" t="s">
        <v>14998</v>
      </c>
      <c r="N3538" s="1" t="s">
        <v>135</v>
      </c>
      <c r="O3538" s="1" t="s">
        <v>440</v>
      </c>
      <c r="P3538" s="1" t="s">
        <v>14999</v>
      </c>
      <c r="Q3538" s="3">
        <v>42891.0</v>
      </c>
      <c r="R3538" s="1"/>
      <c r="S3538" s="1"/>
      <c r="T3538" s="1" t="s">
        <v>37</v>
      </c>
      <c r="U3538" s="1"/>
      <c r="V3538" s="1" t="s">
        <v>38</v>
      </c>
      <c r="W3538" s="1">
        <v>44.144098</v>
      </c>
      <c r="X3538" s="1">
        <v>-72.8053499999999</v>
      </c>
      <c r="Y3538" s="1" t="s">
        <v>15000</v>
      </c>
      <c r="Z3538" s="1"/>
      <c r="AA3538" s="1" t="s">
        <v>40</v>
      </c>
      <c r="AB3538" s="1" t="s">
        <v>441</v>
      </c>
      <c r="AC3538" s="1">
        <v>5673.0</v>
      </c>
    </row>
    <row r="3539">
      <c r="A3539" s="1" t="str">
        <f>"000V9X"</f>
        <v>000V9X</v>
      </c>
      <c r="B3539" s="1" t="s">
        <v>13446</v>
      </c>
      <c r="C3539" s="1" t="s">
        <v>13447</v>
      </c>
      <c r="D3539" s="1" t="str">
        <f>"8028773009"</f>
        <v>8028773009</v>
      </c>
      <c r="E3539" s="1">
        <v>4934.0</v>
      </c>
      <c r="F3539" s="1" t="s">
        <v>117</v>
      </c>
      <c r="G3539" s="1" t="s">
        <v>15001</v>
      </c>
      <c r="H3539" s="1">
        <v>3.0</v>
      </c>
      <c r="I3539" s="2">
        <v>0.0</v>
      </c>
      <c r="J3539" s="2">
        <v>0.0</v>
      </c>
      <c r="K3539" s="2" t="s">
        <v>119</v>
      </c>
      <c r="L3539" s="1"/>
      <c r="M3539" s="1">
        <v>3.0</v>
      </c>
      <c r="N3539" s="1" t="s">
        <v>161</v>
      </c>
      <c r="O3539" s="1" t="s">
        <v>576</v>
      </c>
      <c r="P3539" s="1" t="s">
        <v>15002</v>
      </c>
      <c r="Q3539" s="3">
        <v>42892.0</v>
      </c>
      <c r="R3539" s="1"/>
      <c r="S3539" s="1"/>
      <c r="T3539" s="1" t="s">
        <v>37</v>
      </c>
      <c r="U3539" s="1"/>
      <c r="V3539" s="1" t="s">
        <v>38</v>
      </c>
      <c r="W3539" s="1">
        <v>44.0838474</v>
      </c>
      <c r="X3539" s="1">
        <v>-73.3029093</v>
      </c>
      <c r="Y3539" s="1" t="s">
        <v>15003</v>
      </c>
      <c r="Z3539" s="1"/>
      <c r="AA3539" s="1" t="s">
        <v>40</v>
      </c>
      <c r="AB3539" s="1" t="s">
        <v>161</v>
      </c>
      <c r="AC3539" s="1">
        <v>5491.0</v>
      </c>
    </row>
    <row r="3540">
      <c r="A3540" s="1" t="str">
        <f>"000YJN"</f>
        <v>000YJN</v>
      </c>
      <c r="B3540" s="1" t="s">
        <v>15004</v>
      </c>
      <c r="C3540" s="1" t="s">
        <v>15005</v>
      </c>
      <c r="D3540" s="1" t="str">
        <f>"8028606310"</f>
        <v>8028606310</v>
      </c>
      <c r="E3540" s="1">
        <v>5169.0</v>
      </c>
      <c r="F3540" s="1" t="s">
        <v>117</v>
      </c>
      <c r="G3540" s="1" t="s">
        <v>15006</v>
      </c>
      <c r="H3540" s="1">
        <v>1.0</v>
      </c>
      <c r="I3540" s="2" t="s">
        <v>119</v>
      </c>
      <c r="J3540" s="2" t="s">
        <v>119</v>
      </c>
      <c r="K3540" s="2" t="s">
        <v>119</v>
      </c>
      <c r="L3540" s="1"/>
      <c r="M3540" s="1" t="s">
        <v>15007</v>
      </c>
      <c r="N3540" s="1" t="s">
        <v>57</v>
      </c>
      <c r="O3540" s="1" t="s">
        <v>559</v>
      </c>
      <c r="P3540" s="1" t="s">
        <v>15008</v>
      </c>
      <c r="Q3540" s="3">
        <v>42892.0</v>
      </c>
      <c r="R3540" s="1"/>
      <c r="S3540" s="1"/>
      <c r="T3540" s="1" t="s">
        <v>37</v>
      </c>
      <c r="U3540" s="1"/>
      <c r="V3540" s="1" t="s">
        <v>38</v>
      </c>
      <c r="W3540" s="1">
        <v>44.541443</v>
      </c>
      <c r="X3540" s="1">
        <v>-73.21032</v>
      </c>
      <c r="Y3540" s="1" t="s">
        <v>15009</v>
      </c>
      <c r="Z3540" s="1"/>
      <c r="AA3540" s="1" t="s">
        <v>40</v>
      </c>
      <c r="AB3540" s="1" t="s">
        <v>560</v>
      </c>
      <c r="AC3540" s="1">
        <v>5446.0</v>
      </c>
    </row>
    <row r="3541">
      <c r="A3541" s="1" t="str">
        <f>"000YJW"</f>
        <v>000YJW</v>
      </c>
      <c r="B3541" s="1" t="s">
        <v>15010</v>
      </c>
      <c r="C3541" s="1" t="s">
        <v>15011</v>
      </c>
      <c r="D3541" s="1" t="str">
        <f>"8029993550"</f>
        <v>8029993550</v>
      </c>
      <c r="E3541" s="1">
        <v>5170.0</v>
      </c>
      <c r="F3541" s="1" t="s">
        <v>117</v>
      </c>
      <c r="G3541" s="1" t="s">
        <v>15012</v>
      </c>
      <c r="H3541" s="1">
        <v>2.0</v>
      </c>
      <c r="I3541" s="2" t="s">
        <v>119</v>
      </c>
      <c r="J3541" s="2" t="s">
        <v>119</v>
      </c>
      <c r="K3541" s="2" t="s">
        <v>119</v>
      </c>
      <c r="L3541" s="1"/>
      <c r="M3541" s="1" t="s">
        <v>15013</v>
      </c>
      <c r="N3541" s="1" t="s">
        <v>47</v>
      </c>
      <c r="O3541" s="1" t="s">
        <v>2753</v>
      </c>
      <c r="P3541" s="1" t="s">
        <v>15014</v>
      </c>
      <c r="Q3541" s="3">
        <v>42893.0</v>
      </c>
      <c r="R3541" s="1"/>
      <c r="S3541" s="1"/>
      <c r="T3541" s="1" t="s">
        <v>37</v>
      </c>
      <c r="U3541" s="1"/>
      <c r="V3541" s="1" t="s">
        <v>38</v>
      </c>
      <c r="W3541" s="1">
        <v>44.8035789</v>
      </c>
      <c r="X3541" s="1">
        <v>-73.0894427</v>
      </c>
      <c r="Y3541" s="1" t="s">
        <v>15015</v>
      </c>
      <c r="Z3541" s="1"/>
      <c r="AA3541" s="1" t="s">
        <v>40</v>
      </c>
      <c r="AB3541" s="1" t="s">
        <v>2837</v>
      </c>
      <c r="AC3541" s="1">
        <v>5478.0</v>
      </c>
    </row>
    <row r="3542">
      <c r="A3542" s="1" t="str">
        <f>"000M7Z"</f>
        <v>000M7Z</v>
      </c>
      <c r="B3542" s="1" t="s">
        <v>10973</v>
      </c>
      <c r="C3542" s="1" t="s">
        <v>10974</v>
      </c>
      <c r="D3542" s="1" t="str">
        <f>"8024859242"</f>
        <v>8024859242</v>
      </c>
      <c r="E3542" s="1">
        <v>4621.0</v>
      </c>
      <c r="F3542" s="1" t="s">
        <v>117</v>
      </c>
      <c r="G3542" s="1" t="s">
        <v>15016</v>
      </c>
      <c r="H3542" s="1">
        <v>2.0</v>
      </c>
      <c r="I3542" s="2" t="s">
        <v>119</v>
      </c>
      <c r="J3542" s="2" t="s">
        <v>119</v>
      </c>
      <c r="K3542" s="2" t="s">
        <v>119</v>
      </c>
      <c r="L3542" s="1"/>
      <c r="M3542" s="1" t="s">
        <v>15017</v>
      </c>
      <c r="N3542" s="1" t="s">
        <v>135</v>
      </c>
      <c r="O3542" s="1" t="s">
        <v>758</v>
      </c>
      <c r="P3542" s="1" t="s">
        <v>15018</v>
      </c>
      <c r="Q3542" s="3">
        <v>42893.0</v>
      </c>
      <c r="R3542" s="1"/>
      <c r="S3542" s="1"/>
      <c r="T3542" s="1" t="s">
        <v>37</v>
      </c>
      <c r="U3542" s="1"/>
      <c r="V3542" s="1" t="s">
        <v>38</v>
      </c>
      <c r="W3542" s="1"/>
      <c r="X3542" s="1"/>
      <c r="Y3542" s="1" t="s">
        <v>15019</v>
      </c>
      <c r="Z3542" s="1"/>
      <c r="AA3542" s="1" t="s">
        <v>40</v>
      </c>
      <c r="AB3542" s="1" t="s">
        <v>759</v>
      </c>
      <c r="AC3542" s="1">
        <v>5667.0</v>
      </c>
    </row>
    <row r="3543">
      <c r="A3543" s="1" t="str">
        <f t="shared" ref="A3543:A3544" si="302">"000W5X"</f>
        <v>000W5X</v>
      </c>
      <c r="B3543" s="1" t="s">
        <v>14237</v>
      </c>
      <c r="C3543" s="1" t="s">
        <v>14238</v>
      </c>
      <c r="D3543" s="1" t="str">
        <f t="shared" ref="D3543:D3544" si="303">"8029892901"</f>
        <v>8029892901</v>
      </c>
      <c r="E3543" s="1">
        <v>5055.0</v>
      </c>
      <c r="F3543" s="1" t="s">
        <v>117</v>
      </c>
      <c r="G3543" s="1" t="s">
        <v>15020</v>
      </c>
      <c r="H3543" s="1">
        <v>17.0</v>
      </c>
      <c r="I3543" s="2" t="s">
        <v>119</v>
      </c>
      <c r="J3543" s="2" t="s">
        <v>119</v>
      </c>
      <c r="K3543" s="2" t="s">
        <v>119</v>
      </c>
      <c r="L3543" s="1"/>
      <c r="M3543" s="1">
        <v>3.0</v>
      </c>
      <c r="N3543" s="1" t="s">
        <v>78</v>
      </c>
      <c r="O3543" s="1" t="s">
        <v>2574</v>
      </c>
      <c r="P3543" s="1" t="s">
        <v>15021</v>
      </c>
      <c r="Q3543" s="3">
        <v>42893.0</v>
      </c>
      <c r="R3543" s="1"/>
      <c r="S3543" s="1"/>
      <c r="T3543" s="1" t="s">
        <v>37</v>
      </c>
      <c r="U3543" s="1"/>
      <c r="V3543" s="1" t="s">
        <v>38</v>
      </c>
      <c r="W3543" s="1">
        <v>43.784298</v>
      </c>
      <c r="X3543" s="1">
        <v>-73.0430529999999</v>
      </c>
      <c r="Y3543" s="1" t="s">
        <v>15022</v>
      </c>
      <c r="Z3543" s="1"/>
      <c r="AA3543" s="1" t="s">
        <v>40</v>
      </c>
      <c r="AB3543" s="1" t="s">
        <v>2575</v>
      </c>
      <c r="AC3543" s="1">
        <v>5733.0</v>
      </c>
    </row>
    <row r="3544">
      <c r="A3544" s="1" t="str">
        <f t="shared" si="302"/>
        <v>000W5X</v>
      </c>
      <c r="B3544" s="1" t="s">
        <v>14237</v>
      </c>
      <c r="C3544" s="1" t="s">
        <v>14238</v>
      </c>
      <c r="D3544" s="1" t="str">
        <f t="shared" si="303"/>
        <v>8029892901</v>
      </c>
      <c r="E3544" s="1">
        <v>5055.0</v>
      </c>
      <c r="F3544" s="1" t="s">
        <v>117</v>
      </c>
      <c r="G3544" s="1" t="s">
        <v>15023</v>
      </c>
      <c r="H3544" s="1">
        <v>15.0</v>
      </c>
      <c r="I3544" s="2" t="s">
        <v>119</v>
      </c>
      <c r="J3544" s="2" t="s">
        <v>119</v>
      </c>
      <c r="K3544" s="2" t="s">
        <v>119</v>
      </c>
      <c r="L3544" s="1"/>
      <c r="M3544" s="1">
        <v>4.0</v>
      </c>
      <c r="N3544" s="1" t="s">
        <v>161</v>
      </c>
      <c r="O3544" s="1" t="s">
        <v>3580</v>
      </c>
      <c r="P3544" s="1" t="s">
        <v>15024</v>
      </c>
      <c r="Q3544" s="3">
        <v>42893.0</v>
      </c>
      <c r="R3544" s="1"/>
      <c r="S3544" s="1"/>
      <c r="T3544" s="1" t="s">
        <v>37</v>
      </c>
      <c r="U3544" s="1"/>
      <c r="V3544" s="1" t="s">
        <v>38</v>
      </c>
      <c r="W3544" s="1">
        <v>44.203232</v>
      </c>
      <c r="X3544" s="1">
        <v>-73.3224559999999</v>
      </c>
      <c r="Y3544" s="1" t="s">
        <v>15025</v>
      </c>
      <c r="Z3544" s="1"/>
      <c r="AA3544" s="1" t="s">
        <v>40</v>
      </c>
      <c r="AB3544" s="1" t="s">
        <v>3581</v>
      </c>
      <c r="AC3544" s="1">
        <v>5491.0</v>
      </c>
    </row>
    <row r="3545">
      <c r="A3545" s="1" t="str">
        <f>"00085P"</f>
        <v>00085P</v>
      </c>
      <c r="B3545" s="1" t="s">
        <v>812</v>
      </c>
      <c r="C3545" s="1" t="s">
        <v>813</v>
      </c>
      <c r="D3545" s="1" t="str">
        <f>"8028993978"</f>
        <v>8028993978</v>
      </c>
      <c r="E3545" s="1">
        <v>3071.0</v>
      </c>
      <c r="F3545" s="1" t="s">
        <v>117</v>
      </c>
      <c r="G3545" s="1" t="s">
        <v>15026</v>
      </c>
      <c r="H3545" s="1">
        <v>2.0</v>
      </c>
      <c r="I3545" s="2" t="s">
        <v>119</v>
      </c>
      <c r="J3545" s="2" t="s">
        <v>119</v>
      </c>
      <c r="K3545" s="2" t="s">
        <v>119</v>
      </c>
      <c r="L3545" s="1"/>
      <c r="M3545" s="1">
        <v>5.0</v>
      </c>
      <c r="N3545" s="1" t="s">
        <v>57</v>
      </c>
      <c r="O3545" s="1" t="s">
        <v>155</v>
      </c>
      <c r="P3545" s="1" t="s">
        <v>918</v>
      </c>
      <c r="Q3545" s="3">
        <v>42894.0</v>
      </c>
      <c r="R3545" s="1"/>
      <c r="S3545" s="1"/>
      <c r="T3545" s="1" t="s">
        <v>37</v>
      </c>
      <c r="U3545" s="1"/>
      <c r="V3545" s="1" t="s">
        <v>38</v>
      </c>
      <c r="W3545" s="1">
        <v>44.632321</v>
      </c>
      <c r="X3545" s="1">
        <v>-72.966723</v>
      </c>
      <c r="Y3545" s="1" t="s">
        <v>1011</v>
      </c>
      <c r="Z3545" s="1"/>
      <c r="AA3545" s="1" t="s">
        <v>40</v>
      </c>
      <c r="AB3545" s="1" t="s">
        <v>156</v>
      </c>
      <c r="AC3545" s="1">
        <v>0.0</v>
      </c>
    </row>
    <row r="3546">
      <c r="A3546" s="1" t="str">
        <f>"000VVH"</f>
        <v>000VVH</v>
      </c>
      <c r="B3546" s="1" t="s">
        <v>15027</v>
      </c>
      <c r="C3546" s="1" t="s">
        <v>15028</v>
      </c>
      <c r="D3546" s="1" t="str">
        <f>"8025271274"</f>
        <v>8025271274</v>
      </c>
      <c r="E3546" s="1">
        <v>4970.0</v>
      </c>
      <c r="F3546" s="1" t="s">
        <v>117</v>
      </c>
      <c r="G3546" s="1" t="s">
        <v>15029</v>
      </c>
      <c r="H3546" s="1">
        <v>1.0</v>
      </c>
      <c r="I3546" s="2" t="s">
        <v>119</v>
      </c>
      <c r="J3546" s="2">
        <v>1.0</v>
      </c>
      <c r="K3546" s="2" t="s">
        <v>119</v>
      </c>
      <c r="L3546" s="2" t="s">
        <v>15030</v>
      </c>
      <c r="M3546" s="1" t="s">
        <v>15031</v>
      </c>
      <c r="N3546" s="1" t="s">
        <v>47</v>
      </c>
      <c r="O3546" s="1" t="s">
        <v>100</v>
      </c>
      <c r="P3546" s="1" t="s">
        <v>15032</v>
      </c>
      <c r="Q3546" s="3">
        <v>42894.0</v>
      </c>
      <c r="R3546" s="1"/>
      <c r="S3546" s="1"/>
      <c r="T3546" s="1" t="s">
        <v>37</v>
      </c>
      <c r="U3546" s="1"/>
      <c r="V3546" s="1" t="s">
        <v>38</v>
      </c>
      <c r="W3546" s="1"/>
      <c r="X3546" s="1"/>
      <c r="Y3546" s="1" t="s">
        <v>15033</v>
      </c>
      <c r="Z3546" s="1"/>
      <c r="AA3546" s="1" t="s">
        <v>40</v>
      </c>
      <c r="AB3546" s="1" t="s">
        <v>102</v>
      </c>
      <c r="AC3546" s="1">
        <v>5455.0</v>
      </c>
    </row>
    <row r="3547">
      <c r="A3547" s="1" t="str">
        <f>"000YKB"</f>
        <v>000YKB</v>
      </c>
      <c r="B3547" s="1" t="s">
        <v>15034</v>
      </c>
      <c r="C3547" s="1" t="s">
        <v>15035</v>
      </c>
      <c r="D3547" s="1" t="str">
        <f>"8024534773"</f>
        <v>8024534773</v>
      </c>
      <c r="E3547" s="1">
        <v>5171.0</v>
      </c>
      <c r="F3547" s="1" t="s">
        <v>117</v>
      </c>
      <c r="G3547" s="1" t="s">
        <v>15036</v>
      </c>
      <c r="H3547" s="1">
        <v>2.0</v>
      </c>
      <c r="I3547" s="2" t="s">
        <v>119</v>
      </c>
      <c r="J3547" s="2">
        <v>1.0</v>
      </c>
      <c r="K3547" s="2" t="s">
        <v>119</v>
      </c>
      <c r="L3547" s="1"/>
      <c r="M3547" s="1" t="s">
        <v>15037</v>
      </c>
      <c r="N3547" s="1" t="s">
        <v>161</v>
      </c>
      <c r="O3547" s="1" t="s">
        <v>180</v>
      </c>
      <c r="P3547" s="1" t="s">
        <v>15038</v>
      </c>
      <c r="Q3547" s="3">
        <v>42895.0</v>
      </c>
      <c r="R3547" s="1"/>
      <c r="S3547" s="1"/>
      <c r="T3547" s="1" t="s">
        <v>37</v>
      </c>
      <c r="U3547" s="1"/>
      <c r="V3547" s="1" t="s">
        <v>38</v>
      </c>
      <c r="W3547" s="1"/>
      <c r="X3547" s="1"/>
      <c r="Y3547" s="1" t="s">
        <v>15039</v>
      </c>
      <c r="Z3547" s="1"/>
      <c r="AA3547" s="1" t="s">
        <v>40</v>
      </c>
      <c r="AB3547" s="1" t="s">
        <v>15040</v>
      </c>
      <c r="AC3547" s="1">
        <v>5443.0</v>
      </c>
    </row>
    <row r="3548">
      <c r="A3548" s="1" t="str">
        <f>"000YKV"</f>
        <v>000YKV</v>
      </c>
      <c r="B3548" s="1" t="s">
        <v>15041</v>
      </c>
      <c r="C3548" s="1" t="s">
        <v>15042</v>
      </c>
      <c r="D3548" s="1" t="str">
        <f>"8024534767"</f>
        <v>8024534767</v>
      </c>
      <c r="E3548" s="1">
        <v>5172.0</v>
      </c>
      <c r="F3548" s="1" t="s">
        <v>117</v>
      </c>
      <c r="G3548" s="1" t="s">
        <v>15043</v>
      </c>
      <c r="H3548" s="1">
        <v>2.0</v>
      </c>
      <c r="I3548" s="2" t="s">
        <v>119</v>
      </c>
      <c r="J3548" s="2" t="s">
        <v>119</v>
      </c>
      <c r="K3548" s="2" t="s">
        <v>119</v>
      </c>
      <c r="L3548" s="1"/>
      <c r="M3548" s="1" t="s">
        <v>15044</v>
      </c>
      <c r="N3548" s="1" t="s">
        <v>161</v>
      </c>
      <c r="O3548" s="1" t="s">
        <v>307</v>
      </c>
      <c r="P3548" s="1" t="s">
        <v>15045</v>
      </c>
      <c r="Q3548" s="3">
        <v>42900.0</v>
      </c>
      <c r="R3548" s="1"/>
      <c r="S3548" s="1"/>
      <c r="T3548" s="1" t="s">
        <v>37</v>
      </c>
      <c r="U3548" s="1"/>
      <c r="V3548" s="1" t="s">
        <v>38</v>
      </c>
      <c r="W3548" s="1">
        <v>44.154503</v>
      </c>
      <c r="X3548" s="1">
        <v>-73.10453</v>
      </c>
      <c r="Y3548" s="1" t="s">
        <v>15046</v>
      </c>
      <c r="Z3548" s="1"/>
      <c r="AA3548" s="1" t="s">
        <v>40</v>
      </c>
      <c r="AB3548" s="1" t="s">
        <v>15047</v>
      </c>
      <c r="AC3548" s="1">
        <v>5443.0</v>
      </c>
    </row>
    <row r="3549">
      <c r="A3549" s="1" t="str">
        <f>"000YKW"</f>
        <v>000YKW</v>
      </c>
      <c r="B3549" s="1" t="s">
        <v>15048</v>
      </c>
      <c r="C3549" s="1" t="s">
        <v>15049</v>
      </c>
      <c r="D3549" s="1" t="str">
        <f>"8028292070"</f>
        <v>8028292070</v>
      </c>
      <c r="E3549" s="1">
        <v>5173.0</v>
      </c>
      <c r="F3549" s="1" t="s">
        <v>117</v>
      </c>
      <c r="G3549" s="1" t="s">
        <v>15050</v>
      </c>
      <c r="H3549" s="1">
        <v>1.0</v>
      </c>
      <c r="I3549" s="2" t="s">
        <v>119</v>
      </c>
      <c r="J3549" s="2" t="s">
        <v>119</v>
      </c>
      <c r="K3549" s="2" t="s">
        <v>119</v>
      </c>
      <c r="L3549" s="1"/>
      <c r="M3549" s="1" t="s">
        <v>15051</v>
      </c>
      <c r="N3549" s="1" t="s">
        <v>57</v>
      </c>
      <c r="O3549" s="1" t="s">
        <v>175</v>
      </c>
      <c r="P3549" s="1" t="s">
        <v>15052</v>
      </c>
      <c r="Q3549" s="3">
        <v>42900.0</v>
      </c>
      <c r="R3549" s="1"/>
      <c r="S3549" s="1"/>
      <c r="T3549" s="1" t="s">
        <v>37</v>
      </c>
      <c r="U3549" s="1"/>
      <c r="V3549" s="1" t="s">
        <v>38</v>
      </c>
      <c r="W3549" s="1">
        <v>44.485506</v>
      </c>
      <c r="X3549" s="1">
        <v>-73.2191249999999</v>
      </c>
      <c r="Y3549" s="1" t="s">
        <v>15053</v>
      </c>
      <c r="Z3549" s="1"/>
      <c r="AA3549" s="1" t="s">
        <v>40</v>
      </c>
      <c r="AB3549" s="1" t="s">
        <v>15054</v>
      </c>
      <c r="AC3549" s="1">
        <v>5401.0</v>
      </c>
    </row>
    <row r="3550">
      <c r="A3550" s="1" t="str">
        <f>"0008DQ"</f>
        <v>0008DQ</v>
      </c>
      <c r="B3550" s="1" t="s">
        <v>5645</v>
      </c>
      <c r="C3550" s="1" t="s">
        <v>5646</v>
      </c>
      <c r="D3550" s="1" t="str">
        <f>"8027483034"</f>
        <v>8027483034</v>
      </c>
      <c r="E3550" s="1">
        <v>3979.0</v>
      </c>
      <c r="F3550" s="1" t="s">
        <v>117</v>
      </c>
      <c r="G3550" s="1" t="s">
        <v>15055</v>
      </c>
      <c r="H3550" s="1">
        <v>2.0</v>
      </c>
      <c r="I3550" s="2" t="s">
        <v>119</v>
      </c>
      <c r="J3550" s="2" t="s">
        <v>119</v>
      </c>
      <c r="K3550" s="2" t="s">
        <v>119</v>
      </c>
      <c r="L3550" s="1"/>
      <c r="M3550" s="1">
        <v>4.0</v>
      </c>
      <c r="N3550" s="1" t="s">
        <v>94</v>
      </c>
      <c r="O3550" s="1" t="s">
        <v>1651</v>
      </c>
      <c r="P3550" s="1" t="s">
        <v>15056</v>
      </c>
      <c r="Q3550" s="3">
        <v>42901.0</v>
      </c>
      <c r="R3550" s="1"/>
      <c r="S3550" s="1"/>
      <c r="T3550" s="1" t="s">
        <v>37</v>
      </c>
      <c r="U3550" s="1"/>
      <c r="V3550" s="1" t="s">
        <v>38</v>
      </c>
      <c r="W3550" s="1">
        <v>44.845749</v>
      </c>
      <c r="X3550" s="1">
        <v>-72.062851</v>
      </c>
      <c r="Y3550" s="1" t="s">
        <v>15057</v>
      </c>
      <c r="Z3550" s="1"/>
      <c r="AA3550" s="1" t="s">
        <v>40</v>
      </c>
      <c r="AB3550" s="1" t="s">
        <v>1652</v>
      </c>
      <c r="AC3550" s="1">
        <v>5872.0</v>
      </c>
    </row>
    <row r="3551">
      <c r="A3551" s="1" t="str">
        <f>"000YMD"</f>
        <v>000YMD</v>
      </c>
      <c r="B3551" s="2" t="s">
        <v>15058</v>
      </c>
      <c r="C3551" s="1" t="s">
        <v>15059</v>
      </c>
      <c r="D3551" s="1" t="str">
        <f>"8024965091"</f>
        <v>8024965091</v>
      </c>
      <c r="E3551" s="1">
        <v>5174.0</v>
      </c>
      <c r="F3551" s="1" t="s">
        <v>117</v>
      </c>
      <c r="G3551" s="1" t="s">
        <v>15060</v>
      </c>
      <c r="H3551" s="1">
        <v>2.0</v>
      </c>
      <c r="I3551" s="2">
        <v>2.0</v>
      </c>
      <c r="J3551" s="2">
        <v>2.0</v>
      </c>
      <c r="K3551" s="2" t="s">
        <v>119</v>
      </c>
      <c r="L3551" s="1"/>
      <c r="M3551" s="1" t="s">
        <v>15061</v>
      </c>
      <c r="N3551" s="1" t="s">
        <v>135</v>
      </c>
      <c r="O3551" s="1" t="s">
        <v>1798</v>
      </c>
      <c r="P3551" s="1" t="s">
        <v>15062</v>
      </c>
      <c r="Q3551" s="3">
        <v>42901.0</v>
      </c>
      <c r="R3551" s="1"/>
      <c r="S3551" s="1"/>
      <c r="T3551" s="1" t="s">
        <v>37</v>
      </c>
      <c r="U3551" s="1"/>
      <c r="V3551" s="1" t="s">
        <v>38</v>
      </c>
      <c r="W3551" s="1">
        <v>44.111126</v>
      </c>
      <c r="X3551" s="1">
        <v>-72.7978059999999</v>
      </c>
      <c r="Y3551" s="1" t="s">
        <v>15063</v>
      </c>
      <c r="Z3551" s="1"/>
      <c r="AA3551" s="1" t="s">
        <v>40</v>
      </c>
      <c r="AB3551" s="1" t="s">
        <v>1799</v>
      </c>
      <c r="AC3551" s="1">
        <v>5674.0</v>
      </c>
    </row>
    <row r="3552">
      <c r="A3552" s="1" t="str">
        <f>"000VVG"</f>
        <v>000VVG</v>
      </c>
      <c r="B3552" s="1" t="s">
        <v>15064</v>
      </c>
      <c r="C3552" s="1" t="s">
        <v>15065</v>
      </c>
      <c r="D3552" s="1" t="str">
        <f>"8027932736"</f>
        <v>8027932736</v>
      </c>
      <c r="E3552" s="1">
        <v>4969.0</v>
      </c>
      <c r="F3552" s="1" t="s">
        <v>117</v>
      </c>
      <c r="G3552" s="1" t="s">
        <v>15066</v>
      </c>
      <c r="H3552" s="1">
        <v>1.0</v>
      </c>
      <c r="I3552" s="2">
        <v>2.0</v>
      </c>
      <c r="J3552" s="2">
        <v>2.0</v>
      </c>
      <c r="K3552" s="2" t="s">
        <v>119</v>
      </c>
      <c r="L3552" s="1"/>
      <c r="M3552" s="1" t="s">
        <v>15067</v>
      </c>
      <c r="N3552" s="1" t="s">
        <v>135</v>
      </c>
      <c r="O3552" s="1" t="s">
        <v>1142</v>
      </c>
      <c r="P3552" s="1" t="s">
        <v>15068</v>
      </c>
      <c r="Q3552" s="3">
        <v>42905.0</v>
      </c>
      <c r="R3552" s="1"/>
      <c r="S3552" s="1"/>
      <c r="T3552" s="1" t="s">
        <v>37</v>
      </c>
      <c r="U3552" s="1"/>
      <c r="V3552" s="1" t="s">
        <v>38</v>
      </c>
      <c r="W3552" s="1"/>
      <c r="X3552" s="1"/>
      <c r="Y3552" s="1" t="s">
        <v>15069</v>
      </c>
      <c r="Z3552" s="1"/>
      <c r="AA3552" s="1" t="s">
        <v>40</v>
      </c>
      <c r="AB3552" s="1" t="s">
        <v>1145</v>
      </c>
      <c r="AC3552" s="1">
        <v>5602.0</v>
      </c>
    </row>
    <row r="3553">
      <c r="A3553" s="1" t="str">
        <f>"000YN2"</f>
        <v>000YN2</v>
      </c>
      <c r="B3553" s="1" t="s">
        <v>15070</v>
      </c>
      <c r="C3553" s="1" t="s">
        <v>15071</v>
      </c>
      <c r="D3553" s="1" t="str">
        <f>"8022360110"</f>
        <v>8022360110</v>
      </c>
      <c r="E3553" s="1">
        <v>5175.0</v>
      </c>
      <c r="F3553" s="1" t="s">
        <v>117</v>
      </c>
      <c r="G3553" s="1" t="s">
        <v>15072</v>
      </c>
      <c r="H3553" s="1">
        <v>2.0</v>
      </c>
      <c r="I3553" s="2" t="s">
        <v>119</v>
      </c>
      <c r="J3553" s="2" t="s">
        <v>119</v>
      </c>
      <c r="K3553" s="2" t="s">
        <v>119</v>
      </c>
      <c r="L3553" s="1"/>
      <c r="M3553" s="1" t="s">
        <v>15073</v>
      </c>
      <c r="N3553" s="1" t="s">
        <v>66</v>
      </c>
      <c r="O3553" s="1" t="s">
        <v>73</v>
      </c>
      <c r="P3553" s="1" t="s">
        <v>15074</v>
      </c>
      <c r="Q3553" s="3">
        <v>42905.0</v>
      </c>
      <c r="R3553" s="1"/>
      <c r="S3553" s="1"/>
      <c r="T3553" s="1" t="s">
        <v>37</v>
      </c>
      <c r="U3553" s="1"/>
      <c r="V3553" s="1" t="s">
        <v>38</v>
      </c>
      <c r="W3553" s="1">
        <v>42.8508346</v>
      </c>
      <c r="X3553" s="1">
        <v>-72.6967243</v>
      </c>
      <c r="Y3553" s="1" t="s">
        <v>15075</v>
      </c>
      <c r="Z3553" s="1"/>
      <c r="AA3553" s="1" t="s">
        <v>40</v>
      </c>
      <c r="AB3553" s="1" t="s">
        <v>74</v>
      </c>
      <c r="AC3553" s="1">
        <v>5301.0</v>
      </c>
    </row>
    <row r="3554">
      <c r="A3554" s="1" t="str">
        <f>"000YN3"</f>
        <v>000YN3</v>
      </c>
      <c r="B3554" s="1" t="s">
        <v>15076</v>
      </c>
      <c r="C3554" s="1" t="s">
        <v>15077</v>
      </c>
      <c r="D3554" s="1" t="str">
        <f>"8022740386"</f>
        <v>8022740386</v>
      </c>
      <c r="E3554" s="1">
        <v>5176.0</v>
      </c>
      <c r="F3554" s="1" t="s">
        <v>117</v>
      </c>
      <c r="G3554" s="1" t="s">
        <v>15078</v>
      </c>
      <c r="H3554" s="1">
        <v>2.0</v>
      </c>
      <c r="I3554" s="2" t="s">
        <v>119</v>
      </c>
      <c r="J3554" s="2" t="s">
        <v>119</v>
      </c>
      <c r="K3554" s="2" t="s">
        <v>119</v>
      </c>
      <c r="L3554" s="1"/>
      <c r="M3554" s="1" t="s">
        <v>2407</v>
      </c>
      <c r="N3554" s="1" t="s">
        <v>128</v>
      </c>
      <c r="O3554" s="1" t="s">
        <v>1707</v>
      </c>
      <c r="P3554" s="1" t="s">
        <v>15079</v>
      </c>
      <c r="Q3554" s="3">
        <v>42905.0</v>
      </c>
      <c r="R3554" s="1"/>
      <c r="S3554" s="1"/>
      <c r="T3554" s="1" t="s">
        <v>37</v>
      </c>
      <c r="U3554" s="1"/>
      <c r="V3554" s="1" t="s">
        <v>38</v>
      </c>
      <c r="W3554" s="1"/>
      <c r="X3554" s="1"/>
      <c r="Y3554" s="1" t="s">
        <v>15080</v>
      </c>
      <c r="Z3554" s="1"/>
      <c r="AA3554" s="1" t="s">
        <v>40</v>
      </c>
      <c r="AB3554" s="1" t="s">
        <v>15079</v>
      </c>
      <c r="AC3554" s="1">
        <v>5819.0</v>
      </c>
    </row>
    <row r="3555">
      <c r="A3555" s="1" t="str">
        <f>"000YN7"</f>
        <v>000YN7</v>
      </c>
      <c r="B3555" s="1" t="s">
        <v>15081</v>
      </c>
      <c r="C3555" s="1" t="s">
        <v>15082</v>
      </c>
      <c r="D3555" s="1" t="str">
        <f>"8027357177"</f>
        <v>8027357177</v>
      </c>
      <c r="E3555" s="1">
        <v>5177.0</v>
      </c>
      <c r="F3555" s="1" t="s">
        <v>117</v>
      </c>
      <c r="G3555" s="1" t="s">
        <v>15083</v>
      </c>
      <c r="H3555" s="1">
        <v>1.0</v>
      </c>
      <c r="I3555" s="2" t="s">
        <v>119</v>
      </c>
      <c r="J3555" s="2" t="s">
        <v>119</v>
      </c>
      <c r="K3555" s="2" t="s">
        <v>119</v>
      </c>
      <c r="L3555" s="1"/>
      <c r="M3555" s="1" t="s">
        <v>15084</v>
      </c>
      <c r="N3555" s="1" t="s">
        <v>57</v>
      </c>
      <c r="O3555" s="1" t="s">
        <v>175</v>
      </c>
      <c r="P3555" s="1" t="s">
        <v>15085</v>
      </c>
      <c r="Q3555" s="3">
        <v>42906.0</v>
      </c>
      <c r="R3555" s="1"/>
      <c r="S3555" s="1"/>
      <c r="T3555" s="1" t="s">
        <v>37</v>
      </c>
      <c r="U3555" s="1"/>
      <c r="V3555" s="1" t="s">
        <v>38</v>
      </c>
      <c r="W3555" s="1"/>
      <c r="X3555" s="1"/>
      <c r="Y3555" s="1" t="s">
        <v>15086</v>
      </c>
      <c r="Z3555" s="1"/>
      <c r="AA3555" s="1" t="s">
        <v>40</v>
      </c>
      <c r="AB3555" s="1" t="s">
        <v>176</v>
      </c>
      <c r="AC3555" s="1">
        <v>5401.0</v>
      </c>
    </row>
    <row r="3556">
      <c r="A3556" s="1" t="str">
        <f>"000YNC"</f>
        <v>000YNC</v>
      </c>
      <c r="B3556" s="1" t="s">
        <v>15087</v>
      </c>
      <c r="C3556" s="1" t="s">
        <v>15088</v>
      </c>
      <c r="D3556" s="1" t="str">
        <f>"8024617041"</f>
        <v>8024617041</v>
      </c>
      <c r="E3556" s="1">
        <v>5178.0</v>
      </c>
      <c r="F3556" s="1" t="s">
        <v>117</v>
      </c>
      <c r="G3556" s="1" t="s">
        <v>15089</v>
      </c>
      <c r="H3556" s="1">
        <v>1.0</v>
      </c>
      <c r="I3556" s="2" t="s">
        <v>119</v>
      </c>
      <c r="J3556" s="2" t="s">
        <v>119</v>
      </c>
      <c r="K3556" s="2" t="s">
        <v>119</v>
      </c>
      <c r="L3556" s="1"/>
      <c r="M3556" s="1" t="s">
        <v>15090</v>
      </c>
      <c r="N3556" s="1" t="s">
        <v>142</v>
      </c>
      <c r="O3556" s="1" t="s">
        <v>353</v>
      </c>
      <c r="P3556" s="1" t="s">
        <v>15091</v>
      </c>
      <c r="Q3556" s="3">
        <v>42907.0</v>
      </c>
      <c r="R3556" s="1"/>
      <c r="S3556" s="3">
        <v>42971.0</v>
      </c>
      <c r="T3556" s="1" t="s">
        <v>37</v>
      </c>
      <c r="U3556" s="1"/>
      <c r="V3556" s="1" t="s">
        <v>38</v>
      </c>
      <c r="W3556" s="1">
        <v>44.007668</v>
      </c>
      <c r="X3556" s="1">
        <v>-72.633286</v>
      </c>
      <c r="Y3556" s="1" t="s">
        <v>15092</v>
      </c>
      <c r="Z3556" s="1"/>
      <c r="AA3556" s="1" t="s">
        <v>40</v>
      </c>
      <c r="AB3556" s="1" t="s">
        <v>355</v>
      </c>
      <c r="AC3556" s="1">
        <v>5036.0</v>
      </c>
    </row>
    <row r="3557">
      <c r="A3557" s="1" t="str">
        <f>"000KH4"</f>
        <v>000KH4</v>
      </c>
      <c r="B3557" s="1" t="s">
        <v>9076</v>
      </c>
      <c r="C3557" s="1" t="s">
        <v>9077</v>
      </c>
      <c r="D3557" s="1" t="str">
        <f>"8022642171"</f>
        <v>8022642171</v>
      </c>
      <c r="E3557" s="1">
        <v>4514.0</v>
      </c>
      <c r="F3557" s="1" t="s">
        <v>117</v>
      </c>
      <c r="G3557" s="1" t="s">
        <v>15093</v>
      </c>
      <c r="H3557" s="1">
        <v>4.0</v>
      </c>
      <c r="I3557" s="2" t="s">
        <v>119</v>
      </c>
      <c r="J3557" s="2" t="s">
        <v>119</v>
      </c>
      <c r="K3557" s="2" t="s">
        <v>119</v>
      </c>
      <c r="L3557" s="1"/>
      <c r="M3557" s="1">
        <v>2.0</v>
      </c>
      <c r="N3557" s="1" t="s">
        <v>57</v>
      </c>
      <c r="O3557" s="1" t="s">
        <v>175</v>
      </c>
      <c r="P3557" s="1" t="s">
        <v>15094</v>
      </c>
      <c r="Q3557" s="3">
        <v>42912.0</v>
      </c>
      <c r="R3557" s="1"/>
      <c r="S3557" s="1"/>
      <c r="T3557" s="1" t="s">
        <v>37</v>
      </c>
      <c r="U3557" s="1"/>
      <c r="V3557" s="1" t="s">
        <v>38</v>
      </c>
      <c r="W3557" s="1">
        <v>44.5019781</v>
      </c>
      <c r="X3557" s="1">
        <v>-73.2119731</v>
      </c>
      <c r="Y3557" s="1" t="s">
        <v>2085</v>
      </c>
      <c r="Z3557" s="1"/>
      <c r="AA3557" s="1" t="s">
        <v>40</v>
      </c>
      <c r="AB3557" s="1" t="s">
        <v>176</v>
      </c>
      <c r="AC3557" s="1">
        <v>5401.0</v>
      </c>
    </row>
    <row r="3558">
      <c r="A3558" s="1" t="str">
        <f t="shared" ref="A3558:A3561" si="304">"000JVN"</f>
        <v>000JVN</v>
      </c>
      <c r="B3558" s="1" t="s">
        <v>8863</v>
      </c>
      <c r="C3558" s="1" t="s">
        <v>8864</v>
      </c>
      <c r="D3558" s="1" t="str">
        <f t="shared" ref="D3558:D3561" si="305">"8028235837"</f>
        <v>8028235837</v>
      </c>
      <c r="E3558" s="1">
        <v>4451.0</v>
      </c>
      <c r="F3558" s="1" t="s">
        <v>117</v>
      </c>
      <c r="G3558" s="1" t="s">
        <v>15095</v>
      </c>
      <c r="H3558" s="1">
        <v>10.0</v>
      </c>
      <c r="I3558" s="2" t="s">
        <v>119</v>
      </c>
      <c r="J3558" s="2" t="s">
        <v>119</v>
      </c>
      <c r="K3558" s="2" t="s">
        <v>119</v>
      </c>
      <c r="L3558" s="1"/>
      <c r="M3558" s="1">
        <v>4.0</v>
      </c>
      <c r="N3558" s="1" t="s">
        <v>414</v>
      </c>
      <c r="O3558" s="1" t="s">
        <v>720</v>
      </c>
      <c r="P3558" s="1" t="s">
        <v>15096</v>
      </c>
      <c r="Q3558" s="3">
        <v>42912.0</v>
      </c>
      <c r="R3558" s="1"/>
      <c r="S3558" s="1"/>
      <c r="T3558" s="1" t="s">
        <v>37</v>
      </c>
      <c r="U3558" s="1"/>
      <c r="V3558" s="1" t="s">
        <v>38</v>
      </c>
      <c r="W3558" s="1">
        <v>42.88364</v>
      </c>
      <c r="X3558" s="1">
        <v>-73.220146</v>
      </c>
      <c r="Y3558" s="1" t="s">
        <v>15097</v>
      </c>
      <c r="Z3558" s="1"/>
      <c r="AA3558" s="1" t="s">
        <v>40</v>
      </c>
      <c r="AB3558" s="1" t="s">
        <v>414</v>
      </c>
      <c r="AC3558" s="1">
        <v>5201.0</v>
      </c>
    </row>
    <row r="3559">
      <c r="A3559" s="1" t="str">
        <f t="shared" si="304"/>
        <v>000JVN</v>
      </c>
      <c r="B3559" s="1" t="s">
        <v>8863</v>
      </c>
      <c r="C3559" s="1" t="s">
        <v>8864</v>
      </c>
      <c r="D3559" s="1" t="str">
        <f t="shared" si="305"/>
        <v>8028235837</v>
      </c>
      <c r="E3559" s="1">
        <v>4451.0</v>
      </c>
      <c r="F3559" s="1" t="s">
        <v>117</v>
      </c>
      <c r="G3559" s="1" t="s">
        <v>15098</v>
      </c>
      <c r="H3559" s="1">
        <v>20.0</v>
      </c>
      <c r="I3559" s="2" t="s">
        <v>119</v>
      </c>
      <c r="J3559" s="2" t="s">
        <v>119</v>
      </c>
      <c r="K3559" s="2" t="s">
        <v>119</v>
      </c>
      <c r="L3559" s="1"/>
      <c r="M3559" s="1">
        <v>5.0</v>
      </c>
      <c r="N3559" s="1" t="s">
        <v>414</v>
      </c>
      <c r="O3559" s="1" t="s">
        <v>794</v>
      </c>
      <c r="P3559" s="1" t="s">
        <v>15099</v>
      </c>
      <c r="Q3559" s="3">
        <v>42912.0</v>
      </c>
      <c r="R3559" s="1"/>
      <c r="S3559" s="1"/>
      <c r="T3559" s="1" t="s">
        <v>37</v>
      </c>
      <c r="U3559" s="1"/>
      <c r="V3559" s="1" t="s">
        <v>38</v>
      </c>
      <c r="W3559" s="1">
        <v>42.823214</v>
      </c>
      <c r="X3559" s="1">
        <v>-73.259883</v>
      </c>
      <c r="Y3559" s="1" t="s">
        <v>15100</v>
      </c>
      <c r="Z3559" s="1"/>
      <c r="AA3559" s="1" t="s">
        <v>40</v>
      </c>
      <c r="AB3559" s="1" t="s">
        <v>797</v>
      </c>
      <c r="AC3559" s="1">
        <v>5260.0</v>
      </c>
    </row>
    <row r="3560">
      <c r="A3560" s="1" t="str">
        <f t="shared" si="304"/>
        <v>000JVN</v>
      </c>
      <c r="B3560" s="1" t="s">
        <v>8863</v>
      </c>
      <c r="C3560" s="1" t="s">
        <v>8864</v>
      </c>
      <c r="D3560" s="1" t="str">
        <f t="shared" si="305"/>
        <v>8028235837</v>
      </c>
      <c r="E3560" s="1">
        <v>4451.0</v>
      </c>
      <c r="F3560" s="1" t="s">
        <v>117</v>
      </c>
      <c r="G3560" s="1" t="s">
        <v>15101</v>
      </c>
      <c r="H3560" s="1">
        <v>40.0</v>
      </c>
      <c r="I3560" s="2" t="s">
        <v>119</v>
      </c>
      <c r="J3560" s="2" t="s">
        <v>119</v>
      </c>
      <c r="K3560" s="2" t="s">
        <v>119</v>
      </c>
      <c r="L3560" s="1"/>
      <c r="M3560" s="1">
        <v>6.0</v>
      </c>
      <c r="N3560" s="1" t="s">
        <v>414</v>
      </c>
      <c r="O3560" s="1" t="s">
        <v>794</v>
      </c>
      <c r="P3560" s="1" t="s">
        <v>15102</v>
      </c>
      <c r="Q3560" s="3">
        <v>42912.0</v>
      </c>
      <c r="R3560" s="1"/>
      <c r="S3560" s="1"/>
      <c r="T3560" s="1" t="s">
        <v>37</v>
      </c>
      <c r="U3560" s="1"/>
      <c r="V3560" s="1" t="s">
        <v>38</v>
      </c>
      <c r="W3560" s="1">
        <v>42.772823</v>
      </c>
      <c r="X3560" s="1">
        <v>-73.2467039</v>
      </c>
      <c r="Y3560" s="1" t="s">
        <v>15103</v>
      </c>
      <c r="Z3560" s="1"/>
      <c r="AA3560" s="1" t="s">
        <v>40</v>
      </c>
      <c r="AB3560" s="1" t="s">
        <v>797</v>
      </c>
      <c r="AC3560" s="1">
        <v>5261.0</v>
      </c>
    </row>
    <row r="3561">
      <c r="A3561" s="1" t="str">
        <f t="shared" si="304"/>
        <v>000JVN</v>
      </c>
      <c r="B3561" s="1" t="s">
        <v>8863</v>
      </c>
      <c r="C3561" s="1" t="s">
        <v>8864</v>
      </c>
      <c r="D3561" s="1" t="str">
        <f t="shared" si="305"/>
        <v>8028235837</v>
      </c>
      <c r="E3561" s="1">
        <v>4451.0</v>
      </c>
      <c r="F3561" s="1" t="s">
        <v>117</v>
      </c>
      <c r="G3561" s="1" t="s">
        <v>15104</v>
      </c>
      <c r="H3561" s="1">
        <v>20.0</v>
      </c>
      <c r="I3561" s="2" t="s">
        <v>119</v>
      </c>
      <c r="J3561" s="2" t="s">
        <v>119</v>
      </c>
      <c r="K3561" s="2" t="s">
        <v>119</v>
      </c>
      <c r="L3561" s="1"/>
      <c r="M3561" s="1">
        <v>7.0</v>
      </c>
      <c r="N3561" s="1" t="s">
        <v>414</v>
      </c>
      <c r="O3561" s="1" t="s">
        <v>794</v>
      </c>
      <c r="P3561" s="1" t="s">
        <v>2083</v>
      </c>
      <c r="Q3561" s="3">
        <v>42912.0</v>
      </c>
      <c r="R3561" s="1"/>
      <c r="S3561" s="1"/>
      <c r="T3561" s="1" t="s">
        <v>37</v>
      </c>
      <c r="U3561" s="1"/>
      <c r="V3561" s="1" t="s">
        <v>38</v>
      </c>
      <c r="W3561" s="1">
        <v>42.756301</v>
      </c>
      <c r="X3561" s="1">
        <v>-73.2401019</v>
      </c>
      <c r="Y3561" s="1" t="s">
        <v>15105</v>
      </c>
      <c r="Z3561" s="1"/>
      <c r="AA3561" s="1" t="s">
        <v>40</v>
      </c>
      <c r="AB3561" s="1" t="s">
        <v>797</v>
      </c>
      <c r="AC3561" s="1">
        <v>5261.0</v>
      </c>
    </row>
    <row r="3562">
      <c r="A3562" s="1" t="str">
        <f>"0008NN"</f>
        <v>0008NN</v>
      </c>
      <c r="B3562" s="1" t="s">
        <v>2433</v>
      </c>
      <c r="C3562" s="1" t="s">
        <v>2434</v>
      </c>
      <c r="D3562" s="1" t="str">
        <f>"8027334761"</f>
        <v>8027334761</v>
      </c>
      <c r="E3562" s="1">
        <v>3190.0</v>
      </c>
      <c r="F3562" s="1" t="s">
        <v>117</v>
      </c>
      <c r="G3562" s="1" t="s">
        <v>15106</v>
      </c>
      <c r="H3562" s="1">
        <v>48.0</v>
      </c>
      <c r="I3562" s="2" t="s">
        <v>119</v>
      </c>
      <c r="J3562" s="2" t="s">
        <v>119</v>
      </c>
      <c r="K3562" s="2" t="s">
        <v>119</v>
      </c>
      <c r="L3562" s="1"/>
      <c r="M3562" s="1">
        <v>7.0</v>
      </c>
      <c r="N3562" s="1" t="s">
        <v>414</v>
      </c>
      <c r="O3562" s="1" t="s">
        <v>1160</v>
      </c>
      <c r="P3562" s="1" t="s">
        <v>2083</v>
      </c>
      <c r="Q3562" s="3">
        <v>42912.0</v>
      </c>
      <c r="R3562" s="1"/>
      <c r="S3562" s="1"/>
      <c r="T3562" s="1" t="s">
        <v>37</v>
      </c>
      <c r="U3562" s="1"/>
      <c r="V3562" s="1" t="s">
        <v>38</v>
      </c>
      <c r="W3562" s="1">
        <v>43.02941</v>
      </c>
      <c r="X3562" s="1">
        <v>-73.1836799999999</v>
      </c>
      <c r="Y3562" s="1" t="s">
        <v>15107</v>
      </c>
      <c r="Z3562" s="1"/>
      <c r="AA3562" s="1" t="s">
        <v>40</v>
      </c>
      <c r="AB3562" s="1" t="s">
        <v>1391</v>
      </c>
      <c r="AC3562" s="1">
        <v>5250.0</v>
      </c>
    </row>
    <row r="3563">
      <c r="A3563" s="1" t="str">
        <f>"000YP3"</f>
        <v>000YP3</v>
      </c>
      <c r="B3563" s="1" t="s">
        <v>15108</v>
      </c>
      <c r="C3563" s="1" t="s">
        <v>15109</v>
      </c>
      <c r="D3563" s="1" t="str">
        <f>"8023878777"</f>
        <v>8023878777</v>
      </c>
      <c r="E3563" s="1">
        <v>5179.0</v>
      </c>
      <c r="F3563" s="1" t="s">
        <v>117</v>
      </c>
      <c r="G3563" s="1" t="s">
        <v>15110</v>
      </c>
      <c r="H3563" s="1">
        <v>2.0</v>
      </c>
      <c r="I3563" s="2">
        <v>2.0</v>
      </c>
      <c r="J3563" s="2">
        <v>2.0</v>
      </c>
      <c r="K3563" s="2" t="s">
        <v>119</v>
      </c>
      <c r="L3563" s="1"/>
      <c r="M3563" s="1" t="s">
        <v>15111</v>
      </c>
      <c r="N3563" s="1" t="s">
        <v>34</v>
      </c>
      <c r="O3563" s="1"/>
      <c r="P3563" s="1" t="s">
        <v>15112</v>
      </c>
      <c r="Q3563" s="3">
        <v>42912.0</v>
      </c>
      <c r="R3563" s="1"/>
      <c r="S3563" s="1"/>
      <c r="T3563" s="1" t="s">
        <v>37</v>
      </c>
      <c r="U3563" s="1"/>
      <c r="V3563" s="1" t="s">
        <v>38</v>
      </c>
      <c r="W3563" s="1">
        <v>42.9633739999999</v>
      </c>
      <c r="X3563" s="1">
        <v>-72.5367729999999</v>
      </c>
      <c r="Y3563" s="1" t="s">
        <v>15113</v>
      </c>
      <c r="Z3563" s="1"/>
      <c r="AA3563" s="1" t="s">
        <v>40</v>
      </c>
      <c r="AB3563" s="1" t="s">
        <v>14580</v>
      </c>
      <c r="AC3563" s="1">
        <v>5436.0</v>
      </c>
    </row>
    <row r="3564">
      <c r="A3564" s="1" t="str">
        <f>"00073W"</f>
        <v>00073W</v>
      </c>
      <c r="B3564" s="1" t="s">
        <v>6500</v>
      </c>
      <c r="C3564" s="1" t="s">
        <v>6501</v>
      </c>
      <c r="D3564" s="1" t="str">
        <f>"8027477244"</f>
        <v>8027477244</v>
      </c>
      <c r="E3564" s="1">
        <v>3990.0</v>
      </c>
      <c r="F3564" s="1" t="s">
        <v>117</v>
      </c>
      <c r="G3564" s="1" t="s">
        <v>15114</v>
      </c>
      <c r="H3564" s="1">
        <v>2.0</v>
      </c>
      <c r="I3564" s="2">
        <v>1.0</v>
      </c>
      <c r="J3564" s="2">
        <v>0.0</v>
      </c>
      <c r="K3564" s="2" t="s">
        <v>829</v>
      </c>
      <c r="L3564" s="1"/>
      <c r="M3564" s="1">
        <v>5.0</v>
      </c>
      <c r="N3564" s="1" t="s">
        <v>78</v>
      </c>
      <c r="O3564" s="1" t="s">
        <v>702</v>
      </c>
      <c r="P3564" s="1" t="s">
        <v>15115</v>
      </c>
      <c r="Q3564" s="3">
        <v>42912.0</v>
      </c>
      <c r="R3564" s="1"/>
      <c r="S3564" s="1"/>
      <c r="T3564" s="1" t="s">
        <v>37</v>
      </c>
      <c r="U3564" s="1"/>
      <c r="V3564" s="1" t="s">
        <v>38</v>
      </c>
      <c r="W3564" s="1"/>
      <c r="X3564" s="1"/>
      <c r="Y3564" s="1" t="s">
        <v>2083</v>
      </c>
      <c r="Z3564" s="1"/>
      <c r="AA3564" s="1" t="s">
        <v>40</v>
      </c>
      <c r="AB3564" s="1" t="s">
        <v>78</v>
      </c>
      <c r="AC3564" s="1">
        <v>0.0</v>
      </c>
    </row>
    <row r="3565">
      <c r="A3565" s="1" t="str">
        <f>"000YP7"</f>
        <v>000YP7</v>
      </c>
      <c r="B3565" s="2" t="s">
        <v>15116</v>
      </c>
      <c r="C3565" s="1" t="s">
        <v>15117</v>
      </c>
      <c r="D3565" s="1" t="str">
        <f>"8023381625"</f>
        <v>8023381625</v>
      </c>
      <c r="E3565" s="1">
        <v>5180.0</v>
      </c>
      <c r="F3565" s="1" t="s">
        <v>117</v>
      </c>
      <c r="G3565" s="1" t="s">
        <v>15118</v>
      </c>
      <c r="H3565" s="1">
        <v>6.0</v>
      </c>
      <c r="I3565" s="2" t="s">
        <v>119</v>
      </c>
      <c r="J3565" s="2" t="s">
        <v>119</v>
      </c>
      <c r="K3565" s="2" t="s">
        <v>119</v>
      </c>
      <c r="L3565" s="1"/>
      <c r="M3565" s="1" t="s">
        <v>15119</v>
      </c>
      <c r="N3565" s="1" t="s">
        <v>47</v>
      </c>
      <c r="O3565" s="1" t="s">
        <v>378</v>
      </c>
      <c r="P3565" s="1" t="s">
        <v>15120</v>
      </c>
      <c r="Q3565" s="3">
        <v>42913.0</v>
      </c>
      <c r="R3565" s="1"/>
      <c r="S3565" s="1"/>
      <c r="T3565" s="1" t="s">
        <v>37</v>
      </c>
      <c r="U3565" s="1"/>
      <c r="V3565" s="1" t="s">
        <v>38</v>
      </c>
      <c r="W3565" s="1">
        <v>44.7411468</v>
      </c>
      <c r="X3565" s="1">
        <v>-73.0680691999999</v>
      </c>
      <c r="Y3565" s="1" t="s">
        <v>15121</v>
      </c>
      <c r="Z3565" s="1"/>
      <c r="AA3565" s="1" t="s">
        <v>40</v>
      </c>
      <c r="AB3565" s="1" t="s">
        <v>381</v>
      </c>
      <c r="AC3565" s="1">
        <v>5454.0</v>
      </c>
    </row>
    <row r="3566">
      <c r="A3566" s="1" t="str">
        <f>"0007D0"</f>
        <v>0007D0</v>
      </c>
      <c r="B3566" s="1" t="s">
        <v>7102</v>
      </c>
      <c r="C3566" s="1" t="s">
        <v>7103</v>
      </c>
      <c r="D3566" s="1" t="str">
        <f>"8027963105"</f>
        <v>8027963105</v>
      </c>
      <c r="E3566" s="1">
        <v>3852.0</v>
      </c>
      <c r="F3566" s="1" t="s">
        <v>117</v>
      </c>
      <c r="G3566" s="1" t="s">
        <v>15122</v>
      </c>
      <c r="H3566" s="1">
        <v>2.0</v>
      </c>
      <c r="I3566" s="2">
        <v>0.0</v>
      </c>
      <c r="J3566" s="2">
        <v>0.0</v>
      </c>
      <c r="K3566" s="2" t="s">
        <v>119</v>
      </c>
      <c r="L3566" s="1"/>
      <c r="M3566" s="1" t="s">
        <v>15123</v>
      </c>
      <c r="N3566" s="1" t="s">
        <v>107</v>
      </c>
      <c r="O3566" s="1" t="s">
        <v>2016</v>
      </c>
      <c r="P3566" s="1" t="s">
        <v>15124</v>
      </c>
      <c r="Q3566" s="3">
        <v>42913.0</v>
      </c>
      <c r="R3566" s="1"/>
      <c r="S3566" s="1"/>
      <c r="T3566" s="1" t="s">
        <v>37</v>
      </c>
      <c r="U3566" s="1"/>
      <c r="V3566" s="1" t="s">
        <v>38</v>
      </c>
      <c r="W3566" s="1"/>
      <c r="X3566" s="1"/>
      <c r="Y3566" s="1" t="s">
        <v>15125</v>
      </c>
      <c r="Z3566" s="1"/>
      <c r="AA3566" s="1" t="s">
        <v>40</v>
      </c>
      <c r="AB3566" s="1" t="s">
        <v>2019</v>
      </c>
      <c r="AC3566" s="1">
        <v>5440.0</v>
      </c>
    </row>
    <row r="3567">
      <c r="A3567" s="1" t="str">
        <f>"000YPB"</f>
        <v>000YPB</v>
      </c>
      <c r="B3567" s="1" t="s">
        <v>15126</v>
      </c>
      <c r="C3567" s="1" t="s">
        <v>15127</v>
      </c>
      <c r="D3567" s="1" t="str">
        <f>"8028914219"</f>
        <v>8028914219</v>
      </c>
      <c r="E3567" s="1">
        <v>5181.0</v>
      </c>
      <c r="F3567" s="1" t="s">
        <v>117</v>
      </c>
      <c r="G3567" s="1" t="s">
        <v>15128</v>
      </c>
      <c r="H3567" s="1">
        <v>1.0</v>
      </c>
      <c r="I3567" s="2" t="s">
        <v>119</v>
      </c>
      <c r="J3567" s="2" t="s">
        <v>119</v>
      </c>
      <c r="K3567" s="2" t="s">
        <v>119</v>
      </c>
      <c r="L3567" s="1"/>
      <c r="M3567" s="1" t="s">
        <v>15129</v>
      </c>
      <c r="N3567" s="1" t="s">
        <v>107</v>
      </c>
      <c r="O3567" s="1" t="s">
        <v>108</v>
      </c>
      <c r="P3567" s="1" t="s">
        <v>15130</v>
      </c>
      <c r="Q3567" s="3">
        <v>42914.0</v>
      </c>
      <c r="R3567" s="1"/>
      <c r="S3567" s="1"/>
      <c r="T3567" s="1" t="s">
        <v>37</v>
      </c>
      <c r="U3567" s="1"/>
      <c r="V3567" s="1" t="s">
        <v>38</v>
      </c>
      <c r="W3567" s="1">
        <v>44.6945332</v>
      </c>
      <c r="X3567" s="1">
        <v>-73.3654032</v>
      </c>
      <c r="Y3567" s="1" t="s">
        <v>15131</v>
      </c>
      <c r="Z3567" s="1"/>
      <c r="AA3567" s="1" t="s">
        <v>40</v>
      </c>
      <c r="AB3567" s="1" t="s">
        <v>15132</v>
      </c>
      <c r="AC3567" s="1">
        <v>5458.0</v>
      </c>
    </row>
    <row r="3568">
      <c r="A3568" s="1" t="str">
        <f t="shared" ref="A3568:A3569" si="306">"000XM3"</f>
        <v>000XM3</v>
      </c>
      <c r="B3568" s="1" t="s">
        <v>14493</v>
      </c>
      <c r="C3568" s="1" t="s">
        <v>14494</v>
      </c>
      <c r="D3568" s="1" t="str">
        <f t="shared" ref="D3568:D3569" si="307">"8027829951"</f>
        <v>8027829951</v>
      </c>
      <c r="E3568" s="1">
        <v>5098.0</v>
      </c>
      <c r="F3568" s="1" t="s">
        <v>117</v>
      </c>
      <c r="G3568" s="1" t="s">
        <v>15133</v>
      </c>
      <c r="H3568" s="1">
        <v>15.0</v>
      </c>
      <c r="I3568" s="2" t="s">
        <v>119</v>
      </c>
      <c r="J3568" s="2" t="s">
        <v>119</v>
      </c>
      <c r="K3568" s="2" t="s">
        <v>119</v>
      </c>
      <c r="L3568" s="1"/>
      <c r="M3568" s="1">
        <v>4.0</v>
      </c>
      <c r="N3568" s="1" t="s">
        <v>47</v>
      </c>
      <c r="O3568" s="1" t="s">
        <v>2889</v>
      </c>
      <c r="P3568" s="1" t="s">
        <v>15134</v>
      </c>
      <c r="Q3568" s="3">
        <v>42914.0</v>
      </c>
      <c r="R3568" s="1"/>
      <c r="S3568" s="1"/>
      <c r="T3568" s="1" t="s">
        <v>37</v>
      </c>
      <c r="U3568" s="1"/>
      <c r="V3568" s="1" t="s">
        <v>38</v>
      </c>
      <c r="W3568" s="1">
        <v>44.925964</v>
      </c>
      <c r="X3568" s="1">
        <v>-72.9323039999999</v>
      </c>
      <c r="Y3568" s="1" t="s">
        <v>15135</v>
      </c>
      <c r="Z3568" s="1"/>
      <c r="AA3568" s="1" t="s">
        <v>40</v>
      </c>
      <c r="AB3568" s="1" t="s">
        <v>47</v>
      </c>
      <c r="AC3568" s="1">
        <v>5457.0</v>
      </c>
    </row>
    <row r="3569">
      <c r="A3569" s="1" t="str">
        <f t="shared" si="306"/>
        <v>000XM3</v>
      </c>
      <c r="B3569" s="1" t="s">
        <v>14493</v>
      </c>
      <c r="C3569" s="1" t="s">
        <v>14494</v>
      </c>
      <c r="D3569" s="1" t="str">
        <f t="shared" si="307"/>
        <v>8027829951</v>
      </c>
      <c r="E3569" s="1">
        <v>5098.0</v>
      </c>
      <c r="F3569" s="1" t="s">
        <v>117</v>
      </c>
      <c r="G3569" s="1" t="s">
        <v>15136</v>
      </c>
      <c r="H3569" s="1">
        <v>15.0</v>
      </c>
      <c r="I3569" s="2" t="s">
        <v>119</v>
      </c>
      <c r="J3569" s="2" t="s">
        <v>119</v>
      </c>
      <c r="K3569" s="2" t="s">
        <v>119</v>
      </c>
      <c r="L3569" s="1"/>
      <c r="M3569" s="1">
        <v>5.0</v>
      </c>
      <c r="N3569" s="1" t="s">
        <v>47</v>
      </c>
      <c r="O3569" s="1" t="s">
        <v>2889</v>
      </c>
      <c r="P3569" s="1" t="s">
        <v>15137</v>
      </c>
      <c r="Q3569" s="3">
        <v>42914.0</v>
      </c>
      <c r="R3569" s="1"/>
      <c r="S3569" s="1"/>
      <c r="T3569" s="1" t="s">
        <v>37</v>
      </c>
      <c r="U3569" s="1"/>
      <c r="V3569" s="1" t="s">
        <v>38</v>
      </c>
      <c r="W3569" s="1">
        <v>44.9809783</v>
      </c>
      <c r="X3569" s="1">
        <v>-73.0549365</v>
      </c>
      <c r="Y3569" s="1" t="s">
        <v>15138</v>
      </c>
      <c r="Z3569" s="1"/>
      <c r="AA3569" s="1" t="s">
        <v>40</v>
      </c>
      <c r="AB3569" s="1" t="s">
        <v>1115</v>
      </c>
      <c r="AC3569" s="1">
        <v>5488.0</v>
      </c>
    </row>
    <row r="3570">
      <c r="A3570" s="1" t="str">
        <f>"000YPD"</f>
        <v>000YPD</v>
      </c>
      <c r="B3570" s="1" t="s">
        <v>15139</v>
      </c>
      <c r="C3570" s="1" t="s">
        <v>15140</v>
      </c>
      <c r="D3570" s="1" t="str">
        <f>"8028969519"</f>
        <v>8028969519</v>
      </c>
      <c r="E3570" s="1">
        <v>5182.0</v>
      </c>
      <c r="F3570" s="1" t="s">
        <v>117</v>
      </c>
      <c r="G3570" s="1" t="s">
        <v>15141</v>
      </c>
      <c r="H3570" s="1">
        <v>1.0</v>
      </c>
      <c r="I3570" s="2">
        <v>0.0</v>
      </c>
      <c r="J3570" s="2">
        <v>0.0</v>
      </c>
      <c r="K3570" s="2" t="s">
        <v>119</v>
      </c>
      <c r="L3570" s="1"/>
      <c r="M3570" s="1" t="s">
        <v>15142</v>
      </c>
      <c r="N3570" s="1" t="s">
        <v>66</v>
      </c>
      <c r="O3570" s="1" t="s">
        <v>908</v>
      </c>
      <c r="P3570" s="1" t="s">
        <v>15143</v>
      </c>
      <c r="Q3570" s="3">
        <v>42914.0</v>
      </c>
      <c r="R3570" s="1"/>
      <c r="S3570" s="1"/>
      <c r="T3570" s="1" t="s">
        <v>37</v>
      </c>
      <c r="U3570" s="1"/>
      <c r="V3570" s="1" t="s">
        <v>38</v>
      </c>
      <c r="W3570" s="1">
        <v>43.0284349999999</v>
      </c>
      <c r="X3570" s="1">
        <v>-72.855476</v>
      </c>
      <c r="Y3570" s="1" t="s">
        <v>15144</v>
      </c>
      <c r="Z3570" s="1"/>
      <c r="AA3570" s="1" t="s">
        <v>40</v>
      </c>
      <c r="AB3570" s="1" t="s">
        <v>15145</v>
      </c>
      <c r="AC3570" s="1">
        <v>5360.0</v>
      </c>
    </row>
    <row r="3571">
      <c r="A3571" s="1" t="str">
        <f>"0008ZN"</f>
        <v>0008ZN</v>
      </c>
      <c r="B3571" s="1" t="s">
        <v>12074</v>
      </c>
      <c r="C3571" s="1" t="s">
        <v>12075</v>
      </c>
      <c r="D3571" s="1" t="str">
        <f>"8023659829"</f>
        <v>8023659829</v>
      </c>
      <c r="E3571" s="1">
        <v>3544.0</v>
      </c>
      <c r="F3571" s="1" t="s">
        <v>117</v>
      </c>
      <c r="G3571" s="1" t="s">
        <v>15146</v>
      </c>
      <c r="H3571" s="1">
        <v>25.0</v>
      </c>
      <c r="I3571" s="2">
        <v>0.0</v>
      </c>
      <c r="J3571" s="2">
        <v>0.0</v>
      </c>
      <c r="K3571" s="2" t="s">
        <v>119</v>
      </c>
      <c r="L3571" s="1"/>
      <c r="M3571" s="1" t="s">
        <v>15147</v>
      </c>
      <c r="N3571" s="1" t="s">
        <v>66</v>
      </c>
      <c r="O3571" s="1" t="s">
        <v>751</v>
      </c>
      <c r="P3571" s="1" t="s">
        <v>15148</v>
      </c>
      <c r="Q3571" s="3">
        <v>42914.0</v>
      </c>
      <c r="R3571" s="1"/>
      <c r="S3571" s="1"/>
      <c r="T3571" s="1" t="s">
        <v>37</v>
      </c>
      <c r="U3571" s="1"/>
      <c r="V3571" s="1" t="s">
        <v>38</v>
      </c>
      <c r="W3571" s="1">
        <v>43.075985</v>
      </c>
      <c r="X3571" s="1">
        <v>-72.7384189</v>
      </c>
      <c r="Y3571" s="1" t="s">
        <v>15149</v>
      </c>
      <c r="Z3571" s="1"/>
      <c r="AA3571" s="1" t="s">
        <v>40</v>
      </c>
      <c r="AB3571" s="1" t="s">
        <v>754</v>
      </c>
      <c r="AC3571" s="1">
        <v>5343.0</v>
      </c>
    </row>
    <row r="3572">
      <c r="A3572" s="1" t="str">
        <f>"000YPF"</f>
        <v>000YPF</v>
      </c>
      <c r="B3572" s="1" t="s">
        <v>15150</v>
      </c>
      <c r="C3572" s="1" t="s">
        <v>15151</v>
      </c>
      <c r="D3572" s="1" t="str">
        <f>"8022577994"</f>
        <v>8022577994</v>
      </c>
      <c r="E3572" s="1">
        <v>5183.0</v>
      </c>
      <c r="F3572" s="1" t="s">
        <v>117</v>
      </c>
      <c r="G3572" s="1" t="s">
        <v>15152</v>
      </c>
      <c r="H3572" s="1">
        <v>4.0</v>
      </c>
      <c r="I3572" s="2" t="s">
        <v>119</v>
      </c>
      <c r="J3572" s="2" t="s">
        <v>119</v>
      </c>
      <c r="K3572" s="2" t="s">
        <v>119</v>
      </c>
      <c r="L3572" s="1"/>
      <c r="M3572" s="1" t="s">
        <v>15153</v>
      </c>
      <c r="N3572" s="1" t="s">
        <v>66</v>
      </c>
      <c r="O3572" s="1" t="s">
        <v>1877</v>
      </c>
      <c r="P3572" s="1" t="s">
        <v>15154</v>
      </c>
      <c r="Q3572" s="3">
        <v>42914.0</v>
      </c>
      <c r="R3572" s="1"/>
      <c r="S3572" s="1"/>
      <c r="T3572" s="1" t="s">
        <v>37</v>
      </c>
      <c r="U3572" s="1"/>
      <c r="V3572" s="1" t="s">
        <v>38</v>
      </c>
      <c r="W3572" s="1">
        <v>42.7664909999999</v>
      </c>
      <c r="X3572" s="1">
        <v>-72.5317709999999</v>
      </c>
      <c r="Y3572" s="1" t="s">
        <v>15155</v>
      </c>
      <c r="Z3572" s="1"/>
      <c r="AA3572" s="1" t="s">
        <v>40</v>
      </c>
      <c r="AB3572" s="1" t="s">
        <v>1878</v>
      </c>
      <c r="AC3572" s="1">
        <v>5354.0</v>
      </c>
    </row>
    <row r="3573">
      <c r="A3573" s="1" t="str">
        <f>"000YPJ"</f>
        <v>000YPJ</v>
      </c>
      <c r="B3573" s="1" t="s">
        <v>15156</v>
      </c>
      <c r="C3573" s="1" t="s">
        <v>15157</v>
      </c>
      <c r="D3573" s="1" t="str">
        <f>"8023734856"</f>
        <v>8023734856</v>
      </c>
      <c r="E3573" s="1">
        <v>5184.0</v>
      </c>
      <c r="F3573" s="1" t="s">
        <v>117</v>
      </c>
      <c r="G3573" s="1" t="s">
        <v>15158</v>
      </c>
      <c r="H3573" s="1">
        <v>2.0</v>
      </c>
      <c r="I3573" s="2" t="s">
        <v>119</v>
      </c>
      <c r="J3573" s="2" t="s">
        <v>119</v>
      </c>
      <c r="K3573" s="2" t="s">
        <v>119</v>
      </c>
      <c r="L3573" s="1"/>
      <c r="M3573" s="1" t="s">
        <v>15159</v>
      </c>
      <c r="N3573" s="1" t="s">
        <v>213</v>
      </c>
      <c r="O3573" s="1" t="s">
        <v>620</v>
      </c>
      <c r="P3573" s="1" t="s">
        <v>15160</v>
      </c>
      <c r="Q3573" s="3">
        <v>42915.0</v>
      </c>
      <c r="R3573" s="1"/>
      <c r="S3573" s="1"/>
      <c r="T3573" s="1" t="s">
        <v>37</v>
      </c>
      <c r="U3573" s="1"/>
      <c r="V3573" s="1" t="s">
        <v>38</v>
      </c>
      <c r="W3573" s="1">
        <v>44.644558</v>
      </c>
      <c r="X3573" s="1">
        <v>-72.8753909</v>
      </c>
      <c r="Y3573" s="1" t="s">
        <v>15161</v>
      </c>
      <c r="Z3573" s="1"/>
      <c r="AA3573" s="1" t="s">
        <v>40</v>
      </c>
      <c r="AB3573" s="1" t="s">
        <v>15162</v>
      </c>
      <c r="AC3573" s="1">
        <v>5444.0</v>
      </c>
    </row>
    <row r="3574">
      <c r="A3574" s="1" t="str">
        <f>"000YPK"</f>
        <v>000YPK</v>
      </c>
      <c r="B3574" s="1" t="s">
        <v>15163</v>
      </c>
      <c r="C3574" s="1" t="s">
        <v>15164</v>
      </c>
      <c r="D3574" s="1"/>
      <c r="E3574" s="1">
        <v>5185.0</v>
      </c>
      <c r="F3574" s="1" t="s">
        <v>117</v>
      </c>
      <c r="G3574" s="1" t="s">
        <v>15165</v>
      </c>
      <c r="H3574" s="1">
        <v>4.0</v>
      </c>
      <c r="I3574" s="2" t="s">
        <v>119</v>
      </c>
      <c r="J3574" s="2" t="s">
        <v>119</v>
      </c>
      <c r="K3574" s="2" t="s">
        <v>119</v>
      </c>
      <c r="L3574" s="1"/>
      <c r="M3574" s="1">
        <v>1.0</v>
      </c>
      <c r="N3574" s="1" t="s">
        <v>94</v>
      </c>
      <c r="O3574" s="1" t="s">
        <v>1672</v>
      </c>
      <c r="P3574" s="1" t="s">
        <v>15166</v>
      </c>
      <c r="Q3574" s="3">
        <v>42915.0</v>
      </c>
      <c r="R3574" s="1"/>
      <c r="S3574" s="1"/>
      <c r="T3574" s="1" t="s">
        <v>37</v>
      </c>
      <c r="U3574" s="1"/>
      <c r="V3574" s="1" t="s">
        <v>38</v>
      </c>
      <c r="W3574" s="1">
        <v>44.743163</v>
      </c>
      <c r="X3574" s="1">
        <v>-72.1927339999999</v>
      </c>
      <c r="Y3574" s="1" t="s">
        <v>15167</v>
      </c>
      <c r="Z3574" s="1"/>
      <c r="AA3574" s="1" t="s">
        <v>40</v>
      </c>
      <c r="AB3574" s="1" t="s">
        <v>15168</v>
      </c>
      <c r="AC3574" s="1">
        <v>5822.0</v>
      </c>
    </row>
    <row r="3575">
      <c r="A3575" s="1" t="str">
        <f>"000W2X"</f>
        <v>000W2X</v>
      </c>
      <c r="B3575" s="1" t="s">
        <v>14066</v>
      </c>
      <c r="C3575" s="1" t="s">
        <v>14067</v>
      </c>
      <c r="D3575" s="1" t="str">
        <f>"8022210357"</f>
        <v>8022210357</v>
      </c>
      <c r="E3575" s="1">
        <v>5029.0</v>
      </c>
      <c r="F3575" s="1" t="s">
        <v>117</v>
      </c>
      <c r="G3575" s="1" t="s">
        <v>15169</v>
      </c>
      <c r="H3575" s="1">
        <v>5.0</v>
      </c>
      <c r="I3575" s="2" t="s">
        <v>119</v>
      </c>
      <c r="J3575" s="2" t="s">
        <v>119</v>
      </c>
      <c r="K3575" s="2" t="s">
        <v>119</v>
      </c>
      <c r="L3575" s="1"/>
      <c r="M3575" s="1">
        <v>3.0</v>
      </c>
      <c r="N3575" s="1" t="s">
        <v>66</v>
      </c>
      <c r="O3575" s="1" t="s">
        <v>1256</v>
      </c>
      <c r="P3575" s="1" t="s">
        <v>15170</v>
      </c>
      <c r="Q3575" s="3">
        <v>42916.0</v>
      </c>
      <c r="R3575" s="1"/>
      <c r="S3575" s="1"/>
      <c r="T3575" s="1" t="s">
        <v>37</v>
      </c>
      <c r="U3575" s="1"/>
      <c r="V3575" s="1" t="s">
        <v>38</v>
      </c>
      <c r="W3575" s="1">
        <v>43.5007266</v>
      </c>
      <c r="X3575" s="1">
        <v>-72.3918707999999</v>
      </c>
      <c r="Y3575" s="1" t="s">
        <v>15171</v>
      </c>
      <c r="Z3575" s="1"/>
      <c r="AA3575" s="1" t="s">
        <v>40</v>
      </c>
      <c r="AB3575" s="1" t="s">
        <v>1257</v>
      </c>
      <c r="AC3575" s="1">
        <v>5089.0</v>
      </c>
    </row>
    <row r="3576">
      <c r="A3576" s="1" t="str">
        <f t="shared" ref="A3576:A3577" si="308">"000YPM"</f>
        <v>000YPM</v>
      </c>
      <c r="B3576" s="1" t="s">
        <v>15172</v>
      </c>
      <c r="C3576" s="1" t="s">
        <v>15173</v>
      </c>
      <c r="D3576" s="1" t="str">
        <f t="shared" ref="D3576:D3577" si="309">"8022720643"</f>
        <v>8022720643</v>
      </c>
      <c r="E3576" s="1">
        <v>5186.0</v>
      </c>
      <c r="F3576" s="1" t="s">
        <v>117</v>
      </c>
      <c r="G3576" s="1" t="s">
        <v>15174</v>
      </c>
      <c r="H3576" s="1">
        <v>4.0</v>
      </c>
      <c r="I3576" s="2">
        <v>2.0</v>
      </c>
      <c r="J3576" s="2" t="s">
        <v>119</v>
      </c>
      <c r="K3576" s="2" t="s">
        <v>119</v>
      </c>
      <c r="L3576" s="1"/>
      <c r="M3576" s="1" t="s">
        <v>15175</v>
      </c>
      <c r="N3576" s="1" t="s">
        <v>213</v>
      </c>
      <c r="O3576" s="1" t="s">
        <v>365</v>
      </c>
      <c r="P3576" s="1" t="s">
        <v>14708</v>
      </c>
      <c r="Q3576" s="3">
        <v>42916.0</v>
      </c>
      <c r="R3576" s="1"/>
      <c r="S3576" s="1"/>
      <c r="T3576" s="1" t="s">
        <v>37</v>
      </c>
      <c r="U3576" s="1"/>
      <c r="V3576" s="1" t="s">
        <v>38</v>
      </c>
      <c r="W3576" s="1">
        <v>44.4844</v>
      </c>
      <c r="X3576" s="1">
        <v>-72.6747669999999</v>
      </c>
      <c r="Y3576" s="1" t="s">
        <v>15176</v>
      </c>
      <c r="Z3576" s="1"/>
      <c r="AA3576" s="1" t="s">
        <v>40</v>
      </c>
      <c r="AB3576" s="1" t="s">
        <v>10075</v>
      </c>
      <c r="AC3576" s="1">
        <v>5672.0</v>
      </c>
    </row>
    <row r="3577">
      <c r="A3577" s="1" t="str">
        <f t="shared" si="308"/>
        <v>000YPM</v>
      </c>
      <c r="B3577" s="1" t="s">
        <v>15172</v>
      </c>
      <c r="C3577" s="1" t="s">
        <v>15173</v>
      </c>
      <c r="D3577" s="1" t="str">
        <f t="shared" si="309"/>
        <v>8022720643</v>
      </c>
      <c r="E3577" s="1">
        <v>5186.0</v>
      </c>
      <c r="F3577" s="1" t="s">
        <v>117</v>
      </c>
      <c r="G3577" s="1" t="s">
        <v>15177</v>
      </c>
      <c r="H3577" s="1">
        <v>2.0</v>
      </c>
      <c r="I3577" s="2" t="s">
        <v>119</v>
      </c>
      <c r="J3577" s="2" t="s">
        <v>119</v>
      </c>
      <c r="K3577" s="2" t="s">
        <v>119</v>
      </c>
      <c r="L3577" s="1"/>
      <c r="M3577" s="1">
        <v>2.0</v>
      </c>
      <c r="N3577" s="1" t="s">
        <v>213</v>
      </c>
      <c r="O3577" s="1" t="s">
        <v>365</v>
      </c>
      <c r="P3577" s="1" t="s">
        <v>2083</v>
      </c>
      <c r="Q3577" s="3">
        <v>42916.0</v>
      </c>
      <c r="R3577" s="1"/>
      <c r="S3577" s="1"/>
      <c r="T3577" s="1" t="s">
        <v>37</v>
      </c>
      <c r="U3577" s="1"/>
      <c r="V3577" s="1" t="s">
        <v>38</v>
      </c>
      <c r="W3577" s="1">
        <v>44.4889471</v>
      </c>
      <c r="X3577" s="1">
        <v>-72.6757763</v>
      </c>
      <c r="Y3577" s="1" t="s">
        <v>15178</v>
      </c>
      <c r="Z3577" s="1"/>
      <c r="AA3577" s="1" t="s">
        <v>40</v>
      </c>
      <c r="AB3577" s="1" t="s">
        <v>10075</v>
      </c>
      <c r="AC3577" s="1">
        <v>5672.0</v>
      </c>
    </row>
    <row r="3578">
      <c r="A3578" s="1" t="str">
        <f>"000YPN"</f>
        <v>000YPN</v>
      </c>
      <c r="B3578" s="1" t="s">
        <v>15179</v>
      </c>
      <c r="C3578" s="1" t="s">
        <v>15180</v>
      </c>
      <c r="D3578" s="1" t="str">
        <f>"8022741206"</f>
        <v>8022741206</v>
      </c>
      <c r="E3578" s="1">
        <v>5187.0</v>
      </c>
      <c r="F3578" s="1" t="s">
        <v>117</v>
      </c>
      <c r="G3578" s="1" t="s">
        <v>15181</v>
      </c>
      <c r="H3578" s="1">
        <v>1.0</v>
      </c>
      <c r="I3578" s="2" t="s">
        <v>119</v>
      </c>
      <c r="J3578" s="2">
        <v>1.0</v>
      </c>
      <c r="K3578" s="2" t="s">
        <v>119</v>
      </c>
      <c r="L3578" s="2" t="s">
        <v>15182</v>
      </c>
      <c r="M3578" s="1">
        <v>1.0</v>
      </c>
      <c r="N3578" s="1" t="s">
        <v>94</v>
      </c>
      <c r="O3578" s="1" t="s">
        <v>489</v>
      </c>
      <c r="P3578" s="1" t="s">
        <v>15183</v>
      </c>
      <c r="Q3578" s="3">
        <v>42916.0</v>
      </c>
      <c r="R3578" s="1"/>
      <c r="S3578" s="1"/>
      <c r="T3578" s="1" t="s">
        <v>37</v>
      </c>
      <c r="U3578" s="1"/>
      <c r="V3578" s="1" t="s">
        <v>38</v>
      </c>
      <c r="W3578" s="1">
        <v>44.957969</v>
      </c>
      <c r="X3578" s="1">
        <v>-72.359678</v>
      </c>
      <c r="Y3578" s="1" t="s">
        <v>15184</v>
      </c>
      <c r="Z3578" s="1"/>
      <c r="AA3578" s="1" t="s">
        <v>40</v>
      </c>
      <c r="AB3578" s="1" t="s">
        <v>8012</v>
      </c>
      <c r="AC3578" s="1">
        <v>5859.0</v>
      </c>
    </row>
    <row r="3579">
      <c r="A3579" s="1" t="str">
        <f>"0007VM"</f>
        <v>0007VM</v>
      </c>
      <c r="B3579" s="1" t="s">
        <v>3749</v>
      </c>
      <c r="C3579" s="1" t="s">
        <v>3750</v>
      </c>
      <c r="D3579" s="1" t="str">
        <f>"8022447460"</f>
        <v>8022447460</v>
      </c>
      <c r="E3579" s="1">
        <v>1169.0</v>
      </c>
      <c r="F3579" s="1" t="s">
        <v>117</v>
      </c>
      <c r="G3579" s="1" t="s">
        <v>15185</v>
      </c>
      <c r="H3579" s="1">
        <v>2.0</v>
      </c>
      <c r="I3579" s="2" t="s">
        <v>119</v>
      </c>
      <c r="J3579" s="2" t="s">
        <v>119</v>
      </c>
      <c r="K3579" s="2" t="s">
        <v>119</v>
      </c>
      <c r="L3579" s="1"/>
      <c r="M3579" s="1" t="s">
        <v>15186</v>
      </c>
      <c r="N3579" s="1" t="s">
        <v>135</v>
      </c>
      <c r="O3579" s="1" t="s">
        <v>440</v>
      </c>
      <c r="P3579" s="1" t="s">
        <v>15187</v>
      </c>
      <c r="Q3579" s="3">
        <v>42919.0</v>
      </c>
      <c r="R3579" s="1"/>
      <c r="S3579" s="1"/>
      <c r="T3579" s="1" t="s">
        <v>37</v>
      </c>
      <c r="U3579" s="1"/>
      <c r="V3579" s="1" t="s">
        <v>38</v>
      </c>
      <c r="W3579" s="1"/>
      <c r="X3579" s="1"/>
      <c r="Y3579" s="1" t="s">
        <v>15188</v>
      </c>
      <c r="Z3579" s="1"/>
      <c r="AA3579" s="1" t="s">
        <v>40</v>
      </c>
      <c r="AB3579" s="1" t="s">
        <v>441</v>
      </c>
      <c r="AC3579" s="1">
        <v>5673.0</v>
      </c>
    </row>
    <row r="3580">
      <c r="A3580" s="1" t="str">
        <f>"0008B1"</f>
        <v>0008B1</v>
      </c>
      <c r="B3580" s="1" t="s">
        <v>5895</v>
      </c>
      <c r="C3580" s="1" t="s">
        <v>5896</v>
      </c>
      <c r="D3580" s="1" t="str">
        <f>"8023701148"</f>
        <v>8023701148</v>
      </c>
      <c r="E3580" s="1">
        <v>3734.0</v>
      </c>
      <c r="F3580" s="1" t="s">
        <v>117</v>
      </c>
      <c r="G3580" s="1" t="s">
        <v>15189</v>
      </c>
      <c r="H3580" s="1">
        <v>1.0</v>
      </c>
      <c r="I3580" s="2" t="s">
        <v>119</v>
      </c>
      <c r="J3580" s="2" t="s">
        <v>119</v>
      </c>
      <c r="K3580" s="2" t="s">
        <v>119</v>
      </c>
      <c r="L3580" s="1"/>
      <c r="M3580" s="1" t="s">
        <v>15190</v>
      </c>
      <c r="N3580" s="1" t="s">
        <v>161</v>
      </c>
      <c r="O3580" s="1" t="s">
        <v>769</v>
      </c>
      <c r="P3580" s="1" t="s">
        <v>15191</v>
      </c>
      <c r="Q3580" s="3">
        <v>42919.0</v>
      </c>
      <c r="R3580" s="1"/>
      <c r="S3580" s="1"/>
      <c r="T3580" s="1" t="s">
        <v>37</v>
      </c>
      <c r="U3580" s="1"/>
      <c r="V3580" s="1" t="s">
        <v>38</v>
      </c>
      <c r="W3580" s="1"/>
      <c r="X3580" s="1"/>
      <c r="Y3580" s="1" t="s">
        <v>15192</v>
      </c>
      <c r="Z3580" s="1"/>
      <c r="AA3580" s="1" t="s">
        <v>40</v>
      </c>
      <c r="AB3580" s="1" t="s">
        <v>6661</v>
      </c>
      <c r="AC3580" s="1">
        <v>5456.0</v>
      </c>
    </row>
    <row r="3581">
      <c r="A3581" s="1" t="str">
        <f>"0008B2"</f>
        <v>0008B2</v>
      </c>
      <c r="B3581" s="1" t="s">
        <v>2013</v>
      </c>
      <c r="C3581" s="1" t="s">
        <v>2014</v>
      </c>
      <c r="D3581" s="1" t="str">
        <f>"8027963015"</f>
        <v>8027963015</v>
      </c>
      <c r="E3581" s="1">
        <v>3846.0</v>
      </c>
      <c r="F3581" s="1" t="s">
        <v>117</v>
      </c>
      <c r="G3581" s="1" t="s">
        <v>15193</v>
      </c>
      <c r="H3581" s="1">
        <v>6.0</v>
      </c>
      <c r="I3581" s="2" t="s">
        <v>119</v>
      </c>
      <c r="J3581" s="2">
        <v>7.0</v>
      </c>
      <c r="K3581" s="2" t="s">
        <v>119</v>
      </c>
      <c r="L3581" s="2" t="s">
        <v>8697</v>
      </c>
      <c r="M3581" s="1" t="s">
        <v>15194</v>
      </c>
      <c r="N3581" s="1" t="s">
        <v>107</v>
      </c>
      <c r="O3581" s="1" t="s">
        <v>2665</v>
      </c>
      <c r="P3581" s="1" t="s">
        <v>15195</v>
      </c>
      <c r="Q3581" s="3">
        <v>42921.0</v>
      </c>
      <c r="R3581" s="1"/>
      <c r="S3581" s="1"/>
      <c r="T3581" s="1" t="s">
        <v>37</v>
      </c>
      <c r="U3581" s="1"/>
      <c r="V3581" s="1" t="s">
        <v>38</v>
      </c>
      <c r="W3581" s="1"/>
      <c r="X3581" s="1"/>
      <c r="Y3581" s="1" t="s">
        <v>15196</v>
      </c>
      <c r="Z3581" s="1"/>
      <c r="AA3581" s="1" t="s">
        <v>40</v>
      </c>
      <c r="AB3581" s="1" t="s">
        <v>2019</v>
      </c>
      <c r="AC3581" s="1">
        <v>5440.0</v>
      </c>
    </row>
    <row r="3582">
      <c r="A3582" s="1" t="str">
        <f t="shared" ref="A3582:A3583" si="310">"000VVN"</f>
        <v>000VVN</v>
      </c>
      <c r="B3582" s="1" t="s">
        <v>13691</v>
      </c>
      <c r="C3582" s="1" t="s">
        <v>13692</v>
      </c>
      <c r="D3582" s="1" t="str">
        <f t="shared" ref="D3582:D3583" si="311">"8023564322"</f>
        <v>8023564322</v>
      </c>
      <c r="E3582" s="1">
        <v>4973.0</v>
      </c>
      <c r="F3582" s="1" t="s">
        <v>117</v>
      </c>
      <c r="G3582" s="1" t="s">
        <v>15197</v>
      </c>
      <c r="H3582" s="1">
        <v>6.0</v>
      </c>
      <c r="I3582" s="2" t="s">
        <v>119</v>
      </c>
      <c r="J3582" s="2" t="s">
        <v>119</v>
      </c>
      <c r="K3582" s="2" t="s">
        <v>119</v>
      </c>
      <c r="L3582" s="1"/>
      <c r="M3582" s="1" t="s">
        <v>15198</v>
      </c>
      <c r="N3582" s="1" t="s">
        <v>34</v>
      </c>
      <c r="O3582" s="1" t="s">
        <v>1085</v>
      </c>
      <c r="P3582" s="1" t="s">
        <v>14570</v>
      </c>
      <c r="Q3582" s="3">
        <v>42921.0</v>
      </c>
      <c r="R3582" s="1"/>
      <c r="S3582" s="1"/>
      <c r="T3582" s="1" t="s">
        <v>37</v>
      </c>
      <c r="U3582" s="1"/>
      <c r="V3582" s="1" t="s">
        <v>38</v>
      </c>
      <c r="W3582" s="1"/>
      <c r="X3582" s="1"/>
      <c r="Y3582" s="1" t="s">
        <v>2083</v>
      </c>
      <c r="Z3582" s="1"/>
      <c r="AA3582" s="1" t="s">
        <v>40</v>
      </c>
      <c r="AB3582" s="1" t="s">
        <v>1086</v>
      </c>
      <c r="AC3582" s="1">
        <v>0.0</v>
      </c>
    </row>
    <row r="3583">
      <c r="A3583" s="1" t="str">
        <f t="shared" si="310"/>
        <v>000VVN</v>
      </c>
      <c r="B3583" s="1" t="s">
        <v>13691</v>
      </c>
      <c r="C3583" s="1" t="s">
        <v>13692</v>
      </c>
      <c r="D3583" s="1" t="str">
        <f t="shared" si="311"/>
        <v>8023564322</v>
      </c>
      <c r="E3583" s="1">
        <v>4973.0</v>
      </c>
      <c r="F3583" s="1" t="s">
        <v>117</v>
      </c>
      <c r="G3583" s="1" t="s">
        <v>15199</v>
      </c>
      <c r="H3583" s="1">
        <v>6.0</v>
      </c>
      <c r="I3583" s="2" t="s">
        <v>119</v>
      </c>
      <c r="J3583" s="2" t="s">
        <v>119</v>
      </c>
      <c r="K3583" s="2" t="s">
        <v>119</v>
      </c>
      <c r="L3583" s="1"/>
      <c r="M3583" s="1" t="s">
        <v>15200</v>
      </c>
      <c r="N3583" s="1" t="s">
        <v>34</v>
      </c>
      <c r="O3583" s="1" t="s">
        <v>295</v>
      </c>
      <c r="P3583" s="1" t="s">
        <v>15201</v>
      </c>
      <c r="Q3583" s="3">
        <v>42921.0</v>
      </c>
      <c r="R3583" s="1"/>
      <c r="S3583" s="1"/>
      <c r="T3583" s="1" t="s">
        <v>37</v>
      </c>
      <c r="U3583" s="1"/>
      <c r="V3583" s="1" t="s">
        <v>38</v>
      </c>
      <c r="W3583" s="1"/>
      <c r="X3583" s="1"/>
      <c r="Y3583" s="1" t="s">
        <v>2083</v>
      </c>
      <c r="Z3583" s="1"/>
      <c r="AA3583" s="1" t="s">
        <v>40</v>
      </c>
      <c r="AB3583" s="1" t="s">
        <v>1872</v>
      </c>
      <c r="AC3583" s="1">
        <v>0.0</v>
      </c>
    </row>
    <row r="3584">
      <c r="A3584" s="1" t="str">
        <f t="shared" ref="A3584:A3585" si="312">"00098X"</f>
        <v>00098X</v>
      </c>
      <c r="B3584" s="1" t="s">
        <v>7916</v>
      </c>
      <c r="C3584" s="1" t="s">
        <v>7917</v>
      </c>
      <c r="D3584" s="1" t="str">
        <f t="shared" ref="D3584:D3585" si="313">"8024462985"</f>
        <v>8024462985</v>
      </c>
      <c r="E3584" s="1">
        <v>4078.0</v>
      </c>
      <c r="F3584" s="1" t="s">
        <v>117</v>
      </c>
      <c r="G3584" s="1" t="s">
        <v>15202</v>
      </c>
      <c r="H3584" s="1">
        <v>1.0</v>
      </c>
      <c r="I3584" s="2" t="s">
        <v>119</v>
      </c>
      <c r="J3584" s="2" t="s">
        <v>119</v>
      </c>
      <c r="K3584" s="2" t="s">
        <v>119</v>
      </c>
      <c r="L3584" s="1"/>
      <c r="M3584" s="1" t="s">
        <v>15203</v>
      </c>
      <c r="N3584" s="1" t="s">
        <v>78</v>
      </c>
      <c r="O3584" s="1" t="s">
        <v>452</v>
      </c>
      <c r="P3584" s="1" t="s">
        <v>15204</v>
      </c>
      <c r="Q3584" s="3">
        <v>42921.0</v>
      </c>
      <c r="R3584" s="1"/>
      <c r="S3584" s="1"/>
      <c r="T3584" s="1" t="s">
        <v>37</v>
      </c>
      <c r="U3584" s="1"/>
      <c r="V3584" s="1" t="s">
        <v>38</v>
      </c>
      <c r="W3584" s="1"/>
      <c r="X3584" s="1"/>
      <c r="Y3584" s="1" t="s">
        <v>15205</v>
      </c>
      <c r="Z3584" s="1"/>
      <c r="AA3584" s="1" t="s">
        <v>40</v>
      </c>
      <c r="AB3584" s="1" t="s">
        <v>78</v>
      </c>
      <c r="AC3584" s="1">
        <v>5701.0</v>
      </c>
    </row>
    <row r="3585">
      <c r="A3585" s="1" t="str">
        <f t="shared" si="312"/>
        <v>00098X</v>
      </c>
      <c r="B3585" s="1" t="s">
        <v>7916</v>
      </c>
      <c r="C3585" s="1" t="s">
        <v>7917</v>
      </c>
      <c r="D3585" s="1" t="str">
        <f t="shared" si="313"/>
        <v>8024462985</v>
      </c>
      <c r="E3585" s="1">
        <v>4078.0</v>
      </c>
      <c r="F3585" s="1" t="s">
        <v>117</v>
      </c>
      <c r="G3585" s="1" t="s">
        <v>15206</v>
      </c>
      <c r="H3585" s="1">
        <v>1.0</v>
      </c>
      <c r="I3585" s="2" t="s">
        <v>119</v>
      </c>
      <c r="J3585" s="2" t="s">
        <v>119</v>
      </c>
      <c r="K3585" s="2" t="s">
        <v>119</v>
      </c>
      <c r="L3585" s="1"/>
      <c r="M3585" s="1" t="s">
        <v>15207</v>
      </c>
      <c r="N3585" s="1" t="s">
        <v>78</v>
      </c>
      <c r="O3585" s="1" t="s">
        <v>79</v>
      </c>
      <c r="P3585" s="1" t="s">
        <v>15208</v>
      </c>
      <c r="Q3585" s="3">
        <v>42921.0</v>
      </c>
      <c r="R3585" s="1"/>
      <c r="S3585" s="1"/>
      <c r="T3585" s="1" t="s">
        <v>37</v>
      </c>
      <c r="U3585" s="1"/>
      <c r="V3585" s="1" t="s">
        <v>38</v>
      </c>
      <c r="W3585" s="1"/>
      <c r="X3585" s="1"/>
      <c r="Y3585" s="1" t="s">
        <v>15209</v>
      </c>
      <c r="Z3585" s="1"/>
      <c r="AA3585" s="1" t="s">
        <v>40</v>
      </c>
      <c r="AB3585" s="1" t="s">
        <v>80</v>
      </c>
      <c r="AC3585" s="1">
        <v>5763.0</v>
      </c>
    </row>
    <row r="3586">
      <c r="A3586" s="1" t="str">
        <f t="shared" ref="A3586:A3588" si="314">"000AW0"</f>
        <v>000AW0</v>
      </c>
      <c r="B3586" s="1" t="s">
        <v>8215</v>
      </c>
      <c r="C3586" s="1" t="s">
        <v>8216</v>
      </c>
      <c r="D3586" s="1" t="str">
        <f t="shared" ref="D3586:D3588" si="315">"8024222814"</f>
        <v>8024222814</v>
      </c>
      <c r="E3586" s="1">
        <v>4202.0</v>
      </c>
      <c r="F3586" s="1" t="s">
        <v>117</v>
      </c>
      <c r="G3586" s="1" t="s">
        <v>15210</v>
      </c>
      <c r="H3586" s="1">
        <v>3.0</v>
      </c>
      <c r="I3586" s="2">
        <v>0.0</v>
      </c>
      <c r="J3586" s="2">
        <v>0.0</v>
      </c>
      <c r="K3586" s="2" t="s">
        <v>119</v>
      </c>
      <c r="L3586" s="2" t="s">
        <v>15211</v>
      </c>
      <c r="M3586" s="1" t="s">
        <v>15212</v>
      </c>
      <c r="N3586" s="1" t="s">
        <v>49</v>
      </c>
      <c r="O3586" s="1"/>
      <c r="P3586" s="1" t="s">
        <v>15213</v>
      </c>
      <c r="Q3586" s="3">
        <v>42921.0</v>
      </c>
      <c r="R3586" s="1"/>
      <c r="S3586" s="1"/>
      <c r="T3586" s="1" t="s">
        <v>37</v>
      </c>
      <c r="U3586" s="1"/>
      <c r="V3586" s="1" t="s">
        <v>38</v>
      </c>
      <c r="W3586" s="1"/>
      <c r="X3586" s="1"/>
      <c r="Y3586" s="1" t="s">
        <v>15214</v>
      </c>
      <c r="Z3586" s="1"/>
      <c r="AA3586" s="1" t="s">
        <v>40</v>
      </c>
      <c r="AB3586" s="1" t="s">
        <v>1471</v>
      </c>
      <c r="AC3586" s="1">
        <v>5772.0</v>
      </c>
    </row>
    <row r="3587">
      <c r="A3587" s="1" t="str">
        <f t="shared" si="314"/>
        <v>000AW0</v>
      </c>
      <c r="B3587" s="1" t="s">
        <v>8215</v>
      </c>
      <c r="C3587" s="1" t="s">
        <v>8216</v>
      </c>
      <c r="D3587" s="1" t="str">
        <f t="shared" si="315"/>
        <v>8024222814</v>
      </c>
      <c r="E3587" s="1">
        <v>4202.0</v>
      </c>
      <c r="F3587" s="1" t="s">
        <v>117</v>
      </c>
      <c r="G3587" s="1" t="s">
        <v>15215</v>
      </c>
      <c r="H3587" s="1">
        <v>3.0</v>
      </c>
      <c r="I3587" s="2">
        <v>0.0</v>
      </c>
      <c r="J3587" s="2">
        <v>0.0</v>
      </c>
      <c r="K3587" s="2" t="s">
        <v>119</v>
      </c>
      <c r="L3587" s="2" t="s">
        <v>15216</v>
      </c>
      <c r="M3587" s="1" t="s">
        <v>15217</v>
      </c>
      <c r="N3587" s="1" t="s">
        <v>49</v>
      </c>
      <c r="O3587" s="1"/>
      <c r="P3587" s="1" t="s">
        <v>15218</v>
      </c>
      <c r="Q3587" s="3">
        <v>42921.0</v>
      </c>
      <c r="R3587" s="1"/>
      <c r="S3587" s="1"/>
      <c r="T3587" s="1" t="s">
        <v>37</v>
      </c>
      <c r="U3587" s="1"/>
      <c r="V3587" s="1" t="s">
        <v>38</v>
      </c>
      <c r="W3587" s="1"/>
      <c r="X3587" s="1"/>
      <c r="Y3587" s="1" t="s">
        <v>15219</v>
      </c>
      <c r="Z3587" s="1"/>
      <c r="AA3587" s="1" t="s">
        <v>40</v>
      </c>
      <c r="AB3587" s="1" t="s">
        <v>151</v>
      </c>
      <c r="AC3587" s="1">
        <v>5032.0</v>
      </c>
    </row>
    <row r="3588">
      <c r="A3588" s="1" t="str">
        <f t="shared" si="314"/>
        <v>000AW0</v>
      </c>
      <c r="B3588" s="1" t="s">
        <v>8215</v>
      </c>
      <c r="C3588" s="1" t="s">
        <v>8216</v>
      </c>
      <c r="D3588" s="1" t="str">
        <f t="shared" si="315"/>
        <v>8024222814</v>
      </c>
      <c r="E3588" s="1">
        <v>4202.0</v>
      </c>
      <c r="F3588" s="1" t="s">
        <v>117</v>
      </c>
      <c r="G3588" s="1" t="s">
        <v>15220</v>
      </c>
      <c r="H3588" s="1">
        <v>1.0</v>
      </c>
      <c r="I3588" s="2">
        <v>0.0</v>
      </c>
      <c r="J3588" s="2">
        <v>0.0</v>
      </c>
      <c r="K3588" s="2" t="s">
        <v>119</v>
      </c>
      <c r="L3588" s="2" t="s">
        <v>15216</v>
      </c>
      <c r="M3588" s="1" t="s">
        <v>15221</v>
      </c>
      <c r="N3588" s="1" t="s">
        <v>78</v>
      </c>
      <c r="O3588" s="1" t="s">
        <v>8219</v>
      </c>
      <c r="P3588" s="1" t="s">
        <v>15222</v>
      </c>
      <c r="Q3588" s="3">
        <v>42921.0</v>
      </c>
      <c r="R3588" s="1"/>
      <c r="S3588" s="1"/>
      <c r="T3588" s="1" t="s">
        <v>37</v>
      </c>
      <c r="U3588" s="1"/>
      <c r="V3588" s="1" t="s">
        <v>38</v>
      </c>
      <c r="W3588" s="1"/>
      <c r="X3588" s="1"/>
      <c r="Y3588" s="1" t="s">
        <v>15223</v>
      </c>
      <c r="Z3588" s="1"/>
      <c r="AA3588" s="1" t="s">
        <v>40</v>
      </c>
      <c r="AB3588" s="1" t="s">
        <v>8222</v>
      </c>
      <c r="AC3588" s="1">
        <v>5751.0</v>
      </c>
    </row>
    <row r="3589">
      <c r="A3589" s="1" t="str">
        <f>"000YPY"</f>
        <v>000YPY</v>
      </c>
      <c r="B3589" s="1" t="s">
        <v>15224</v>
      </c>
      <c r="C3589" s="1" t="s">
        <v>15225</v>
      </c>
      <c r="D3589" s="1" t="str">
        <f>"8024573889"</f>
        <v>8024573889</v>
      </c>
      <c r="E3589" s="1">
        <v>5188.0</v>
      </c>
      <c r="F3589" s="1" t="s">
        <v>117</v>
      </c>
      <c r="G3589" s="1" t="s">
        <v>15226</v>
      </c>
      <c r="H3589" s="1">
        <v>2.0</v>
      </c>
      <c r="I3589" s="2" t="s">
        <v>119</v>
      </c>
      <c r="J3589" s="2" t="s">
        <v>119</v>
      </c>
      <c r="K3589" s="2" t="s">
        <v>119</v>
      </c>
      <c r="L3589" s="1"/>
      <c r="M3589" s="1" t="s">
        <v>15227</v>
      </c>
      <c r="N3589" s="1" t="s">
        <v>34</v>
      </c>
      <c r="O3589" s="1" t="s">
        <v>324</v>
      </c>
      <c r="P3589" s="1" t="s">
        <v>15228</v>
      </c>
      <c r="Q3589" s="3">
        <v>42922.0</v>
      </c>
      <c r="R3589" s="1"/>
      <c r="S3589" s="3">
        <v>42936.0</v>
      </c>
      <c r="T3589" s="1" t="s">
        <v>37</v>
      </c>
      <c r="U3589" s="1"/>
      <c r="V3589" s="1" t="s">
        <v>38</v>
      </c>
      <c r="W3589" s="1"/>
      <c r="X3589" s="1"/>
      <c r="Y3589" s="1" t="s">
        <v>15229</v>
      </c>
      <c r="Z3589" s="1"/>
      <c r="AA3589" s="1" t="s">
        <v>40</v>
      </c>
      <c r="AB3589" s="1" t="s">
        <v>326</v>
      </c>
      <c r="AC3589" s="1">
        <v>5091.0</v>
      </c>
    </row>
    <row r="3590">
      <c r="A3590" s="1" t="str">
        <f>"000YQ1"</f>
        <v>000YQ1</v>
      </c>
      <c r="B3590" s="1" t="s">
        <v>15230</v>
      </c>
      <c r="C3590" s="1" t="s">
        <v>15231</v>
      </c>
      <c r="D3590" s="1" t="str">
        <f>"8022856623"</f>
        <v>8022856623</v>
      </c>
      <c r="E3590" s="1">
        <v>5189.0</v>
      </c>
      <c r="F3590" s="1" t="s">
        <v>117</v>
      </c>
      <c r="G3590" s="1" t="s">
        <v>15232</v>
      </c>
      <c r="H3590" s="1">
        <v>1.0</v>
      </c>
      <c r="I3590" s="2">
        <v>0.0</v>
      </c>
      <c r="J3590" s="2">
        <v>0.0</v>
      </c>
      <c r="K3590" s="2">
        <v>0.0</v>
      </c>
      <c r="L3590" s="1"/>
      <c r="M3590" s="1" t="s">
        <v>15230</v>
      </c>
      <c r="N3590" s="1" t="s">
        <v>47</v>
      </c>
      <c r="O3590" s="1" t="s">
        <v>670</v>
      </c>
      <c r="P3590" s="1" t="s">
        <v>15233</v>
      </c>
      <c r="Q3590" s="3">
        <v>42922.0</v>
      </c>
      <c r="R3590" s="1"/>
      <c r="S3590" s="1"/>
      <c r="T3590" s="1" t="s">
        <v>37</v>
      </c>
      <c r="U3590" s="1"/>
      <c r="V3590" s="1" t="s">
        <v>38</v>
      </c>
      <c r="W3590" s="1"/>
      <c r="X3590" s="1"/>
      <c r="Y3590" s="1" t="s">
        <v>15234</v>
      </c>
      <c r="Z3590" s="1"/>
      <c r="AA3590" s="1" t="s">
        <v>40</v>
      </c>
      <c r="AB3590" s="1" t="s">
        <v>671</v>
      </c>
      <c r="AC3590" s="1">
        <v>5457.0</v>
      </c>
    </row>
    <row r="3591">
      <c r="A3591" s="1" t="str">
        <f>"000YQ2"</f>
        <v>000YQ2</v>
      </c>
      <c r="B3591" s="1" t="s">
        <v>15235</v>
      </c>
      <c r="C3591" s="1" t="s">
        <v>15236</v>
      </c>
      <c r="D3591" s="1" t="str">
        <f>"8024393629"</f>
        <v>8024393629</v>
      </c>
      <c r="E3591" s="1">
        <v>5190.0</v>
      </c>
      <c r="F3591" s="1" t="s">
        <v>117</v>
      </c>
      <c r="G3591" s="1" t="s">
        <v>15237</v>
      </c>
      <c r="H3591" s="1">
        <v>1.0</v>
      </c>
      <c r="I3591" s="2" t="s">
        <v>119</v>
      </c>
      <c r="J3591" s="2" t="s">
        <v>119</v>
      </c>
      <c r="K3591" s="2" t="s">
        <v>119</v>
      </c>
      <c r="L3591" s="1"/>
      <c r="M3591" s="1" t="s">
        <v>15238</v>
      </c>
      <c r="N3591" s="1" t="s">
        <v>142</v>
      </c>
      <c r="O3591" s="1" t="s">
        <v>222</v>
      </c>
      <c r="P3591" s="1" t="s">
        <v>15239</v>
      </c>
      <c r="Q3591" s="3">
        <v>42922.0</v>
      </c>
      <c r="R3591" s="1"/>
      <c r="S3591" s="1"/>
      <c r="T3591" s="1" t="s">
        <v>37</v>
      </c>
      <c r="U3591" s="1"/>
      <c r="V3591" s="1" t="s">
        <v>38</v>
      </c>
      <c r="W3591" s="1"/>
      <c r="X3591" s="1"/>
      <c r="Y3591" s="1" t="s">
        <v>15240</v>
      </c>
      <c r="Z3591" s="1"/>
      <c r="AA3591" s="1" t="s">
        <v>40</v>
      </c>
      <c r="AB3591" s="1" t="s">
        <v>228</v>
      </c>
      <c r="AC3591" s="1">
        <v>5033.0</v>
      </c>
    </row>
    <row r="3592">
      <c r="A3592" s="1" t="str">
        <f>"000YQ3"</f>
        <v>000YQ3</v>
      </c>
      <c r="B3592" s="1" t="s">
        <v>7891</v>
      </c>
      <c r="C3592" s="1" t="s">
        <v>15241</v>
      </c>
      <c r="D3592" s="1"/>
      <c r="E3592" s="1">
        <v>5191.0</v>
      </c>
      <c r="F3592" s="1" t="s">
        <v>117</v>
      </c>
      <c r="G3592" s="1" t="s">
        <v>15242</v>
      </c>
      <c r="H3592" s="1">
        <v>4.0</v>
      </c>
      <c r="I3592" s="2" t="s">
        <v>119</v>
      </c>
      <c r="J3592" s="2" t="s">
        <v>119</v>
      </c>
      <c r="K3592" s="2" t="s">
        <v>119</v>
      </c>
      <c r="L3592" s="1"/>
      <c r="M3592" s="1" t="s">
        <v>15243</v>
      </c>
      <c r="N3592" s="1" t="s">
        <v>78</v>
      </c>
      <c r="O3592" s="1" t="s">
        <v>2574</v>
      </c>
      <c r="P3592" s="1" t="s">
        <v>15244</v>
      </c>
      <c r="Q3592" s="3">
        <v>42922.0</v>
      </c>
      <c r="R3592" s="1"/>
      <c r="S3592" s="1"/>
      <c r="T3592" s="1" t="s">
        <v>37</v>
      </c>
      <c r="U3592" s="1"/>
      <c r="V3592" s="1" t="s">
        <v>38</v>
      </c>
      <c r="W3592" s="1"/>
      <c r="X3592" s="1"/>
      <c r="Y3592" s="1" t="s">
        <v>15245</v>
      </c>
      <c r="Z3592" s="1"/>
      <c r="AA3592" s="1" t="s">
        <v>40</v>
      </c>
      <c r="AB3592" s="1" t="s">
        <v>2575</v>
      </c>
      <c r="AC3592" s="1">
        <v>5733.0</v>
      </c>
    </row>
    <row r="3593">
      <c r="A3593" s="1" t="str">
        <f>"000YQ4"</f>
        <v>000YQ4</v>
      </c>
      <c r="B3593" s="1" t="s">
        <v>15246</v>
      </c>
      <c r="C3593" s="1" t="s">
        <v>15247</v>
      </c>
      <c r="D3593" s="1" t="str">
        <f>"8024477200"</f>
        <v>8024477200</v>
      </c>
      <c r="E3593" s="1">
        <v>5192.0</v>
      </c>
      <c r="F3593" s="1" t="s">
        <v>117</v>
      </c>
      <c r="G3593" s="1" t="s">
        <v>15248</v>
      </c>
      <c r="H3593" s="1">
        <v>3.0</v>
      </c>
      <c r="I3593" s="2">
        <v>0.0</v>
      </c>
      <c r="J3593" s="2">
        <v>0.0</v>
      </c>
      <c r="K3593" s="2" t="s">
        <v>119</v>
      </c>
      <c r="L3593" s="1"/>
      <c r="M3593" s="1" t="s">
        <v>15246</v>
      </c>
      <c r="N3593" s="1" t="s">
        <v>414</v>
      </c>
      <c r="O3593" s="1" t="s">
        <v>1160</v>
      </c>
      <c r="P3593" s="1" t="s">
        <v>15249</v>
      </c>
      <c r="Q3593" s="3">
        <v>42922.0</v>
      </c>
      <c r="R3593" s="1"/>
      <c r="S3593" s="1"/>
      <c r="T3593" s="1" t="s">
        <v>37</v>
      </c>
      <c r="U3593" s="1"/>
      <c r="V3593" s="1" t="s">
        <v>38</v>
      </c>
      <c r="W3593" s="1"/>
      <c r="X3593" s="1"/>
      <c r="Y3593" s="1" t="s">
        <v>15250</v>
      </c>
      <c r="Z3593" s="1"/>
      <c r="AA3593" s="1" t="s">
        <v>40</v>
      </c>
      <c r="AB3593" s="1" t="s">
        <v>11945</v>
      </c>
      <c r="AC3593" s="1">
        <v>5257.0</v>
      </c>
    </row>
    <row r="3594">
      <c r="A3594" s="1" t="str">
        <f>"000QCZ"</f>
        <v>000QCZ</v>
      </c>
      <c r="B3594" s="1" t="s">
        <v>15251</v>
      </c>
      <c r="C3594" s="1" t="s">
        <v>15252</v>
      </c>
      <c r="D3594" s="1" t="str">
        <f>"8023497011"</f>
        <v>8023497011</v>
      </c>
      <c r="E3594" s="1">
        <v>5193.0</v>
      </c>
      <c r="F3594" s="1" t="s">
        <v>117</v>
      </c>
      <c r="G3594" s="1" t="s">
        <v>15253</v>
      </c>
      <c r="H3594" s="1">
        <v>1.0</v>
      </c>
      <c r="I3594" s="2" t="s">
        <v>119</v>
      </c>
      <c r="J3594" s="2" t="s">
        <v>119</v>
      </c>
      <c r="K3594" s="2" t="s">
        <v>119</v>
      </c>
      <c r="L3594" s="1"/>
      <c r="M3594" s="1" t="s">
        <v>15254</v>
      </c>
      <c r="N3594" s="1" t="s">
        <v>57</v>
      </c>
      <c r="O3594" s="1" t="s">
        <v>204</v>
      </c>
      <c r="P3594" s="1" t="s">
        <v>15255</v>
      </c>
      <c r="Q3594" s="3">
        <v>42922.0</v>
      </c>
      <c r="R3594" s="1"/>
      <c r="S3594" s="1"/>
      <c r="T3594" s="1" t="s">
        <v>37</v>
      </c>
      <c r="U3594" s="1"/>
      <c r="V3594" s="1" t="s">
        <v>38</v>
      </c>
      <c r="W3594" s="1"/>
      <c r="X3594" s="1"/>
      <c r="Y3594" s="1" t="s">
        <v>15256</v>
      </c>
      <c r="Z3594" s="1"/>
      <c r="AA3594" s="1" t="s">
        <v>40</v>
      </c>
      <c r="AB3594" s="1" t="s">
        <v>205</v>
      </c>
      <c r="AC3594" s="1" t="s">
        <v>14861</v>
      </c>
    </row>
    <row r="3595">
      <c r="A3595" s="1" t="str">
        <f>"0008GW"</f>
        <v>0008GW</v>
      </c>
      <c r="B3595" s="1" t="s">
        <v>7467</v>
      </c>
      <c r="C3595" s="1" t="s">
        <v>7468</v>
      </c>
      <c r="D3595" s="1" t="str">
        <f>"8027734886"</f>
        <v>8027734886</v>
      </c>
      <c r="E3595" s="1">
        <v>2725.0</v>
      </c>
      <c r="F3595" s="1" t="s">
        <v>117</v>
      </c>
      <c r="G3595" s="1" t="s">
        <v>15257</v>
      </c>
      <c r="H3595" s="1">
        <v>4.0</v>
      </c>
      <c r="I3595" s="2" t="s">
        <v>119</v>
      </c>
      <c r="J3595" s="2" t="s">
        <v>119</v>
      </c>
      <c r="K3595" s="2" t="s">
        <v>119</v>
      </c>
      <c r="L3595" s="1"/>
      <c r="M3595" s="1" t="s">
        <v>15258</v>
      </c>
      <c r="N3595" s="1" t="s">
        <v>78</v>
      </c>
      <c r="O3595" s="1" t="s">
        <v>2574</v>
      </c>
      <c r="P3595" s="1" t="s">
        <v>15259</v>
      </c>
      <c r="Q3595" s="3">
        <v>42923.0</v>
      </c>
      <c r="R3595" s="1"/>
      <c r="S3595" s="1"/>
      <c r="T3595" s="1" t="s">
        <v>37</v>
      </c>
      <c r="U3595" s="1"/>
      <c r="V3595" s="1" t="s">
        <v>38</v>
      </c>
      <c r="W3595" s="1"/>
      <c r="X3595" s="1"/>
      <c r="Y3595" s="1" t="s">
        <v>15258</v>
      </c>
      <c r="Z3595" s="1"/>
      <c r="AA3595" s="1" t="s">
        <v>40</v>
      </c>
      <c r="AB3595" s="1" t="s">
        <v>2575</v>
      </c>
      <c r="AC3595" s="1">
        <v>5733.0</v>
      </c>
    </row>
    <row r="3596">
      <c r="A3596" s="1" t="str">
        <f>"000YQ5"</f>
        <v>000YQ5</v>
      </c>
      <c r="B3596" s="1" t="s">
        <v>15260</v>
      </c>
      <c r="C3596" s="1" t="s">
        <v>15261</v>
      </c>
      <c r="D3596" s="1" t="str">
        <f>"8026884751"</f>
        <v>8026884751</v>
      </c>
      <c r="E3596" s="1">
        <v>5194.0</v>
      </c>
      <c r="F3596" s="1" t="s">
        <v>117</v>
      </c>
      <c r="G3596" s="1" t="s">
        <v>15262</v>
      </c>
      <c r="H3596" s="1">
        <v>2.0</v>
      </c>
      <c r="I3596" s="2" t="s">
        <v>119</v>
      </c>
      <c r="J3596" s="2" t="s">
        <v>119</v>
      </c>
      <c r="K3596" s="2" t="s">
        <v>119</v>
      </c>
      <c r="L3596" s="1"/>
      <c r="M3596" s="1" t="s">
        <v>15263</v>
      </c>
      <c r="N3596" s="1" t="s">
        <v>414</v>
      </c>
      <c r="O3596" s="1" t="s">
        <v>720</v>
      </c>
      <c r="P3596" s="1" t="s">
        <v>15264</v>
      </c>
      <c r="Q3596" s="3">
        <v>42923.0</v>
      </c>
      <c r="R3596" s="1"/>
      <c r="S3596" s="1"/>
      <c r="T3596" s="1" t="s">
        <v>37</v>
      </c>
      <c r="U3596" s="1"/>
      <c r="V3596" s="1" t="s">
        <v>38</v>
      </c>
      <c r="W3596" s="1"/>
      <c r="X3596" s="1"/>
      <c r="Y3596" s="1" t="s">
        <v>15265</v>
      </c>
      <c r="Z3596" s="1"/>
      <c r="AA3596" s="1" t="s">
        <v>40</v>
      </c>
      <c r="AB3596" s="1" t="s">
        <v>11945</v>
      </c>
      <c r="AC3596" s="1">
        <v>5257.0</v>
      </c>
    </row>
    <row r="3597">
      <c r="A3597" s="1" t="str">
        <f>"000YQ6"</f>
        <v>000YQ6</v>
      </c>
      <c r="B3597" s="1" t="s">
        <v>15266</v>
      </c>
      <c r="C3597" s="1" t="s">
        <v>15267</v>
      </c>
      <c r="D3597" s="1" t="str">
        <f>"8028643327"</f>
        <v>8028643327</v>
      </c>
      <c r="E3597" s="1">
        <v>5195.0</v>
      </c>
      <c r="F3597" s="1" t="s">
        <v>117</v>
      </c>
      <c r="G3597" s="1" t="s">
        <v>15268</v>
      </c>
      <c r="H3597" s="1">
        <v>1.0</v>
      </c>
      <c r="I3597" s="2">
        <v>1.0</v>
      </c>
      <c r="J3597" s="2">
        <v>0.0</v>
      </c>
      <c r="K3597" s="2" t="s">
        <v>119</v>
      </c>
      <c r="L3597" s="1"/>
      <c r="M3597" s="1" t="s">
        <v>15269</v>
      </c>
      <c r="N3597" s="1" t="s">
        <v>57</v>
      </c>
      <c r="O3597" s="1" t="s">
        <v>175</v>
      </c>
      <c r="P3597" s="1" t="s">
        <v>15270</v>
      </c>
      <c r="Q3597" s="3">
        <v>42923.0</v>
      </c>
      <c r="R3597" s="1"/>
      <c r="S3597" s="1"/>
      <c r="T3597" s="1" t="s">
        <v>37</v>
      </c>
      <c r="U3597" s="1"/>
      <c r="V3597" s="1" t="s">
        <v>38</v>
      </c>
      <c r="W3597" s="1"/>
      <c r="X3597" s="1"/>
      <c r="Y3597" s="1" t="s">
        <v>15271</v>
      </c>
      <c r="Z3597" s="1"/>
      <c r="AA3597" s="1" t="s">
        <v>40</v>
      </c>
      <c r="AB3597" s="1" t="s">
        <v>176</v>
      </c>
      <c r="AC3597" s="1">
        <v>5401.0</v>
      </c>
    </row>
    <row r="3598">
      <c r="A3598" s="1" t="str">
        <f>"000YQ7"</f>
        <v>000YQ7</v>
      </c>
      <c r="B3598" s="1" t="s">
        <v>6599</v>
      </c>
      <c r="C3598" s="1" t="s">
        <v>15272</v>
      </c>
      <c r="D3598" s="1" t="str">
        <f>"8023736651"</f>
        <v>8023736651</v>
      </c>
      <c r="E3598" s="1">
        <v>5196.0</v>
      </c>
      <c r="F3598" s="1" t="s">
        <v>117</v>
      </c>
      <c r="G3598" s="1" t="s">
        <v>15273</v>
      </c>
      <c r="H3598" s="1">
        <v>1.0</v>
      </c>
      <c r="I3598" s="2">
        <v>0.0</v>
      </c>
      <c r="J3598" s="2">
        <v>0.0</v>
      </c>
      <c r="K3598" s="2" t="s">
        <v>119</v>
      </c>
      <c r="L3598" s="1"/>
      <c r="M3598" s="1" t="s">
        <v>15274</v>
      </c>
      <c r="N3598" s="1" t="s">
        <v>57</v>
      </c>
      <c r="O3598" s="1" t="s">
        <v>509</v>
      </c>
      <c r="P3598" s="1" t="s">
        <v>15275</v>
      </c>
      <c r="Q3598" s="3">
        <v>42923.0</v>
      </c>
      <c r="R3598" s="1"/>
      <c r="S3598" s="1"/>
      <c r="T3598" s="1" t="s">
        <v>37</v>
      </c>
      <c r="U3598" s="1"/>
      <c r="V3598" s="1" t="s">
        <v>38</v>
      </c>
      <c r="W3598" s="1"/>
      <c r="X3598" s="1"/>
      <c r="Y3598" s="1" t="s">
        <v>15276</v>
      </c>
      <c r="Z3598" s="1"/>
      <c r="AA3598" s="1" t="s">
        <v>40</v>
      </c>
      <c r="AB3598" s="1" t="s">
        <v>15277</v>
      </c>
      <c r="AC3598" s="1">
        <v>5452.0</v>
      </c>
    </row>
    <row r="3599">
      <c r="A3599" s="1" t="str">
        <f>"000YQ8"</f>
        <v>000YQ8</v>
      </c>
      <c r="B3599" s="1" t="s">
        <v>15278</v>
      </c>
      <c r="C3599" s="1" t="s">
        <v>15279</v>
      </c>
      <c r="D3599" s="1" t="str">
        <f>"8029859538"</f>
        <v>8029859538</v>
      </c>
      <c r="E3599" s="1">
        <v>5197.0</v>
      </c>
      <c r="F3599" s="1" t="s">
        <v>117</v>
      </c>
      <c r="G3599" s="1" t="s">
        <v>15280</v>
      </c>
      <c r="H3599" s="1">
        <v>1.0</v>
      </c>
      <c r="I3599" s="2" t="s">
        <v>119</v>
      </c>
      <c r="J3599" s="2" t="s">
        <v>119</v>
      </c>
      <c r="K3599" s="2" t="s">
        <v>829</v>
      </c>
      <c r="L3599" s="1"/>
      <c r="M3599" s="1" t="s">
        <v>15281</v>
      </c>
      <c r="N3599" s="1" t="s">
        <v>57</v>
      </c>
      <c r="O3599" s="1" t="s">
        <v>238</v>
      </c>
      <c r="P3599" s="1" t="s">
        <v>15282</v>
      </c>
      <c r="Q3599" s="3">
        <v>42923.0</v>
      </c>
      <c r="R3599" s="1"/>
      <c r="S3599" s="1"/>
      <c r="T3599" s="1" t="s">
        <v>37</v>
      </c>
      <c r="U3599" s="1"/>
      <c r="V3599" s="1" t="s">
        <v>38</v>
      </c>
      <c r="W3599" s="1"/>
      <c r="X3599" s="1"/>
      <c r="Y3599" s="1" t="s">
        <v>15283</v>
      </c>
      <c r="Z3599" s="1"/>
      <c r="AA3599" s="1" t="s">
        <v>40</v>
      </c>
      <c r="AB3599" s="1" t="s">
        <v>239</v>
      </c>
      <c r="AC3599" s="1">
        <v>5482.0</v>
      </c>
    </row>
    <row r="3600">
      <c r="A3600" s="1" t="str">
        <f>"000YQ9"</f>
        <v>000YQ9</v>
      </c>
      <c r="B3600" s="1" t="s">
        <v>15284</v>
      </c>
      <c r="C3600" s="1" t="s">
        <v>15285</v>
      </c>
      <c r="D3600" s="1" t="str">
        <f>"8024573116"</f>
        <v>8024573116</v>
      </c>
      <c r="E3600" s="1">
        <v>5198.0</v>
      </c>
      <c r="F3600" s="1" t="s">
        <v>117</v>
      </c>
      <c r="G3600" s="1" t="s">
        <v>15286</v>
      </c>
      <c r="H3600" s="1">
        <v>2.0</v>
      </c>
      <c r="I3600" s="2" t="s">
        <v>119</v>
      </c>
      <c r="J3600" s="2" t="s">
        <v>119</v>
      </c>
      <c r="K3600" s="2" t="s">
        <v>119</v>
      </c>
      <c r="L3600" s="1"/>
      <c r="M3600" s="1" t="s">
        <v>15287</v>
      </c>
      <c r="N3600" s="1" t="s">
        <v>34</v>
      </c>
      <c r="O3600" s="1" t="s">
        <v>324</v>
      </c>
      <c r="P3600" s="1" t="s">
        <v>15288</v>
      </c>
      <c r="Q3600" s="3">
        <v>42926.0</v>
      </c>
      <c r="R3600" s="1"/>
      <c r="S3600" s="1"/>
      <c r="T3600" s="1" t="s">
        <v>37</v>
      </c>
      <c r="U3600" s="1"/>
      <c r="V3600" s="1" t="s">
        <v>38</v>
      </c>
      <c r="W3600" s="1"/>
      <c r="X3600" s="1"/>
      <c r="Y3600" s="1" t="s">
        <v>15289</v>
      </c>
      <c r="Z3600" s="1"/>
      <c r="AA3600" s="1" t="s">
        <v>40</v>
      </c>
      <c r="AB3600" s="1" t="s">
        <v>326</v>
      </c>
      <c r="AC3600" s="1">
        <v>5091.0</v>
      </c>
    </row>
    <row r="3601">
      <c r="A3601" s="1" t="str">
        <f>"000YQA"</f>
        <v>000YQA</v>
      </c>
      <c r="B3601" s="1" t="s">
        <v>15290</v>
      </c>
      <c r="C3601" s="1" t="s">
        <v>15291</v>
      </c>
      <c r="D3601" s="1" t="str">
        <f>"8025035221"</f>
        <v>8025035221</v>
      </c>
      <c r="E3601" s="1">
        <v>5199.0</v>
      </c>
      <c r="F3601" s="1" t="s">
        <v>117</v>
      </c>
      <c r="G3601" s="1" t="s">
        <v>15292</v>
      </c>
      <c r="H3601" s="1">
        <v>1.0</v>
      </c>
      <c r="I3601" s="2">
        <v>0.0</v>
      </c>
      <c r="J3601" s="2">
        <v>0.0</v>
      </c>
      <c r="K3601" s="2" t="s">
        <v>119</v>
      </c>
      <c r="L3601" s="2" t="s">
        <v>15293</v>
      </c>
      <c r="M3601" s="1" t="s">
        <v>15294</v>
      </c>
      <c r="N3601" s="1" t="s">
        <v>213</v>
      </c>
      <c r="O3601" s="1" t="s">
        <v>4949</v>
      </c>
      <c r="P3601" s="1" t="s">
        <v>15295</v>
      </c>
      <c r="Q3601" s="3">
        <v>42926.0</v>
      </c>
      <c r="R3601" s="1"/>
      <c r="S3601" s="1"/>
      <c r="T3601" s="1" t="s">
        <v>37</v>
      </c>
      <c r="U3601" s="1"/>
      <c r="V3601" s="1" t="s">
        <v>38</v>
      </c>
      <c r="W3601" s="1"/>
      <c r="X3601" s="1"/>
      <c r="Y3601" s="1" t="s">
        <v>15296</v>
      </c>
      <c r="Z3601" s="1"/>
      <c r="AA3601" s="1" t="s">
        <v>40</v>
      </c>
      <c r="AB3601" s="1" t="s">
        <v>15297</v>
      </c>
      <c r="AC3601" s="1">
        <v>5653.0</v>
      </c>
    </row>
    <row r="3602">
      <c r="A3602" s="1" t="str">
        <f>"000YQP"</f>
        <v>000YQP</v>
      </c>
      <c r="B3602" s="1" t="s">
        <v>15298</v>
      </c>
      <c r="C3602" s="1" t="s">
        <v>15299</v>
      </c>
      <c r="D3602" s="1" t="str">
        <f>"8022233663"</f>
        <v>8022233663</v>
      </c>
      <c r="E3602" s="1">
        <v>5200.0</v>
      </c>
      <c r="F3602" s="1" t="s">
        <v>117</v>
      </c>
      <c r="G3602" s="1" t="s">
        <v>15300</v>
      </c>
      <c r="H3602" s="1">
        <v>2.0</v>
      </c>
      <c r="I3602" s="2" t="s">
        <v>119</v>
      </c>
      <c r="J3602" s="2" t="s">
        <v>119</v>
      </c>
      <c r="K3602" s="2" t="s">
        <v>119</v>
      </c>
      <c r="L3602" s="1"/>
      <c r="M3602" s="1" t="s">
        <v>15298</v>
      </c>
      <c r="N3602" s="1" t="s">
        <v>135</v>
      </c>
      <c r="O3602" s="1" t="s">
        <v>279</v>
      </c>
      <c r="P3602" s="1" t="s">
        <v>15301</v>
      </c>
      <c r="Q3602" s="3">
        <v>42928.0</v>
      </c>
      <c r="R3602" s="1"/>
      <c r="S3602" s="1"/>
      <c r="T3602" s="1" t="s">
        <v>37</v>
      </c>
      <c r="U3602" s="1"/>
      <c r="V3602" s="1" t="s">
        <v>38</v>
      </c>
      <c r="W3602" s="1">
        <v>44.185711</v>
      </c>
      <c r="X3602" s="1">
        <v>-72.595459</v>
      </c>
      <c r="Y3602" s="1" t="s">
        <v>15302</v>
      </c>
      <c r="Z3602" s="1"/>
      <c r="AA3602" s="1" t="s">
        <v>40</v>
      </c>
      <c r="AB3602" s="1" t="s">
        <v>281</v>
      </c>
      <c r="AC3602" s="1">
        <v>5602.0</v>
      </c>
    </row>
    <row r="3603">
      <c r="A3603" s="1" t="str">
        <f>"000KMD"</f>
        <v>000KMD</v>
      </c>
      <c r="B3603" s="1" t="s">
        <v>13355</v>
      </c>
      <c r="C3603" s="1" t="s">
        <v>13356</v>
      </c>
      <c r="D3603" s="1" t="str">
        <f>"8028642407"</f>
        <v>8028642407</v>
      </c>
      <c r="E3603" s="1">
        <v>4563.0</v>
      </c>
      <c r="F3603" s="1" t="s">
        <v>117</v>
      </c>
      <c r="G3603" s="1" t="s">
        <v>15303</v>
      </c>
      <c r="H3603" s="1">
        <v>4.0</v>
      </c>
      <c r="I3603" s="2" t="s">
        <v>119</v>
      </c>
      <c r="J3603" s="2" t="s">
        <v>119</v>
      </c>
      <c r="K3603" s="2" t="s">
        <v>119</v>
      </c>
      <c r="L3603" s="1"/>
      <c r="M3603" s="1">
        <v>2.0</v>
      </c>
      <c r="N3603" s="1" t="s">
        <v>57</v>
      </c>
      <c r="O3603" s="1" t="s">
        <v>2092</v>
      </c>
      <c r="P3603" s="1" t="s">
        <v>15304</v>
      </c>
      <c r="Q3603" s="3">
        <v>42928.0</v>
      </c>
      <c r="R3603" s="1"/>
      <c r="S3603" s="1"/>
      <c r="T3603" s="1" t="s">
        <v>37</v>
      </c>
      <c r="U3603" s="1"/>
      <c r="V3603" s="1" t="s">
        <v>38</v>
      </c>
      <c r="W3603" s="1">
        <v>44.4043802</v>
      </c>
      <c r="X3603" s="1">
        <v>-73.0904282999999</v>
      </c>
      <c r="Y3603" s="1" t="s">
        <v>15305</v>
      </c>
      <c r="Z3603" s="1"/>
      <c r="AA3603" s="1" t="s">
        <v>40</v>
      </c>
      <c r="AB3603" s="1" t="s">
        <v>2093</v>
      </c>
      <c r="AC3603" s="1">
        <v>5495.0</v>
      </c>
    </row>
    <row r="3604">
      <c r="A3604" s="1" t="str">
        <f t="shared" ref="A3604:A3605" si="316">"000W19"</f>
        <v>000W19</v>
      </c>
      <c r="B3604" s="1" t="s">
        <v>15306</v>
      </c>
      <c r="C3604" s="1" t="s">
        <v>15307</v>
      </c>
      <c r="D3604" s="1" t="str">
        <f t="shared" ref="D3604:D3605" si="317">"8028492494"</f>
        <v>8028492494</v>
      </c>
      <c r="E3604" s="1">
        <v>5015.0</v>
      </c>
      <c r="F3604" s="1" t="s">
        <v>117</v>
      </c>
      <c r="G3604" s="1" t="s">
        <v>15308</v>
      </c>
      <c r="H3604" s="1">
        <v>10.0</v>
      </c>
      <c r="I3604" s="2">
        <v>2.0</v>
      </c>
      <c r="J3604" s="2">
        <v>2.0</v>
      </c>
      <c r="K3604" s="2" t="s">
        <v>119</v>
      </c>
      <c r="L3604" s="1"/>
      <c r="M3604" s="1">
        <v>1.0</v>
      </c>
      <c r="N3604" s="1" t="s">
        <v>47</v>
      </c>
      <c r="O3604" s="1" t="s">
        <v>2319</v>
      </c>
      <c r="P3604" s="1" t="s">
        <v>15309</v>
      </c>
      <c r="Q3604" s="3">
        <v>42928.0</v>
      </c>
      <c r="R3604" s="1"/>
      <c r="S3604" s="1"/>
      <c r="T3604" s="1" t="s">
        <v>37</v>
      </c>
      <c r="U3604" s="1"/>
      <c r="V3604" s="1" t="s">
        <v>38</v>
      </c>
      <c r="W3604" s="1">
        <v>44.796745</v>
      </c>
      <c r="X3604" s="1">
        <v>-73.0854949999999</v>
      </c>
      <c r="Y3604" s="1" t="s">
        <v>15310</v>
      </c>
      <c r="Z3604" s="1"/>
      <c r="AA3604" s="1" t="s">
        <v>40</v>
      </c>
      <c r="AB3604" s="1" t="s">
        <v>47</v>
      </c>
      <c r="AC3604" s="1">
        <v>5478.0</v>
      </c>
    </row>
    <row r="3605">
      <c r="A3605" s="1" t="str">
        <f t="shared" si="316"/>
        <v>000W19</v>
      </c>
      <c r="B3605" s="1" t="s">
        <v>15306</v>
      </c>
      <c r="C3605" s="1" t="s">
        <v>15307</v>
      </c>
      <c r="D3605" s="1" t="str">
        <f t="shared" si="317"/>
        <v>8028492494</v>
      </c>
      <c r="E3605" s="1">
        <v>5015.0</v>
      </c>
      <c r="F3605" s="1" t="s">
        <v>117</v>
      </c>
      <c r="G3605" s="1" t="s">
        <v>15311</v>
      </c>
      <c r="H3605" s="1">
        <v>2.0</v>
      </c>
      <c r="I3605" s="2">
        <v>0.0</v>
      </c>
      <c r="J3605" s="2">
        <v>0.0</v>
      </c>
      <c r="K3605" s="2" t="s">
        <v>119</v>
      </c>
      <c r="L3605" s="1"/>
      <c r="M3605" s="1">
        <v>2.0</v>
      </c>
      <c r="N3605" s="1" t="s">
        <v>47</v>
      </c>
      <c r="O3605" s="1" t="s">
        <v>378</v>
      </c>
      <c r="P3605" s="1" t="s">
        <v>15312</v>
      </c>
      <c r="Q3605" s="3">
        <v>42928.0</v>
      </c>
      <c r="R3605" s="1"/>
      <c r="S3605" s="1"/>
      <c r="T3605" s="1" t="s">
        <v>37</v>
      </c>
      <c r="U3605" s="1"/>
      <c r="V3605" s="1" t="s">
        <v>38</v>
      </c>
      <c r="W3605" s="1">
        <v>44.6659103</v>
      </c>
      <c r="X3605" s="1">
        <v>-73.0097205</v>
      </c>
      <c r="Y3605" s="1" t="s">
        <v>15313</v>
      </c>
      <c r="Z3605" s="1"/>
      <c r="AA3605" s="1" t="s">
        <v>40</v>
      </c>
      <c r="AB3605" s="1" t="s">
        <v>381</v>
      </c>
      <c r="AC3605" s="1">
        <v>5454.0</v>
      </c>
    </row>
    <row r="3606">
      <c r="A3606" s="1" t="str">
        <f t="shared" ref="A3606:A3607" si="318">"000YQW"</f>
        <v>000YQW</v>
      </c>
      <c r="B3606" s="1" t="s">
        <v>15314</v>
      </c>
      <c r="C3606" s="1" t="s">
        <v>15315</v>
      </c>
      <c r="D3606" s="1" t="str">
        <f t="shared" ref="D3606:D3607" si="319">"8025571719"</f>
        <v>8025571719</v>
      </c>
      <c r="E3606" s="1">
        <v>5201.0</v>
      </c>
      <c r="F3606" s="1" t="s">
        <v>117</v>
      </c>
      <c r="G3606" s="1" t="s">
        <v>15316</v>
      </c>
      <c r="H3606" s="1">
        <v>3.0</v>
      </c>
      <c r="I3606" s="2">
        <v>0.0</v>
      </c>
      <c r="J3606" s="2">
        <v>0.0</v>
      </c>
      <c r="K3606" s="2" t="s">
        <v>119</v>
      </c>
      <c r="L3606" s="1"/>
      <c r="M3606" s="1">
        <v>1.0</v>
      </c>
      <c r="N3606" s="1" t="s">
        <v>47</v>
      </c>
      <c r="O3606" s="1" t="s">
        <v>763</v>
      </c>
      <c r="P3606" s="1" t="s">
        <v>15317</v>
      </c>
      <c r="Q3606" s="3">
        <v>42928.0</v>
      </c>
      <c r="R3606" s="1"/>
      <c r="S3606" s="1"/>
      <c r="T3606" s="1" t="s">
        <v>37</v>
      </c>
      <c r="U3606" s="1"/>
      <c r="V3606" s="1" t="s">
        <v>38</v>
      </c>
      <c r="W3606" s="1">
        <v>44.717589</v>
      </c>
      <c r="X3606" s="1">
        <v>-72.8960397999999</v>
      </c>
      <c r="Y3606" s="1" t="s">
        <v>15318</v>
      </c>
      <c r="Z3606" s="1"/>
      <c r="AA3606" s="1" t="s">
        <v>40</v>
      </c>
      <c r="AB3606" s="1" t="s">
        <v>764</v>
      </c>
      <c r="AC3606" s="1">
        <v>5464.0</v>
      </c>
    </row>
    <row r="3607">
      <c r="A3607" s="1" t="str">
        <f t="shared" si="318"/>
        <v>000YQW</v>
      </c>
      <c r="B3607" s="1" t="s">
        <v>15314</v>
      </c>
      <c r="C3607" s="1" t="s">
        <v>15315</v>
      </c>
      <c r="D3607" s="1" t="str">
        <f t="shared" si="319"/>
        <v>8025571719</v>
      </c>
      <c r="E3607" s="1">
        <v>5201.0</v>
      </c>
      <c r="F3607" s="1" t="s">
        <v>117</v>
      </c>
      <c r="G3607" s="1" t="s">
        <v>15319</v>
      </c>
      <c r="H3607" s="1">
        <v>5.0</v>
      </c>
      <c r="I3607" s="2">
        <v>3.0</v>
      </c>
      <c r="J3607" s="2">
        <v>3.0</v>
      </c>
      <c r="K3607" s="2" t="s">
        <v>119</v>
      </c>
      <c r="L3607" s="1"/>
      <c r="M3607" s="1">
        <v>2.0</v>
      </c>
      <c r="N3607" s="1" t="s">
        <v>47</v>
      </c>
      <c r="O3607" s="1" t="s">
        <v>2753</v>
      </c>
      <c r="P3607" s="1" t="s">
        <v>15320</v>
      </c>
      <c r="Q3607" s="3">
        <v>42928.0</v>
      </c>
      <c r="R3607" s="1"/>
      <c r="S3607" s="1"/>
      <c r="T3607" s="1" t="s">
        <v>37</v>
      </c>
      <c r="U3607" s="1"/>
      <c r="V3607" s="1" t="s">
        <v>38</v>
      </c>
      <c r="W3607" s="1">
        <v>44.796745</v>
      </c>
      <c r="X3607" s="1">
        <v>-73.0854949999999</v>
      </c>
      <c r="Y3607" s="1" t="s">
        <v>15321</v>
      </c>
      <c r="Z3607" s="1"/>
      <c r="AA3607" s="1" t="s">
        <v>40</v>
      </c>
      <c r="AB3607" s="1" t="s">
        <v>5776</v>
      </c>
      <c r="AC3607" s="1">
        <v>5478.0</v>
      </c>
    </row>
    <row r="3608">
      <c r="A3608" s="1" t="str">
        <f>"000YQX"</f>
        <v>000YQX</v>
      </c>
      <c r="B3608" s="1" t="s">
        <v>15322</v>
      </c>
      <c r="C3608" s="1" t="s">
        <v>15323</v>
      </c>
      <c r="D3608" s="1" t="str">
        <f>"8023431923"</f>
        <v>8023431923</v>
      </c>
      <c r="E3608" s="1">
        <v>5202.0</v>
      </c>
      <c r="F3608" s="1" t="s">
        <v>117</v>
      </c>
      <c r="G3608" s="1" t="s">
        <v>15324</v>
      </c>
      <c r="H3608" s="1">
        <v>2.0</v>
      </c>
      <c r="I3608" s="2" t="s">
        <v>119</v>
      </c>
      <c r="J3608" s="2" t="s">
        <v>119</v>
      </c>
      <c r="K3608" s="2" t="s">
        <v>119</v>
      </c>
      <c r="L3608" s="1"/>
      <c r="M3608" s="1">
        <v>1.0</v>
      </c>
      <c r="N3608" s="1" t="s">
        <v>161</v>
      </c>
      <c r="O3608" s="1" t="s">
        <v>185</v>
      </c>
      <c r="P3608" s="1" t="s">
        <v>15325</v>
      </c>
      <c r="Q3608" s="3">
        <v>42929.0</v>
      </c>
      <c r="R3608" s="1"/>
      <c r="S3608" s="1"/>
      <c r="T3608" s="1" t="s">
        <v>37</v>
      </c>
      <c r="U3608" s="1"/>
      <c r="V3608" s="1" t="s">
        <v>38</v>
      </c>
      <c r="W3608" s="1">
        <v>44.110681</v>
      </c>
      <c r="X3608" s="1">
        <v>-73.1231129999999</v>
      </c>
      <c r="Y3608" s="1" t="s">
        <v>15326</v>
      </c>
      <c r="Z3608" s="1"/>
      <c r="AA3608" s="1" t="s">
        <v>40</v>
      </c>
      <c r="AB3608" s="1" t="s">
        <v>186</v>
      </c>
      <c r="AC3608" s="1">
        <v>5472.0</v>
      </c>
    </row>
    <row r="3609">
      <c r="A3609" s="1" t="str">
        <f t="shared" ref="A3609:A3610" si="320">"0007DJ"</f>
        <v>0007DJ</v>
      </c>
      <c r="B3609" s="1" t="s">
        <v>5582</v>
      </c>
      <c r="C3609" s="1" t="s">
        <v>5583</v>
      </c>
      <c r="D3609" s="1" t="str">
        <f t="shared" ref="D3609:D3610" si="321">"8023494279"</f>
        <v>8023494279</v>
      </c>
      <c r="E3609" s="1">
        <v>2870.0</v>
      </c>
      <c r="F3609" s="1" t="s">
        <v>117</v>
      </c>
      <c r="G3609" s="1" t="s">
        <v>15327</v>
      </c>
      <c r="H3609" s="1">
        <v>5.0</v>
      </c>
      <c r="I3609" s="2">
        <v>10.0</v>
      </c>
      <c r="J3609" s="2">
        <v>8.0</v>
      </c>
      <c r="K3609" s="2">
        <v>29.0</v>
      </c>
      <c r="L3609" s="2" t="s">
        <v>15328</v>
      </c>
      <c r="M3609" s="1" t="s">
        <v>15329</v>
      </c>
      <c r="N3609" s="1" t="s">
        <v>49</v>
      </c>
      <c r="O3609" s="1"/>
      <c r="P3609" s="1" t="s">
        <v>13613</v>
      </c>
      <c r="Q3609" s="3">
        <v>42929.0</v>
      </c>
      <c r="R3609" s="1"/>
      <c r="S3609" s="1"/>
      <c r="T3609" s="1" t="s">
        <v>37</v>
      </c>
      <c r="U3609" s="1"/>
      <c r="V3609" s="1" t="s">
        <v>38</v>
      </c>
      <c r="W3609" s="1"/>
      <c r="X3609" s="1"/>
      <c r="Y3609" s="1" t="s">
        <v>2083</v>
      </c>
      <c r="Z3609" s="1"/>
      <c r="AA3609" s="1" t="s">
        <v>40</v>
      </c>
      <c r="AB3609" s="1" t="s">
        <v>6661</v>
      </c>
      <c r="AC3609" s="1">
        <v>5456.0</v>
      </c>
    </row>
    <row r="3610">
      <c r="A3610" s="1" t="str">
        <f t="shared" si="320"/>
        <v>0007DJ</v>
      </c>
      <c r="B3610" s="1" t="s">
        <v>5582</v>
      </c>
      <c r="C3610" s="1" t="s">
        <v>5583</v>
      </c>
      <c r="D3610" s="1" t="str">
        <f t="shared" si="321"/>
        <v>8023494279</v>
      </c>
      <c r="E3610" s="1">
        <v>2870.0</v>
      </c>
      <c r="F3610" s="1" t="s">
        <v>117</v>
      </c>
      <c r="G3610" s="1" t="s">
        <v>15330</v>
      </c>
      <c r="H3610" s="1">
        <v>18.0</v>
      </c>
      <c r="I3610" s="2">
        <v>12.0</v>
      </c>
      <c r="J3610" s="2">
        <v>1.0</v>
      </c>
      <c r="K3610" s="2">
        <v>11.0</v>
      </c>
      <c r="L3610" s="2" t="s">
        <v>15331</v>
      </c>
      <c r="M3610" s="1" t="s">
        <v>15329</v>
      </c>
      <c r="N3610" s="1" t="s">
        <v>49</v>
      </c>
      <c r="O3610" s="1"/>
      <c r="P3610" s="1" t="s">
        <v>13613</v>
      </c>
      <c r="Q3610" s="3">
        <v>42929.0</v>
      </c>
      <c r="R3610" s="1"/>
      <c r="S3610" s="1"/>
      <c r="T3610" s="1" t="s">
        <v>37</v>
      </c>
      <c r="U3610" s="1"/>
      <c r="V3610" s="1" t="s">
        <v>38</v>
      </c>
      <c r="W3610" s="1"/>
      <c r="X3610" s="1"/>
      <c r="Y3610" s="1" t="s">
        <v>2083</v>
      </c>
      <c r="Z3610" s="1"/>
      <c r="AA3610" s="1" t="s">
        <v>40</v>
      </c>
      <c r="AB3610" s="1" t="s">
        <v>186</v>
      </c>
      <c r="AC3610" s="1">
        <v>5472.0</v>
      </c>
    </row>
    <row r="3611">
      <c r="A3611" s="1" t="str">
        <f>"0002MQ"</f>
        <v>0002MQ</v>
      </c>
      <c r="B3611" s="1" t="s">
        <v>15332</v>
      </c>
      <c r="C3611" s="1" t="s">
        <v>15333</v>
      </c>
      <c r="D3611" s="1" t="str">
        <f>"8028620146"</f>
        <v>8028620146</v>
      </c>
      <c r="E3611" s="1">
        <v>5203.0</v>
      </c>
      <c r="F3611" s="1" t="s">
        <v>117</v>
      </c>
      <c r="G3611" s="1" t="s">
        <v>15334</v>
      </c>
      <c r="H3611" s="1">
        <v>2.0</v>
      </c>
      <c r="I3611" s="2" t="s">
        <v>119</v>
      </c>
      <c r="J3611" s="2" t="s">
        <v>119</v>
      </c>
      <c r="K3611" s="2" t="s">
        <v>119</v>
      </c>
      <c r="L3611" s="1"/>
      <c r="M3611" s="1" t="s">
        <v>15335</v>
      </c>
      <c r="N3611" s="1" t="s">
        <v>57</v>
      </c>
      <c r="O3611" s="1" t="s">
        <v>175</v>
      </c>
      <c r="P3611" s="1" t="s">
        <v>15332</v>
      </c>
      <c r="Q3611" s="3">
        <v>42929.0</v>
      </c>
      <c r="R3611" s="1"/>
      <c r="S3611" s="1"/>
      <c r="T3611" s="1" t="s">
        <v>37</v>
      </c>
      <c r="U3611" s="1"/>
      <c r="V3611" s="1" t="s">
        <v>38</v>
      </c>
      <c r="W3611" s="1">
        <v>44.4638687</v>
      </c>
      <c r="X3611" s="1">
        <v>-73.2015481999999</v>
      </c>
      <c r="Y3611" s="1" t="s">
        <v>15336</v>
      </c>
      <c r="Z3611" s="1"/>
      <c r="AA3611" s="1" t="s">
        <v>40</v>
      </c>
      <c r="AB3611" s="1" t="s">
        <v>176</v>
      </c>
      <c r="AC3611" s="1">
        <v>5401.0</v>
      </c>
    </row>
    <row r="3612">
      <c r="A3612" s="1" t="str">
        <f>"00081M"</f>
        <v>00081M</v>
      </c>
      <c r="B3612" s="1" t="s">
        <v>2327</v>
      </c>
      <c r="C3612" s="1" t="s">
        <v>2328</v>
      </c>
      <c r="D3612" s="1" t="str">
        <f>"8024967150"</f>
        <v>8024967150</v>
      </c>
      <c r="E3612" s="1">
        <v>3481.0</v>
      </c>
      <c r="F3612" s="1" t="s">
        <v>117</v>
      </c>
      <c r="G3612" s="1" t="s">
        <v>15337</v>
      </c>
      <c r="H3612" s="1">
        <v>8.0</v>
      </c>
      <c r="I3612" s="2" t="s">
        <v>119</v>
      </c>
      <c r="J3612" s="2" t="s">
        <v>119</v>
      </c>
      <c r="K3612" s="2" t="s">
        <v>119</v>
      </c>
      <c r="L3612" s="1"/>
      <c r="M3612" s="1" t="s">
        <v>15338</v>
      </c>
      <c r="N3612" s="1" t="s">
        <v>135</v>
      </c>
      <c r="O3612" s="1" t="s">
        <v>2331</v>
      </c>
      <c r="P3612" s="1" t="s">
        <v>15339</v>
      </c>
      <c r="Q3612" s="3">
        <v>42930.0</v>
      </c>
      <c r="R3612" s="1"/>
      <c r="S3612" s="1"/>
      <c r="T3612" s="1" t="s">
        <v>37</v>
      </c>
      <c r="U3612" s="1"/>
      <c r="V3612" s="1" t="s">
        <v>38</v>
      </c>
      <c r="W3612" s="1">
        <v>44.2554021</v>
      </c>
      <c r="X3612" s="1">
        <v>-72.7444762999999</v>
      </c>
      <c r="Y3612" s="1" t="s">
        <v>15340</v>
      </c>
      <c r="Z3612" s="1"/>
      <c r="AA3612" s="1" t="s">
        <v>40</v>
      </c>
      <c r="AB3612" s="1" t="s">
        <v>2332</v>
      </c>
      <c r="AC3612" s="1">
        <v>5660.0</v>
      </c>
    </row>
    <row r="3613">
      <c r="A3613" s="1" t="str">
        <f>"000YQY"</f>
        <v>000YQY</v>
      </c>
      <c r="B3613" s="1" t="s">
        <v>15341</v>
      </c>
      <c r="C3613" s="1" t="s">
        <v>15342</v>
      </c>
      <c r="D3613" s="1" t="str">
        <f>"8027935160"</f>
        <v>8027935160</v>
      </c>
      <c r="E3613" s="1">
        <v>5204.0</v>
      </c>
      <c r="F3613" s="1" t="s">
        <v>117</v>
      </c>
      <c r="G3613" s="1" t="s">
        <v>15343</v>
      </c>
      <c r="H3613" s="1">
        <v>1.0</v>
      </c>
      <c r="I3613" s="2" t="s">
        <v>119</v>
      </c>
      <c r="J3613" s="2" t="s">
        <v>119</v>
      </c>
      <c r="K3613" s="2" t="s">
        <v>119</v>
      </c>
      <c r="L3613" s="1"/>
      <c r="M3613" s="1" t="s">
        <v>15344</v>
      </c>
      <c r="N3613" s="1" t="s">
        <v>135</v>
      </c>
      <c r="O3613" s="1" t="s">
        <v>2384</v>
      </c>
      <c r="P3613" s="1" t="s">
        <v>15345</v>
      </c>
      <c r="Q3613" s="3">
        <v>42930.0</v>
      </c>
      <c r="R3613" s="1"/>
      <c r="S3613" s="1"/>
      <c r="T3613" s="1" t="s">
        <v>37</v>
      </c>
      <c r="U3613" s="1"/>
      <c r="V3613" s="1" t="s">
        <v>38</v>
      </c>
      <c r="W3613" s="1">
        <v>44.2351454</v>
      </c>
      <c r="X3613" s="1">
        <v>-72.8292912</v>
      </c>
      <c r="Y3613" s="1" t="s">
        <v>15346</v>
      </c>
      <c r="Z3613" s="1"/>
      <c r="AA3613" s="1" t="s">
        <v>40</v>
      </c>
      <c r="AB3613" s="1" t="s">
        <v>2332</v>
      </c>
      <c r="AC3613" s="1">
        <v>5660.0</v>
      </c>
    </row>
    <row r="3614">
      <c r="A3614" s="1" t="str">
        <f>"000DVZ"</f>
        <v>000DVZ</v>
      </c>
      <c r="B3614" s="1" t="s">
        <v>15347</v>
      </c>
      <c r="C3614" s="1" t="s">
        <v>15348</v>
      </c>
      <c r="D3614" s="1" t="str">
        <f>"8027637981"</f>
        <v>8027637981</v>
      </c>
      <c r="E3614" s="1">
        <v>5205.0</v>
      </c>
      <c r="F3614" s="1" t="s">
        <v>117</v>
      </c>
      <c r="G3614" s="1" t="s">
        <v>15349</v>
      </c>
      <c r="H3614" s="1">
        <v>3.0</v>
      </c>
      <c r="I3614" s="1"/>
      <c r="J3614" s="1"/>
      <c r="K3614" s="1"/>
      <c r="L3614" s="1"/>
      <c r="M3614" s="1" t="s">
        <v>15350</v>
      </c>
      <c r="N3614" s="1" t="s">
        <v>34</v>
      </c>
      <c r="O3614" s="1" t="s">
        <v>35</v>
      </c>
      <c r="P3614" s="1" t="s">
        <v>15351</v>
      </c>
      <c r="Q3614" s="3">
        <v>42930.0</v>
      </c>
      <c r="R3614" s="1"/>
      <c r="S3614" s="1"/>
      <c r="T3614" s="1" t="s">
        <v>37</v>
      </c>
      <c r="U3614" s="1"/>
      <c r="V3614" s="1" t="s">
        <v>38</v>
      </c>
      <c r="W3614" s="1">
        <v>43.8484263</v>
      </c>
      <c r="X3614" s="1">
        <v>-72.5245965</v>
      </c>
      <c r="Y3614" s="1" t="s">
        <v>13062</v>
      </c>
      <c r="Z3614" s="1"/>
      <c r="AA3614" s="1" t="s">
        <v>40</v>
      </c>
      <c r="AB3614" s="1" t="s">
        <v>41</v>
      </c>
      <c r="AC3614" s="1">
        <v>5068.0</v>
      </c>
    </row>
    <row r="3615">
      <c r="A3615" s="1" t="str">
        <f>"000YQZ"</f>
        <v>000YQZ</v>
      </c>
      <c r="B3615" s="1" t="s">
        <v>15352</v>
      </c>
      <c r="C3615" s="1" t="s">
        <v>15353</v>
      </c>
      <c r="D3615" s="1" t="str">
        <f>"8027937529"</f>
        <v>8027937529</v>
      </c>
      <c r="E3615" s="1">
        <v>5206.0</v>
      </c>
      <c r="F3615" s="1" t="s">
        <v>117</v>
      </c>
      <c r="G3615" s="1" t="s">
        <v>15354</v>
      </c>
      <c r="H3615" s="1">
        <v>1.0</v>
      </c>
      <c r="I3615" s="2" t="s">
        <v>119</v>
      </c>
      <c r="J3615" s="2" t="s">
        <v>119</v>
      </c>
      <c r="K3615" s="2" t="s">
        <v>119</v>
      </c>
      <c r="L3615" s="1"/>
      <c r="M3615" s="1" t="s">
        <v>15355</v>
      </c>
      <c r="N3615" s="1" t="s">
        <v>213</v>
      </c>
      <c r="O3615" s="1" t="s">
        <v>625</v>
      </c>
      <c r="P3615" s="1" t="s">
        <v>14684</v>
      </c>
      <c r="Q3615" s="3">
        <v>42930.0</v>
      </c>
      <c r="R3615" s="1"/>
      <c r="S3615" s="1"/>
      <c r="T3615" s="1" t="s">
        <v>37</v>
      </c>
      <c r="U3615" s="1"/>
      <c r="V3615" s="1" t="s">
        <v>38</v>
      </c>
      <c r="W3615" s="1">
        <v>43.8743638</v>
      </c>
      <c r="X3615" s="1">
        <v>-73.2398015999999</v>
      </c>
      <c r="Y3615" s="1" t="s">
        <v>15356</v>
      </c>
      <c r="Z3615" s="1"/>
      <c r="AA3615" s="1" t="s">
        <v>40</v>
      </c>
      <c r="AB3615" s="1" t="s">
        <v>3544</v>
      </c>
      <c r="AC3615" s="1">
        <v>5778.0</v>
      </c>
    </row>
    <row r="3616">
      <c r="A3616" s="1" t="str">
        <f>"000YV0"</f>
        <v>000YV0</v>
      </c>
      <c r="B3616" s="1" t="s">
        <v>15357</v>
      </c>
      <c r="C3616" s="1" t="s">
        <v>15358</v>
      </c>
      <c r="D3616" s="1" t="str">
        <f>"8026492132"</f>
        <v>8026492132</v>
      </c>
      <c r="E3616" s="1">
        <v>5207.0</v>
      </c>
      <c r="F3616" s="1" t="s">
        <v>117</v>
      </c>
      <c r="G3616" s="1" t="s">
        <v>15359</v>
      </c>
      <c r="H3616" s="1">
        <v>2.0</v>
      </c>
      <c r="I3616" s="2" t="s">
        <v>119</v>
      </c>
      <c r="J3616" s="2" t="s">
        <v>119</v>
      </c>
      <c r="K3616" s="2" t="s">
        <v>119</v>
      </c>
      <c r="L3616" s="1"/>
      <c r="M3616" s="1" t="s">
        <v>15360</v>
      </c>
      <c r="N3616" s="1" t="s">
        <v>34</v>
      </c>
      <c r="O3616" s="1" t="s">
        <v>463</v>
      </c>
      <c r="P3616" s="1" t="s">
        <v>15361</v>
      </c>
      <c r="Q3616" s="3">
        <v>42930.0</v>
      </c>
      <c r="R3616" s="1"/>
      <c r="S3616" s="1"/>
      <c r="T3616" s="1" t="s">
        <v>37</v>
      </c>
      <c r="U3616" s="1"/>
      <c r="V3616" s="1" t="s">
        <v>38</v>
      </c>
      <c r="W3616" s="1">
        <v>43.757393</v>
      </c>
      <c r="X3616" s="1">
        <v>-72.3798449999999</v>
      </c>
      <c r="Y3616" s="1" t="s">
        <v>15362</v>
      </c>
      <c r="Z3616" s="1"/>
      <c r="AA3616" s="1" t="s">
        <v>40</v>
      </c>
      <c r="AB3616" s="1" t="s">
        <v>466</v>
      </c>
      <c r="AC3616" s="1">
        <v>5055.0</v>
      </c>
    </row>
    <row r="3617">
      <c r="A3617" s="1" t="str">
        <f>"000YV1"</f>
        <v>000YV1</v>
      </c>
      <c r="B3617" s="1" t="s">
        <v>15363</v>
      </c>
      <c r="C3617" s="1" t="s">
        <v>15364</v>
      </c>
      <c r="D3617" s="1" t="str">
        <f>"8028884347"</f>
        <v>8028884347</v>
      </c>
      <c r="E3617" s="1">
        <v>5208.0</v>
      </c>
      <c r="F3617" s="1" t="s">
        <v>117</v>
      </c>
      <c r="G3617" s="1" t="s">
        <v>15365</v>
      </c>
      <c r="H3617" s="1">
        <v>2.0</v>
      </c>
      <c r="I3617" s="2" t="s">
        <v>119</v>
      </c>
      <c r="J3617" s="2" t="s">
        <v>119</v>
      </c>
      <c r="K3617" s="2" t="s">
        <v>119</v>
      </c>
      <c r="L3617" s="1"/>
      <c r="M3617" s="1">
        <v>1.0</v>
      </c>
      <c r="N3617" s="1" t="s">
        <v>213</v>
      </c>
      <c r="O3617" s="1" t="s">
        <v>625</v>
      </c>
      <c r="P3617" s="1" t="s">
        <v>15366</v>
      </c>
      <c r="Q3617" s="3">
        <v>42930.0</v>
      </c>
      <c r="R3617" s="1"/>
      <c r="S3617" s="1"/>
      <c r="T3617" s="1" t="s">
        <v>37</v>
      </c>
      <c r="U3617" s="1"/>
      <c r="V3617" s="1" t="s">
        <v>38</v>
      </c>
      <c r="W3617" s="1">
        <v>44.6391859</v>
      </c>
      <c r="X3617" s="1">
        <v>-72.5592935999999</v>
      </c>
      <c r="Y3617" s="1" t="s">
        <v>15367</v>
      </c>
      <c r="Z3617" s="1"/>
      <c r="AA3617" s="1" t="s">
        <v>40</v>
      </c>
      <c r="AB3617" s="1" t="s">
        <v>626</v>
      </c>
      <c r="AC3617" s="1">
        <v>5655.0</v>
      </c>
    </row>
    <row r="3618">
      <c r="A3618" s="1" t="str">
        <f>"000YV2"</f>
        <v>000YV2</v>
      </c>
      <c r="B3618" s="1" t="s">
        <v>15368</v>
      </c>
      <c r="C3618" s="1" t="s">
        <v>15369</v>
      </c>
      <c r="D3618" s="1" t="str">
        <f>"2035060816"</f>
        <v>2035060816</v>
      </c>
      <c r="E3618" s="1">
        <v>5209.0</v>
      </c>
      <c r="F3618" s="1" t="s">
        <v>117</v>
      </c>
      <c r="G3618" s="1" t="s">
        <v>15370</v>
      </c>
      <c r="H3618" s="1">
        <v>2.0</v>
      </c>
      <c r="I3618" s="2" t="s">
        <v>119</v>
      </c>
      <c r="J3618" s="2" t="s">
        <v>119</v>
      </c>
      <c r="K3618" s="2" t="s">
        <v>119</v>
      </c>
      <c r="L3618" s="1"/>
      <c r="M3618" s="1" t="s">
        <v>15371</v>
      </c>
      <c r="N3618" s="1" t="s">
        <v>34</v>
      </c>
      <c r="O3618" s="1" t="s">
        <v>1237</v>
      </c>
      <c r="P3618" s="1" t="s">
        <v>15372</v>
      </c>
      <c r="Q3618" s="3">
        <v>42930.0</v>
      </c>
      <c r="R3618" s="1"/>
      <c r="S3618" s="1"/>
      <c r="T3618" s="1" t="s">
        <v>37</v>
      </c>
      <c r="U3618" s="1"/>
      <c r="V3618" s="1" t="s">
        <v>38</v>
      </c>
      <c r="W3618" s="1">
        <v>43.36553</v>
      </c>
      <c r="X3618" s="1">
        <v>-72.7283219999999</v>
      </c>
      <c r="Y3618" s="1" t="s">
        <v>15373</v>
      </c>
      <c r="Z3618" s="1"/>
      <c r="AA3618" s="1" t="s">
        <v>40</v>
      </c>
      <c r="AB3618" s="1" t="s">
        <v>1238</v>
      </c>
      <c r="AC3618" s="1">
        <v>5149.0</v>
      </c>
    </row>
    <row r="3619">
      <c r="A3619" s="1" t="str">
        <f>"000YV3"</f>
        <v>000YV3</v>
      </c>
      <c r="B3619" s="1" t="s">
        <v>15374</v>
      </c>
      <c r="C3619" s="1" t="s">
        <v>15375</v>
      </c>
      <c r="D3619" s="1" t="str">
        <f>"8023633044"</f>
        <v>8023633044</v>
      </c>
      <c r="E3619" s="1">
        <v>5210.0</v>
      </c>
      <c r="F3619" s="1" t="s">
        <v>117</v>
      </c>
      <c r="G3619" s="1" t="s">
        <v>15376</v>
      </c>
      <c r="H3619" s="1">
        <v>2.0</v>
      </c>
      <c r="I3619" s="2" t="s">
        <v>119</v>
      </c>
      <c r="J3619" s="2" t="s">
        <v>119</v>
      </c>
      <c r="K3619" s="2" t="s">
        <v>119</v>
      </c>
      <c r="L3619" s="1"/>
      <c r="M3619" s="1">
        <v>1.0</v>
      </c>
      <c r="N3619" s="1" t="s">
        <v>57</v>
      </c>
      <c r="O3619" s="1" t="s">
        <v>238</v>
      </c>
      <c r="P3619" s="1" t="s">
        <v>15377</v>
      </c>
      <c r="Q3619" s="3">
        <v>42930.0</v>
      </c>
      <c r="R3619" s="1"/>
      <c r="S3619" s="1"/>
      <c r="T3619" s="1" t="s">
        <v>37</v>
      </c>
      <c r="U3619" s="1"/>
      <c r="V3619" s="1" t="s">
        <v>38</v>
      </c>
      <c r="W3619" s="1">
        <v>44.382072</v>
      </c>
      <c r="X3619" s="1">
        <v>-73.13887</v>
      </c>
      <c r="Y3619" s="1" t="s">
        <v>15378</v>
      </c>
      <c r="Z3619" s="1"/>
      <c r="AA3619" s="1" t="s">
        <v>40</v>
      </c>
      <c r="AB3619" s="1" t="s">
        <v>239</v>
      </c>
      <c r="AC3619" s="1">
        <v>5482.0</v>
      </c>
    </row>
    <row r="3620">
      <c r="A3620" s="1" t="str">
        <f>"000JWZ"</f>
        <v>000JWZ</v>
      </c>
      <c r="B3620" s="1" t="s">
        <v>15379</v>
      </c>
      <c r="C3620" s="1" t="s">
        <v>15380</v>
      </c>
      <c r="D3620" s="1" t="str">
        <f>"8024765774"</f>
        <v>8024765774</v>
      </c>
      <c r="E3620" s="1">
        <v>4478.0</v>
      </c>
      <c r="F3620" s="1" t="s">
        <v>117</v>
      </c>
      <c r="G3620" s="1" t="s">
        <v>15381</v>
      </c>
      <c r="H3620" s="1">
        <v>1.0</v>
      </c>
      <c r="I3620" s="2" t="s">
        <v>119</v>
      </c>
      <c r="J3620" s="2" t="s">
        <v>119</v>
      </c>
      <c r="K3620" s="2" t="s">
        <v>119</v>
      </c>
      <c r="L3620" s="1"/>
      <c r="M3620" s="1">
        <v>1.0</v>
      </c>
      <c r="N3620" s="1" t="s">
        <v>142</v>
      </c>
      <c r="O3620" s="1" t="s">
        <v>2376</v>
      </c>
      <c r="P3620" s="1" t="s">
        <v>15382</v>
      </c>
      <c r="Q3620" s="3">
        <v>42930.0</v>
      </c>
      <c r="R3620" s="1"/>
      <c r="S3620" s="1"/>
      <c r="T3620" s="1" t="s">
        <v>37</v>
      </c>
      <c r="U3620" s="1"/>
      <c r="V3620" s="1" t="s">
        <v>38</v>
      </c>
      <c r="W3620" s="1">
        <v>44.131191</v>
      </c>
      <c r="X3620" s="1">
        <v>-72.413132</v>
      </c>
      <c r="Y3620" s="1" t="s">
        <v>15383</v>
      </c>
      <c r="Z3620" s="1"/>
      <c r="AA3620" s="1" t="s">
        <v>40</v>
      </c>
      <c r="AB3620" s="1" t="s">
        <v>142</v>
      </c>
      <c r="AC3620" s="1">
        <v>5641.0</v>
      </c>
    </row>
    <row r="3621">
      <c r="A3621" s="1" t="str">
        <f t="shared" ref="A3621:A3622" si="322">"000V7P"</f>
        <v>000V7P</v>
      </c>
      <c r="B3621" s="1" t="s">
        <v>13412</v>
      </c>
      <c r="C3621" s="1" t="s">
        <v>13413</v>
      </c>
      <c r="D3621" s="1" t="str">
        <f t="shared" ref="D3621:D3622" si="323">"8022879408"</f>
        <v>8022879408</v>
      </c>
      <c r="E3621" s="1">
        <v>4932.0</v>
      </c>
      <c r="F3621" s="1" t="s">
        <v>117</v>
      </c>
      <c r="G3621" s="1" t="s">
        <v>15384</v>
      </c>
      <c r="H3621" s="1">
        <v>1.0</v>
      </c>
      <c r="I3621" s="2" t="s">
        <v>119</v>
      </c>
      <c r="J3621" s="2" t="s">
        <v>119</v>
      </c>
      <c r="K3621" s="2" t="s">
        <v>119</v>
      </c>
      <c r="L3621" s="1"/>
      <c r="M3621" s="1">
        <v>4.0</v>
      </c>
      <c r="N3621" s="1" t="s">
        <v>78</v>
      </c>
      <c r="O3621" s="1" t="s">
        <v>420</v>
      </c>
      <c r="P3621" s="1" t="s">
        <v>1368</v>
      </c>
      <c r="Q3621" s="3">
        <v>42930.0</v>
      </c>
      <c r="R3621" s="1"/>
      <c r="S3621" s="1"/>
      <c r="T3621" s="1" t="s">
        <v>37</v>
      </c>
      <c r="U3621" s="1"/>
      <c r="V3621" s="1" t="s">
        <v>38</v>
      </c>
      <c r="W3621" s="1"/>
      <c r="X3621" s="1"/>
      <c r="Y3621" s="1" t="s">
        <v>2083</v>
      </c>
      <c r="Z3621" s="1"/>
      <c r="AA3621" s="1" t="s">
        <v>40</v>
      </c>
      <c r="AB3621" s="1" t="s">
        <v>420</v>
      </c>
      <c r="AC3621" s="1">
        <v>0.0</v>
      </c>
    </row>
    <row r="3622">
      <c r="A3622" s="1" t="str">
        <f t="shared" si="322"/>
        <v>000V7P</v>
      </c>
      <c r="B3622" s="1" t="s">
        <v>13412</v>
      </c>
      <c r="C3622" s="1" t="s">
        <v>13413</v>
      </c>
      <c r="D3622" s="1" t="str">
        <f t="shared" si="323"/>
        <v>8022879408</v>
      </c>
      <c r="E3622" s="1">
        <v>4932.0</v>
      </c>
      <c r="F3622" s="1" t="s">
        <v>117</v>
      </c>
      <c r="G3622" s="1" t="s">
        <v>15385</v>
      </c>
      <c r="H3622" s="1">
        <v>1.0</v>
      </c>
      <c r="I3622" s="2" t="s">
        <v>119</v>
      </c>
      <c r="J3622" s="2" t="s">
        <v>119</v>
      </c>
      <c r="K3622" s="2" t="s">
        <v>119</v>
      </c>
      <c r="L3622" s="1"/>
      <c r="M3622" s="1">
        <v>6.0</v>
      </c>
      <c r="N3622" s="1" t="s">
        <v>78</v>
      </c>
      <c r="O3622" s="1" t="s">
        <v>420</v>
      </c>
      <c r="P3622" s="1" t="s">
        <v>13418</v>
      </c>
      <c r="Q3622" s="3">
        <v>42930.0</v>
      </c>
      <c r="R3622" s="1"/>
      <c r="S3622" s="1"/>
      <c r="T3622" s="1" t="s">
        <v>37</v>
      </c>
      <c r="U3622" s="1"/>
      <c r="V3622" s="1" t="s">
        <v>38</v>
      </c>
      <c r="W3622" s="1">
        <v>43.4856519999999</v>
      </c>
      <c r="X3622" s="1">
        <v>-73.151771</v>
      </c>
      <c r="Y3622" s="1" t="s">
        <v>2083</v>
      </c>
      <c r="Z3622" s="1"/>
      <c r="AA3622" s="1" t="s">
        <v>40</v>
      </c>
      <c r="AB3622" s="1" t="s">
        <v>420</v>
      </c>
      <c r="AC3622" s="1">
        <v>0.0</v>
      </c>
    </row>
    <row r="3623">
      <c r="A3623" s="1" t="str">
        <f>"000YV4"</f>
        <v>000YV4</v>
      </c>
      <c r="B3623" s="1" t="s">
        <v>15386</v>
      </c>
      <c r="C3623" s="1" t="s">
        <v>15387</v>
      </c>
      <c r="D3623" s="1"/>
      <c r="E3623" s="1">
        <v>5211.0</v>
      </c>
      <c r="F3623" s="1" t="s">
        <v>117</v>
      </c>
      <c r="G3623" s="1" t="s">
        <v>15388</v>
      </c>
      <c r="H3623" s="1">
        <v>1.0</v>
      </c>
      <c r="I3623" s="2" t="s">
        <v>119</v>
      </c>
      <c r="J3623" s="2">
        <v>0.0</v>
      </c>
      <c r="K3623" s="2" t="s">
        <v>119</v>
      </c>
      <c r="L3623" s="1"/>
      <c r="M3623" s="1">
        <v>5.0</v>
      </c>
      <c r="N3623" s="1" t="s">
        <v>78</v>
      </c>
      <c r="O3623" s="1" t="s">
        <v>420</v>
      </c>
      <c r="P3623" s="1" t="s">
        <v>15389</v>
      </c>
      <c r="Q3623" s="3">
        <v>42930.0</v>
      </c>
      <c r="R3623" s="1"/>
      <c r="S3623" s="1"/>
      <c r="T3623" s="1" t="s">
        <v>37</v>
      </c>
      <c r="U3623" s="1"/>
      <c r="V3623" s="1" t="s">
        <v>38</v>
      </c>
      <c r="W3623" s="1"/>
      <c r="X3623" s="1"/>
      <c r="Y3623" s="1" t="s">
        <v>15390</v>
      </c>
      <c r="Z3623" s="1"/>
      <c r="AA3623" s="1" t="s">
        <v>40</v>
      </c>
      <c r="AB3623" s="1" t="s">
        <v>420</v>
      </c>
      <c r="AC3623" s="1">
        <v>5657.0</v>
      </c>
    </row>
    <row r="3624">
      <c r="A3624" s="1" t="str">
        <f>"000QK8"</f>
        <v>000QK8</v>
      </c>
      <c r="B3624" s="1" t="s">
        <v>12293</v>
      </c>
      <c r="C3624" s="1" t="s">
        <v>12294</v>
      </c>
      <c r="D3624" s="1" t="str">
        <f>"8027650200"</f>
        <v>8027650200</v>
      </c>
      <c r="E3624" s="1">
        <v>4815.0</v>
      </c>
      <c r="F3624" s="1" t="s">
        <v>117</v>
      </c>
      <c r="G3624" s="1" t="s">
        <v>15391</v>
      </c>
      <c r="H3624" s="1">
        <v>1.0</v>
      </c>
      <c r="I3624" s="2">
        <v>9.0</v>
      </c>
      <c r="J3624" s="2">
        <v>8.0</v>
      </c>
      <c r="K3624" s="2" t="s">
        <v>829</v>
      </c>
      <c r="L3624" s="1"/>
      <c r="M3624" s="1" t="s">
        <v>15392</v>
      </c>
      <c r="N3624" s="1" t="s">
        <v>49</v>
      </c>
      <c r="O3624" s="1"/>
      <c r="P3624" s="1" t="s">
        <v>15393</v>
      </c>
      <c r="Q3624" s="3">
        <v>42930.0</v>
      </c>
      <c r="R3624" s="1"/>
      <c r="S3624" s="3">
        <v>42923.0</v>
      </c>
      <c r="T3624" s="1" t="s">
        <v>37</v>
      </c>
      <c r="U3624" s="1"/>
      <c r="V3624" s="1" t="s">
        <v>38</v>
      </c>
      <c r="W3624" s="1"/>
      <c r="X3624" s="1"/>
      <c r="Y3624" s="1" t="s">
        <v>15394</v>
      </c>
      <c r="Z3624" s="1"/>
      <c r="AA3624" s="1" t="s">
        <v>40</v>
      </c>
      <c r="AB3624" s="1" t="s">
        <v>15395</v>
      </c>
      <c r="AC3624" s="1">
        <v>5055.0</v>
      </c>
    </row>
    <row r="3625">
      <c r="A3625" s="1" t="str">
        <f>"000YV7"</f>
        <v>000YV7</v>
      </c>
      <c r="B3625" s="1" t="s">
        <v>15396</v>
      </c>
      <c r="C3625" s="1" t="s">
        <v>15397</v>
      </c>
      <c r="D3625" s="1" t="str">
        <f>"8023770722"</f>
        <v>8023770722</v>
      </c>
      <c r="E3625" s="1">
        <v>5212.0</v>
      </c>
      <c r="F3625" s="1" t="s">
        <v>117</v>
      </c>
      <c r="G3625" s="1" t="s">
        <v>15398</v>
      </c>
      <c r="H3625" s="1">
        <v>1.0</v>
      </c>
      <c r="I3625" s="2">
        <v>0.0</v>
      </c>
      <c r="J3625" s="2">
        <v>0.0</v>
      </c>
      <c r="K3625" s="2" t="s">
        <v>119</v>
      </c>
      <c r="L3625" s="2" t="s">
        <v>15399</v>
      </c>
      <c r="M3625" s="1" t="s">
        <v>15400</v>
      </c>
      <c r="N3625" s="1" t="s">
        <v>161</v>
      </c>
      <c r="O3625" s="1" t="s">
        <v>576</v>
      </c>
      <c r="P3625" s="1" t="s">
        <v>15401</v>
      </c>
      <c r="Q3625" s="3">
        <v>42933.0</v>
      </c>
      <c r="R3625" s="1"/>
      <c r="S3625" s="1"/>
      <c r="T3625" s="1" t="s">
        <v>37</v>
      </c>
      <c r="U3625" s="1"/>
      <c r="V3625" s="1" t="s">
        <v>38</v>
      </c>
      <c r="W3625" s="1">
        <v>44.105702</v>
      </c>
      <c r="X3625" s="1">
        <v>-73.385847</v>
      </c>
      <c r="Y3625" s="1" t="s">
        <v>15402</v>
      </c>
      <c r="Z3625" s="1"/>
      <c r="AA3625" s="1" t="s">
        <v>40</v>
      </c>
      <c r="AB3625" s="1" t="s">
        <v>161</v>
      </c>
      <c r="AC3625" s="1">
        <v>5491.0</v>
      </c>
    </row>
    <row r="3626">
      <c r="A3626" s="1" t="str">
        <f>"000W16"</f>
        <v>000W16</v>
      </c>
      <c r="B3626" s="1" t="s">
        <v>13970</v>
      </c>
      <c r="C3626" s="1" t="s">
        <v>13971</v>
      </c>
      <c r="D3626" s="1" t="str">
        <f>"8027356232"</f>
        <v>8027356232</v>
      </c>
      <c r="E3626" s="1">
        <v>5012.0</v>
      </c>
      <c r="F3626" s="1" t="s">
        <v>117</v>
      </c>
      <c r="G3626" s="1" t="s">
        <v>15403</v>
      </c>
      <c r="H3626" s="1">
        <v>1.0</v>
      </c>
      <c r="I3626" s="2">
        <v>0.0</v>
      </c>
      <c r="J3626" s="2">
        <v>0.0</v>
      </c>
      <c r="K3626" s="2" t="s">
        <v>119</v>
      </c>
      <c r="L3626" s="1"/>
      <c r="M3626" s="1" t="s">
        <v>381</v>
      </c>
      <c r="N3626" s="1" t="s">
        <v>47</v>
      </c>
      <c r="O3626" s="1" t="s">
        <v>378</v>
      </c>
      <c r="P3626" s="1" t="s">
        <v>15404</v>
      </c>
      <c r="Q3626" s="3">
        <v>42933.0</v>
      </c>
      <c r="R3626" s="1"/>
      <c r="S3626" s="1"/>
      <c r="T3626" s="1" t="s">
        <v>37</v>
      </c>
      <c r="U3626" s="1"/>
      <c r="V3626" s="1" t="s">
        <v>38</v>
      </c>
      <c r="W3626" s="1">
        <v>44.668529</v>
      </c>
      <c r="X3626" s="1">
        <v>-73.0248699999999</v>
      </c>
      <c r="Y3626" s="1" t="s">
        <v>15405</v>
      </c>
      <c r="Z3626" s="1"/>
      <c r="AA3626" s="1" t="s">
        <v>40</v>
      </c>
      <c r="AB3626" s="1" t="s">
        <v>381</v>
      </c>
      <c r="AC3626" s="1">
        <v>5454.0</v>
      </c>
    </row>
    <row r="3627">
      <c r="A3627" s="1" t="str">
        <f>"000YVC"</f>
        <v>000YVC</v>
      </c>
      <c r="B3627" s="1" t="s">
        <v>15406</v>
      </c>
      <c r="C3627" s="1" t="s">
        <v>15407</v>
      </c>
      <c r="D3627" s="1" t="str">
        <f>"8025780812"</f>
        <v>8025780812</v>
      </c>
      <c r="E3627" s="1">
        <v>5213.0</v>
      </c>
      <c r="F3627" s="1" t="s">
        <v>117</v>
      </c>
      <c r="G3627" s="1" t="s">
        <v>15408</v>
      </c>
      <c r="H3627" s="1">
        <v>1.0</v>
      </c>
      <c r="I3627" s="2" t="s">
        <v>119</v>
      </c>
      <c r="J3627" s="2" t="s">
        <v>119</v>
      </c>
      <c r="K3627" s="2" t="s">
        <v>119</v>
      </c>
      <c r="L3627" s="1"/>
      <c r="M3627" s="1" t="s">
        <v>15409</v>
      </c>
      <c r="N3627" s="1" t="s">
        <v>213</v>
      </c>
      <c r="O3627" s="1" t="s">
        <v>2562</v>
      </c>
      <c r="P3627" s="1" t="s">
        <v>15410</v>
      </c>
      <c r="Q3627" s="3">
        <v>42936.0</v>
      </c>
      <c r="R3627" s="1"/>
      <c r="S3627" s="1"/>
      <c r="T3627" s="1" t="s">
        <v>37</v>
      </c>
      <c r="U3627" s="1"/>
      <c r="V3627" s="1" t="s">
        <v>38</v>
      </c>
      <c r="W3627" s="1">
        <v>44.502436</v>
      </c>
      <c r="X3627" s="1">
        <v>-72.4811199999999</v>
      </c>
      <c r="Y3627" s="1" t="s">
        <v>15411</v>
      </c>
      <c r="Z3627" s="1"/>
      <c r="AA3627" s="1" t="s">
        <v>40</v>
      </c>
      <c r="AB3627" s="1" t="s">
        <v>2563</v>
      </c>
      <c r="AC3627" s="1">
        <v>5680.0</v>
      </c>
    </row>
    <row r="3628">
      <c r="A3628" s="1" t="str">
        <f>"000YVH"</f>
        <v>000YVH</v>
      </c>
      <c r="B3628" s="1" t="s">
        <v>15412</v>
      </c>
      <c r="C3628" s="1" t="s">
        <v>15413</v>
      </c>
      <c r="D3628" s="1" t="str">
        <f>"8024836217"</f>
        <v>8024836217</v>
      </c>
      <c r="E3628" s="1">
        <v>5214.0</v>
      </c>
      <c r="F3628" s="1" t="s">
        <v>117</v>
      </c>
      <c r="G3628" s="1" t="s">
        <v>15414</v>
      </c>
      <c r="H3628" s="1">
        <v>2.0</v>
      </c>
      <c r="I3628" s="2">
        <v>0.0</v>
      </c>
      <c r="J3628" s="2">
        <v>0.0</v>
      </c>
      <c r="K3628" s="2" t="s">
        <v>119</v>
      </c>
      <c r="L3628" s="1"/>
      <c r="M3628" s="1" t="s">
        <v>15415</v>
      </c>
      <c r="N3628" s="1" t="s">
        <v>78</v>
      </c>
      <c r="O3628" s="1" t="s">
        <v>79</v>
      </c>
      <c r="P3628" s="1" t="s">
        <v>15416</v>
      </c>
      <c r="Q3628" s="3">
        <v>42937.0</v>
      </c>
      <c r="R3628" s="1"/>
      <c r="S3628" s="1"/>
      <c r="T3628" s="1" t="s">
        <v>37</v>
      </c>
      <c r="U3628" s="1"/>
      <c r="V3628" s="1" t="s">
        <v>38</v>
      </c>
      <c r="W3628" s="1">
        <v>43.6701089</v>
      </c>
      <c r="X3628" s="1">
        <v>-73.0040129999999</v>
      </c>
      <c r="Y3628" s="1" t="s">
        <v>15417</v>
      </c>
      <c r="Z3628" s="1"/>
      <c r="AA3628" s="1" t="s">
        <v>40</v>
      </c>
      <c r="AB3628" s="1" t="s">
        <v>80</v>
      </c>
      <c r="AC3628" s="1">
        <v>5763.0</v>
      </c>
    </row>
    <row r="3629">
      <c r="A3629" s="1" t="str">
        <f>"000GAC"</f>
        <v>000GAC</v>
      </c>
      <c r="B3629" s="1" t="s">
        <v>12809</v>
      </c>
      <c r="C3629" s="1" t="s">
        <v>12810</v>
      </c>
      <c r="D3629" s="1" t="str">
        <f>"8023634640"</f>
        <v>8023634640</v>
      </c>
      <c r="E3629" s="1">
        <v>4261.0</v>
      </c>
      <c r="F3629" s="1" t="s">
        <v>117</v>
      </c>
      <c r="G3629" s="1" t="s">
        <v>15418</v>
      </c>
      <c r="H3629" s="1">
        <v>3.0</v>
      </c>
      <c r="I3629" s="2">
        <v>3.0</v>
      </c>
      <c r="J3629" s="2">
        <v>3.0</v>
      </c>
      <c r="K3629" s="2" t="s">
        <v>119</v>
      </c>
      <c r="L3629" s="1"/>
      <c r="M3629" s="1" t="s">
        <v>15419</v>
      </c>
      <c r="N3629" s="1" t="s">
        <v>107</v>
      </c>
      <c r="O3629" s="1" t="s">
        <v>2665</v>
      </c>
      <c r="P3629" s="1" t="s">
        <v>15420</v>
      </c>
      <c r="Q3629" s="3">
        <v>42174.0</v>
      </c>
      <c r="R3629" s="1"/>
      <c r="S3629" s="1"/>
      <c r="T3629" s="1" t="s">
        <v>37</v>
      </c>
      <c r="U3629" s="1"/>
      <c r="V3629" s="1" t="s">
        <v>38</v>
      </c>
      <c r="W3629" s="1">
        <v>44.8612447</v>
      </c>
      <c r="X3629" s="1">
        <v>-73.3481057999999</v>
      </c>
      <c r="Y3629" s="1" t="s">
        <v>15421</v>
      </c>
      <c r="Z3629" s="1"/>
      <c r="AA3629" s="1" t="s">
        <v>40</v>
      </c>
      <c r="AB3629" s="1" t="s">
        <v>15422</v>
      </c>
      <c r="AC3629" s="1">
        <v>5463.0</v>
      </c>
    </row>
    <row r="3630">
      <c r="A3630" s="1" t="str">
        <f>"000YVK"</f>
        <v>000YVK</v>
      </c>
      <c r="B3630" s="1" t="s">
        <v>15423</v>
      </c>
      <c r="C3630" s="1" t="s">
        <v>15424</v>
      </c>
      <c r="D3630" s="1" t="str">
        <f>"8023631371"</f>
        <v>8023631371</v>
      </c>
      <c r="E3630" s="1">
        <v>5215.0</v>
      </c>
      <c r="F3630" s="1" t="s">
        <v>117</v>
      </c>
      <c r="G3630" s="1" t="s">
        <v>15425</v>
      </c>
      <c r="H3630" s="1">
        <v>3.0</v>
      </c>
      <c r="I3630" s="2" t="s">
        <v>119</v>
      </c>
      <c r="J3630" s="2" t="s">
        <v>119</v>
      </c>
      <c r="K3630" s="2" t="s">
        <v>119</v>
      </c>
      <c r="L3630" s="1"/>
      <c r="M3630" s="1" t="s">
        <v>15426</v>
      </c>
      <c r="N3630" s="1" t="s">
        <v>57</v>
      </c>
      <c r="O3630" s="1" t="s">
        <v>745</v>
      </c>
      <c r="P3630" s="1" t="s">
        <v>15427</v>
      </c>
      <c r="Q3630" s="3">
        <v>42940.0</v>
      </c>
      <c r="R3630" s="1"/>
      <c r="S3630" s="1"/>
      <c r="T3630" s="1" t="s">
        <v>37</v>
      </c>
      <c r="U3630" s="1"/>
      <c r="V3630" s="1" t="s">
        <v>38</v>
      </c>
      <c r="W3630" s="1"/>
      <c r="X3630" s="1"/>
      <c r="Y3630" s="1" t="s">
        <v>15428</v>
      </c>
      <c r="Z3630" s="1"/>
      <c r="AA3630" s="1" t="s">
        <v>40</v>
      </c>
      <c r="AB3630" s="1" t="s">
        <v>746</v>
      </c>
      <c r="AC3630" s="1">
        <v>5465.0</v>
      </c>
    </row>
    <row r="3631">
      <c r="A3631" s="1" t="str">
        <f>"000QNG"</f>
        <v>000QNG</v>
      </c>
      <c r="B3631" s="1" t="s">
        <v>12554</v>
      </c>
      <c r="C3631" s="1" t="s">
        <v>12555</v>
      </c>
      <c r="D3631" s="1" t="str">
        <f>"8023804958"</f>
        <v>8023804958</v>
      </c>
      <c r="E3631" s="1">
        <v>4859.0</v>
      </c>
      <c r="F3631" s="1" t="s">
        <v>117</v>
      </c>
      <c r="G3631" s="1" t="s">
        <v>15429</v>
      </c>
      <c r="H3631" s="1">
        <v>1.0</v>
      </c>
      <c r="I3631" s="2">
        <v>2.0</v>
      </c>
      <c r="J3631" s="2">
        <v>2.0</v>
      </c>
      <c r="K3631" s="2" t="s">
        <v>119</v>
      </c>
      <c r="L3631" s="1"/>
      <c r="M3631" s="1">
        <v>2.0</v>
      </c>
      <c r="N3631" s="1" t="s">
        <v>34</v>
      </c>
      <c r="O3631" s="1" t="s">
        <v>565</v>
      </c>
      <c r="P3631" s="1" t="s">
        <v>15430</v>
      </c>
      <c r="Q3631" s="3">
        <v>42941.0</v>
      </c>
      <c r="R3631" s="1"/>
      <c r="S3631" s="1"/>
      <c r="T3631" s="1" t="s">
        <v>37</v>
      </c>
      <c r="U3631" s="1"/>
      <c r="V3631" s="1" t="s">
        <v>38</v>
      </c>
      <c r="W3631" s="1">
        <v>43.267147</v>
      </c>
      <c r="X3631" s="1">
        <v>-72.607391</v>
      </c>
      <c r="Y3631" s="1" t="s">
        <v>15431</v>
      </c>
      <c r="Z3631" s="1"/>
      <c r="AA3631" s="1" t="s">
        <v>40</v>
      </c>
      <c r="AB3631" s="1" t="s">
        <v>566</v>
      </c>
      <c r="AC3631" s="1">
        <v>5143.0</v>
      </c>
    </row>
    <row r="3632">
      <c r="A3632" s="1" t="str">
        <f t="shared" ref="A3632:A3633" si="324">"000W5X"</f>
        <v>000W5X</v>
      </c>
      <c r="B3632" s="1" t="s">
        <v>14237</v>
      </c>
      <c r="C3632" s="1" t="s">
        <v>14238</v>
      </c>
      <c r="D3632" s="1" t="str">
        <f t="shared" ref="D3632:D3633" si="325">"8029892901"</f>
        <v>8029892901</v>
      </c>
      <c r="E3632" s="1">
        <v>5055.0</v>
      </c>
      <c r="F3632" s="1" t="s">
        <v>117</v>
      </c>
      <c r="G3632" s="1" t="s">
        <v>15432</v>
      </c>
      <c r="H3632" s="1">
        <v>15.0</v>
      </c>
      <c r="I3632" s="2" t="s">
        <v>119</v>
      </c>
      <c r="J3632" s="2" t="s">
        <v>119</v>
      </c>
      <c r="K3632" s="2" t="s">
        <v>119</v>
      </c>
      <c r="L3632" s="1"/>
      <c r="M3632" s="1" t="s">
        <v>15433</v>
      </c>
      <c r="N3632" s="1" t="s">
        <v>78</v>
      </c>
      <c r="O3632" s="1" t="s">
        <v>79</v>
      </c>
      <c r="P3632" s="1" t="s">
        <v>15434</v>
      </c>
      <c r="Q3632" s="3">
        <v>42941.0</v>
      </c>
      <c r="R3632" s="1"/>
      <c r="S3632" s="1"/>
      <c r="T3632" s="1" t="s">
        <v>37</v>
      </c>
      <c r="U3632" s="1"/>
      <c r="V3632" s="1" t="s">
        <v>38</v>
      </c>
      <c r="W3632" s="1">
        <v>43.6838061</v>
      </c>
      <c r="X3632" s="1">
        <v>-73.0097279</v>
      </c>
      <c r="Y3632" s="1" t="s">
        <v>15435</v>
      </c>
      <c r="Z3632" s="1"/>
      <c r="AA3632" s="1" t="s">
        <v>40</v>
      </c>
      <c r="AB3632" s="1" t="s">
        <v>80</v>
      </c>
      <c r="AC3632" s="1">
        <v>5763.0</v>
      </c>
    </row>
    <row r="3633">
      <c r="A3633" s="1" t="str">
        <f t="shared" si="324"/>
        <v>000W5X</v>
      </c>
      <c r="B3633" s="1" t="s">
        <v>14237</v>
      </c>
      <c r="C3633" s="1" t="s">
        <v>14238</v>
      </c>
      <c r="D3633" s="1" t="str">
        <f t="shared" si="325"/>
        <v>8029892901</v>
      </c>
      <c r="E3633" s="1">
        <v>5055.0</v>
      </c>
      <c r="F3633" s="1" t="s">
        <v>117</v>
      </c>
      <c r="G3633" s="1" t="s">
        <v>15436</v>
      </c>
      <c r="H3633" s="1">
        <v>12.0</v>
      </c>
      <c r="I3633" s="2" t="s">
        <v>119</v>
      </c>
      <c r="J3633" s="2" t="s">
        <v>119</v>
      </c>
      <c r="K3633" s="2" t="s">
        <v>119</v>
      </c>
      <c r="L3633" s="2"/>
      <c r="M3633" s="1" t="s">
        <v>15437</v>
      </c>
      <c r="N3633" s="1" t="s">
        <v>34</v>
      </c>
      <c r="O3633" s="1" t="s">
        <v>1277</v>
      </c>
      <c r="P3633" s="1" t="s">
        <v>2083</v>
      </c>
      <c r="Q3633" s="3">
        <v>42941.0</v>
      </c>
      <c r="R3633" s="1"/>
      <c r="S3633" s="1"/>
      <c r="T3633" s="1" t="s">
        <v>37</v>
      </c>
      <c r="U3633" s="1"/>
      <c r="V3633" s="1" t="s">
        <v>38</v>
      </c>
      <c r="W3633" s="1">
        <v>43.905579</v>
      </c>
      <c r="X3633" s="1">
        <v>-72.793358</v>
      </c>
      <c r="Y3633" s="1" t="s">
        <v>15438</v>
      </c>
      <c r="Z3633" s="1"/>
      <c r="AA3633" s="1" t="s">
        <v>40</v>
      </c>
      <c r="AB3633" s="1" t="s">
        <v>1278</v>
      </c>
      <c r="AC3633" s="1">
        <v>5767.0</v>
      </c>
    </row>
    <row r="3634">
      <c r="A3634" s="1" t="str">
        <f>"00075N"</f>
        <v>00075N</v>
      </c>
      <c r="B3634" s="1" t="s">
        <v>5929</v>
      </c>
      <c r="C3634" s="1" t="s">
        <v>5930</v>
      </c>
      <c r="D3634" s="1" t="str">
        <f>"8024331603"</f>
        <v>8024331603</v>
      </c>
      <c r="E3634" s="1">
        <v>3091.0</v>
      </c>
      <c r="F3634" s="1" t="s">
        <v>117</v>
      </c>
      <c r="G3634" s="1" t="s">
        <v>15439</v>
      </c>
      <c r="H3634" s="1">
        <v>2.0</v>
      </c>
      <c r="I3634" s="2">
        <v>2.0</v>
      </c>
      <c r="J3634" s="2" t="s">
        <v>119</v>
      </c>
      <c r="K3634" s="2" t="s">
        <v>119</v>
      </c>
      <c r="L3634" s="1"/>
      <c r="M3634" s="1" t="s">
        <v>15440</v>
      </c>
      <c r="N3634" s="1" t="s">
        <v>135</v>
      </c>
      <c r="O3634" s="1" t="s">
        <v>9574</v>
      </c>
      <c r="P3634" s="1" t="s">
        <v>12867</v>
      </c>
      <c r="Q3634" s="3">
        <v>42941.0</v>
      </c>
      <c r="R3634" s="1"/>
      <c r="S3634" s="1"/>
      <c r="T3634" s="1" t="s">
        <v>37</v>
      </c>
      <c r="U3634" s="1"/>
      <c r="V3634" s="1" t="s">
        <v>38</v>
      </c>
      <c r="W3634" s="1"/>
      <c r="X3634" s="1"/>
      <c r="Y3634" s="1" t="s">
        <v>15441</v>
      </c>
      <c r="Z3634" s="1"/>
      <c r="AA3634" s="1" t="s">
        <v>40</v>
      </c>
      <c r="AB3634" s="1" t="s">
        <v>4019</v>
      </c>
      <c r="AC3634" s="1">
        <v>5641.0</v>
      </c>
    </row>
    <row r="3635">
      <c r="A3635" s="1" t="str">
        <f>"000YW4"</f>
        <v>000YW4</v>
      </c>
      <c r="B3635" s="1" t="s">
        <v>15442</v>
      </c>
      <c r="C3635" s="1" t="s">
        <v>15443</v>
      </c>
      <c r="D3635" s="1" t="str">
        <f>"8024462336"</f>
        <v>8024462336</v>
      </c>
      <c r="E3635" s="1">
        <v>5216.0</v>
      </c>
      <c r="F3635" s="1" t="s">
        <v>117</v>
      </c>
      <c r="G3635" s="1" t="s">
        <v>15444</v>
      </c>
      <c r="H3635" s="1">
        <v>2.0</v>
      </c>
      <c r="I3635" s="2" t="s">
        <v>119</v>
      </c>
      <c r="J3635" s="2" t="s">
        <v>119</v>
      </c>
      <c r="K3635" s="2" t="s">
        <v>119</v>
      </c>
      <c r="L3635" s="1"/>
      <c r="M3635" s="1" t="s">
        <v>15445</v>
      </c>
      <c r="N3635" s="1" t="s">
        <v>78</v>
      </c>
      <c r="O3635" s="1" t="s">
        <v>1124</v>
      </c>
      <c r="P3635" s="1" t="s">
        <v>15446</v>
      </c>
      <c r="Q3635" s="3">
        <v>42941.0</v>
      </c>
      <c r="R3635" s="1"/>
      <c r="S3635" s="1"/>
      <c r="T3635" s="1" t="s">
        <v>37</v>
      </c>
      <c r="U3635" s="1"/>
      <c r="V3635" s="1" t="s">
        <v>38</v>
      </c>
      <c r="W3635" s="1"/>
      <c r="X3635" s="1"/>
      <c r="Y3635" s="1" t="s">
        <v>15447</v>
      </c>
      <c r="Z3635" s="1"/>
      <c r="AA3635" s="1" t="s">
        <v>40</v>
      </c>
      <c r="AB3635" s="1" t="s">
        <v>15448</v>
      </c>
      <c r="AC3635" s="1">
        <v>5773.0</v>
      </c>
    </row>
    <row r="3636">
      <c r="A3636" s="1" t="str">
        <f>"000KC4"</f>
        <v>000KC4</v>
      </c>
      <c r="B3636" s="1" t="s">
        <v>15449</v>
      </c>
      <c r="C3636" s="1" t="s">
        <v>15450</v>
      </c>
      <c r="D3636" s="1" t="str">
        <f>"8024519093"</f>
        <v>8024519093</v>
      </c>
      <c r="E3636" s="1">
        <v>5217.0</v>
      </c>
      <c r="F3636" s="1" t="s">
        <v>117</v>
      </c>
      <c r="G3636" s="1" t="s">
        <v>15451</v>
      </c>
      <c r="H3636" s="1">
        <v>2.0</v>
      </c>
      <c r="I3636" s="2">
        <v>0.0</v>
      </c>
      <c r="J3636" s="2">
        <v>0.0</v>
      </c>
      <c r="K3636" s="2" t="s">
        <v>119</v>
      </c>
      <c r="L3636" s="1"/>
      <c r="M3636" s="1" t="s">
        <v>15449</v>
      </c>
      <c r="N3636" s="1" t="s">
        <v>66</v>
      </c>
      <c r="O3636" s="1" t="s">
        <v>1877</v>
      </c>
      <c r="P3636" s="1" t="s">
        <v>15452</v>
      </c>
      <c r="Q3636" s="3">
        <v>42943.0</v>
      </c>
      <c r="R3636" s="1"/>
      <c r="S3636" s="1"/>
      <c r="T3636" s="1" t="s">
        <v>37</v>
      </c>
      <c r="U3636" s="1"/>
      <c r="V3636" s="1" t="s">
        <v>38</v>
      </c>
      <c r="W3636" s="1">
        <v>42.752097</v>
      </c>
      <c r="X3636" s="1">
        <v>-72.520329</v>
      </c>
      <c r="Y3636" s="1" t="s">
        <v>15453</v>
      </c>
      <c r="Z3636" s="1"/>
      <c r="AA3636" s="1" t="s">
        <v>40</v>
      </c>
      <c r="AB3636" s="1" t="s">
        <v>1878</v>
      </c>
      <c r="AC3636" s="1">
        <v>5354.0</v>
      </c>
    </row>
    <row r="3637">
      <c r="A3637" s="1" t="str">
        <f>"00081Y"</f>
        <v>00081Y</v>
      </c>
      <c r="B3637" s="1" t="s">
        <v>1108</v>
      </c>
      <c r="C3637" s="1" t="s">
        <v>1109</v>
      </c>
      <c r="D3637" s="1" t="str">
        <f>"8025242433"</f>
        <v>8025242433</v>
      </c>
      <c r="E3637" s="1">
        <v>1523.0</v>
      </c>
      <c r="F3637" s="1" t="s">
        <v>117</v>
      </c>
      <c r="G3637" s="1" t="s">
        <v>15454</v>
      </c>
      <c r="H3637" s="1">
        <v>25.0</v>
      </c>
      <c r="I3637" s="2" t="s">
        <v>119</v>
      </c>
      <c r="J3637" s="2" t="s">
        <v>119</v>
      </c>
      <c r="K3637" s="2" t="s">
        <v>119</v>
      </c>
      <c r="L3637" s="1"/>
      <c r="M3637" s="1">
        <v>22.0</v>
      </c>
      <c r="N3637" s="1" t="s">
        <v>47</v>
      </c>
      <c r="O3637" s="1" t="s">
        <v>1112</v>
      </c>
      <c r="P3637" s="1" t="s">
        <v>15455</v>
      </c>
      <c r="Q3637" s="3">
        <v>42943.0</v>
      </c>
      <c r="R3637" s="1"/>
      <c r="S3637" s="1"/>
      <c r="T3637" s="1" t="s">
        <v>37</v>
      </c>
      <c r="U3637" s="1"/>
      <c r="V3637" s="1" t="s">
        <v>38</v>
      </c>
      <c r="W3637" s="1"/>
      <c r="X3637" s="1"/>
      <c r="Y3637" s="1" t="s">
        <v>2083</v>
      </c>
      <c r="Z3637" s="1"/>
      <c r="AA3637" s="1" t="s">
        <v>40</v>
      </c>
      <c r="AB3637" s="1" t="s">
        <v>1115</v>
      </c>
      <c r="AC3637" s="1">
        <v>0.0</v>
      </c>
    </row>
    <row r="3638">
      <c r="A3638" s="1" t="str">
        <f>"000YWW"</f>
        <v>000YWW</v>
      </c>
      <c r="B3638" s="1" t="s">
        <v>15456</v>
      </c>
      <c r="C3638" s="1" t="s">
        <v>15457</v>
      </c>
      <c r="D3638" s="1" t="str">
        <f>"6037485334"</f>
        <v>6037485334</v>
      </c>
      <c r="E3638" s="1">
        <v>5219.0</v>
      </c>
      <c r="F3638" s="1" t="s">
        <v>117</v>
      </c>
      <c r="G3638" s="1" t="s">
        <v>15458</v>
      </c>
      <c r="H3638" s="1">
        <v>20.0</v>
      </c>
      <c r="I3638" s="2" t="s">
        <v>119</v>
      </c>
      <c r="J3638" s="2" t="s">
        <v>119</v>
      </c>
      <c r="K3638" s="2" t="s">
        <v>119</v>
      </c>
      <c r="L3638" s="2" t="s">
        <v>15459</v>
      </c>
      <c r="M3638" s="1" t="s">
        <v>15460</v>
      </c>
      <c r="N3638" s="1" t="s">
        <v>161</v>
      </c>
      <c r="O3638" s="1" t="s">
        <v>769</v>
      </c>
      <c r="P3638" s="1" t="s">
        <v>15461</v>
      </c>
      <c r="Q3638" s="3">
        <v>42947.0</v>
      </c>
      <c r="R3638" s="1"/>
      <c r="S3638" s="1"/>
      <c r="T3638" s="1" t="s">
        <v>37</v>
      </c>
      <c r="U3638" s="1"/>
      <c r="V3638" s="1" t="s">
        <v>38</v>
      </c>
      <c r="W3638" s="1"/>
      <c r="X3638" s="1"/>
      <c r="Y3638" s="1" t="s">
        <v>15462</v>
      </c>
      <c r="Z3638" s="1"/>
      <c r="AA3638" s="1" t="s">
        <v>40</v>
      </c>
      <c r="AB3638" s="1" t="s">
        <v>6661</v>
      </c>
      <c r="AC3638" s="1">
        <v>5456.0</v>
      </c>
    </row>
    <row r="3639">
      <c r="A3639" s="1" t="str">
        <f>"000ADP"</f>
        <v>000ADP</v>
      </c>
      <c r="B3639" s="1" t="s">
        <v>8067</v>
      </c>
      <c r="C3639" s="1" t="s">
        <v>8068</v>
      </c>
      <c r="D3639" s="1" t="str">
        <f>"8605142211"</f>
        <v>8605142211</v>
      </c>
      <c r="E3639" s="1">
        <v>4139.0</v>
      </c>
      <c r="F3639" s="1" t="s">
        <v>117</v>
      </c>
      <c r="G3639" s="1" t="s">
        <v>15463</v>
      </c>
      <c r="H3639" s="1">
        <v>8.0</v>
      </c>
      <c r="I3639" s="2" t="s">
        <v>119</v>
      </c>
      <c r="J3639" s="2" t="s">
        <v>119</v>
      </c>
      <c r="K3639" s="2" t="s">
        <v>119</v>
      </c>
      <c r="L3639" s="1"/>
      <c r="M3639" s="1" t="s">
        <v>15464</v>
      </c>
      <c r="N3639" s="1" t="s">
        <v>161</v>
      </c>
      <c r="O3639" s="1" t="s">
        <v>9675</v>
      </c>
      <c r="P3639" s="1" t="s">
        <v>15465</v>
      </c>
      <c r="Q3639" s="3">
        <v>42948.0</v>
      </c>
      <c r="R3639" s="1"/>
      <c r="S3639" s="1"/>
      <c r="T3639" s="1" t="s">
        <v>37</v>
      </c>
      <c r="U3639" s="1"/>
      <c r="V3639" s="1" t="s">
        <v>38</v>
      </c>
      <c r="W3639" s="1"/>
      <c r="X3639" s="1"/>
      <c r="Y3639" s="1" t="s">
        <v>15466</v>
      </c>
      <c r="Z3639" s="1"/>
      <c r="AA3639" s="1" t="s">
        <v>40</v>
      </c>
      <c r="AB3639" s="1" t="s">
        <v>9677</v>
      </c>
      <c r="AC3639" s="1">
        <v>5733.0</v>
      </c>
    </row>
    <row r="3640">
      <c r="A3640" s="1" t="str">
        <f>"00082N"</f>
        <v>00082N</v>
      </c>
      <c r="B3640" s="1" t="s">
        <v>2868</v>
      </c>
      <c r="C3640" s="1" t="s">
        <v>2869</v>
      </c>
      <c r="D3640" s="1" t="str">
        <f>"8024382203"</f>
        <v>8024382203</v>
      </c>
      <c r="E3640" s="1">
        <v>2402.0</v>
      </c>
      <c r="F3640" s="1" t="s">
        <v>117</v>
      </c>
      <c r="G3640" s="1" t="s">
        <v>15467</v>
      </c>
      <c r="H3640" s="1">
        <v>3.0</v>
      </c>
      <c r="I3640" s="2" t="s">
        <v>119</v>
      </c>
      <c r="J3640" s="2" t="s">
        <v>119</v>
      </c>
      <c r="K3640" s="2" t="s">
        <v>119</v>
      </c>
      <c r="L3640" s="1"/>
      <c r="M3640" s="1" t="s">
        <v>15269</v>
      </c>
      <c r="N3640" s="1" t="s">
        <v>78</v>
      </c>
      <c r="O3640" s="1" t="s">
        <v>615</v>
      </c>
      <c r="P3640" s="1" t="s">
        <v>15468</v>
      </c>
      <c r="Q3640" s="3">
        <v>42949.0</v>
      </c>
      <c r="R3640" s="1"/>
      <c r="S3640" s="1"/>
      <c r="T3640" s="1" t="s">
        <v>37</v>
      </c>
      <c r="U3640" s="1"/>
      <c r="V3640" s="1" t="s">
        <v>38</v>
      </c>
      <c r="W3640" s="1"/>
      <c r="X3640" s="1"/>
      <c r="Y3640" s="1" t="s">
        <v>15469</v>
      </c>
      <c r="Z3640" s="1"/>
      <c r="AA3640" s="1" t="s">
        <v>40</v>
      </c>
      <c r="AB3640" s="1" t="s">
        <v>616</v>
      </c>
      <c r="AC3640" s="1">
        <v>5741.0</v>
      </c>
    </row>
    <row r="3641">
      <c r="A3641" s="1" t="str">
        <f>"000YWY"</f>
        <v>000YWY</v>
      </c>
      <c r="B3641" s="1" t="s">
        <v>15470</v>
      </c>
      <c r="C3641" s="1" t="s">
        <v>15471</v>
      </c>
      <c r="D3641" s="1" t="str">
        <f>"8025952998"</f>
        <v>8025952998</v>
      </c>
      <c r="E3641" s="1">
        <v>5220.0</v>
      </c>
      <c r="F3641" s="1" t="s">
        <v>117</v>
      </c>
      <c r="G3641" s="1" t="s">
        <v>15472</v>
      </c>
      <c r="H3641" s="1">
        <v>2.0</v>
      </c>
      <c r="I3641" s="2" t="s">
        <v>119</v>
      </c>
      <c r="J3641" s="2" t="s">
        <v>119</v>
      </c>
      <c r="K3641" s="2" t="s">
        <v>119</v>
      </c>
      <c r="L3641" s="1"/>
      <c r="M3641" s="1" t="s">
        <v>15470</v>
      </c>
      <c r="N3641" s="1" t="s">
        <v>135</v>
      </c>
      <c r="O3641" s="1"/>
      <c r="P3641" s="1" t="s">
        <v>15473</v>
      </c>
      <c r="Q3641" s="3">
        <v>42949.0</v>
      </c>
      <c r="R3641" s="1"/>
      <c r="S3641" s="1"/>
      <c r="T3641" s="1" t="s">
        <v>37</v>
      </c>
      <c r="U3641" s="1"/>
      <c r="V3641" s="1" t="s">
        <v>38</v>
      </c>
      <c r="W3641" s="1"/>
      <c r="X3641" s="1"/>
      <c r="Y3641" s="1" t="s">
        <v>15474</v>
      </c>
      <c r="Z3641" s="1"/>
      <c r="AA3641" s="1" t="s">
        <v>40</v>
      </c>
      <c r="AB3641" s="1" t="s">
        <v>2254</v>
      </c>
      <c r="AC3641" s="1">
        <v>5679.0</v>
      </c>
    </row>
    <row r="3642">
      <c r="A3642" s="1" t="str">
        <f>"000VX6"</f>
        <v>000VX6</v>
      </c>
      <c r="B3642" s="1" t="s">
        <v>13791</v>
      </c>
      <c r="C3642" s="1" t="s">
        <v>13792</v>
      </c>
      <c r="D3642" s="1" t="str">
        <f>"8022473323"</f>
        <v>8022473323</v>
      </c>
      <c r="E3642" s="1">
        <v>4987.0</v>
      </c>
      <c r="F3642" s="1" t="s">
        <v>117</v>
      </c>
      <c r="G3642" s="1" t="s">
        <v>15475</v>
      </c>
      <c r="H3642" s="1">
        <v>7.0</v>
      </c>
      <c r="I3642" s="2" t="s">
        <v>119</v>
      </c>
      <c r="J3642" s="2" t="s">
        <v>119</v>
      </c>
      <c r="K3642" s="2" t="s">
        <v>119</v>
      </c>
      <c r="L3642" s="1"/>
      <c r="M3642" s="1">
        <v>2.0</v>
      </c>
      <c r="N3642" s="1" t="s">
        <v>161</v>
      </c>
      <c r="O3642" s="1" t="s">
        <v>1501</v>
      </c>
      <c r="P3642" s="1" t="s">
        <v>15476</v>
      </c>
      <c r="Q3642" s="3">
        <v>42949.0</v>
      </c>
      <c r="R3642" s="1"/>
      <c r="S3642" s="3">
        <v>42972.0</v>
      </c>
      <c r="T3642" s="1" t="s">
        <v>37</v>
      </c>
      <c r="U3642" s="1"/>
      <c r="V3642" s="1" t="s">
        <v>38</v>
      </c>
      <c r="W3642" s="1"/>
      <c r="X3642" s="1"/>
      <c r="Y3642" s="1" t="s">
        <v>15477</v>
      </c>
      <c r="Z3642" s="1"/>
      <c r="AA3642" s="1" t="s">
        <v>40</v>
      </c>
      <c r="AB3642" s="1" t="s">
        <v>15478</v>
      </c>
      <c r="AC3642" s="1">
        <v>5733.0</v>
      </c>
    </row>
    <row r="3643">
      <c r="A3643" s="1" t="str">
        <f>"000YX8"</f>
        <v>000YX8</v>
      </c>
      <c r="B3643" s="1"/>
      <c r="C3643" s="1" t="s">
        <v>15479</v>
      </c>
      <c r="D3643" s="1" t="str">
        <f>"6032446343"</f>
        <v>6032446343</v>
      </c>
      <c r="E3643" s="1">
        <v>5221.0</v>
      </c>
      <c r="F3643" s="1" t="s">
        <v>117</v>
      </c>
      <c r="G3643" s="1" t="s">
        <v>15480</v>
      </c>
      <c r="H3643" s="1">
        <v>1.0</v>
      </c>
      <c r="I3643" s="2">
        <v>0.0</v>
      </c>
      <c r="J3643" s="2">
        <v>0.0</v>
      </c>
      <c r="K3643" s="2" t="s">
        <v>119</v>
      </c>
      <c r="L3643" s="1"/>
      <c r="M3643" s="1" t="s">
        <v>15481</v>
      </c>
      <c r="N3643" s="1" t="s">
        <v>34</v>
      </c>
      <c r="O3643" s="1" t="s">
        <v>85</v>
      </c>
      <c r="P3643" s="1" t="s">
        <v>15482</v>
      </c>
      <c r="Q3643" s="3">
        <v>42950.0</v>
      </c>
      <c r="R3643" s="1"/>
      <c r="S3643" s="1"/>
      <c r="T3643" s="1" t="s">
        <v>37</v>
      </c>
      <c r="U3643" s="1"/>
      <c r="V3643" s="1" t="s">
        <v>38</v>
      </c>
      <c r="W3643" s="1"/>
      <c r="X3643" s="1"/>
      <c r="Y3643" s="1" t="s">
        <v>15483</v>
      </c>
      <c r="Z3643" s="1"/>
      <c r="AA3643" s="1" t="s">
        <v>40</v>
      </c>
      <c r="AB3643" s="1" t="s">
        <v>14771</v>
      </c>
      <c r="AC3643" s="1">
        <v>5048.0</v>
      </c>
    </row>
    <row r="3644">
      <c r="A3644" s="1" t="str">
        <f>"000N78"</f>
        <v>000N78</v>
      </c>
      <c r="B3644" s="1" t="s">
        <v>11580</v>
      </c>
      <c r="C3644" s="1" t="s">
        <v>11581</v>
      </c>
      <c r="D3644" s="1" t="str">
        <f>"8027934954"</f>
        <v>8027934954</v>
      </c>
      <c r="E3644" s="1">
        <v>4679.0</v>
      </c>
      <c r="F3644" s="1" t="s">
        <v>117</v>
      </c>
      <c r="G3644" s="1" t="s">
        <v>15484</v>
      </c>
      <c r="H3644" s="1">
        <v>1.0</v>
      </c>
      <c r="I3644" s="2" t="s">
        <v>119</v>
      </c>
      <c r="J3644" s="2" t="s">
        <v>119</v>
      </c>
      <c r="K3644" s="2" t="s">
        <v>119</v>
      </c>
      <c r="L3644" s="1"/>
      <c r="M3644" s="1">
        <v>2.0</v>
      </c>
      <c r="N3644" s="1" t="s">
        <v>135</v>
      </c>
      <c r="O3644" s="1" t="s">
        <v>343</v>
      </c>
      <c r="P3644" s="1" t="s">
        <v>15485</v>
      </c>
      <c r="Q3644" s="3">
        <v>42954.0</v>
      </c>
      <c r="R3644" s="1"/>
      <c r="S3644" s="1"/>
      <c r="T3644" s="1" t="s">
        <v>37</v>
      </c>
      <c r="U3644" s="1"/>
      <c r="V3644" s="1" t="s">
        <v>38</v>
      </c>
      <c r="W3644" s="1"/>
      <c r="X3644" s="1"/>
      <c r="Y3644" s="1" t="s">
        <v>2083</v>
      </c>
      <c r="Z3644" s="1"/>
      <c r="AA3644" s="1" t="s">
        <v>40</v>
      </c>
      <c r="AB3644" s="1" t="s">
        <v>14209</v>
      </c>
      <c r="AC3644" s="1">
        <v>0.0</v>
      </c>
    </row>
    <row r="3645">
      <c r="A3645" s="1" t="str">
        <f t="shared" ref="A3645:A3648" si="326">"0007ZQ"</f>
        <v>0007ZQ</v>
      </c>
      <c r="B3645" s="1" t="s">
        <v>1064</v>
      </c>
      <c r="C3645" s="1" t="s">
        <v>1065</v>
      </c>
      <c r="D3645" s="1" t="str">
        <f t="shared" ref="D3645:D3648" si="327">"8022256051"</f>
        <v>8022256051</v>
      </c>
      <c r="E3645" s="1">
        <v>1395.0</v>
      </c>
      <c r="F3645" s="1" t="s">
        <v>117</v>
      </c>
      <c r="G3645" s="1" t="s">
        <v>15486</v>
      </c>
      <c r="H3645" s="1">
        <v>8.0</v>
      </c>
      <c r="I3645" s="2" t="s">
        <v>119</v>
      </c>
      <c r="J3645" s="2" t="s">
        <v>119</v>
      </c>
      <c r="K3645" s="2" t="s">
        <v>119</v>
      </c>
      <c r="L3645" s="1"/>
      <c r="M3645" s="1" t="s">
        <v>15487</v>
      </c>
      <c r="N3645" s="1" t="s">
        <v>135</v>
      </c>
      <c r="O3645" s="1" t="s">
        <v>343</v>
      </c>
      <c r="P3645" s="1" t="s">
        <v>15488</v>
      </c>
      <c r="Q3645" s="3">
        <v>42955.0</v>
      </c>
      <c r="R3645" s="1"/>
      <c r="S3645" s="1"/>
      <c r="T3645" s="1" t="s">
        <v>37</v>
      </c>
      <c r="U3645" s="1"/>
      <c r="V3645" s="1" t="s">
        <v>38</v>
      </c>
      <c r="W3645" s="1">
        <v>44.2343434</v>
      </c>
      <c r="X3645" s="1">
        <v>-72.5130191</v>
      </c>
      <c r="Y3645" s="1" t="s">
        <v>15489</v>
      </c>
      <c r="Z3645" s="1"/>
      <c r="AA3645" s="1" t="s">
        <v>40</v>
      </c>
      <c r="AB3645" s="1" t="s">
        <v>4019</v>
      </c>
      <c r="AC3645" s="1">
        <v>5641.0</v>
      </c>
    </row>
    <row r="3646">
      <c r="A3646" s="1" t="str">
        <f t="shared" si="326"/>
        <v>0007ZQ</v>
      </c>
      <c r="B3646" s="1" t="s">
        <v>1064</v>
      </c>
      <c r="C3646" s="1" t="s">
        <v>1065</v>
      </c>
      <c r="D3646" s="1" t="str">
        <f t="shared" si="327"/>
        <v>8022256051</v>
      </c>
      <c r="E3646" s="1">
        <v>1395.0</v>
      </c>
      <c r="F3646" s="1" t="s">
        <v>117</v>
      </c>
      <c r="G3646" s="1" t="s">
        <v>15490</v>
      </c>
      <c r="H3646" s="1">
        <v>8.0</v>
      </c>
      <c r="I3646" s="2" t="s">
        <v>119</v>
      </c>
      <c r="J3646" s="2" t="s">
        <v>119</v>
      </c>
      <c r="K3646" s="2" t="s">
        <v>119</v>
      </c>
      <c r="L3646" s="1"/>
      <c r="M3646" s="1" t="s">
        <v>15491</v>
      </c>
      <c r="N3646" s="1" t="s">
        <v>135</v>
      </c>
      <c r="O3646" s="1" t="s">
        <v>3116</v>
      </c>
      <c r="P3646" s="1" t="s">
        <v>15492</v>
      </c>
      <c r="Q3646" s="3">
        <v>42955.0</v>
      </c>
      <c r="R3646" s="1"/>
      <c r="S3646" s="1"/>
      <c r="T3646" s="1" t="s">
        <v>37</v>
      </c>
      <c r="U3646" s="1"/>
      <c r="V3646" s="1" t="s">
        <v>38</v>
      </c>
      <c r="W3646" s="1">
        <v>44.38596</v>
      </c>
      <c r="X3646" s="1">
        <v>-72.48864</v>
      </c>
      <c r="Y3646" s="1" t="s">
        <v>15493</v>
      </c>
      <c r="Z3646" s="1"/>
      <c r="AA3646" s="1" t="s">
        <v>40</v>
      </c>
      <c r="AB3646" s="1" t="s">
        <v>9760</v>
      </c>
      <c r="AC3646" s="1">
        <v>5648.0</v>
      </c>
    </row>
    <row r="3647">
      <c r="A3647" s="1" t="str">
        <f t="shared" si="326"/>
        <v>0007ZQ</v>
      </c>
      <c r="B3647" s="1" t="s">
        <v>1064</v>
      </c>
      <c r="C3647" s="1" t="s">
        <v>1065</v>
      </c>
      <c r="D3647" s="1" t="str">
        <f t="shared" si="327"/>
        <v>8022256051</v>
      </c>
      <c r="E3647" s="1">
        <v>1395.0</v>
      </c>
      <c r="F3647" s="1" t="s">
        <v>117</v>
      </c>
      <c r="G3647" s="1" t="s">
        <v>15494</v>
      </c>
      <c r="H3647" s="1">
        <v>18.0</v>
      </c>
      <c r="I3647" s="2" t="s">
        <v>119</v>
      </c>
      <c r="J3647" s="2" t="s">
        <v>119</v>
      </c>
      <c r="K3647" s="2" t="s">
        <v>119</v>
      </c>
      <c r="L3647" s="1"/>
      <c r="M3647" s="1" t="s">
        <v>15495</v>
      </c>
      <c r="N3647" s="1" t="s">
        <v>57</v>
      </c>
      <c r="O3647" s="1" t="s">
        <v>2092</v>
      </c>
      <c r="P3647" s="1" t="s">
        <v>15496</v>
      </c>
      <c r="Q3647" s="3">
        <v>42955.0</v>
      </c>
      <c r="R3647" s="1"/>
      <c r="S3647" s="1"/>
      <c r="T3647" s="1" t="s">
        <v>37</v>
      </c>
      <c r="U3647" s="1"/>
      <c r="V3647" s="1" t="s">
        <v>38</v>
      </c>
      <c r="W3647" s="1">
        <v>44.4325316</v>
      </c>
      <c r="X3647" s="1">
        <v>-73.1252213999999</v>
      </c>
      <c r="Y3647" s="1" t="s">
        <v>15497</v>
      </c>
      <c r="Z3647" s="1"/>
      <c r="AA3647" s="1" t="s">
        <v>40</v>
      </c>
      <c r="AB3647" s="1" t="s">
        <v>2093</v>
      </c>
      <c r="AC3647" s="1">
        <v>5495.0</v>
      </c>
    </row>
    <row r="3648">
      <c r="A3648" s="1" t="str">
        <f t="shared" si="326"/>
        <v>0007ZQ</v>
      </c>
      <c r="B3648" s="1" t="s">
        <v>1064</v>
      </c>
      <c r="C3648" s="1" t="s">
        <v>1065</v>
      </c>
      <c r="D3648" s="1" t="str">
        <f t="shared" si="327"/>
        <v>8022256051</v>
      </c>
      <c r="E3648" s="1">
        <v>1395.0</v>
      </c>
      <c r="F3648" s="1" t="s">
        <v>117</v>
      </c>
      <c r="G3648" s="1" t="s">
        <v>15498</v>
      </c>
      <c r="H3648" s="1">
        <v>10.0</v>
      </c>
      <c r="I3648" s="2" t="s">
        <v>119</v>
      </c>
      <c r="J3648" s="2" t="s">
        <v>119</v>
      </c>
      <c r="K3648" s="2" t="s">
        <v>119</v>
      </c>
      <c r="L3648" s="1"/>
      <c r="M3648" s="1" t="s">
        <v>15499</v>
      </c>
      <c r="N3648" s="1" t="s">
        <v>47</v>
      </c>
      <c r="O3648" s="1" t="s">
        <v>48</v>
      </c>
      <c r="P3648" s="1" t="s">
        <v>15500</v>
      </c>
      <c r="Q3648" s="3">
        <v>42955.0</v>
      </c>
      <c r="R3648" s="1"/>
      <c r="S3648" s="1"/>
      <c r="T3648" s="1" t="s">
        <v>37</v>
      </c>
      <c r="U3648" s="1"/>
      <c r="V3648" s="1" t="s">
        <v>38</v>
      </c>
      <c r="W3648" s="1">
        <v>44.831156</v>
      </c>
      <c r="X3648" s="1">
        <v>-72.8971599999999</v>
      </c>
      <c r="Y3648" s="1" t="s">
        <v>15501</v>
      </c>
      <c r="Z3648" s="1"/>
      <c r="AA3648" s="1" t="s">
        <v>40</v>
      </c>
      <c r="AB3648" s="1" t="s">
        <v>50</v>
      </c>
      <c r="AC3648" s="1">
        <v>5450.0</v>
      </c>
    </row>
    <row r="3649">
      <c r="A3649" s="1" t="str">
        <f t="shared" ref="A3649:A3662" si="328">"00088H"</f>
        <v>00088H</v>
      </c>
      <c r="B3649" s="1" t="s">
        <v>2463</v>
      </c>
      <c r="C3649" s="1" t="s">
        <v>2464</v>
      </c>
      <c r="D3649" s="1" t="str">
        <f t="shared" ref="D3649:D3662" si="329">"8027442007"</f>
        <v>8027442007</v>
      </c>
      <c r="E3649" s="1">
        <v>3222.0</v>
      </c>
      <c r="F3649" s="1" t="s">
        <v>117</v>
      </c>
      <c r="G3649" s="1" t="s">
        <v>15502</v>
      </c>
      <c r="H3649" s="1">
        <v>32.0</v>
      </c>
      <c r="I3649" s="1"/>
      <c r="J3649" s="1"/>
      <c r="K3649" s="1"/>
      <c r="L3649" s="1"/>
      <c r="M3649" s="1" t="s">
        <v>15503</v>
      </c>
      <c r="N3649" s="1" t="s">
        <v>94</v>
      </c>
      <c r="O3649" s="1" t="s">
        <v>637</v>
      </c>
      <c r="P3649" s="1" t="s">
        <v>15504</v>
      </c>
      <c r="Q3649" s="3">
        <v>42955.0</v>
      </c>
      <c r="R3649" s="1"/>
      <c r="S3649" s="1"/>
      <c r="T3649" s="1" t="s">
        <v>37</v>
      </c>
      <c r="U3649" s="1"/>
      <c r="V3649" s="1" t="s">
        <v>38</v>
      </c>
      <c r="W3649" s="1">
        <v>44.9169394</v>
      </c>
      <c r="X3649" s="1">
        <v>-72.2452912999999</v>
      </c>
      <c r="Y3649" s="1" t="s">
        <v>15505</v>
      </c>
      <c r="Z3649" s="1"/>
      <c r="AA3649" s="1" t="s">
        <v>40</v>
      </c>
      <c r="AB3649" s="1" t="s">
        <v>1022</v>
      </c>
      <c r="AC3649" s="1">
        <v>5855.0</v>
      </c>
    </row>
    <row r="3650">
      <c r="A3650" s="1" t="str">
        <f t="shared" si="328"/>
        <v>00088H</v>
      </c>
      <c r="B3650" s="1" t="s">
        <v>2463</v>
      </c>
      <c r="C3650" s="1" t="s">
        <v>2464</v>
      </c>
      <c r="D3650" s="1" t="str">
        <f t="shared" si="329"/>
        <v>8027442007</v>
      </c>
      <c r="E3650" s="1">
        <v>3222.0</v>
      </c>
      <c r="F3650" s="1" t="s">
        <v>117</v>
      </c>
      <c r="G3650" s="1" t="s">
        <v>15506</v>
      </c>
      <c r="H3650" s="1">
        <v>32.0</v>
      </c>
      <c r="I3650" s="1"/>
      <c r="J3650" s="1"/>
      <c r="K3650" s="1"/>
      <c r="L3650" s="1"/>
      <c r="M3650" s="1" t="s">
        <v>15507</v>
      </c>
      <c r="N3650" s="1" t="s">
        <v>47</v>
      </c>
      <c r="O3650" s="1" t="s">
        <v>48</v>
      </c>
      <c r="P3650" s="1" t="s">
        <v>15508</v>
      </c>
      <c r="Q3650" s="3">
        <v>42955.0</v>
      </c>
      <c r="R3650" s="1"/>
      <c r="S3650" s="1"/>
      <c r="T3650" s="1" t="s">
        <v>37</v>
      </c>
      <c r="U3650" s="1"/>
      <c r="V3650" s="1" t="s">
        <v>38</v>
      </c>
      <c r="W3650" s="1">
        <v>44.923392</v>
      </c>
      <c r="X3650" s="1">
        <v>-72.713858</v>
      </c>
      <c r="Y3650" s="1" t="s">
        <v>15509</v>
      </c>
      <c r="Z3650" s="1"/>
      <c r="AA3650" s="1" t="s">
        <v>40</v>
      </c>
      <c r="AB3650" s="1" t="s">
        <v>267</v>
      </c>
      <c r="AC3650" s="1">
        <v>5476.0</v>
      </c>
    </row>
    <row r="3651">
      <c r="A3651" s="1" t="str">
        <f t="shared" si="328"/>
        <v>00088H</v>
      </c>
      <c r="B3651" s="1" t="s">
        <v>2463</v>
      </c>
      <c r="C3651" s="1" t="s">
        <v>2464</v>
      </c>
      <c r="D3651" s="1" t="str">
        <f t="shared" si="329"/>
        <v>8027442007</v>
      </c>
      <c r="E3651" s="1">
        <v>3222.0</v>
      </c>
      <c r="F3651" s="1" t="s">
        <v>117</v>
      </c>
      <c r="G3651" s="1" t="s">
        <v>15510</v>
      </c>
      <c r="H3651" s="1">
        <v>32.0</v>
      </c>
      <c r="I3651" s="1"/>
      <c r="J3651" s="1"/>
      <c r="K3651" s="1"/>
      <c r="L3651" s="1"/>
      <c r="M3651" s="1" t="s">
        <v>15511</v>
      </c>
      <c r="N3651" s="1" t="s">
        <v>47</v>
      </c>
      <c r="O3651" s="1" t="s">
        <v>2319</v>
      </c>
      <c r="P3651" s="1" t="s">
        <v>15512</v>
      </c>
      <c r="Q3651" s="3">
        <v>42955.0</v>
      </c>
      <c r="R3651" s="1"/>
      <c r="S3651" s="1"/>
      <c r="T3651" s="1" t="s">
        <v>37</v>
      </c>
      <c r="U3651" s="1"/>
      <c r="V3651" s="1" t="s">
        <v>38</v>
      </c>
      <c r="W3651" s="1">
        <v>44.9621073</v>
      </c>
      <c r="X3651" s="1">
        <v>-72.8446902</v>
      </c>
      <c r="Y3651" s="1" t="s">
        <v>15513</v>
      </c>
      <c r="Z3651" s="1"/>
      <c r="AA3651" s="1" t="s">
        <v>40</v>
      </c>
      <c r="AB3651" s="1" t="s">
        <v>47</v>
      </c>
      <c r="AC3651" s="1">
        <v>5450.0</v>
      </c>
    </row>
    <row r="3652">
      <c r="A3652" s="1" t="str">
        <f t="shared" si="328"/>
        <v>00088H</v>
      </c>
      <c r="B3652" s="1" t="s">
        <v>2463</v>
      </c>
      <c r="C3652" s="1" t="s">
        <v>2464</v>
      </c>
      <c r="D3652" s="1" t="str">
        <f t="shared" si="329"/>
        <v>8027442007</v>
      </c>
      <c r="E3652" s="1">
        <v>3222.0</v>
      </c>
      <c r="F3652" s="1" t="s">
        <v>117</v>
      </c>
      <c r="G3652" s="1" t="s">
        <v>15514</v>
      </c>
      <c r="H3652" s="1">
        <v>32.0</v>
      </c>
      <c r="I3652" s="1"/>
      <c r="J3652" s="1"/>
      <c r="K3652" s="1"/>
      <c r="L3652" s="1"/>
      <c r="M3652" s="1" t="s">
        <v>15515</v>
      </c>
      <c r="N3652" s="1" t="s">
        <v>47</v>
      </c>
      <c r="O3652" s="1" t="s">
        <v>1112</v>
      </c>
      <c r="P3652" s="1" t="s">
        <v>15516</v>
      </c>
      <c r="Q3652" s="3">
        <v>42955.0</v>
      </c>
      <c r="R3652" s="1"/>
      <c r="S3652" s="1"/>
      <c r="T3652" s="1" t="s">
        <v>37</v>
      </c>
      <c r="U3652" s="1"/>
      <c r="V3652" s="1" t="s">
        <v>38</v>
      </c>
      <c r="W3652" s="1">
        <v>44.9650001</v>
      </c>
      <c r="X3652" s="1">
        <v>-73.0559109</v>
      </c>
      <c r="Y3652" s="1" t="s">
        <v>15517</v>
      </c>
      <c r="Z3652" s="1"/>
      <c r="AA3652" s="1" t="s">
        <v>40</v>
      </c>
      <c r="AB3652" s="1" t="s">
        <v>1115</v>
      </c>
      <c r="AC3652" s="1">
        <v>5488.0</v>
      </c>
    </row>
    <row r="3653">
      <c r="A3653" s="1" t="str">
        <f t="shared" si="328"/>
        <v>00088H</v>
      </c>
      <c r="B3653" s="1" t="s">
        <v>2463</v>
      </c>
      <c r="C3653" s="1" t="s">
        <v>2464</v>
      </c>
      <c r="D3653" s="1" t="str">
        <f t="shared" si="329"/>
        <v>8027442007</v>
      </c>
      <c r="E3653" s="1">
        <v>3222.0</v>
      </c>
      <c r="F3653" s="1" t="s">
        <v>117</v>
      </c>
      <c r="G3653" s="1" t="s">
        <v>15518</v>
      </c>
      <c r="H3653" s="1">
        <v>32.0</v>
      </c>
      <c r="I3653" s="1"/>
      <c r="J3653" s="1"/>
      <c r="K3653" s="1"/>
      <c r="L3653" s="1"/>
      <c r="M3653" s="1" t="s">
        <v>15519</v>
      </c>
      <c r="N3653" s="1" t="s">
        <v>107</v>
      </c>
      <c r="O3653" s="1" t="s">
        <v>821</v>
      </c>
      <c r="P3653" s="1" t="s">
        <v>15519</v>
      </c>
      <c r="Q3653" s="3">
        <v>42955.0</v>
      </c>
      <c r="R3653" s="1"/>
      <c r="S3653" s="1"/>
      <c r="T3653" s="1" t="s">
        <v>37</v>
      </c>
      <c r="U3653" s="1"/>
      <c r="V3653" s="1" t="s">
        <v>38</v>
      </c>
      <c r="W3653" s="1">
        <v>44.650059</v>
      </c>
      <c r="X3653" s="1">
        <v>-73.2798689999999</v>
      </c>
      <c r="Y3653" s="1" t="s">
        <v>15520</v>
      </c>
      <c r="Z3653" s="1"/>
      <c r="AA3653" s="1" t="s">
        <v>40</v>
      </c>
      <c r="AB3653" s="1" t="s">
        <v>822</v>
      </c>
      <c r="AC3653" s="1">
        <v>5486.0</v>
      </c>
    </row>
    <row r="3654">
      <c r="A3654" s="1" t="str">
        <f t="shared" si="328"/>
        <v>00088H</v>
      </c>
      <c r="B3654" s="1" t="s">
        <v>2463</v>
      </c>
      <c r="C3654" s="1" t="s">
        <v>2464</v>
      </c>
      <c r="D3654" s="1" t="str">
        <f t="shared" si="329"/>
        <v>8027442007</v>
      </c>
      <c r="E3654" s="1">
        <v>3222.0</v>
      </c>
      <c r="F3654" s="1" t="s">
        <v>117</v>
      </c>
      <c r="G3654" s="1" t="s">
        <v>15521</v>
      </c>
      <c r="H3654" s="1">
        <v>32.0</v>
      </c>
      <c r="I3654" s="1"/>
      <c r="J3654" s="1"/>
      <c r="K3654" s="1"/>
      <c r="L3654" s="1"/>
      <c r="M3654" s="1" t="s">
        <v>15522</v>
      </c>
      <c r="N3654" s="1" t="s">
        <v>47</v>
      </c>
      <c r="O3654" s="1" t="s">
        <v>2319</v>
      </c>
      <c r="P3654" s="1" t="s">
        <v>15523</v>
      </c>
      <c r="Q3654" s="3">
        <v>42955.0</v>
      </c>
      <c r="R3654" s="1"/>
      <c r="S3654" s="1"/>
      <c r="T3654" s="1" t="s">
        <v>37</v>
      </c>
      <c r="U3654" s="1"/>
      <c r="V3654" s="1" t="s">
        <v>38</v>
      </c>
      <c r="W3654" s="1">
        <v>44.9915137</v>
      </c>
      <c r="X3654" s="1">
        <v>-72.9662926</v>
      </c>
      <c r="Y3654" s="1" t="s">
        <v>15524</v>
      </c>
      <c r="Z3654" s="1"/>
      <c r="AA3654" s="1" t="s">
        <v>40</v>
      </c>
      <c r="AB3654" s="1" t="s">
        <v>47</v>
      </c>
      <c r="AC3654" s="1">
        <v>5457.0</v>
      </c>
    </row>
    <row r="3655">
      <c r="A3655" s="1" t="str">
        <f t="shared" si="328"/>
        <v>00088H</v>
      </c>
      <c r="B3655" s="1" t="s">
        <v>2463</v>
      </c>
      <c r="C3655" s="1" t="s">
        <v>2464</v>
      </c>
      <c r="D3655" s="1" t="str">
        <f t="shared" si="329"/>
        <v>8027442007</v>
      </c>
      <c r="E3655" s="1">
        <v>3222.0</v>
      </c>
      <c r="F3655" s="1" t="s">
        <v>117</v>
      </c>
      <c r="G3655" s="1" t="s">
        <v>15525</v>
      </c>
      <c r="H3655" s="1">
        <v>32.0</v>
      </c>
      <c r="I3655" s="1"/>
      <c r="J3655" s="1"/>
      <c r="K3655" s="1"/>
      <c r="L3655" s="1"/>
      <c r="M3655" s="1" t="s">
        <v>3657</v>
      </c>
      <c r="N3655" s="1" t="s">
        <v>47</v>
      </c>
      <c r="O3655" s="1" t="s">
        <v>2889</v>
      </c>
      <c r="P3655" s="1" t="s">
        <v>15526</v>
      </c>
      <c r="Q3655" s="3">
        <v>42955.0</v>
      </c>
      <c r="R3655" s="1"/>
      <c r="S3655" s="1"/>
      <c r="T3655" s="1" t="s">
        <v>37</v>
      </c>
      <c r="U3655" s="1"/>
      <c r="V3655" s="1" t="s">
        <v>38</v>
      </c>
      <c r="W3655" s="1">
        <v>44.9671558</v>
      </c>
      <c r="X3655" s="1">
        <v>-73.0156344</v>
      </c>
      <c r="Y3655" s="1" t="s">
        <v>15527</v>
      </c>
      <c r="Z3655" s="1"/>
      <c r="AA3655" s="1" t="s">
        <v>40</v>
      </c>
      <c r="AB3655" s="1" t="s">
        <v>15528</v>
      </c>
      <c r="AC3655" s="1">
        <v>5459.0</v>
      </c>
    </row>
    <row r="3656">
      <c r="A3656" s="1" t="str">
        <f t="shared" si="328"/>
        <v>00088H</v>
      </c>
      <c r="B3656" s="1" t="s">
        <v>2463</v>
      </c>
      <c r="C3656" s="1" t="s">
        <v>2464</v>
      </c>
      <c r="D3656" s="1" t="str">
        <f t="shared" si="329"/>
        <v>8027442007</v>
      </c>
      <c r="E3656" s="1">
        <v>3222.0</v>
      </c>
      <c r="F3656" s="1" t="s">
        <v>117</v>
      </c>
      <c r="G3656" s="1" t="s">
        <v>15529</v>
      </c>
      <c r="H3656" s="1">
        <v>32.0</v>
      </c>
      <c r="I3656" s="1"/>
      <c r="J3656" s="1"/>
      <c r="K3656" s="1"/>
      <c r="L3656" s="1"/>
      <c r="M3656" s="1" t="s">
        <v>2894</v>
      </c>
      <c r="N3656" s="1" t="s">
        <v>47</v>
      </c>
      <c r="O3656" s="1" t="s">
        <v>2889</v>
      </c>
      <c r="P3656" s="1" t="s">
        <v>15530</v>
      </c>
      <c r="Q3656" s="3">
        <v>42955.0</v>
      </c>
      <c r="R3656" s="1"/>
      <c r="S3656" s="1"/>
      <c r="T3656" s="1" t="s">
        <v>37</v>
      </c>
      <c r="U3656" s="1"/>
      <c r="V3656" s="1" t="s">
        <v>38</v>
      </c>
      <c r="W3656" s="1">
        <v>44.9859933</v>
      </c>
      <c r="X3656" s="1">
        <v>-72.9178626</v>
      </c>
      <c r="Y3656" s="1" t="s">
        <v>15531</v>
      </c>
      <c r="Z3656" s="1"/>
      <c r="AA3656" s="1" t="s">
        <v>40</v>
      </c>
      <c r="AB3656" s="1" t="s">
        <v>2773</v>
      </c>
      <c r="AC3656" s="1">
        <v>5457.0</v>
      </c>
    </row>
    <row r="3657">
      <c r="A3657" s="1" t="str">
        <f t="shared" si="328"/>
        <v>00088H</v>
      </c>
      <c r="B3657" s="1" t="s">
        <v>2463</v>
      </c>
      <c r="C3657" s="1" t="s">
        <v>2464</v>
      </c>
      <c r="D3657" s="1" t="str">
        <f t="shared" si="329"/>
        <v>8027442007</v>
      </c>
      <c r="E3657" s="1">
        <v>3222.0</v>
      </c>
      <c r="F3657" s="1" t="s">
        <v>117</v>
      </c>
      <c r="G3657" s="1" t="s">
        <v>15532</v>
      </c>
      <c r="H3657" s="1">
        <v>32.0</v>
      </c>
      <c r="I3657" s="1"/>
      <c r="J3657" s="1"/>
      <c r="K3657" s="1"/>
      <c r="L3657" s="1"/>
      <c r="M3657" s="1" t="s">
        <v>15533</v>
      </c>
      <c r="N3657" s="1" t="s">
        <v>47</v>
      </c>
      <c r="O3657" s="1" t="s">
        <v>2319</v>
      </c>
      <c r="P3657" s="1" t="s">
        <v>15534</v>
      </c>
      <c r="Q3657" s="3">
        <v>42955.0</v>
      </c>
      <c r="R3657" s="1"/>
      <c r="S3657" s="1"/>
      <c r="T3657" s="1" t="s">
        <v>37</v>
      </c>
      <c r="U3657" s="1"/>
      <c r="V3657" s="1" t="s">
        <v>38</v>
      </c>
      <c r="W3657" s="1">
        <v>44.9299028999999</v>
      </c>
      <c r="X3657" s="1">
        <v>-72.9960634999999</v>
      </c>
      <c r="Y3657" s="1" t="s">
        <v>15535</v>
      </c>
      <c r="Z3657" s="1"/>
      <c r="AA3657" s="1" t="s">
        <v>40</v>
      </c>
      <c r="AB3657" s="1" t="s">
        <v>15536</v>
      </c>
      <c r="AC3657" s="1">
        <v>5459.0</v>
      </c>
    </row>
    <row r="3658">
      <c r="A3658" s="1" t="str">
        <f t="shared" si="328"/>
        <v>00088H</v>
      </c>
      <c r="B3658" s="1" t="s">
        <v>2463</v>
      </c>
      <c r="C3658" s="1" t="s">
        <v>2464</v>
      </c>
      <c r="D3658" s="1" t="str">
        <f t="shared" si="329"/>
        <v>8027442007</v>
      </c>
      <c r="E3658" s="1">
        <v>3222.0</v>
      </c>
      <c r="F3658" s="1" t="s">
        <v>117</v>
      </c>
      <c r="G3658" s="1" t="s">
        <v>15537</v>
      </c>
      <c r="H3658" s="1">
        <v>21.0</v>
      </c>
      <c r="I3658" s="1"/>
      <c r="J3658" s="1"/>
      <c r="K3658" s="1"/>
      <c r="L3658" s="1"/>
      <c r="M3658" s="1" t="s">
        <v>15538</v>
      </c>
      <c r="N3658" s="1" t="s">
        <v>47</v>
      </c>
      <c r="O3658" s="1" t="s">
        <v>2889</v>
      </c>
      <c r="P3658" s="1" t="s">
        <v>15539</v>
      </c>
      <c r="Q3658" s="3">
        <v>42955.0</v>
      </c>
      <c r="R3658" s="1"/>
      <c r="S3658" s="1"/>
      <c r="T3658" s="1" t="s">
        <v>37</v>
      </c>
      <c r="U3658" s="1"/>
      <c r="V3658" s="1" t="s">
        <v>38</v>
      </c>
      <c r="W3658" s="1"/>
      <c r="X3658" s="1"/>
      <c r="Y3658" s="1" t="s">
        <v>2083</v>
      </c>
      <c r="Z3658" s="1"/>
      <c r="AA3658" s="1" t="s">
        <v>40</v>
      </c>
      <c r="AB3658" s="1" t="s">
        <v>15536</v>
      </c>
      <c r="AC3658" s="1">
        <v>0.0</v>
      </c>
    </row>
    <row r="3659">
      <c r="A3659" s="1" t="str">
        <f t="shared" si="328"/>
        <v>00088H</v>
      </c>
      <c r="B3659" s="1" t="s">
        <v>2463</v>
      </c>
      <c r="C3659" s="1" t="s">
        <v>2464</v>
      </c>
      <c r="D3659" s="1" t="str">
        <f t="shared" si="329"/>
        <v>8027442007</v>
      </c>
      <c r="E3659" s="1">
        <v>3222.0</v>
      </c>
      <c r="F3659" s="1" t="s">
        <v>117</v>
      </c>
      <c r="G3659" s="1" t="s">
        <v>15540</v>
      </c>
      <c r="H3659" s="1">
        <v>32.0</v>
      </c>
      <c r="I3659" s="1"/>
      <c r="J3659" s="1"/>
      <c r="K3659" s="1"/>
      <c r="L3659" s="1"/>
      <c r="M3659" s="1" t="s">
        <v>15541</v>
      </c>
      <c r="N3659" s="1" t="s">
        <v>47</v>
      </c>
      <c r="O3659" s="1" t="s">
        <v>2319</v>
      </c>
      <c r="P3659" s="1" t="s">
        <v>15542</v>
      </c>
      <c r="Q3659" s="3">
        <v>42955.0</v>
      </c>
      <c r="R3659" s="1"/>
      <c r="S3659" s="1"/>
      <c r="T3659" s="1" t="s">
        <v>37</v>
      </c>
      <c r="U3659" s="1"/>
      <c r="V3659" s="1" t="s">
        <v>38</v>
      </c>
      <c r="W3659" s="1">
        <v>44.9863603</v>
      </c>
      <c r="X3659" s="1">
        <v>-72.9179939</v>
      </c>
      <c r="Y3659" s="1" t="s">
        <v>15543</v>
      </c>
      <c r="Z3659" s="1"/>
      <c r="AA3659" s="1" t="s">
        <v>40</v>
      </c>
      <c r="AB3659" s="1" t="s">
        <v>47</v>
      </c>
      <c r="AC3659" s="1">
        <v>5457.0</v>
      </c>
    </row>
    <row r="3660">
      <c r="A3660" s="1" t="str">
        <f t="shared" si="328"/>
        <v>00088H</v>
      </c>
      <c r="B3660" s="1" t="s">
        <v>2463</v>
      </c>
      <c r="C3660" s="1" t="s">
        <v>2464</v>
      </c>
      <c r="D3660" s="1" t="str">
        <f t="shared" si="329"/>
        <v>8027442007</v>
      </c>
      <c r="E3660" s="1">
        <v>3222.0</v>
      </c>
      <c r="F3660" s="1" t="s">
        <v>117</v>
      </c>
      <c r="G3660" s="1" t="s">
        <v>15544</v>
      </c>
      <c r="H3660" s="1">
        <v>1000.0</v>
      </c>
      <c r="I3660" s="1"/>
      <c r="J3660" s="1"/>
      <c r="K3660" s="1"/>
      <c r="L3660" s="1"/>
      <c r="M3660" s="1" t="s">
        <v>15545</v>
      </c>
      <c r="N3660" s="1" t="s">
        <v>94</v>
      </c>
      <c r="O3660" s="1" t="s">
        <v>489</v>
      </c>
      <c r="P3660" s="1" t="s">
        <v>15545</v>
      </c>
      <c r="Q3660" s="3">
        <v>42955.0</v>
      </c>
      <c r="R3660" s="1"/>
      <c r="S3660" s="1"/>
      <c r="T3660" s="1" t="s">
        <v>37</v>
      </c>
      <c r="U3660" s="1"/>
      <c r="V3660" s="1" t="s">
        <v>38</v>
      </c>
      <c r="W3660" s="1">
        <v>44.998204</v>
      </c>
      <c r="X3660" s="1">
        <v>-72.3617970999999</v>
      </c>
      <c r="Y3660" s="1" t="s">
        <v>15546</v>
      </c>
      <c r="Z3660" s="1"/>
      <c r="AA3660" s="1" t="s">
        <v>40</v>
      </c>
      <c r="AB3660" s="1" t="s">
        <v>8012</v>
      </c>
      <c r="AC3660" s="1">
        <v>5859.0</v>
      </c>
    </row>
    <row r="3661">
      <c r="A3661" s="1" t="str">
        <f t="shared" si="328"/>
        <v>00088H</v>
      </c>
      <c r="B3661" s="1" t="s">
        <v>2463</v>
      </c>
      <c r="C3661" s="1" t="s">
        <v>2464</v>
      </c>
      <c r="D3661" s="1" t="str">
        <f t="shared" si="329"/>
        <v>8027442007</v>
      </c>
      <c r="E3661" s="1">
        <v>3222.0</v>
      </c>
      <c r="F3661" s="1" t="s">
        <v>117</v>
      </c>
      <c r="G3661" s="1" t="s">
        <v>15547</v>
      </c>
      <c r="H3661" s="1">
        <v>32.0</v>
      </c>
      <c r="I3661" s="1"/>
      <c r="J3661" s="1"/>
      <c r="K3661" s="1"/>
      <c r="L3661" s="1"/>
      <c r="M3661" s="1" t="s">
        <v>15548</v>
      </c>
      <c r="N3661" s="1" t="s">
        <v>47</v>
      </c>
      <c r="O3661" s="1" t="s">
        <v>48</v>
      </c>
      <c r="P3661" s="1" t="s">
        <v>12988</v>
      </c>
      <c r="Q3661" s="3">
        <v>42955.0</v>
      </c>
      <c r="R3661" s="1"/>
      <c r="S3661" s="1"/>
      <c r="T3661" s="1" t="s">
        <v>37</v>
      </c>
      <c r="U3661" s="1"/>
      <c r="V3661" s="1" t="s">
        <v>38</v>
      </c>
      <c r="W3661" s="1">
        <v>44.8411514</v>
      </c>
      <c r="X3661" s="1">
        <v>-72.6960933</v>
      </c>
      <c r="Y3661" s="1" t="s">
        <v>15549</v>
      </c>
      <c r="Z3661" s="1"/>
      <c r="AA3661" s="1" t="s">
        <v>40</v>
      </c>
      <c r="AB3661" s="1" t="s">
        <v>50</v>
      </c>
      <c r="AC3661" s="1">
        <v>5450.0</v>
      </c>
    </row>
    <row r="3662">
      <c r="A3662" s="1" t="str">
        <f t="shared" si="328"/>
        <v>00088H</v>
      </c>
      <c r="B3662" s="1" t="s">
        <v>2463</v>
      </c>
      <c r="C3662" s="1" t="s">
        <v>2464</v>
      </c>
      <c r="D3662" s="1" t="str">
        <f t="shared" si="329"/>
        <v>8027442007</v>
      </c>
      <c r="E3662" s="1">
        <v>3222.0</v>
      </c>
      <c r="F3662" s="1" t="s">
        <v>117</v>
      </c>
      <c r="G3662" s="1" t="s">
        <v>15550</v>
      </c>
      <c r="H3662" s="1">
        <v>32.0</v>
      </c>
      <c r="I3662" s="1"/>
      <c r="J3662" s="1"/>
      <c r="K3662" s="1"/>
      <c r="L3662" s="1"/>
      <c r="M3662" s="1" t="s">
        <v>15551</v>
      </c>
      <c r="N3662" s="1" t="s">
        <v>107</v>
      </c>
      <c r="O3662" s="1" t="s">
        <v>108</v>
      </c>
      <c r="P3662" s="1" t="s">
        <v>15551</v>
      </c>
      <c r="Q3662" s="3">
        <v>42955.0</v>
      </c>
      <c r="R3662" s="1"/>
      <c r="S3662" s="1"/>
      <c r="T3662" s="1" t="s">
        <v>37</v>
      </c>
      <c r="U3662" s="1"/>
      <c r="V3662" s="1" t="s">
        <v>38</v>
      </c>
      <c r="W3662" s="1"/>
      <c r="X3662" s="1"/>
      <c r="Y3662" s="1" t="s">
        <v>15552</v>
      </c>
      <c r="Z3662" s="1"/>
      <c r="AA3662" s="1" t="s">
        <v>40</v>
      </c>
      <c r="AB3662" s="1" t="s">
        <v>15553</v>
      </c>
      <c r="AC3662" s="1">
        <v>0.0</v>
      </c>
    </row>
    <row r="3663">
      <c r="A3663" s="1" t="str">
        <f>"000YXK"</f>
        <v>000YXK</v>
      </c>
      <c r="B3663" s="1" t="s">
        <v>15554</v>
      </c>
      <c r="C3663" s="1" t="s">
        <v>15555</v>
      </c>
      <c r="D3663" s="1" t="str">
        <f>"8023753696"</f>
        <v>8023753696</v>
      </c>
      <c r="E3663" s="1">
        <v>5222.0</v>
      </c>
      <c r="F3663" s="1" t="s">
        <v>117</v>
      </c>
      <c r="G3663" s="1" t="s">
        <v>15556</v>
      </c>
      <c r="H3663" s="1">
        <v>2.0</v>
      </c>
      <c r="I3663" s="2">
        <v>0.0</v>
      </c>
      <c r="J3663" s="2">
        <v>0.0</v>
      </c>
      <c r="K3663" s="2">
        <v>0.0</v>
      </c>
      <c r="L3663" s="1"/>
      <c r="M3663" s="1" t="s">
        <v>15557</v>
      </c>
      <c r="N3663" s="1" t="s">
        <v>414</v>
      </c>
      <c r="O3663" s="1" t="s">
        <v>1160</v>
      </c>
      <c r="P3663" s="1" t="s">
        <v>15558</v>
      </c>
      <c r="Q3663" s="3">
        <v>42956.0</v>
      </c>
      <c r="R3663" s="1"/>
      <c r="S3663" s="1"/>
      <c r="T3663" s="1" t="s">
        <v>37</v>
      </c>
      <c r="U3663" s="1"/>
      <c r="V3663" s="1" t="s">
        <v>38</v>
      </c>
      <c r="W3663" s="1">
        <v>42.982353</v>
      </c>
      <c r="X3663" s="1">
        <v>-73.2193829</v>
      </c>
      <c r="Y3663" s="1" t="s">
        <v>15559</v>
      </c>
      <c r="Z3663" s="1"/>
      <c r="AA3663" s="1" t="s">
        <v>40</v>
      </c>
      <c r="AB3663" s="1" t="s">
        <v>1161</v>
      </c>
      <c r="AC3663" s="1">
        <v>5262.0</v>
      </c>
    </row>
    <row r="3664">
      <c r="A3664" s="1" t="str">
        <f>"000YXM"</f>
        <v>000YXM</v>
      </c>
      <c r="B3664" s="1" t="s">
        <v>15560</v>
      </c>
      <c r="C3664" s="1" t="s">
        <v>15561</v>
      </c>
      <c r="D3664" s="1"/>
      <c r="E3664" s="1">
        <v>5223.0</v>
      </c>
      <c r="F3664" s="1" t="s">
        <v>117</v>
      </c>
      <c r="G3664" s="1" t="s">
        <v>15562</v>
      </c>
      <c r="H3664" s="1">
        <v>2.0</v>
      </c>
      <c r="I3664" s="2">
        <v>1.0</v>
      </c>
      <c r="J3664" s="2">
        <v>0.0</v>
      </c>
      <c r="K3664" s="2" t="s">
        <v>829</v>
      </c>
      <c r="L3664" s="2"/>
      <c r="M3664" s="1" t="s">
        <v>15563</v>
      </c>
      <c r="N3664" s="1" t="s">
        <v>57</v>
      </c>
      <c r="O3664" s="1" t="s">
        <v>175</v>
      </c>
      <c r="P3664" s="1" t="s">
        <v>15564</v>
      </c>
      <c r="Q3664" s="3">
        <v>42956.0</v>
      </c>
      <c r="R3664" s="1"/>
      <c r="S3664" s="1"/>
      <c r="T3664" s="1" t="s">
        <v>37</v>
      </c>
      <c r="U3664" s="1"/>
      <c r="V3664" s="1" t="s">
        <v>38</v>
      </c>
      <c r="W3664" s="1">
        <v>44.4717920999999</v>
      </c>
      <c r="X3664" s="1">
        <v>-73.1995723999999</v>
      </c>
      <c r="Y3664" s="1" t="s">
        <v>15565</v>
      </c>
      <c r="Z3664" s="1"/>
      <c r="AA3664" s="1" t="s">
        <v>40</v>
      </c>
      <c r="AB3664" s="1" t="s">
        <v>176</v>
      </c>
      <c r="AC3664" s="1">
        <v>5401.0</v>
      </c>
    </row>
    <row r="3665">
      <c r="A3665" s="1" t="str">
        <f>"000YY1"</f>
        <v>000YY1</v>
      </c>
      <c r="B3665" s="1" t="s">
        <v>15566</v>
      </c>
      <c r="C3665" s="1" t="s">
        <v>15567</v>
      </c>
      <c r="D3665" s="1" t="str">
        <f>"6176202027"</f>
        <v>6176202027</v>
      </c>
      <c r="E3665" s="1">
        <v>5224.0</v>
      </c>
      <c r="F3665" s="1" t="s">
        <v>117</v>
      </c>
      <c r="G3665" s="1" t="s">
        <v>15568</v>
      </c>
      <c r="H3665" s="1">
        <v>3.0</v>
      </c>
      <c r="I3665" s="2">
        <v>0.0</v>
      </c>
      <c r="J3665" s="2">
        <v>0.0</v>
      </c>
      <c r="K3665" s="2" t="s">
        <v>119</v>
      </c>
      <c r="L3665" s="1"/>
      <c r="M3665" s="1" t="s">
        <v>15569</v>
      </c>
      <c r="N3665" s="1" t="s">
        <v>78</v>
      </c>
      <c r="O3665" s="1" t="s">
        <v>121</v>
      </c>
      <c r="P3665" s="1" t="s">
        <v>15570</v>
      </c>
      <c r="Q3665" s="3">
        <v>42957.0</v>
      </c>
      <c r="R3665" s="1"/>
      <c r="S3665" s="1"/>
      <c r="T3665" s="1" t="s">
        <v>37</v>
      </c>
      <c r="U3665" s="1"/>
      <c r="V3665" s="1" t="s">
        <v>38</v>
      </c>
      <c r="W3665" s="1">
        <v>43.529106</v>
      </c>
      <c r="X3665" s="1">
        <v>-73.1990359999999</v>
      </c>
      <c r="Y3665" s="1" t="s">
        <v>15571</v>
      </c>
      <c r="Z3665" s="1"/>
      <c r="AA3665" s="1" t="s">
        <v>40</v>
      </c>
      <c r="AB3665" s="1" t="s">
        <v>15572</v>
      </c>
      <c r="AC3665" s="1">
        <v>5764.0</v>
      </c>
    </row>
    <row r="3666">
      <c r="A3666" s="1" t="str">
        <f>"000YY2"</f>
        <v>000YY2</v>
      </c>
      <c r="B3666" s="1" t="s">
        <v>15573</v>
      </c>
      <c r="C3666" s="1" t="s">
        <v>15574</v>
      </c>
      <c r="D3666" s="1" t="str">
        <f>"8028756551"</f>
        <v>8028756551</v>
      </c>
      <c r="E3666" s="1">
        <v>5225.0</v>
      </c>
      <c r="F3666" s="1" t="s">
        <v>117</v>
      </c>
      <c r="G3666" s="1" t="s">
        <v>15575</v>
      </c>
      <c r="H3666" s="1">
        <v>1.0</v>
      </c>
      <c r="I3666" s="2">
        <v>1.0</v>
      </c>
      <c r="J3666" s="2">
        <v>1.0</v>
      </c>
      <c r="K3666" s="2" t="s">
        <v>119</v>
      </c>
      <c r="L3666" s="1"/>
      <c r="M3666" s="1" t="s">
        <v>15576</v>
      </c>
      <c r="N3666" s="1" t="s">
        <v>34</v>
      </c>
      <c r="O3666" s="1" t="s">
        <v>5592</v>
      </c>
      <c r="P3666" s="1" t="s">
        <v>15577</v>
      </c>
      <c r="Q3666" s="3">
        <v>42958.0</v>
      </c>
      <c r="R3666" s="1"/>
      <c r="S3666" s="1"/>
      <c r="T3666" s="1" t="s">
        <v>37</v>
      </c>
      <c r="U3666" s="1"/>
      <c r="V3666" s="1" t="s">
        <v>38</v>
      </c>
      <c r="W3666" s="1">
        <v>43.2441184</v>
      </c>
      <c r="X3666" s="1">
        <v>-72.7088835</v>
      </c>
      <c r="Y3666" s="1" t="s">
        <v>15578</v>
      </c>
      <c r="Z3666" s="1"/>
      <c r="AA3666" s="1" t="s">
        <v>40</v>
      </c>
      <c r="AB3666" s="1" t="s">
        <v>15579</v>
      </c>
      <c r="AC3666" s="1">
        <v>5143.0</v>
      </c>
    </row>
    <row r="3667">
      <c r="A3667" s="1" t="str">
        <f>"0008GW"</f>
        <v>0008GW</v>
      </c>
      <c r="B3667" s="1" t="s">
        <v>7467</v>
      </c>
      <c r="C3667" s="1" t="s">
        <v>7468</v>
      </c>
      <c r="D3667" s="1" t="str">
        <f>"8027734886"</f>
        <v>8027734886</v>
      </c>
      <c r="E3667" s="1">
        <v>2725.0</v>
      </c>
      <c r="F3667" s="1" t="s">
        <v>117</v>
      </c>
      <c r="G3667" s="1" t="s">
        <v>15580</v>
      </c>
      <c r="H3667" s="1">
        <v>18.0</v>
      </c>
      <c r="I3667" s="2" t="s">
        <v>119</v>
      </c>
      <c r="J3667" s="2" t="s">
        <v>119</v>
      </c>
      <c r="K3667" s="2" t="s">
        <v>119</v>
      </c>
      <c r="L3667" s="1"/>
      <c r="M3667" s="1">
        <v>5.0</v>
      </c>
      <c r="N3667" s="1" t="s">
        <v>78</v>
      </c>
      <c r="O3667" s="1" t="s">
        <v>6011</v>
      </c>
      <c r="P3667" s="1" t="s">
        <v>15581</v>
      </c>
      <c r="Q3667" s="3">
        <v>42958.0</v>
      </c>
      <c r="R3667" s="1"/>
      <c r="S3667" s="1"/>
      <c r="T3667" s="1" t="s">
        <v>37</v>
      </c>
      <c r="U3667" s="1"/>
      <c r="V3667" s="1" t="s">
        <v>38</v>
      </c>
      <c r="W3667" s="1">
        <v>43.634136</v>
      </c>
      <c r="X3667" s="1">
        <v>-73.0685199999999</v>
      </c>
      <c r="Y3667" s="1" t="s">
        <v>15582</v>
      </c>
      <c r="Z3667" s="1"/>
      <c r="AA3667" s="1" t="s">
        <v>40</v>
      </c>
      <c r="AB3667" s="1" t="s">
        <v>6012</v>
      </c>
      <c r="AC3667" s="1">
        <v>5744.0</v>
      </c>
    </row>
    <row r="3668">
      <c r="A3668" s="1" t="str">
        <f>"000YY5"</f>
        <v>000YY5</v>
      </c>
      <c r="B3668" s="1" t="s">
        <v>15583</v>
      </c>
      <c r="C3668" s="1" t="s">
        <v>15584</v>
      </c>
      <c r="D3668" s="1" t="str">
        <f>"8025584265"</f>
        <v>8025584265</v>
      </c>
      <c r="E3668" s="1">
        <v>5226.0</v>
      </c>
      <c r="F3668" s="1" t="s">
        <v>117</v>
      </c>
      <c r="G3668" s="1" t="s">
        <v>15585</v>
      </c>
      <c r="H3668" s="1">
        <v>1.0</v>
      </c>
      <c r="I3668" s="2" t="s">
        <v>119</v>
      </c>
      <c r="J3668" s="2" t="s">
        <v>119</v>
      </c>
      <c r="K3668" s="2" t="s">
        <v>119</v>
      </c>
      <c r="L3668" s="1"/>
      <c r="M3668" s="1" t="s">
        <v>15586</v>
      </c>
      <c r="N3668" s="1" t="s">
        <v>142</v>
      </c>
      <c r="O3668" s="1" t="s">
        <v>2474</v>
      </c>
      <c r="P3668" s="1" t="s">
        <v>15587</v>
      </c>
      <c r="Q3668" s="3">
        <v>42958.0</v>
      </c>
      <c r="R3668" s="1"/>
      <c r="S3668" s="1"/>
      <c r="T3668" s="1" t="s">
        <v>37</v>
      </c>
      <c r="U3668" s="1"/>
      <c r="V3668" s="1" t="s">
        <v>38</v>
      </c>
      <c r="W3668" s="1">
        <v>43.911026</v>
      </c>
      <c r="X3668" s="1">
        <v>-72.153</v>
      </c>
      <c r="Y3668" s="1" t="s">
        <v>15588</v>
      </c>
      <c r="Z3668" s="1"/>
      <c r="AA3668" s="1" t="s">
        <v>40</v>
      </c>
      <c r="AB3668" s="1" t="s">
        <v>15589</v>
      </c>
      <c r="AC3668" s="1">
        <v>5045.0</v>
      </c>
    </row>
    <row r="3669">
      <c r="A3669" s="1" t="str">
        <f>"000V6Y"</f>
        <v>000V6Y</v>
      </c>
      <c r="B3669" s="1" t="s">
        <v>13334</v>
      </c>
      <c r="C3669" s="1" t="s">
        <v>13335</v>
      </c>
      <c r="D3669" s="1" t="str">
        <f>"8027289632"</f>
        <v>8027289632</v>
      </c>
      <c r="E3669" s="1">
        <v>4929.0</v>
      </c>
      <c r="F3669" s="1" t="s">
        <v>117</v>
      </c>
      <c r="G3669" s="1" t="s">
        <v>15590</v>
      </c>
      <c r="H3669" s="1">
        <v>3.0</v>
      </c>
      <c r="I3669" s="1"/>
      <c r="J3669" s="1"/>
      <c r="K3669" s="1"/>
      <c r="L3669" s="1"/>
      <c r="M3669" s="1"/>
      <c r="N3669" s="1" t="s">
        <v>49</v>
      </c>
      <c r="O3669" s="1"/>
      <c r="P3669" s="1"/>
      <c r="Q3669" s="3">
        <v>42958.0</v>
      </c>
      <c r="R3669" s="1"/>
      <c r="S3669" s="3">
        <v>42958.0</v>
      </c>
      <c r="T3669" s="1" t="s">
        <v>8597</v>
      </c>
      <c r="U3669" s="1"/>
      <c r="V3669" s="1" t="s">
        <v>38</v>
      </c>
      <c r="W3669" s="1"/>
      <c r="X3669" s="1"/>
      <c r="Y3669" s="1" t="s">
        <v>15591</v>
      </c>
      <c r="Z3669" s="1"/>
      <c r="AA3669" s="1" t="s">
        <v>40</v>
      </c>
      <c r="AB3669" s="1" t="s">
        <v>151</v>
      </c>
      <c r="AC3669" s="2" t="s">
        <v>15592</v>
      </c>
    </row>
    <row r="3670">
      <c r="A3670" s="1" t="str">
        <f t="shared" ref="A3670:A3671" si="330">"000YY7"</f>
        <v>000YY7</v>
      </c>
      <c r="B3670" s="1" t="s">
        <v>15593</v>
      </c>
      <c r="C3670" s="1" t="s">
        <v>15594</v>
      </c>
      <c r="D3670" s="1" t="str">
        <f t="shared" ref="D3670:D3671" si="331">"8024254876"</f>
        <v>8024254876</v>
      </c>
      <c r="E3670" s="1">
        <v>5227.0</v>
      </c>
      <c r="F3670" s="1" t="s">
        <v>117</v>
      </c>
      <c r="G3670" s="1" t="s">
        <v>15595</v>
      </c>
      <c r="H3670" s="1">
        <v>1.0</v>
      </c>
      <c r="I3670" s="2">
        <v>1.0</v>
      </c>
      <c r="J3670" s="2">
        <v>1.0</v>
      </c>
      <c r="K3670" s="2" t="s">
        <v>119</v>
      </c>
      <c r="L3670" s="1"/>
      <c r="M3670" s="1" t="s">
        <v>15596</v>
      </c>
      <c r="N3670" s="1" t="s">
        <v>57</v>
      </c>
      <c r="O3670" s="1" t="s">
        <v>1633</v>
      </c>
      <c r="P3670" s="1" t="s">
        <v>15597</v>
      </c>
      <c r="Q3670" s="3">
        <v>42961.0</v>
      </c>
      <c r="R3670" s="1"/>
      <c r="S3670" s="1"/>
      <c r="T3670" s="1" t="s">
        <v>37</v>
      </c>
      <c r="U3670" s="1"/>
      <c r="V3670" s="1" t="s">
        <v>38</v>
      </c>
      <c r="W3670" s="1">
        <v>44.3122811</v>
      </c>
      <c r="X3670" s="1">
        <v>-73.2310587</v>
      </c>
      <c r="Y3670" s="1" t="s">
        <v>15598</v>
      </c>
      <c r="Z3670" s="1"/>
      <c r="AA3670" s="1" t="s">
        <v>40</v>
      </c>
      <c r="AB3670" s="1" t="s">
        <v>1634</v>
      </c>
      <c r="AC3670" s="1">
        <v>5445.0</v>
      </c>
    </row>
    <row r="3671">
      <c r="A3671" s="1" t="str">
        <f t="shared" si="330"/>
        <v>000YY7</v>
      </c>
      <c r="B3671" s="1" t="s">
        <v>15593</v>
      </c>
      <c r="C3671" s="1" t="s">
        <v>15594</v>
      </c>
      <c r="D3671" s="1" t="str">
        <f t="shared" si="331"/>
        <v>8024254876</v>
      </c>
      <c r="E3671" s="1">
        <v>5227.0</v>
      </c>
      <c r="F3671" s="1" t="s">
        <v>117</v>
      </c>
      <c r="G3671" s="1" t="s">
        <v>15599</v>
      </c>
      <c r="H3671" s="1">
        <v>1.0</v>
      </c>
      <c r="I3671" s="2" t="s">
        <v>119</v>
      </c>
      <c r="J3671" s="2" t="s">
        <v>119</v>
      </c>
      <c r="K3671" s="2" t="s">
        <v>119</v>
      </c>
      <c r="L3671" s="1"/>
      <c r="M3671" s="1">
        <v>2.0</v>
      </c>
      <c r="N3671" s="1" t="s">
        <v>161</v>
      </c>
      <c r="O3671" s="1" t="s">
        <v>394</v>
      </c>
      <c r="P3671" s="1" t="s">
        <v>15600</v>
      </c>
      <c r="Q3671" s="3">
        <v>42961.0</v>
      </c>
      <c r="R3671" s="1"/>
      <c r="S3671" s="1"/>
      <c r="T3671" s="1" t="s">
        <v>37</v>
      </c>
      <c r="U3671" s="1"/>
      <c r="V3671" s="1" t="s">
        <v>38</v>
      </c>
      <c r="W3671" s="1">
        <v>44.1967297</v>
      </c>
      <c r="X3671" s="1">
        <v>-73.1680953999999</v>
      </c>
      <c r="Y3671" s="1" t="s">
        <v>15601</v>
      </c>
      <c r="Z3671" s="1"/>
      <c r="AA3671" s="1" t="s">
        <v>40</v>
      </c>
      <c r="AB3671" s="1" t="s">
        <v>395</v>
      </c>
      <c r="AC3671" s="1">
        <v>5472.0</v>
      </c>
    </row>
    <row r="3672">
      <c r="A3672" s="1" t="str">
        <f>"000YZA"</f>
        <v>000YZA</v>
      </c>
      <c r="B3672" s="1" t="s">
        <v>15602</v>
      </c>
      <c r="C3672" s="1" t="s">
        <v>15603</v>
      </c>
      <c r="D3672" s="1" t="str">
        <f>"8023843715"</f>
        <v>8023843715</v>
      </c>
      <c r="E3672" s="1">
        <v>5228.0</v>
      </c>
      <c r="F3672" s="1" t="s">
        <v>117</v>
      </c>
      <c r="G3672" s="1" t="s">
        <v>15604</v>
      </c>
      <c r="H3672" s="1">
        <v>2.0</v>
      </c>
      <c r="I3672" s="2" t="s">
        <v>119</v>
      </c>
      <c r="J3672" s="2" t="s">
        <v>119</v>
      </c>
      <c r="K3672" s="2" t="s">
        <v>119</v>
      </c>
      <c r="L3672" s="1"/>
      <c r="M3672" s="1" t="s">
        <v>15605</v>
      </c>
      <c r="N3672" s="1" t="s">
        <v>66</v>
      </c>
      <c r="O3672" s="1" t="s">
        <v>113</v>
      </c>
      <c r="P3672" s="1" t="s">
        <v>15606</v>
      </c>
      <c r="Q3672" s="3">
        <v>42972.0</v>
      </c>
      <c r="R3672" s="1"/>
      <c r="S3672" s="1"/>
      <c r="T3672" s="1" t="s">
        <v>37</v>
      </c>
      <c r="U3672" s="1"/>
      <c r="V3672" s="1" t="s">
        <v>38</v>
      </c>
      <c r="W3672" s="1">
        <v>43.039845</v>
      </c>
      <c r="X3672" s="1">
        <v>-72.5528719</v>
      </c>
      <c r="Y3672" s="1" t="s">
        <v>15607</v>
      </c>
      <c r="Z3672" s="1"/>
      <c r="AA3672" s="1" t="s">
        <v>40</v>
      </c>
      <c r="AB3672" s="1" t="s">
        <v>594</v>
      </c>
      <c r="AC3672" s="1">
        <v>5346.0</v>
      </c>
    </row>
    <row r="3673">
      <c r="A3673" s="1" t="str">
        <f>"000YZP"</f>
        <v>000YZP</v>
      </c>
      <c r="B3673" s="1" t="s">
        <v>15608</v>
      </c>
      <c r="C3673" s="1" t="s">
        <v>15609</v>
      </c>
      <c r="D3673" s="1" t="str">
        <f>"8022910370"</f>
        <v>8022910370</v>
      </c>
      <c r="E3673" s="1">
        <v>5229.0</v>
      </c>
      <c r="F3673" s="1" t="s">
        <v>117</v>
      </c>
      <c r="G3673" s="1" t="s">
        <v>15610</v>
      </c>
      <c r="H3673" s="1">
        <v>2.0</v>
      </c>
      <c r="I3673" s="2" t="s">
        <v>119</v>
      </c>
      <c r="J3673" s="2" t="s">
        <v>119</v>
      </c>
      <c r="K3673" s="2" t="s">
        <v>119</v>
      </c>
      <c r="L3673" s="1"/>
      <c r="M3673" s="1" t="s">
        <v>15611</v>
      </c>
      <c r="N3673" s="1" t="s">
        <v>34</v>
      </c>
      <c r="O3673" s="1" t="s">
        <v>88</v>
      </c>
      <c r="P3673" s="1" t="s">
        <v>15612</v>
      </c>
      <c r="Q3673" s="3">
        <v>42978.0</v>
      </c>
      <c r="R3673" s="1"/>
      <c r="S3673" s="1"/>
      <c r="T3673" s="1" t="s">
        <v>37</v>
      </c>
      <c r="U3673" s="1"/>
      <c r="V3673" s="1" t="s">
        <v>38</v>
      </c>
      <c r="W3673" s="1"/>
      <c r="X3673" s="1"/>
      <c r="Y3673" s="1" t="s">
        <v>15613</v>
      </c>
      <c r="Z3673" s="1"/>
      <c r="AA3673" s="1" t="s">
        <v>40</v>
      </c>
      <c r="AB3673" s="1" t="s">
        <v>15614</v>
      </c>
      <c r="AC3673" s="1">
        <v>5065.0</v>
      </c>
    </row>
    <row r="3674">
      <c r="A3674" s="1" t="str">
        <f>"000YZZ"</f>
        <v>000YZZ</v>
      </c>
      <c r="B3674" s="1" t="s">
        <v>15615</v>
      </c>
      <c r="C3674" s="1" t="s">
        <v>15616</v>
      </c>
      <c r="D3674" s="1" t="str">
        <f>"8024423840"</f>
        <v>8024423840</v>
      </c>
      <c r="E3674" s="1">
        <v>5230.0</v>
      </c>
      <c r="F3674" s="1" t="s">
        <v>117</v>
      </c>
      <c r="G3674" s="1" t="s">
        <v>15617</v>
      </c>
      <c r="H3674" s="1">
        <v>3.0</v>
      </c>
      <c r="I3674" s="2">
        <v>0.0</v>
      </c>
      <c r="J3674" s="2">
        <v>0.0</v>
      </c>
      <c r="K3674" s="2" t="s">
        <v>119</v>
      </c>
      <c r="L3674" s="1"/>
      <c r="M3674" s="1" t="s">
        <v>15618</v>
      </c>
      <c r="N3674" s="1" t="s">
        <v>414</v>
      </c>
      <c r="O3674" s="1" t="s">
        <v>720</v>
      </c>
      <c r="P3674" s="1" t="s">
        <v>15619</v>
      </c>
      <c r="Q3674" s="3">
        <v>42983.0</v>
      </c>
      <c r="R3674" s="1"/>
      <c r="S3674" s="1"/>
      <c r="T3674" s="1" t="s">
        <v>37</v>
      </c>
      <c r="U3674" s="1"/>
      <c r="V3674" s="1" t="s">
        <v>38</v>
      </c>
      <c r="W3674" s="1">
        <v>42.869801</v>
      </c>
      <c r="X3674" s="1">
        <v>-73.1867899999999</v>
      </c>
      <c r="Y3674" s="1" t="s">
        <v>15620</v>
      </c>
      <c r="Z3674" s="1"/>
      <c r="AA3674" s="1" t="s">
        <v>40</v>
      </c>
      <c r="AB3674" s="1" t="s">
        <v>15621</v>
      </c>
      <c r="AC3674" s="1">
        <v>5201.0</v>
      </c>
    </row>
    <row r="3675">
      <c r="A3675" s="1" t="str">
        <f t="shared" ref="A3675:A3676" si="332">"000Z0G"</f>
        <v>000Z0G</v>
      </c>
      <c r="B3675" s="1" t="s">
        <v>15622</v>
      </c>
      <c r="C3675" s="1" t="s">
        <v>15623</v>
      </c>
      <c r="D3675" s="1" t="str">
        <f t="shared" ref="D3675:D3676" si="333">"8027342230"</f>
        <v>8027342230</v>
      </c>
      <c r="E3675" s="1">
        <v>5231.0</v>
      </c>
      <c r="F3675" s="1" t="s">
        <v>117</v>
      </c>
      <c r="G3675" s="1" t="s">
        <v>15624</v>
      </c>
      <c r="H3675" s="1">
        <v>8.0</v>
      </c>
      <c r="I3675" s="2" t="s">
        <v>119</v>
      </c>
      <c r="J3675" s="2" t="s">
        <v>119</v>
      </c>
      <c r="K3675" s="2" t="s">
        <v>119</v>
      </c>
      <c r="L3675" s="1"/>
      <c r="M3675" s="1" t="s">
        <v>15625</v>
      </c>
      <c r="N3675" s="1" t="s">
        <v>213</v>
      </c>
      <c r="O3675" s="1" t="s">
        <v>214</v>
      </c>
      <c r="P3675" s="1" t="s">
        <v>15626</v>
      </c>
      <c r="Q3675" s="3">
        <v>42984.0</v>
      </c>
      <c r="R3675" s="1"/>
      <c r="S3675" s="1"/>
      <c r="T3675" s="1" t="s">
        <v>37</v>
      </c>
      <c r="U3675" s="1"/>
      <c r="V3675" s="1" t="s">
        <v>38</v>
      </c>
      <c r="W3675" s="1">
        <v>44.5896899</v>
      </c>
      <c r="X3675" s="1">
        <v>-72.6563484</v>
      </c>
      <c r="Y3675" s="1" t="s">
        <v>15627</v>
      </c>
      <c r="Z3675" s="1"/>
      <c r="AA3675" s="1" t="s">
        <v>40</v>
      </c>
      <c r="AB3675" s="1" t="s">
        <v>217</v>
      </c>
      <c r="AC3675" s="1">
        <v>5661.0</v>
      </c>
    </row>
    <row r="3676">
      <c r="A3676" s="1" t="str">
        <f t="shared" si="332"/>
        <v>000Z0G</v>
      </c>
      <c r="B3676" s="1" t="s">
        <v>15622</v>
      </c>
      <c r="C3676" s="1" t="s">
        <v>15623</v>
      </c>
      <c r="D3676" s="1" t="str">
        <f t="shared" si="333"/>
        <v>8027342230</v>
      </c>
      <c r="E3676" s="1">
        <v>5231.0</v>
      </c>
      <c r="F3676" s="1" t="s">
        <v>117</v>
      </c>
      <c r="G3676" s="1" t="s">
        <v>15628</v>
      </c>
      <c r="H3676" s="1">
        <v>5.0</v>
      </c>
      <c r="I3676" s="2" t="s">
        <v>119</v>
      </c>
      <c r="J3676" s="2" t="s">
        <v>119</v>
      </c>
      <c r="K3676" s="2" t="s">
        <v>119</v>
      </c>
      <c r="L3676" s="1"/>
      <c r="M3676" s="1" t="s">
        <v>10075</v>
      </c>
      <c r="N3676" s="1" t="s">
        <v>213</v>
      </c>
      <c r="O3676" s="1" t="s">
        <v>365</v>
      </c>
      <c r="P3676" s="1" t="s">
        <v>15629</v>
      </c>
      <c r="Q3676" s="3">
        <v>42984.0</v>
      </c>
      <c r="R3676" s="1"/>
      <c r="S3676" s="1"/>
      <c r="T3676" s="1" t="s">
        <v>37</v>
      </c>
      <c r="U3676" s="1"/>
      <c r="V3676" s="1" t="s">
        <v>38</v>
      </c>
      <c r="W3676" s="1">
        <v>44.4984968</v>
      </c>
      <c r="X3676" s="1">
        <v>-72.6816448999999</v>
      </c>
      <c r="Y3676" s="1" t="s">
        <v>15630</v>
      </c>
      <c r="Z3676" s="1"/>
      <c r="AA3676" s="1" t="s">
        <v>40</v>
      </c>
      <c r="AB3676" s="1" t="s">
        <v>10075</v>
      </c>
      <c r="AC3676" s="1">
        <v>5442.0</v>
      </c>
    </row>
    <row r="3677">
      <c r="A3677" s="1" t="str">
        <f>"000Z0H"</f>
        <v>000Z0H</v>
      </c>
      <c r="B3677" s="1" t="s">
        <v>15631</v>
      </c>
      <c r="C3677" s="1" t="s">
        <v>15632</v>
      </c>
      <c r="D3677" s="1" t="str">
        <f>"8027826257"</f>
        <v>8027826257</v>
      </c>
      <c r="E3677" s="1">
        <v>5232.0</v>
      </c>
      <c r="F3677" s="1" t="s">
        <v>117</v>
      </c>
      <c r="G3677" s="1" t="s">
        <v>15633</v>
      </c>
      <c r="H3677" s="1">
        <v>2.0</v>
      </c>
      <c r="I3677" s="2">
        <v>0.0</v>
      </c>
      <c r="J3677" s="2">
        <v>0.0</v>
      </c>
      <c r="K3677" s="2" t="s">
        <v>119</v>
      </c>
      <c r="L3677" s="1"/>
      <c r="M3677" s="1" t="s">
        <v>15634</v>
      </c>
      <c r="N3677" s="1" t="s">
        <v>47</v>
      </c>
      <c r="O3677" s="1" t="s">
        <v>100</v>
      </c>
      <c r="P3677" s="1" t="s">
        <v>15635</v>
      </c>
      <c r="Q3677" s="3">
        <v>42984.0</v>
      </c>
      <c r="R3677" s="1"/>
      <c r="S3677" s="1"/>
      <c r="T3677" s="1" t="s">
        <v>37</v>
      </c>
      <c r="U3677" s="1"/>
      <c r="V3677" s="1" t="s">
        <v>38</v>
      </c>
      <c r="W3677" s="1"/>
      <c r="X3677" s="1"/>
      <c r="Y3677" s="1" t="s">
        <v>15636</v>
      </c>
      <c r="Z3677" s="1"/>
      <c r="AA3677" s="1" t="s">
        <v>40</v>
      </c>
      <c r="AB3677" s="1" t="s">
        <v>102</v>
      </c>
      <c r="AC3677" s="1">
        <v>5455.0</v>
      </c>
    </row>
    <row r="3678">
      <c r="A3678" s="1" t="str">
        <f t="shared" ref="A3678:A3679" si="334">"0007WA"</f>
        <v>0007WA</v>
      </c>
      <c r="B3678" s="1" t="s">
        <v>157</v>
      </c>
      <c r="C3678" s="1" t="s">
        <v>158</v>
      </c>
      <c r="D3678" s="1" t="str">
        <f t="shared" ref="D3678:D3679" si="335">"8029482057"</f>
        <v>8029482057</v>
      </c>
      <c r="E3678" s="1">
        <v>1217.0</v>
      </c>
      <c r="F3678" s="1" t="s">
        <v>31</v>
      </c>
      <c r="G3678" s="1" t="s">
        <v>15637</v>
      </c>
      <c r="H3678" s="1">
        <v>46.0</v>
      </c>
      <c r="I3678" s="1"/>
      <c r="J3678" s="1"/>
      <c r="K3678" s="1"/>
      <c r="L3678" s="1"/>
      <c r="M3678" s="1" t="s">
        <v>15638</v>
      </c>
      <c r="N3678" s="1"/>
      <c r="O3678" s="1"/>
      <c r="P3678" s="1"/>
      <c r="Q3678" s="3">
        <v>42985.0</v>
      </c>
      <c r="R3678" s="1"/>
      <c r="S3678" s="3">
        <v>42985.0</v>
      </c>
      <c r="T3678" s="1" t="s">
        <v>164</v>
      </c>
      <c r="U3678" s="1"/>
      <c r="V3678" s="1" t="s">
        <v>38</v>
      </c>
      <c r="W3678" s="1"/>
      <c r="X3678" s="1"/>
      <c r="Y3678" s="1" t="s">
        <v>15639</v>
      </c>
      <c r="Z3678" s="1"/>
      <c r="AA3678" s="1" t="s">
        <v>15640</v>
      </c>
      <c r="AB3678" s="1" t="s">
        <v>15641</v>
      </c>
      <c r="AC3678" s="1">
        <v>3779.0</v>
      </c>
    </row>
    <row r="3679">
      <c r="A3679" s="1" t="str">
        <f t="shared" si="334"/>
        <v>0007WA</v>
      </c>
      <c r="B3679" s="1" t="s">
        <v>157</v>
      </c>
      <c r="C3679" s="1" t="s">
        <v>158</v>
      </c>
      <c r="D3679" s="1" t="str">
        <f t="shared" si="335"/>
        <v>8029482057</v>
      </c>
      <c r="E3679" s="1">
        <v>1217.0</v>
      </c>
      <c r="F3679" s="1" t="s">
        <v>31</v>
      </c>
      <c r="G3679" s="1" t="s">
        <v>15642</v>
      </c>
      <c r="H3679" s="1">
        <v>104.0</v>
      </c>
      <c r="I3679" s="1"/>
      <c r="J3679" s="1"/>
      <c r="K3679" s="1"/>
      <c r="L3679" s="1"/>
      <c r="M3679" s="1" t="s">
        <v>15643</v>
      </c>
      <c r="N3679" s="1" t="s">
        <v>49</v>
      </c>
      <c r="O3679" s="1"/>
      <c r="P3679" s="1"/>
      <c r="Q3679" s="3">
        <v>42985.0</v>
      </c>
      <c r="R3679" s="1"/>
      <c r="S3679" s="3">
        <v>42985.0</v>
      </c>
      <c r="T3679" s="1" t="s">
        <v>164</v>
      </c>
      <c r="U3679" s="1"/>
      <c r="V3679" s="1" t="s">
        <v>38</v>
      </c>
      <c r="W3679" s="1"/>
      <c r="X3679" s="1"/>
      <c r="Y3679" s="1" t="s">
        <v>15644</v>
      </c>
      <c r="Z3679" s="1" t="s">
        <v>15645</v>
      </c>
      <c r="AA3679" s="1" t="s">
        <v>40</v>
      </c>
      <c r="AB3679" s="1" t="s">
        <v>15646</v>
      </c>
      <c r="AC3679" s="1">
        <v>5033.0</v>
      </c>
    </row>
    <row r="3680">
      <c r="A3680" s="1" t="str">
        <f t="shared" ref="A3680:A3681" si="336">"000Z0Y"</f>
        <v>000Z0Y</v>
      </c>
      <c r="B3680" s="1" t="s">
        <v>15647</v>
      </c>
      <c r="C3680" s="1" t="s">
        <v>15648</v>
      </c>
      <c r="D3680" s="1" t="str">
        <f t="shared" ref="D3680:D3681" si="337">"8027679902"</f>
        <v>8027679902</v>
      </c>
      <c r="E3680" s="1">
        <v>5233.0</v>
      </c>
      <c r="F3680" s="1" t="s">
        <v>117</v>
      </c>
      <c r="G3680" s="1" t="s">
        <v>15649</v>
      </c>
      <c r="H3680" s="1">
        <v>22.0</v>
      </c>
      <c r="I3680" s="1"/>
      <c r="J3680" s="1"/>
      <c r="K3680" s="1"/>
      <c r="L3680" s="1"/>
      <c r="M3680" s="1">
        <v>1.0</v>
      </c>
      <c r="N3680" s="1" t="s">
        <v>34</v>
      </c>
      <c r="O3680" s="1" t="s">
        <v>1277</v>
      </c>
      <c r="P3680" s="1" t="s">
        <v>15650</v>
      </c>
      <c r="Q3680" s="3">
        <v>42990.0</v>
      </c>
      <c r="R3680" s="1"/>
      <c r="S3680" s="1"/>
      <c r="T3680" s="1" t="s">
        <v>37</v>
      </c>
      <c r="U3680" s="1"/>
      <c r="V3680" s="1" t="s">
        <v>38</v>
      </c>
      <c r="W3680" s="1">
        <v>43.8625213</v>
      </c>
      <c r="X3680" s="1">
        <v>-72.8432303</v>
      </c>
      <c r="Y3680" s="1" t="s">
        <v>15651</v>
      </c>
      <c r="Z3680" s="1"/>
      <c r="AA3680" s="1" t="s">
        <v>40</v>
      </c>
      <c r="AB3680" s="1" t="s">
        <v>1278</v>
      </c>
      <c r="AC3680" s="1">
        <v>5767.0</v>
      </c>
    </row>
    <row r="3681">
      <c r="A3681" s="1" t="str">
        <f t="shared" si="336"/>
        <v>000Z0Y</v>
      </c>
      <c r="B3681" s="1" t="s">
        <v>15647</v>
      </c>
      <c r="C3681" s="1" t="s">
        <v>15648</v>
      </c>
      <c r="D3681" s="1" t="str">
        <f t="shared" si="337"/>
        <v>8027679902</v>
      </c>
      <c r="E3681" s="1">
        <v>5233.0</v>
      </c>
      <c r="F3681" s="1" t="s">
        <v>117</v>
      </c>
      <c r="G3681" s="1" t="s">
        <v>15652</v>
      </c>
      <c r="H3681" s="1">
        <v>3.0</v>
      </c>
      <c r="I3681" s="1"/>
      <c r="J3681" s="1"/>
      <c r="K3681" s="1"/>
      <c r="L3681" s="1"/>
      <c r="M3681" s="1"/>
      <c r="N3681" s="1" t="s">
        <v>34</v>
      </c>
      <c r="O3681" s="1"/>
      <c r="P3681" s="1" t="s">
        <v>15653</v>
      </c>
      <c r="Q3681" s="3">
        <v>42990.0</v>
      </c>
      <c r="R3681" s="1"/>
      <c r="S3681" s="1"/>
      <c r="T3681" s="1" t="s">
        <v>37</v>
      </c>
      <c r="U3681" s="1"/>
      <c r="V3681" s="1" t="s">
        <v>38</v>
      </c>
      <c r="W3681" s="1">
        <v>43.8730391</v>
      </c>
      <c r="X3681" s="1">
        <v>-72.8578347</v>
      </c>
      <c r="Y3681" s="1" t="s">
        <v>15654</v>
      </c>
      <c r="Z3681" s="1"/>
      <c r="AA3681" s="1" t="s">
        <v>40</v>
      </c>
      <c r="AB3681" s="1" t="s">
        <v>784</v>
      </c>
      <c r="AC3681" s="1">
        <v>5767.0</v>
      </c>
    </row>
    <row r="3682">
      <c r="A3682" s="1" t="str">
        <f>"000Z10"</f>
        <v>000Z10</v>
      </c>
      <c r="B3682" s="1" t="s">
        <v>15655</v>
      </c>
      <c r="C3682" s="1" t="s">
        <v>15656</v>
      </c>
      <c r="D3682" s="1" t="str">
        <f>"8023234232"</f>
        <v>8023234232</v>
      </c>
      <c r="E3682" s="1">
        <v>5234.0</v>
      </c>
      <c r="F3682" s="1" t="s">
        <v>117</v>
      </c>
      <c r="G3682" s="1" t="s">
        <v>15657</v>
      </c>
      <c r="H3682" s="1">
        <v>11.0</v>
      </c>
      <c r="I3682" s="2" t="s">
        <v>119</v>
      </c>
      <c r="J3682" s="2">
        <v>6.0</v>
      </c>
      <c r="K3682" s="2" t="s">
        <v>119</v>
      </c>
      <c r="L3682" s="2" t="s">
        <v>15658</v>
      </c>
      <c r="M3682" s="1" t="s">
        <v>15659</v>
      </c>
      <c r="N3682" s="1" t="s">
        <v>94</v>
      </c>
      <c r="O3682" s="1"/>
      <c r="P3682" s="1" t="s">
        <v>15660</v>
      </c>
      <c r="Q3682" s="3">
        <v>42991.0</v>
      </c>
      <c r="R3682" s="1"/>
      <c r="S3682" s="1"/>
      <c r="T3682" s="1" t="s">
        <v>37</v>
      </c>
      <c r="U3682" s="1"/>
      <c r="V3682" s="1" t="s">
        <v>38</v>
      </c>
      <c r="W3682" s="1"/>
      <c r="X3682" s="1"/>
      <c r="Y3682" s="1" t="s">
        <v>15661</v>
      </c>
      <c r="Z3682" s="1"/>
      <c r="AA3682" s="1" t="s">
        <v>40</v>
      </c>
      <c r="AB3682" s="1" t="s">
        <v>3624</v>
      </c>
      <c r="AC3682" s="1">
        <v>5845.0</v>
      </c>
    </row>
  </sheetData>
  <drawing r:id="rId1"/>
</worksheet>
</file>