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3.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135" windowWidth="20115" windowHeight="7935" tabRatio="474" activeTab="2"/>
  </bookViews>
  <sheets>
    <sheet name="Database" sheetId="1" r:id="rId1"/>
    <sheet name="Pivottables" sheetId="3" r:id="rId2"/>
    <sheet name="Dashboard" sheetId="2" r:id="rId3"/>
  </sheets>
  <definedNames>
    <definedName name="Slicer_Market_Cap">#N/A</definedName>
    <definedName name="Slicer_Month">#N/A</definedName>
  </definedNames>
  <calcPr calcId="144525"/>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S51" i="3" l="1"/>
  <c r="P67" i="3" l="1"/>
  <c r="P68" i="3"/>
  <c r="P69" i="3"/>
  <c r="P70" i="3"/>
  <c r="P71" i="3"/>
  <c r="P72" i="3"/>
  <c r="P73" i="3"/>
  <c r="P74" i="3"/>
  <c r="P75" i="3"/>
  <c r="P76" i="3"/>
  <c r="P77" i="3"/>
  <c r="P66" i="3"/>
  <c r="L50" i="3" l="1"/>
  <c r="L49" i="3"/>
  <c r="L48" i="3" l="1"/>
  <c r="P30" i="3" l="1"/>
  <c r="O30" i="3"/>
  <c r="P20" i="3" l="1"/>
  <c r="P19" i="3"/>
  <c r="P18" i="3"/>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L24" i="3" l="1"/>
  <c r="L25" i="3"/>
  <c r="M29" i="3"/>
  <c r="M30" i="3"/>
  <c r="L21" i="3" l="1"/>
  <c r="L20" i="3"/>
  <c r="L19" i="3"/>
  <c r="I5" i="3" l="1"/>
  <c r="I6" i="3"/>
  <c r="I7" i="3"/>
  <c r="I8" i="3"/>
  <c r="I4" i="3"/>
  <c r="H6" i="3"/>
  <c r="H7" i="3"/>
  <c r="H8" i="3"/>
  <c r="H5" i="3"/>
  <c r="H4" i="3"/>
  <c r="H56" i="1" l="1"/>
  <c r="P56" i="1" s="1"/>
  <c r="K56" i="1"/>
  <c r="H55" i="1"/>
  <c r="O55" i="1" s="1"/>
  <c r="K55" i="1"/>
  <c r="H54" i="1"/>
  <c r="P54" i="1" s="1"/>
  <c r="K54" i="1"/>
  <c r="J54" i="1" s="1"/>
  <c r="H53" i="1"/>
  <c r="P53" i="1" s="1"/>
  <c r="K53" i="1"/>
  <c r="J53" i="1" s="1"/>
  <c r="H52" i="1"/>
  <c r="P52" i="1" s="1"/>
  <c r="K52" i="1"/>
  <c r="J52" i="1" s="1"/>
  <c r="H51" i="1"/>
  <c r="P51" i="1" s="1"/>
  <c r="K51" i="1"/>
  <c r="J51" i="1" s="1"/>
  <c r="H50" i="1"/>
  <c r="P50" i="1" s="1"/>
  <c r="K50" i="1"/>
  <c r="J50" i="1" s="1"/>
  <c r="H49" i="1"/>
  <c r="P49" i="1" s="1"/>
  <c r="K49" i="1"/>
  <c r="J49" i="1" s="1"/>
  <c r="H48" i="1"/>
  <c r="P48" i="1" s="1"/>
  <c r="K48" i="1"/>
  <c r="J48" i="1" s="1"/>
  <c r="H47" i="1"/>
  <c r="P47" i="1" s="1"/>
  <c r="K47" i="1"/>
  <c r="H46" i="1"/>
  <c r="P46" i="1" s="1"/>
  <c r="K46" i="1"/>
  <c r="J46" i="1" s="1"/>
  <c r="H45" i="1"/>
  <c r="P45" i="1" s="1"/>
  <c r="K45" i="1"/>
  <c r="J45" i="1" s="1"/>
  <c r="H44" i="1"/>
  <c r="P44" i="1" s="1"/>
  <c r="K44" i="1"/>
  <c r="J44" i="1" s="1"/>
  <c r="H43" i="1"/>
  <c r="P43" i="1" s="1"/>
  <c r="K43" i="1"/>
  <c r="H42" i="1"/>
  <c r="P42" i="1" s="1"/>
  <c r="K42" i="1"/>
  <c r="H41" i="1"/>
  <c r="P41" i="1" s="1"/>
  <c r="K41" i="1"/>
  <c r="J41" i="1" s="1"/>
  <c r="H40" i="1"/>
  <c r="P40" i="1" s="1"/>
  <c r="K40" i="1"/>
  <c r="H39" i="1"/>
  <c r="P39" i="1" s="1"/>
  <c r="K39" i="1"/>
  <c r="J39" i="1" s="1"/>
  <c r="H38" i="1"/>
  <c r="P38" i="1" s="1"/>
  <c r="K38" i="1"/>
  <c r="J38" i="1" s="1"/>
  <c r="H37" i="1"/>
  <c r="P37" i="1" s="1"/>
  <c r="K37" i="1"/>
  <c r="H36" i="1"/>
  <c r="P36" i="1" s="1"/>
  <c r="K36" i="1"/>
  <c r="H35" i="1"/>
  <c r="P35" i="1" s="1"/>
  <c r="K35" i="1"/>
  <c r="H34" i="1"/>
  <c r="P34" i="1" s="1"/>
  <c r="K34" i="1"/>
  <c r="J34" i="1" s="1"/>
  <c r="H33" i="1"/>
  <c r="P33" i="1" s="1"/>
  <c r="K33" i="1"/>
  <c r="J33" i="1" s="1"/>
  <c r="H32" i="1"/>
  <c r="P32" i="1" s="1"/>
  <c r="K32" i="1"/>
  <c r="H31" i="1"/>
  <c r="P31" i="1" s="1"/>
  <c r="K31" i="1"/>
  <c r="H30" i="1"/>
  <c r="P30" i="1" s="1"/>
  <c r="K30" i="1"/>
  <c r="J30" i="1" s="1"/>
  <c r="H29" i="1"/>
  <c r="P29" i="1" s="1"/>
  <c r="K29" i="1"/>
  <c r="J29" i="1" s="1"/>
  <c r="H28" i="1"/>
  <c r="P28" i="1" s="1"/>
  <c r="K28" i="1"/>
  <c r="J28" i="1" s="1"/>
  <c r="H27" i="1"/>
  <c r="P27" i="1" s="1"/>
  <c r="K27" i="1"/>
  <c r="J27" i="1" s="1"/>
  <c r="H26" i="1"/>
  <c r="P26" i="1" s="1"/>
  <c r="K26" i="1"/>
  <c r="H25" i="1"/>
  <c r="P25" i="1" s="1"/>
  <c r="K25" i="1"/>
  <c r="J25" i="1" s="1"/>
  <c r="H24" i="1"/>
  <c r="P24" i="1" s="1"/>
  <c r="K24" i="1"/>
  <c r="H23" i="1"/>
  <c r="P23" i="1" s="1"/>
  <c r="K23" i="1"/>
  <c r="J23" i="1" s="1"/>
  <c r="H22" i="1"/>
  <c r="P22" i="1" s="1"/>
  <c r="K22" i="1"/>
  <c r="J22" i="1" s="1"/>
  <c r="H20" i="1"/>
  <c r="P20" i="1" s="1"/>
  <c r="H21" i="1"/>
  <c r="O21" i="1" s="1"/>
  <c r="K20" i="1"/>
  <c r="K21" i="1"/>
  <c r="H19" i="1"/>
  <c r="P19" i="1" s="1"/>
  <c r="K19" i="1"/>
  <c r="J19" i="1" s="1"/>
  <c r="H18" i="1"/>
  <c r="P18" i="1" s="1"/>
  <c r="K18" i="1"/>
  <c r="H17" i="1"/>
  <c r="P17" i="1" s="1"/>
  <c r="K17" i="1"/>
  <c r="J17" i="1" s="1"/>
  <c r="H16" i="1"/>
  <c r="P16" i="1" s="1"/>
  <c r="K16" i="1"/>
  <c r="H15" i="1"/>
  <c r="P15" i="1" s="1"/>
  <c r="K15" i="1"/>
  <c r="J15" i="1" s="1"/>
  <c r="H14" i="1"/>
  <c r="O14" i="1" s="1"/>
  <c r="K14" i="1"/>
  <c r="H13" i="1"/>
  <c r="P13" i="1" s="1"/>
  <c r="K13" i="1"/>
  <c r="J47" i="1" l="1"/>
  <c r="O49" i="1"/>
  <c r="O50" i="1"/>
  <c r="O53" i="1"/>
  <c r="J55" i="1"/>
  <c r="P55" i="1"/>
  <c r="O51" i="1"/>
  <c r="O54" i="1"/>
  <c r="O56" i="1"/>
  <c r="J56" i="1"/>
  <c r="O47" i="1"/>
  <c r="O46" i="1"/>
  <c r="O52" i="1"/>
  <c r="O48" i="1"/>
  <c r="O43" i="1"/>
  <c r="O42" i="1"/>
  <c r="O45" i="1"/>
  <c r="J37" i="1"/>
  <c r="O44" i="1"/>
  <c r="O41" i="1"/>
  <c r="O39" i="1"/>
  <c r="O40" i="1"/>
  <c r="J42" i="1"/>
  <c r="J43" i="1"/>
  <c r="O38" i="1"/>
  <c r="J40" i="1"/>
  <c r="O37" i="1"/>
  <c r="O36" i="1"/>
  <c r="J36" i="1"/>
  <c r="O34" i="1"/>
  <c r="O35" i="1"/>
  <c r="J35" i="1"/>
  <c r="O29" i="1"/>
  <c r="O33" i="1"/>
  <c r="O32" i="1"/>
  <c r="J31" i="1"/>
  <c r="J32" i="1"/>
  <c r="O31" i="1"/>
  <c r="O28" i="1"/>
  <c r="O30" i="1"/>
  <c r="O27" i="1"/>
  <c r="O22" i="1"/>
  <c r="O26" i="1"/>
  <c r="O25" i="1"/>
  <c r="J20" i="1"/>
  <c r="O24" i="1"/>
  <c r="J26" i="1"/>
  <c r="J18" i="1"/>
  <c r="P21" i="1"/>
  <c r="O23" i="1"/>
  <c r="J24" i="1"/>
  <c r="J16" i="1"/>
  <c r="O18" i="1"/>
  <c r="J21" i="1"/>
  <c r="O20" i="1"/>
  <c r="O19" i="1"/>
  <c r="O17" i="1"/>
  <c r="O16" i="1"/>
  <c r="J13" i="1"/>
  <c r="O13" i="1"/>
  <c r="O15" i="1"/>
  <c r="P14" i="1"/>
  <c r="J14" i="1"/>
  <c r="O3" i="1" l="1" a="1"/>
  <c r="O3" i="1" s="1"/>
  <c r="N3" i="1" a="1"/>
  <c r="N3" i="1" s="1"/>
  <c r="M3" i="1" a="1"/>
  <c r="M3" i="1" s="1"/>
  <c r="F3" i="1"/>
  <c r="E3" i="1"/>
  <c r="D3" i="1"/>
  <c r="K6" i="1"/>
  <c r="K7" i="1"/>
  <c r="K8" i="1"/>
  <c r="K9" i="1"/>
  <c r="K10" i="1"/>
  <c r="K11" i="1"/>
  <c r="K12" i="1"/>
  <c r="H6" i="1"/>
  <c r="P6" i="1" s="1"/>
  <c r="H7" i="1"/>
  <c r="P7" i="1" s="1"/>
  <c r="H8" i="1"/>
  <c r="O8" i="1" s="1"/>
  <c r="H9" i="1"/>
  <c r="O9" i="1" s="1"/>
  <c r="H10" i="1"/>
  <c r="P10" i="1" s="1"/>
  <c r="H11" i="1"/>
  <c r="P11" i="1" s="1"/>
  <c r="H12" i="1"/>
  <c r="P12" i="1" s="1"/>
  <c r="J12" i="1" l="1"/>
  <c r="J11" i="1"/>
  <c r="J7" i="1"/>
  <c r="O12" i="1"/>
  <c r="O11" i="1"/>
  <c r="J9" i="1"/>
  <c r="J10" i="1"/>
  <c r="O10" i="1"/>
  <c r="O6" i="1"/>
  <c r="G3" i="1"/>
  <c r="O7" i="1"/>
  <c r="P8" i="1"/>
  <c r="J6" i="1"/>
  <c r="J8" i="1"/>
  <c r="P9" i="1"/>
  <c r="L55" i="1" l="1"/>
  <c r="M47" i="1"/>
  <c r="M51" i="1"/>
  <c r="L51" i="1"/>
  <c r="L48" i="1"/>
  <c r="M55" i="1"/>
  <c r="M50" i="1"/>
  <c r="M54" i="1"/>
  <c r="M48" i="1"/>
  <c r="M56" i="1"/>
  <c r="L52" i="1"/>
  <c r="L46" i="1"/>
  <c r="L47" i="1"/>
  <c r="L56" i="1"/>
  <c r="M53" i="1"/>
  <c r="L49" i="1"/>
  <c r="L50" i="1"/>
  <c r="M52" i="1"/>
  <c r="M49" i="1"/>
  <c r="L53" i="1"/>
  <c r="L54" i="1"/>
  <c r="M46" i="1"/>
  <c r="L39" i="1"/>
  <c r="L41" i="1"/>
  <c r="L45" i="1"/>
  <c r="L43" i="1"/>
  <c r="M45" i="1"/>
  <c r="L37" i="1"/>
  <c r="M37" i="1"/>
  <c r="M42" i="1"/>
  <c r="M44" i="1"/>
  <c r="M41" i="1"/>
  <c r="M38" i="1"/>
  <c r="M39" i="1"/>
  <c r="L38" i="1"/>
  <c r="L44" i="1"/>
  <c r="M40" i="1"/>
  <c r="M43" i="1"/>
  <c r="L42" i="1"/>
  <c r="L40" i="1"/>
  <c r="L36" i="1"/>
  <c r="M36" i="1"/>
  <c r="L34" i="1"/>
  <c r="M34" i="1"/>
  <c r="L35" i="1"/>
  <c r="M35" i="1"/>
  <c r="L33" i="1"/>
  <c r="M33" i="1"/>
  <c r="L32" i="1"/>
  <c r="M32" i="1"/>
  <c r="M31" i="1"/>
  <c r="L31" i="1"/>
  <c r="M30" i="1"/>
  <c r="L30" i="1"/>
  <c r="M28" i="1"/>
  <c r="L29" i="1"/>
  <c r="M29" i="1"/>
  <c r="L28" i="1"/>
  <c r="L27" i="1"/>
  <c r="M27" i="1"/>
  <c r="L26" i="1"/>
  <c r="M26" i="1"/>
  <c r="M25" i="1"/>
  <c r="L25" i="1"/>
  <c r="L24" i="1"/>
  <c r="M24" i="1"/>
  <c r="M23" i="1"/>
  <c r="L23" i="1"/>
  <c r="L22" i="1"/>
  <c r="M22" i="1"/>
  <c r="L21" i="1"/>
  <c r="M21" i="1"/>
  <c r="L20" i="1"/>
  <c r="M20" i="1"/>
  <c r="L19" i="1"/>
  <c r="M19" i="1"/>
  <c r="L18" i="1"/>
  <c r="M18" i="1"/>
  <c r="L17" i="1"/>
  <c r="M17" i="1"/>
  <c r="M16" i="1"/>
  <c r="L16" i="1"/>
  <c r="M11" i="1"/>
  <c r="M6" i="1"/>
  <c r="L15" i="1"/>
  <c r="M15" i="1"/>
  <c r="L13" i="1"/>
  <c r="M13" i="1"/>
  <c r="L14" i="1"/>
  <c r="M14" i="1"/>
  <c r="L11" i="1"/>
  <c r="M12" i="1"/>
  <c r="L12" i="1"/>
  <c r="M10" i="1"/>
  <c r="L10" i="1"/>
  <c r="L7" i="1"/>
  <c r="M9" i="1"/>
  <c r="M7" i="1"/>
  <c r="L9" i="1"/>
  <c r="L8" i="1"/>
  <c r="C3" i="1"/>
  <c r="H3" i="1"/>
  <c r="K3" i="1" s="1"/>
  <c r="M8" i="1"/>
  <c r="L6" i="1"/>
  <c r="N56" i="1" l="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0" i="1"/>
  <c r="N21" i="1"/>
  <c r="N19" i="1"/>
  <c r="N18" i="1"/>
  <c r="N17" i="1"/>
  <c r="N15" i="1"/>
  <c r="N16" i="1"/>
  <c r="N13" i="1"/>
  <c r="N14" i="1"/>
  <c r="N7" i="1"/>
  <c r="N6" i="1"/>
  <c r="N9" i="1"/>
  <c r="N10" i="1"/>
  <c r="N11" i="1"/>
  <c r="N8" i="1"/>
  <c r="N12" i="1"/>
  <c r="L3" i="1" l="1"/>
</calcChain>
</file>

<file path=xl/sharedStrings.xml><?xml version="1.0" encoding="utf-8"?>
<sst xmlns="http://schemas.openxmlformats.org/spreadsheetml/2006/main" count="406" uniqueCount="101">
  <si>
    <t>Average R/R</t>
  </si>
  <si>
    <t>Total trades</t>
  </si>
  <si>
    <t>Total wins</t>
  </si>
  <si>
    <t>Total Losses</t>
  </si>
  <si>
    <t>Winning %</t>
  </si>
  <si>
    <t>Total Gain</t>
  </si>
  <si>
    <t>Starting Balance</t>
  </si>
  <si>
    <t>Risk/Position(in %)</t>
  </si>
  <si>
    <t>Total % Gain</t>
  </si>
  <si>
    <t>Max Drawdown</t>
  </si>
  <si>
    <t>Max Continuous Loss</t>
  </si>
  <si>
    <t>Max continuous win</t>
  </si>
  <si>
    <t>No. of Trades</t>
  </si>
  <si>
    <t>Stock Name</t>
  </si>
  <si>
    <t>Date</t>
  </si>
  <si>
    <t>Entry</t>
  </si>
  <si>
    <t>Stoploss</t>
  </si>
  <si>
    <t>Target</t>
  </si>
  <si>
    <t>Win/Loss</t>
  </si>
  <si>
    <t>PnL Per Trade</t>
  </si>
  <si>
    <t>No. of Lots</t>
  </si>
  <si>
    <t>Account Balance</t>
  </si>
  <si>
    <t>%Gain/Loss</t>
  </si>
  <si>
    <t>Drawdown</t>
  </si>
  <si>
    <t>Type</t>
  </si>
  <si>
    <t>R/R</t>
  </si>
  <si>
    <t>ITC</t>
  </si>
  <si>
    <t>w</t>
  </si>
  <si>
    <t xml:space="preserve">Coal </t>
  </si>
  <si>
    <t>l</t>
  </si>
  <si>
    <t>Total duration (months)</t>
  </si>
  <si>
    <t>Sum of Starting Balance</t>
  </si>
  <si>
    <t>Sum of Risk/Position(in %)</t>
  </si>
  <si>
    <t>Sum of Total Gain</t>
  </si>
  <si>
    <t>Sum of Total trades</t>
  </si>
  <si>
    <t>Count of Stock Name</t>
  </si>
  <si>
    <t>Row Labels</t>
  </si>
  <si>
    <t>Grand Total</t>
  </si>
  <si>
    <t>Sum of PnL Per Trade</t>
  </si>
  <si>
    <t>Indusind</t>
  </si>
  <si>
    <t>Kotak</t>
  </si>
  <si>
    <t>Tata Motors</t>
  </si>
  <si>
    <t>M&amp;M</t>
  </si>
  <si>
    <t>Maruti</t>
  </si>
  <si>
    <t>Bajaj Auto</t>
  </si>
  <si>
    <t>DR Reddy</t>
  </si>
  <si>
    <t>BPCL</t>
  </si>
  <si>
    <t>Cipla</t>
  </si>
  <si>
    <t>HDFC Life</t>
  </si>
  <si>
    <t>Market Cap</t>
  </si>
  <si>
    <t>Large</t>
  </si>
  <si>
    <t>Suppetro</t>
  </si>
  <si>
    <t>Midcap</t>
  </si>
  <si>
    <t>GAEL</t>
  </si>
  <si>
    <t>Godrej agro</t>
  </si>
  <si>
    <t>Navin fluoro</t>
  </si>
  <si>
    <t>Axis Bank</t>
  </si>
  <si>
    <t>Sundaram fin</t>
  </si>
  <si>
    <t>Thyrocare</t>
  </si>
  <si>
    <t>Small</t>
  </si>
  <si>
    <t>Moil</t>
  </si>
  <si>
    <t>small</t>
  </si>
  <si>
    <t>SIS</t>
  </si>
  <si>
    <t>Ipca lab</t>
  </si>
  <si>
    <t>Polymed</t>
  </si>
  <si>
    <t>Spice jet</t>
  </si>
  <si>
    <t>Indoco</t>
  </si>
  <si>
    <t>Top 5 Most traded Stocks</t>
  </si>
  <si>
    <t>Month</t>
  </si>
  <si>
    <t>Jan</t>
  </si>
  <si>
    <t>Feb</t>
  </si>
  <si>
    <t>Mar</t>
  </si>
  <si>
    <t>Apr</t>
  </si>
  <si>
    <t>May</t>
  </si>
  <si>
    <t>Jun</t>
  </si>
  <si>
    <t>Jul</t>
  </si>
  <si>
    <t>Aug</t>
  </si>
  <si>
    <t>Sep</t>
  </si>
  <si>
    <t>Oct</t>
  </si>
  <si>
    <t>Dec</t>
  </si>
  <si>
    <t>11/23/2021</t>
  </si>
  <si>
    <t>Sum of PnL Per Trade2</t>
  </si>
  <si>
    <t>Max</t>
  </si>
  <si>
    <t>Avg</t>
  </si>
  <si>
    <t>Min</t>
  </si>
  <si>
    <t>Column1</t>
  </si>
  <si>
    <t>Column2</t>
  </si>
  <si>
    <t>Loss</t>
  </si>
  <si>
    <t>Win</t>
  </si>
  <si>
    <t>Count of Win/Loss</t>
  </si>
  <si>
    <t>Nov</t>
  </si>
  <si>
    <t>Average of R/R</t>
  </si>
  <si>
    <t>Sum of Max continuous win</t>
  </si>
  <si>
    <t>Sum of Max Continuous Loss</t>
  </si>
  <si>
    <t>Count of No. of Trades</t>
  </si>
  <si>
    <t>Column Labels</t>
  </si>
  <si>
    <t>Average</t>
  </si>
  <si>
    <t>max</t>
  </si>
  <si>
    <t>min</t>
  </si>
  <si>
    <t>Balance</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</si>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</sst>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4009]dd\ mmmm\ yyyy;@"/>
    <numFmt numFmtId="165" formatCode="[$INR]\ #,##0.00"/>
    <numFmt numFmtId="166" formatCode="#,##0.0;[Red]#,##0.0"/>
    <numFmt numFmtId="167" formatCode="[&lt;999950]0.0,&quot;K&quot;;[&lt;999950000]0.0,,&quot;M&quot;;0.0,,,&quot;B&quot;"/>
  </numFmts>
  <fonts count="6" x14ac:knownFonts="1">
    <font>
      <sz val="11"/>
      <color theme="1"/>
      <name val="Calibri"/>
      <family val="2"/>
      <scheme val="minor"/>
    </font>
    <font>
      <sz val="11"/>
      <color theme="1"/>
      <name val="Arial"/>
      <family val="2"/>
    </font>
    <font>
      <sz val="11"/>
      <color theme="0"/>
      <name val="Calibri"/>
      <family val="2"/>
      <scheme val="minor"/>
    </font>
    <font>
      <b/>
      <sz val="11"/>
      <color theme="0"/>
      <name val="Calibri"/>
      <family val="2"/>
      <scheme val="minor"/>
    </font>
    <font>
      <sz val="11"/>
      <color theme="0"/>
      <name val="Calibri"/>
      <scheme val="minor"/>
    </font>
    <font>
      <b/>
      <sz val="11"/>
      <color theme="1"/>
      <name val="Calibri"/>
      <family val="2"/>
      <scheme val="minor"/>
    </font>
  </fonts>
  <fills count="8">
    <fill>
      <patternFill patternType="none"/>
    </fill>
    <fill>
      <patternFill patternType="gray125"/>
    </fill>
    <fill>
      <patternFill patternType="solid">
        <fgColor rgb="FF362F4B"/>
        <bgColor indexed="64"/>
      </patternFill>
    </fill>
    <fill>
      <patternFill patternType="solid">
        <fgColor rgb="FFF6F6F6"/>
        <bgColor indexed="64"/>
      </patternFill>
    </fill>
    <fill>
      <patternFill patternType="solid">
        <fgColor rgb="FF4958CE"/>
        <bgColor indexed="64"/>
      </patternFill>
    </fill>
    <fill>
      <patternFill patternType="solid">
        <fgColor theme="0"/>
        <bgColor indexed="64"/>
      </patternFill>
    </fill>
    <fill>
      <patternFill patternType="solid">
        <fgColor rgb="FFF1F0F5"/>
        <bgColor indexed="64"/>
      </patternFill>
    </fill>
    <fill>
      <patternFill patternType="solid">
        <fgColor theme="4" tint="0.79998168889431442"/>
        <bgColor theme="4" tint="0.79998168889431442"/>
      </patternFill>
    </fill>
  </fills>
  <borders count="6">
    <border>
      <left/>
      <right/>
      <top/>
      <bottom/>
      <diagonal/>
    </border>
    <border>
      <left style="thin">
        <color rgb="FF4958CE"/>
      </left>
      <right/>
      <top/>
      <bottom/>
      <diagonal/>
    </border>
    <border>
      <left/>
      <right style="thin">
        <color theme="0"/>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cellStyleXfs>
  <cellXfs count="46">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164" fontId="0" fillId="0" borderId="0" xfId="0" applyNumberFormat="1" applyBorder="1" applyAlignment="1">
      <alignment horizontal="center" vertical="center"/>
    </xf>
    <xf numFmtId="10" fontId="0" fillId="0" borderId="0" xfId="0" applyNumberFormat="1" applyBorder="1" applyAlignment="1">
      <alignment horizontal="center" vertical="center"/>
    </xf>
    <xf numFmtId="0" fontId="2" fillId="2" borderId="0" xfId="0" applyFont="1" applyFill="1" applyBorder="1" applyAlignment="1">
      <alignment horizontal="center" vertical="center"/>
    </xf>
    <xf numFmtId="0" fontId="0" fillId="3" borderId="0" xfId="0" applyFill="1" applyBorder="1" applyAlignment="1">
      <alignment horizontal="center" vertical="center"/>
    </xf>
    <xf numFmtId="164" fontId="0" fillId="3" borderId="0" xfId="0" applyNumberFormat="1" applyFill="1" applyBorder="1" applyAlignment="1">
      <alignment horizontal="center" vertical="center"/>
    </xf>
    <xf numFmtId="10" fontId="0" fillId="3" borderId="0" xfId="0" applyNumberFormat="1" applyFill="1" applyBorder="1" applyAlignment="1">
      <alignment horizontal="center" vertical="center"/>
    </xf>
    <xf numFmtId="0" fontId="0" fillId="4" borderId="0" xfId="0" applyFill="1"/>
    <xf numFmtId="0" fontId="0" fillId="4" borderId="0" xfId="0" applyFill="1" applyAlignment="1">
      <alignment horizontal="center" vertical="center" wrapText="1"/>
    </xf>
    <xf numFmtId="0" fontId="0" fillId="4"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1" xfId="0" applyFill="1" applyBorder="1" applyAlignment="1">
      <alignment horizontal="center" vertical="center"/>
    </xf>
    <xf numFmtId="0" fontId="0" fillId="5" borderId="2" xfId="0" applyFill="1" applyBorder="1" applyAlignment="1">
      <alignment vertical="center"/>
    </xf>
    <xf numFmtId="0" fontId="2" fillId="2" borderId="0" xfId="0" applyFont="1" applyFill="1" applyAlignment="1">
      <alignment horizontal="center" vertical="center" wrapText="1"/>
    </xf>
    <xf numFmtId="10" fontId="0" fillId="0" borderId="0" xfId="0" applyNumberFormat="1" applyAlignment="1">
      <alignment horizontal="center" vertical="center"/>
    </xf>
    <xf numFmtId="165" fontId="0" fillId="0" borderId="0" xfId="0" applyNumberFormat="1" applyAlignment="1">
      <alignment horizontal="center" vertical="center"/>
    </xf>
    <xf numFmtId="0" fontId="0" fillId="6" borderId="0" xfId="0" applyFill="1"/>
    <xf numFmtId="0" fontId="2" fillId="2" borderId="0" xfId="0" applyFont="1" applyFill="1"/>
    <xf numFmtId="165" fontId="0" fillId="0" borderId="0" xfId="0" applyNumberFormat="1"/>
    <xf numFmtId="10" fontId="0" fillId="0" borderId="0" xfId="0" applyNumberFormat="1"/>
    <xf numFmtId="0" fontId="0" fillId="0" borderId="0" xfId="0" applyNumberFormat="1"/>
    <xf numFmtId="0" fontId="0" fillId="0" borderId="0" xfId="0" applyAlignment="1">
      <alignment horizontal="left"/>
    </xf>
    <xf numFmtId="2" fontId="0" fillId="0" borderId="0" xfId="0" applyNumberFormat="1" applyAlignment="1">
      <alignment horizontal="center" vertical="center"/>
    </xf>
    <xf numFmtId="164" fontId="2" fillId="2" borderId="0" xfId="0" applyNumberFormat="1" applyFont="1" applyFill="1" applyBorder="1" applyAlignment="1">
      <alignment horizontal="center" vertical="center"/>
    </xf>
    <xf numFmtId="166" fontId="0" fillId="0" borderId="0" xfId="0" applyNumberFormat="1"/>
    <xf numFmtId="0" fontId="3" fillId="2" borderId="3" xfId="0" applyFont="1" applyFill="1" applyBorder="1"/>
    <xf numFmtId="164" fontId="0" fillId="0" borderId="0" xfId="0" applyNumberFormat="1" applyAlignment="1">
      <alignment horizontal="left"/>
    </xf>
    <xf numFmtId="0" fontId="0" fillId="0" borderId="0" xfId="0" applyNumberFormat="1" applyAlignment="1">
      <alignment horizontal="center" vertical="center"/>
    </xf>
    <xf numFmtId="0" fontId="4" fillId="2" borderId="0" xfId="0" applyFont="1" applyFill="1" applyAlignment="1">
      <alignment horizontal="center" vertical="center"/>
    </xf>
    <xf numFmtId="0" fontId="3" fillId="2" borderId="0" xfId="0" applyFont="1" applyFill="1"/>
    <xf numFmtId="167" fontId="0" fillId="0" borderId="0" xfId="0" applyNumberFormat="1"/>
    <xf numFmtId="0" fontId="0" fillId="0" borderId="0" xfId="0" pivotButton="1"/>
    <xf numFmtId="0" fontId="0" fillId="0" borderId="0" xfId="0" applyAlignment="1">
      <alignment horizontal="left" indent="1"/>
    </xf>
    <xf numFmtId="0" fontId="0" fillId="7" borderId="4" xfId="0" applyFont="1" applyFill="1" applyBorder="1" applyAlignment="1">
      <alignment horizontal="left"/>
    </xf>
    <xf numFmtId="0" fontId="0" fillId="0" borderId="4" xfId="0" applyFont="1" applyBorder="1" applyAlignment="1">
      <alignment horizontal="left"/>
    </xf>
    <xf numFmtId="2" fontId="0" fillId="0" borderId="0" xfId="0" applyNumberFormat="1"/>
    <xf numFmtId="2" fontId="0" fillId="7" borderId="5" xfId="0" applyNumberFormat="1" applyFont="1" applyFill="1" applyBorder="1"/>
    <xf numFmtId="2" fontId="0" fillId="0" borderId="5" xfId="0" applyNumberFormat="1" applyFont="1" applyBorder="1"/>
    <xf numFmtId="2" fontId="3" fillId="2" borderId="0" xfId="0" applyNumberFormat="1" applyFont="1" applyFill="1"/>
    <xf numFmtId="0" fontId="5" fillId="7" borderId="3" xfId="0" applyFont="1" applyFill="1" applyBorder="1"/>
  </cellXfs>
  <cellStyles count="2">
    <cellStyle name="Normal" xfId="0" builtinId="0"/>
    <cellStyle name="Normal 2" xfId="1"/>
  </cellStyles>
  <dxfs count="111">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alignment horizontal="left"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362F4B"/>
        </patternFill>
      </fill>
    </dxf>
    <dxf>
      <numFmt numFmtId="166" formatCode="#,##0.0;[Red]#,##0.0"/>
    </dxf>
    <dxf>
      <font>
        <color theme="0"/>
      </font>
      <fill>
        <patternFill patternType="solid">
          <fgColor indexed="64"/>
          <bgColor rgb="FF362F4B"/>
        </patternFill>
      </fill>
    </dxf>
    <dxf>
      <numFmt numFmtId="2" formatCode="0.00"/>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color theme="0"/>
      </font>
      <fill>
        <patternFill patternType="solid">
          <fgColor indexed="64"/>
          <bgColor rgb="FF362F4B"/>
        </patternFill>
      </fill>
    </dxf>
    <dxf>
      <numFmt numFmtId="2" formatCode="0.00"/>
    </dxf>
    <dxf>
      <font>
        <color theme="0"/>
      </font>
      <fill>
        <patternFill patternType="solid">
          <fgColor indexed="64"/>
          <bgColor rgb="FF362F4B"/>
        </patternFill>
      </fill>
    </dxf>
    <dxf>
      <font>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167" formatCode="[&lt;999950]0.0,&quot;K&quot;;[&lt;999950000]0.0,,&quot;M&quot;;0.0,,,&quot;B&quot;"/>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165" formatCode="[$INR]\ #,##0.00"/>
    </dxf>
    <dxf>
      <fill>
        <patternFill patternType="solid">
          <bgColor rgb="FF362F4B"/>
        </patternFill>
      </fill>
    </dxf>
    <dxf>
      <font>
        <color theme="0"/>
      </font>
    </dxf>
    <dxf>
      <font>
        <b/>
        <color theme="0"/>
      </font>
      <fill>
        <patternFill patternType="solid">
          <fgColor indexed="64"/>
          <bgColor rgb="FF362F4B"/>
        </patternFill>
      </fill>
    </dxf>
    <dxf>
      <font>
        <b/>
        <color theme="0"/>
      </font>
      <fill>
        <patternFill patternType="solid">
          <fgColor indexed="64"/>
          <bgColor rgb="FF362F4B"/>
        </patternFill>
      </fill>
    </dxf>
    <dxf>
      <font>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2" formatCode="0.00"/>
    </dxf>
    <dxf>
      <numFmt numFmtId="2" formatCode="0.00"/>
    </dxf>
    <dxf>
      <numFmt numFmtId="2" formatCode="0.00"/>
    </dxf>
    <dxf>
      <numFmt numFmtId="2" formatCode="0.00"/>
    </dxf>
    <dxf>
      <numFmt numFmtId="2" formatCode="0.00"/>
    </dxf>
    <dxf>
      <font>
        <b/>
        <color theme="0"/>
      </font>
      <fill>
        <patternFill patternType="solid">
          <fgColor indexed="64"/>
          <bgColor rgb="FF362F4B"/>
        </patternFill>
      </fill>
    </dxf>
    <dxf>
      <font>
        <b/>
        <color theme="0"/>
      </font>
      <fill>
        <patternFill patternType="solid">
          <fgColor indexed="64"/>
          <bgColor rgb="FF362F4B"/>
        </patternFill>
      </fill>
    </dxf>
    <dxf>
      <numFmt numFmtId="2" formatCode="0.0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4" formatCode="0.00%"/>
      <alignment horizontal="center" vertical="center" textRotation="0" indent="0" justifyLastLine="0" shrinkToFit="0" readingOrder="0"/>
    </dxf>
    <dxf>
      <numFmt numFmtId="14" formatCode="0.00%"/>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164" formatCode="[$-14009]dd\ mmmm\ yyyy;@"/>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strike val="0"/>
        <outline val="0"/>
        <shadow val="0"/>
        <u val="none"/>
        <vertAlign val="baseline"/>
        <sz val="11"/>
        <color theme="0"/>
        <name val="Calibri"/>
        <scheme val="minor"/>
      </font>
      <fill>
        <patternFill patternType="solid">
          <fgColor indexed="64"/>
          <bgColor rgb="FF362F4B"/>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65" formatCode="[$INR]\ #,##0.00"/>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theme="0"/>
        <name val="Calibri"/>
        <scheme val="minor"/>
      </font>
      <fill>
        <patternFill patternType="solid">
          <fgColor indexed="64"/>
          <bgColor rgb="FF362F4B"/>
        </patternFill>
      </fill>
      <alignment horizontal="center" vertical="center" textRotation="0" wrapText="1" indent="0" justifyLastLine="0" shrinkToFit="0" readingOrder="0"/>
    </dxf>
    <dxf>
      <font>
        <b/>
        <color theme="1"/>
      </font>
      <border>
        <bottom style="thin">
          <color theme="8"/>
        </bottom>
        <vertical/>
        <horizontal/>
      </border>
    </dxf>
    <dxf>
      <font>
        <color theme="1"/>
      </font>
      <fill>
        <patternFill>
          <bgColor theme="6" tint="-0.499984740745262"/>
        </patternFill>
      </fill>
      <border diagonalUp="0" diagonalDown="0">
        <left/>
        <right/>
        <top/>
        <bottom/>
        <vertical/>
        <horizontal/>
      </border>
    </dxf>
    <dxf>
      <fill>
        <patternFill patternType="darkUp">
          <fgColor theme="6"/>
          <bgColor rgb="FFA2C5E3"/>
        </patternFill>
      </fill>
    </dxf>
    <dxf>
      <fill>
        <patternFill>
          <bgColor rgb="FF00B0F0"/>
        </patternFill>
      </fill>
    </dxf>
    <dxf>
      <fill>
        <patternFill>
          <fgColor rgb="FF8D7EF3"/>
          <bgColor theme="6" tint="-0.24994659260841701"/>
        </patternFill>
      </fill>
    </dxf>
    <dxf>
      <fill>
        <patternFill>
          <bgColor rgb="FF00B0F0"/>
        </patternFill>
      </fill>
      <border diagonalUp="0" diagonalDown="0">
        <left/>
        <right/>
        <top/>
        <bottom/>
        <vertical/>
        <horizontal/>
      </border>
    </dxf>
  </dxfs>
  <tableStyles count="5" defaultTableStyle="TableStyleMedium2" defaultPivotStyle="PivotStyleLight16">
    <tableStyle name="Slicer Style 1" pivot="0" table="0" count="1">
      <tableStyleElement type="wholeTable" dxfId="110"/>
    </tableStyle>
    <tableStyle name="Slicer Style 2" pivot="0" table="0" count="1">
      <tableStyleElement type="wholeTable" dxfId="109"/>
    </tableStyle>
    <tableStyle name="Slicer Style 3" pivot="0" table="0" count="1">
      <tableStyleElement type="wholeTable" dxfId="108"/>
    </tableStyle>
    <tableStyle name="Slicer Style 4" pivot="0" table="0" count="2">
      <tableStyleElement type="wholeTable" dxfId="107"/>
    </tableStyle>
    <tableStyle name="SlicerStyleDark5 2" pivot="0" table="0" count="10">
      <tableStyleElement type="wholeTable" dxfId="106"/>
      <tableStyleElement type="headerRow" dxfId="105"/>
    </tableStyle>
  </tableStyles>
  <colors>
    <mruColors>
      <color rgb="FF4958CE"/>
      <color rgb="FFA13F9E"/>
      <color rgb="FFFF0066"/>
      <color rgb="FF00B626"/>
      <color rgb="FFFF66FF"/>
      <color rgb="FF0AEAE0"/>
      <color rgb="FF8D7EF3"/>
      <color rgb="FFA2C5E3"/>
      <color rgb="FFF1F0F5"/>
      <color rgb="FF362F4B"/>
    </mruColors>
  </colors>
  <extLst>
    <ext xmlns:x14="http://schemas.microsoft.com/office/spreadsheetml/2009/9/main" uri="{46F421CA-312F-682f-3DD2-61675219B42D}">
      <x14:dxfs count="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6" tint="-0.499984740745262"/>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ill>
            <patternFill>
              <bgColor theme="6" tint="-0.24994659260841701"/>
            </patternFill>
          </fill>
        </dxf>
        <dxf>
          <fill>
            <patternFill>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Elements>
            <x14:slicerStyleElement type="selectedItemWith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[Excel-project.xlsx]Pivottables!dataPnl2</c:name>
    <c:fmtId val="3"/>
  </c:pivotSource>
  <c:chart>
    <c:autoTitleDeleted val="1"/>
    <c:pivotFmts>
      <c:pivotFmt>
        <c:idx val="0"/>
        <c:spPr>
          <a:ln w="15875">
            <a:solidFill>
              <a:srgbClr val="8D7EF3"/>
            </a:solidFill>
          </a:ln>
        </c:spPr>
        <c:marker>
          <c:symbol val="none"/>
        </c:marker>
        <c:dLbl>
          <c:idx val="0"/>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dLbl>
      </c:pivotFmt>
      <c:pivotFmt>
        <c:idx val="1"/>
      </c:pivotFmt>
      <c:pivotFmt>
        <c:idx val="2"/>
      </c:pivotFmt>
      <c:pivotFmt>
        <c:idx val="3"/>
      </c:pivotFmt>
      <c:pivotFmt>
        <c:idx val="4"/>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marker>
          <c:symbol val="none"/>
        </c:marker>
      </c:pivotFmt>
      <c:pivotFmt>
        <c:idx val="5"/>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marker>
          <c:symbol val="none"/>
        </c:marker>
      </c:pivotFmt>
      <c:pivotFmt>
        <c:idx val="6"/>
        <c:spPr>
          <a:ln w="15875">
            <a:solidFill>
              <a:srgbClr val="8D7EF3"/>
            </a:solidFill>
          </a:ln>
        </c:spPr>
        <c:marker>
          <c:symbol val="none"/>
        </c:marker>
        <c:dLbl>
          <c:idx val="0"/>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dLbl>
      </c:pivotFmt>
      <c:pivotFmt>
        <c:idx val="7"/>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marker>
          <c:symbol val="none"/>
        </c:marker>
      </c:pivotFmt>
      <c:pivotFmt>
        <c:idx val="8"/>
        <c:spPr>
          <a:ln w="17145">
            <a:solidFill>
              <a:srgbClr val="8D7EF3"/>
            </a:solidFill>
            <a:prstDash val="solid"/>
          </a:ln>
        </c:spPr>
        <c:marker>
          <c:symbol val="none"/>
        </c:marker>
        <c:dLbl>
          <c:idx val="0"/>
          <c:layout/>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dLbl>
      </c:pivotFmt>
      <c:pivotFmt>
        <c:idx val="9"/>
      </c:pivotFmt>
    </c:pivotFmts>
    <c:plotArea>
      <c:layout>
        <c:manualLayout>
          <c:layoutTarget val="inner"/>
          <c:xMode val="edge"/>
          <c:yMode val="edge"/>
          <c:x val="2.46415770609319E-2"/>
          <c:y val="9.2592592592592587E-2"/>
          <c:w val="0.95071684587813621"/>
          <c:h val="0.80555555555555558"/>
        </c:manualLayout>
      </c:layout>
      <c:areaChart>
        <c:grouping val="stacked"/>
        <c:varyColors val="0"/>
        <c:ser>
          <c:idx val="1"/>
          <c:order val="1"/>
          <c:tx>
            <c:strRef>
              <c:f>Pivottables!$M$3</c:f>
              <c:strCache>
                <c:ptCount val="1"/>
                <c:pt idx="0">
                  <c:v>Sum of PnL Per Trade2</c:v>
                </c:pt>
              </c:strCache>
            </c:strRef>
          </c:tx>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cat>
            <c:strRef>
              <c:f>Pivottables!$K$4:$K$16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Pivottables!$M$4:$M$16</c:f>
              <c:numCache>
                <c:formatCode>General</c:formatCode>
                <c:ptCount val="12"/>
                <c:pt idx="0">
                  <c:v>104687.76000000001</c:v>
                </c:pt>
                <c:pt idx="1">
                  <c:v>17831.095000000005</c:v>
                </c:pt>
                <c:pt idx="2">
                  <c:v>11976.485000000022</c:v>
                </c:pt>
                <c:pt idx="3">
                  <c:v>-5395.4900000000143</c:v>
                </c:pt>
                <c:pt idx="4">
                  <c:v>-4033.1000000000004</c:v>
                </c:pt>
                <c:pt idx="5">
                  <c:v>36974.700000000012</c:v>
                </c:pt>
                <c:pt idx="6">
                  <c:v>5700.0000000000027</c:v>
                </c:pt>
                <c:pt idx="7">
                  <c:v>7241.1999999999953</c:v>
                </c:pt>
                <c:pt idx="8">
                  <c:v>28673.5</c:v>
                </c:pt>
                <c:pt idx="9">
                  <c:v>31826.349999999984</c:v>
                </c:pt>
                <c:pt idx="10">
                  <c:v>-19976</c:v>
                </c:pt>
                <c:pt idx="11">
                  <c:v>7268.5999999999995</c:v>
                </c:pt>
              </c:numCache>
            </c:numRef>
          </c:val>
        </c:ser>
        <c:dLbls>
          <c:showLegendKey val="0"/>
          <c:showVal val="0"/>
          <c:showCatName val="0"/>
          <c:showSerName val="0"/>
          <c:showPercent val="0"/>
          <c:showBubbleSize val="0"/>
        </c:dLbls>
        <c:axId val="115364608"/>
        <c:axId val="115367296"/>
      </c:areaChart>
      <c:lineChart>
        <c:grouping val="standard"/>
        <c:varyColors val="0"/>
        <c:ser>
          <c:idx val="0"/>
          <c:order val="0"/>
          <c:tx>
            <c:strRef>
              <c:f>Pivottables!$L$3</c:f>
              <c:strCache>
                <c:ptCount val="1"/>
                <c:pt idx="0">
                  <c:v>Sum of PnL Per Trade</c:v>
                </c:pt>
              </c:strCache>
            </c:strRef>
          </c:tx>
          <c:spPr>
            <a:ln w="17145">
              <a:solidFill>
                <a:srgbClr val="8D7EF3"/>
              </a:solidFill>
              <a:prstDash val="solid"/>
            </a:ln>
          </c:spPr>
          <c:marker>
            <c:symbol val="none"/>
          </c:marker>
          <c:dLbls>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showLeaderLines val="0"/>
          </c:dLbls>
          <c:cat>
            <c:strRef>
              <c:f>Pivottables!$K$4:$K$16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Pivottables!$L$4:$L$16</c:f>
              <c:numCache>
                <c:formatCode>[&lt;999950]0.0,"K";[&lt;999950000]0.0,,"M";0.0,,,"B"</c:formatCode>
                <c:ptCount val="12"/>
                <c:pt idx="0">
                  <c:v>104687.76000000001</c:v>
                </c:pt>
                <c:pt idx="1">
                  <c:v>17831.095000000005</c:v>
                </c:pt>
                <c:pt idx="2">
                  <c:v>11976.485000000022</c:v>
                </c:pt>
                <c:pt idx="3">
                  <c:v>-5395.4900000000143</c:v>
                </c:pt>
                <c:pt idx="4">
                  <c:v>-4033.1000000000004</c:v>
                </c:pt>
                <c:pt idx="5">
                  <c:v>36974.700000000012</c:v>
                </c:pt>
                <c:pt idx="6">
                  <c:v>5700.0000000000027</c:v>
                </c:pt>
                <c:pt idx="7">
                  <c:v>7241.1999999999953</c:v>
                </c:pt>
                <c:pt idx="8">
                  <c:v>28673.5</c:v>
                </c:pt>
                <c:pt idx="9">
                  <c:v>31826.349999999984</c:v>
                </c:pt>
                <c:pt idx="10">
                  <c:v>-19976</c:v>
                </c:pt>
                <c:pt idx="11">
                  <c:v>7268.5999999999995</c:v>
                </c:pt>
              </c:numCache>
            </c:numRef>
          </c:val>
          <c:smooth val="1"/>
        </c:ser>
        <c:dLbls>
          <c:showLegendKey val="0"/>
          <c:showVal val="1"/>
          <c:showCatName val="0"/>
          <c:showSerName val="0"/>
          <c:showPercent val="0"/>
          <c:showBubbleSize val="0"/>
        </c:dLbls>
        <c:marker val="1"/>
        <c:smooth val="0"/>
        <c:axId val="115364608"/>
        <c:axId val="115367296"/>
      </c:lineChart>
      <c:catAx>
        <c:axId val="115364608"/>
        <c:scaling>
          <c:orientation val="minMax"/>
        </c:scaling>
        <c:delete val="1"/>
        <c:axPos val="b"/>
        <c:majorTickMark val="none"/>
        <c:minorTickMark val="none"/>
        <c:tickLblPos val="nextTo"/>
        <c:crossAx val="115367296"/>
        <c:crosses val="autoZero"/>
        <c:auto val="1"/>
        <c:lblAlgn val="ctr"/>
        <c:lblOffset val="100"/>
        <c:noMultiLvlLbl val="0"/>
      </c:catAx>
      <c:valAx>
        <c:axId val="115367296"/>
        <c:scaling>
          <c:orientation val="minMax"/>
        </c:scaling>
        <c:delete val="1"/>
        <c:axPos val="l"/>
        <c:numFmt formatCode="General" sourceLinked="1"/>
        <c:majorTickMark val="none"/>
        <c:minorTickMark val="none"/>
        <c:tickLblPos val="nextTo"/>
        <c:crossAx val="11536460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[Excel-project.xlsx]Pivottables!PivotTable9</c:name>
    <c:fmtId val="10"/>
  </c:pivotSource>
  <c:chart>
    <c:autoTitleDeleted val="1"/>
    <c:pivotFmts>
      <c:pivotFmt>
        <c:idx val="0"/>
        <c:spPr>
          <a:solidFill>
            <a:schemeClr val="bg1">
              <a:lumMod val="95000"/>
            </a:schemeClr>
          </a:solidFill>
        </c:spPr>
        <c:marker>
          <c:symbol val="none"/>
        </c:marker>
      </c:pivotFmt>
      <c:pivotFmt>
        <c:idx val="1"/>
        <c:spPr>
          <a:solidFill>
            <a:srgbClr val="FF0066"/>
          </a:solidFill>
        </c:spPr>
      </c:pivotFmt>
      <c:pivotFmt>
        <c:idx val="2"/>
        <c:spPr>
          <a:solidFill>
            <a:schemeClr val="bg1">
              <a:lumMod val="95000"/>
            </a:schemeClr>
          </a:solidFill>
        </c:spPr>
        <c:marker>
          <c:symbol val="none"/>
        </c:marker>
      </c:pivotFmt>
      <c:pivotFmt>
        <c:idx val="3"/>
        <c:spPr>
          <a:solidFill>
            <a:srgbClr val="FF0066"/>
          </a:solidFill>
        </c:spPr>
      </c:pivotFmt>
      <c:pivotFmt>
        <c:idx val="4"/>
        <c:spPr>
          <a:solidFill>
            <a:srgbClr val="00B626"/>
          </a:solidFill>
        </c:spPr>
        <c:marker>
          <c:symbol val="none"/>
        </c:marker>
      </c:pivotFmt>
      <c:pivotFmt>
        <c:idx val="5"/>
        <c:spPr>
          <a:solidFill>
            <a:schemeClr val="bg1">
              <a:lumMod val="95000"/>
            </a:schemeClr>
          </a:solidFill>
        </c:spPr>
      </c:pivotFmt>
      <c:pivotFmt>
        <c:idx val="6"/>
        <c:spPr>
          <a:solidFill>
            <a:srgbClr val="00B626"/>
          </a:solidFill>
        </c:spPr>
        <c:marker>
          <c:symbol val="none"/>
        </c:marker>
      </c:pivotFmt>
      <c:pivotFmt>
        <c:idx val="7"/>
        <c:spPr>
          <a:solidFill>
            <a:schemeClr val="bg1">
              <a:lumMod val="95000"/>
            </a:schemeClr>
          </a:solidFill>
        </c:spPr>
      </c:pivotFmt>
      <c:pivotFmt>
        <c:idx val="8"/>
        <c:spPr>
          <a:solidFill>
            <a:srgbClr val="00B626"/>
          </a:solidFill>
        </c:spPr>
        <c:marker>
          <c:symbol val="none"/>
        </c:marker>
      </c:pivotFmt>
      <c:pivotFmt>
        <c:idx val="9"/>
        <c:spPr>
          <a:solidFill>
            <a:schemeClr val="bg1">
              <a:lumMod val="95000"/>
            </a:schemeClr>
          </a:solidFill>
        </c:spPr>
      </c:pivotFmt>
    </c:pivotFmts>
    <c:plotArea>
      <c:layout/>
      <c:doughnutChart>
        <c:varyColors val="1"/>
        <c:ser>
          <c:idx val="0"/>
          <c:order val="0"/>
          <c:tx>
            <c:strRef>
              <c:f>Pivottables!$L$28</c:f>
              <c:strCache>
                <c:ptCount val="1"/>
                <c:pt idx="0">
                  <c:v>Total</c:v>
                </c:pt>
              </c:strCache>
            </c:strRef>
          </c:tx>
          <c:spPr>
            <a:solidFill>
              <a:srgbClr val="00B626"/>
            </a:solidFill>
          </c:spPr>
          <c:dPt>
            <c:idx val="1"/>
            <c:bubble3D val="0"/>
            <c:spPr>
              <a:solidFill>
                <a:schemeClr val="bg1">
                  <a:lumMod val="95000"/>
                </a:schemeClr>
              </a:solidFill>
            </c:spPr>
          </c:dPt>
          <c:cat>
            <c:strRef>
              <c:f>Pivottables!$K$29:$K$31</c:f>
              <c:strCache>
                <c:ptCount val="2"/>
                <c:pt idx="0">
                  <c:v>w</c:v>
                </c:pt>
                <c:pt idx="1">
                  <c:v>l</c:v>
                </c:pt>
              </c:strCache>
            </c:strRef>
          </c:cat>
          <c:val>
            <c:numRef>
              <c:f>Pivottables!$L$29:$L$31</c:f>
              <c:numCache>
                <c:formatCode>General</c:formatCode>
                <c:ptCount val="2"/>
                <c:pt idx="0">
                  <c:v>25</c:v>
                </c:pt>
                <c:pt idx="1">
                  <c:v>26</c:v>
                </c:pt>
              </c:numCache>
            </c:numRef>
          </c:val>
        </c:ser>
        <c:dLbls>
          <c:showLegendKey val="0"/>
          <c:showVal val="0"/>
          <c:showCatName val="0"/>
          <c:showSerName val="0"/>
          <c:showPercent val="0"/>
          <c:showBubbleSize val="0"/>
          <c:showLeaderLines val="1"/>
        </c:dLbls>
        <c:firstSliceAng val="0"/>
        <c:holeSize val="80"/>
      </c:doughnut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[Excel-project.xlsx]Pivottables!PivotTable9</c:name>
    <c:fmtId val="12"/>
  </c:pivotSource>
  <c:chart>
    <c:autoTitleDeleted val="1"/>
    <c:pivotFmts>
      <c:pivotFmt>
        <c:idx val="0"/>
        <c:spPr>
          <a:solidFill>
            <a:schemeClr val="bg1">
              <a:lumMod val="95000"/>
            </a:schemeClr>
          </a:solidFill>
        </c:spPr>
        <c:marker>
          <c:symbol val="none"/>
        </c:marker>
      </c:pivotFmt>
      <c:pivotFmt>
        <c:idx val="1"/>
        <c:spPr>
          <a:solidFill>
            <a:srgbClr val="FF0066"/>
          </a:solidFill>
        </c:spPr>
      </c:pivotFmt>
      <c:pivotFmt>
        <c:idx val="2"/>
        <c:spPr>
          <a:solidFill>
            <a:schemeClr val="bg1">
              <a:lumMod val="95000"/>
            </a:schemeClr>
          </a:solidFill>
        </c:spPr>
        <c:marker>
          <c:symbol val="none"/>
        </c:marker>
      </c:pivotFmt>
      <c:pivotFmt>
        <c:idx val="3"/>
        <c:spPr>
          <a:solidFill>
            <a:srgbClr val="FF0066"/>
          </a:solidFill>
        </c:spPr>
      </c:pivotFmt>
      <c:pivotFmt>
        <c:idx val="4"/>
        <c:spPr>
          <a:solidFill>
            <a:schemeClr val="bg1">
              <a:lumMod val="95000"/>
            </a:schemeClr>
          </a:solidFill>
        </c:spPr>
        <c:marker>
          <c:symbol val="none"/>
        </c:marker>
      </c:pivotFmt>
      <c:pivotFmt>
        <c:idx val="5"/>
        <c:spPr>
          <a:solidFill>
            <a:srgbClr val="FF0066"/>
          </a:solidFill>
        </c:spPr>
      </c:pivotFmt>
      <c:pivotFmt>
        <c:idx val="6"/>
        <c:spPr>
          <a:solidFill>
            <a:schemeClr val="bg1">
              <a:lumMod val="95000"/>
            </a:schemeClr>
          </a:solidFill>
        </c:spPr>
        <c:marker>
          <c:symbol val="none"/>
        </c:marker>
      </c:pivotFmt>
      <c:pivotFmt>
        <c:idx val="7"/>
        <c:spPr>
          <a:solidFill>
            <a:srgbClr val="FF0066"/>
          </a:solidFill>
        </c:spPr>
      </c:pivotFmt>
      <c:pivotFmt>
        <c:idx val="8"/>
        <c:spPr>
          <a:solidFill>
            <a:schemeClr val="bg1">
              <a:lumMod val="95000"/>
            </a:schemeClr>
          </a:solidFill>
        </c:spPr>
        <c:marker>
          <c:symbol val="none"/>
        </c:marker>
      </c:pivotFmt>
      <c:pivotFmt>
        <c:idx val="9"/>
        <c:spPr>
          <a:solidFill>
            <a:srgbClr val="FF0066"/>
          </a:solidFill>
        </c:spPr>
      </c:pivotFmt>
      <c:pivotFmt>
        <c:idx val="10"/>
        <c:spPr>
          <a:solidFill>
            <a:schemeClr val="bg1">
              <a:lumMod val="95000"/>
            </a:schemeClr>
          </a:solidFill>
        </c:spPr>
        <c:marker>
          <c:symbol val="none"/>
        </c:marker>
      </c:pivotFmt>
      <c:pivotFmt>
        <c:idx val="11"/>
        <c:spPr>
          <a:solidFill>
            <a:srgbClr val="FF0066"/>
          </a:solidFill>
        </c:spPr>
      </c:pivotFmt>
    </c:pivotFmts>
    <c:plotArea>
      <c:layout/>
      <c:doughnutChart>
        <c:varyColors val="1"/>
        <c:ser>
          <c:idx val="0"/>
          <c:order val="0"/>
          <c:tx>
            <c:strRef>
              <c:f>Pivottables!$L$28</c:f>
              <c:strCache>
                <c:ptCount val="1"/>
                <c:pt idx="0">
                  <c:v>Total</c:v>
                </c:pt>
              </c:strCache>
            </c:strRef>
          </c:tx>
          <c:spPr>
            <a:solidFill>
              <a:schemeClr val="bg1">
                <a:lumMod val="95000"/>
              </a:schemeClr>
            </a:solidFill>
          </c:spPr>
          <c:dPt>
            <c:idx val="1"/>
            <c:bubble3D val="0"/>
            <c:spPr>
              <a:solidFill>
                <a:srgbClr val="FF0066"/>
              </a:solidFill>
            </c:spPr>
          </c:dPt>
          <c:cat>
            <c:strRef>
              <c:f>Pivottables!$K$29:$K$31</c:f>
              <c:strCache>
                <c:ptCount val="2"/>
                <c:pt idx="0">
                  <c:v>w</c:v>
                </c:pt>
                <c:pt idx="1">
                  <c:v>l</c:v>
                </c:pt>
              </c:strCache>
            </c:strRef>
          </c:cat>
          <c:val>
            <c:numRef>
              <c:f>Pivottables!$L$29:$L$31</c:f>
              <c:numCache>
                <c:formatCode>General</c:formatCode>
                <c:ptCount val="2"/>
                <c:pt idx="0">
                  <c:v>25</c:v>
                </c:pt>
                <c:pt idx="1">
                  <c:v>26</c:v>
                </c:pt>
              </c:numCache>
            </c:numRef>
          </c:val>
        </c:ser>
        <c:dLbls>
          <c:showLegendKey val="0"/>
          <c:showVal val="0"/>
          <c:showCatName val="0"/>
          <c:showSerName val="0"/>
          <c:showPercent val="0"/>
          <c:showBubbleSize val="0"/>
          <c:showLeaderLines val="1"/>
        </c:dLbls>
        <c:firstSliceAng val="0"/>
        <c:holeSize val="80"/>
      </c:doughnut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[Excel-project.xlsx]Pivottables!PivotTable7</c:name>
    <c:fmtId val="2"/>
  </c:pivotSource>
  <c:chart>
    <c:autoTitleDeleted val="1"/>
    <c:pivotFmts>
      <c:pivotFmt>
        <c:idx val="0"/>
        <c:spPr>
          <a:ln w="15875">
            <a:solidFill>
              <a:srgbClr val="8D7EF3"/>
            </a:solidFill>
          </a:ln>
        </c:spPr>
        <c:marker>
          <c:symbol val="none"/>
        </c:marker>
      </c:pivotFmt>
      <c:pivotFmt>
        <c:idx val="1"/>
        <c:spPr>
          <a:ln w="15875">
            <a:solidFill>
              <a:srgbClr val="8D7EF3"/>
            </a:solidFill>
          </a:ln>
        </c:spPr>
        <c:marker>
          <c:symbol val="none"/>
        </c:marker>
      </c:pivotFmt>
      <c:pivotFmt>
        <c:idx val="2"/>
        <c:spPr>
          <a:ln w="15875">
            <a:solidFill>
              <a:srgbClr val="8D7EF3"/>
            </a:solidFill>
          </a:ln>
        </c:spPr>
        <c:marker>
          <c:symbol val="none"/>
        </c:marker>
      </c:pivotFmt>
    </c:pivotFmts>
    <c:plotArea>
      <c:layout>
        <c:manualLayout>
          <c:layoutTarget val="inner"/>
          <c:xMode val="edge"/>
          <c:yMode val="edge"/>
          <c:x val="4.0404018980344666E-2"/>
          <c:y val="0.11924119241192412"/>
          <c:w val="0.92592596520270143"/>
          <c:h val="0.7615176151761518"/>
        </c:manualLayout>
      </c:layout>
      <c:lineChart>
        <c:grouping val="standard"/>
        <c:varyColors val="0"/>
        <c:ser>
          <c:idx val="0"/>
          <c:order val="0"/>
          <c:tx>
            <c:strRef>
              <c:f>Pivottables!$P$3</c:f>
              <c:strCache>
                <c:ptCount val="1"/>
                <c:pt idx="0">
                  <c:v>Total</c:v>
                </c:pt>
              </c:strCache>
            </c:strRef>
          </c:tx>
          <c:spPr>
            <a:ln w="15875">
              <a:solidFill>
                <a:srgbClr val="8D7EF3"/>
              </a:solidFill>
            </a:ln>
          </c:spPr>
          <c:marker>
            <c:symbol val="none"/>
          </c:marker>
          <c:cat>
            <c:strRef>
              <c:f>Pivottables!$O$4:$O$16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Pivottables!$P$4:$P$16</c:f>
              <c:numCache>
                <c:formatCode>0.00</c:formatCode>
                <c:ptCount val="12"/>
                <c:pt idx="0">
                  <c:v>5.9828571428571422</c:v>
                </c:pt>
                <c:pt idx="1">
                  <c:v>3.1025</c:v>
                </c:pt>
                <c:pt idx="2">
                  <c:v>4.2549999999999999</c:v>
                </c:pt>
                <c:pt idx="3">
                  <c:v>4.4460000000000006</c:v>
                </c:pt>
                <c:pt idx="4">
                  <c:v>5.8119999999999994</c:v>
                </c:pt>
                <c:pt idx="5">
                  <c:v>5.6120000000000001</c:v>
                </c:pt>
                <c:pt idx="6">
                  <c:v>2.2799999999999998</c:v>
                </c:pt>
                <c:pt idx="7">
                  <c:v>7.1333333333333329</c:v>
                </c:pt>
                <c:pt idx="8">
                  <c:v>11.013333333333334</c:v>
                </c:pt>
                <c:pt idx="9">
                  <c:v>4.8550000000000004</c:v>
                </c:pt>
                <c:pt idx="10">
                  <c:v>6.2450000000000019</c:v>
                </c:pt>
                <c:pt idx="11">
                  <c:v>1.4500000000000002</c:v>
                </c:pt>
              </c:numCache>
            </c:numRef>
          </c:val>
          <c:smooth val="1"/>
        </c:ser>
        <c:dLbls>
          <c:showLegendKey val="0"/>
          <c:showVal val="0"/>
          <c:showCatName val="0"/>
          <c:showSerName val="0"/>
          <c:showPercent val="0"/>
          <c:showBubbleSize val="0"/>
        </c:dLbls>
        <c:marker val="1"/>
        <c:smooth val="0"/>
        <c:axId val="115197056"/>
        <c:axId val="115198592"/>
      </c:lineChart>
      <c:catAx>
        <c:axId val="115197056"/>
        <c:scaling>
          <c:orientation val="minMax"/>
        </c:scaling>
        <c:delete val="1"/>
        <c:axPos val="b"/>
        <c:majorTickMark val="out"/>
        <c:minorTickMark val="none"/>
        <c:tickLblPos val="nextTo"/>
        <c:crossAx val="115198592"/>
        <c:crosses val="autoZero"/>
        <c:auto val="1"/>
        <c:lblAlgn val="ctr"/>
        <c:lblOffset val="100"/>
        <c:noMultiLvlLbl val="0"/>
      </c:catAx>
      <c:valAx>
        <c:axId val="115198592"/>
        <c:scaling>
          <c:orientation val="minMax"/>
        </c:scaling>
        <c:delete val="1"/>
        <c:axPos val="l"/>
        <c:numFmt formatCode="0.00" sourceLinked="1"/>
        <c:majorTickMark val="out"/>
        <c:minorTickMark val="none"/>
        <c:tickLblPos val="nextTo"/>
        <c:crossAx val="11519705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[Excel-project.xlsx]Pivottables!Profit by mcap</c:name>
    <c:fmtId val="5"/>
  </c:pivotSource>
  <c:chart>
    <c:autoTitleDeleted val="1"/>
    <c:pivotFmts>
      <c:pivotFmt>
        <c:idx val="0"/>
        <c:spPr>
          <a:solidFill>
            <a:srgbClr val="4958CE"/>
          </a:solidFill>
        </c:spPr>
        <c:dLbl>
          <c:idx val="0"/>
          <c:dLblPos val="outEnd"/>
          <c:showLegendKey val="0"/>
          <c:showVal val="1"/>
          <c:showCatName val="0"/>
          <c:showSerName val="0"/>
          <c:showPercent val="0"/>
          <c:showBubbleSize val="0"/>
        </c:dLbl>
      </c:pivotFmt>
      <c:pivotFmt>
        <c:idx val="1"/>
        <c:spPr>
          <a:solidFill>
            <a:srgbClr val="0AEAE0"/>
          </a:solidFill>
        </c:spPr>
      </c:pivotFmt>
      <c:pivotFmt>
        <c:idx val="2"/>
      </c:pivotFmt>
      <c:pivotFmt>
        <c:idx val="3"/>
        <c:spPr>
          <a:solidFill>
            <a:srgbClr val="FF0066"/>
          </a:solidFill>
        </c:spPr>
      </c:pivotFmt>
      <c:pivotFmt>
        <c:idx val="4"/>
        <c:spPr>
          <a:solidFill>
            <a:srgbClr val="4958CE"/>
          </a:solidFill>
        </c:spPr>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5"/>
        <c:spPr>
          <a:solidFill>
            <a:srgbClr val="0AEAE0"/>
          </a:solidFill>
        </c:spPr>
      </c:pivotFmt>
      <c:pivotFmt>
        <c:idx val="6"/>
        <c:spPr>
          <a:solidFill>
            <a:srgbClr val="FF0066"/>
          </a:solidFill>
        </c:spPr>
      </c:pivotFmt>
      <c:pivotFmt>
        <c:idx val="7"/>
        <c:spPr>
          <a:solidFill>
            <a:srgbClr val="4958CE"/>
          </a:solidFill>
        </c:spPr>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8"/>
        <c:spPr>
          <a:solidFill>
            <a:srgbClr val="0AEAE0"/>
          </a:solidFill>
        </c:spPr>
      </c:pivotFmt>
      <c:pivotFmt>
        <c:idx val="9"/>
        <c:spPr>
          <a:solidFill>
            <a:srgbClr val="FF0066"/>
          </a:solidFill>
        </c:spPr>
      </c:pivotFmt>
    </c:pivotFmts>
    <c:plotArea>
      <c:layout/>
      <c:pieChart>
        <c:varyColors val="1"/>
        <c:ser>
          <c:idx val="0"/>
          <c:order val="0"/>
          <c:tx>
            <c:strRef>
              <c:f>Pivottables!$P$22</c:f>
              <c:strCache>
                <c:ptCount val="1"/>
                <c:pt idx="0">
                  <c:v>Total</c:v>
                </c:pt>
              </c:strCache>
            </c:strRef>
          </c:tx>
          <c:spPr>
            <a:solidFill>
              <a:srgbClr val="4958CE"/>
            </a:solidFill>
          </c:spPr>
          <c:dPt>
            <c:idx val="1"/>
            <c:bubble3D val="0"/>
            <c:spPr>
              <a:solidFill>
                <a:srgbClr val="0AEAE0"/>
              </a:solidFill>
            </c:spPr>
          </c:dPt>
          <c:dPt>
            <c:idx val="2"/>
            <c:bubble3D val="0"/>
            <c:spPr>
              <a:solidFill>
                <a:srgbClr val="FF0066"/>
              </a:solidFill>
            </c:spPr>
          </c:dPt>
          <c:dLbls>
            <c:spPr/>
            <c:txPr>
              <a:bodyPr/>
              <a:lstStyle/>
              <a:p>
                <a:pPr>
                  <a:defRPr/>
                </a:pPr>
                <a:endParaRPr lang="en-US"/>
              </a:p>
            </c:txPr>
            <c:dLblPos val="outEnd"/>
            <c:showLegendKey val="0"/>
            <c:showVal val="1"/>
            <c:showCatName val="0"/>
            <c:showSerName val="0"/>
            <c:showPercent val="0"/>
            <c:showBubbleSize val="0"/>
            <c:showLeaderLines val="1"/>
          </c:dLbls>
          <c:cat>
            <c:strRef>
              <c:f>Pivottables!$O$23:$O$26</c:f>
              <c:strCache>
                <c:ptCount val="3"/>
                <c:pt idx="0">
                  <c:v>Large</c:v>
                </c:pt>
                <c:pt idx="1">
                  <c:v>Midcap</c:v>
                </c:pt>
                <c:pt idx="2">
                  <c:v>Small</c:v>
                </c:pt>
              </c:strCache>
            </c:strRef>
          </c:cat>
          <c:val>
            <c:numRef>
              <c:f>Pivottables!$P$23:$P$26</c:f>
              <c:numCache>
                <c:formatCode>General</c:formatCode>
                <c:ptCount val="3"/>
                <c:pt idx="0">
                  <c:v>122559.75000000006</c:v>
                </c:pt>
                <c:pt idx="1">
                  <c:v>74202.200000000012</c:v>
                </c:pt>
                <c:pt idx="2">
                  <c:v>26013.14999999998</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[Excel-project.xlsx]Pivottables!PivotTable14</c:name>
    <c:fmtId val="3"/>
  </c:pivotSource>
  <c:chart>
    <c:autoTitleDeleted val="0"/>
    <c:pivotFmts>
      <c:pivotFmt>
        <c:idx val="0"/>
        <c:spPr>
          <a:ln w="22225">
            <a:solidFill>
              <a:srgbClr val="00B626"/>
            </a:solidFill>
          </a:ln>
        </c:spPr>
        <c:marker>
          <c:symbol val="square"/>
          <c:size val="5"/>
          <c:spPr>
            <a:solidFill>
              <a:schemeClr val="bg1"/>
            </a:solidFill>
            <a:ln w="15875" cap="sq">
              <a:solidFill>
                <a:srgbClr val="00B626"/>
              </a:solidFill>
              <a:round/>
            </a:ln>
          </c:spPr>
        </c:marker>
      </c:pivotFmt>
      <c:pivotFmt>
        <c:idx val="1"/>
        <c:spPr>
          <a:ln w="22225" cap="sq">
            <a:solidFill>
              <a:srgbClr val="FF0066"/>
            </a:solidFill>
          </a:ln>
        </c:spPr>
        <c:marker>
          <c:symbol val="square"/>
          <c:size val="5"/>
          <c:spPr>
            <a:solidFill>
              <a:schemeClr val="bg1"/>
            </a:solidFill>
            <a:ln w="15875">
              <a:solidFill>
                <a:srgbClr val="FF0066"/>
              </a:solidFill>
            </a:ln>
          </c:spPr>
        </c:marker>
      </c:pivotFmt>
      <c:pivotFmt>
        <c:idx val="2"/>
      </c:pivotFmt>
      <c:pivotFmt>
        <c:idx val="3"/>
        <c:spPr>
          <a:ln w="22225">
            <a:solidFill>
              <a:srgbClr val="00B626"/>
            </a:solidFill>
          </a:ln>
        </c:spPr>
        <c:marker>
          <c:symbol val="square"/>
          <c:size val="5"/>
          <c:spPr>
            <a:solidFill>
              <a:schemeClr val="bg1"/>
            </a:solidFill>
            <a:ln w="15875" cap="sq">
              <a:solidFill>
                <a:srgbClr val="00B626"/>
              </a:solidFill>
              <a:round/>
            </a:ln>
          </c:spPr>
        </c:marker>
      </c:pivotFmt>
      <c:pivotFmt>
        <c:idx val="4"/>
        <c:spPr>
          <a:ln w="22225" cap="sq">
            <a:solidFill>
              <a:srgbClr val="FF0066"/>
            </a:solidFill>
          </a:ln>
        </c:spPr>
        <c:marker>
          <c:symbol val="square"/>
          <c:size val="5"/>
          <c:spPr>
            <a:solidFill>
              <a:schemeClr val="bg1"/>
            </a:solidFill>
            <a:ln w="15875">
              <a:solidFill>
                <a:srgbClr val="FF0066"/>
              </a:solidFill>
            </a:ln>
          </c:spPr>
        </c:marker>
      </c:pivotFmt>
      <c:pivotFmt>
        <c:idx val="5"/>
        <c:spPr>
          <a:ln w="22225">
            <a:solidFill>
              <a:srgbClr val="FF0066"/>
            </a:solidFill>
          </a:ln>
        </c:spPr>
        <c:marker>
          <c:symbol val="square"/>
          <c:size val="5"/>
          <c:spPr>
            <a:solidFill>
              <a:schemeClr val="bg1"/>
            </a:solidFill>
            <a:ln w="15875" cap="sq">
              <a:solidFill>
                <a:srgbClr val="FF0066"/>
              </a:solidFill>
              <a:round/>
            </a:ln>
          </c:spPr>
        </c:marker>
      </c:pivotFmt>
      <c:pivotFmt>
        <c:idx val="6"/>
        <c:spPr>
          <a:ln w="22225" cap="sq">
            <a:solidFill>
              <a:srgbClr val="00B626"/>
            </a:solidFill>
          </a:ln>
        </c:spPr>
        <c:marker>
          <c:symbol val="square"/>
          <c:size val="5"/>
          <c:spPr>
            <a:solidFill>
              <a:schemeClr val="bg1"/>
            </a:solidFill>
            <a:ln w="15875">
              <a:solidFill>
                <a:srgbClr val="00B626"/>
              </a:solidFill>
            </a:ln>
          </c:spPr>
        </c:marker>
      </c:pivotFmt>
    </c:pivotFmts>
    <c:plotArea>
      <c:layout>
        <c:manualLayout>
          <c:layoutTarget val="inner"/>
          <c:xMode val="edge"/>
          <c:yMode val="edge"/>
          <c:x val="4.4323550465282746E-2"/>
          <c:y val="7.8167286354906995E-2"/>
          <c:w val="0.94193677964167521"/>
          <c:h val="0.52128620197099207"/>
        </c:manualLayout>
      </c:layout>
      <c:lineChart>
        <c:grouping val="standard"/>
        <c:varyColors val="0"/>
        <c:ser>
          <c:idx val="0"/>
          <c:order val="0"/>
          <c:tx>
            <c:strRef>
              <c:f>Pivottables!$O$34:$O$35</c:f>
              <c:strCache>
                <c:ptCount val="1"/>
                <c:pt idx="0">
                  <c:v>l</c:v>
                </c:pt>
              </c:strCache>
            </c:strRef>
          </c:tx>
          <c:spPr>
            <a:ln w="22225">
              <a:solidFill>
                <a:srgbClr val="FF0066"/>
              </a:solidFill>
            </a:ln>
          </c:spPr>
          <c:marker>
            <c:symbol val="square"/>
            <c:size val="5"/>
            <c:spPr>
              <a:solidFill>
                <a:schemeClr val="bg1"/>
              </a:solidFill>
              <a:ln w="15875" cap="sq">
                <a:solidFill>
                  <a:srgbClr val="FF0066"/>
                </a:solidFill>
                <a:round/>
              </a:ln>
            </c:spPr>
          </c:marker>
          <c:cat>
            <c:strRef>
              <c:f>Pivottables!$N$36:$N$48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Pivottables!$O$36:$O$48</c:f>
              <c:numCache>
                <c:formatCode>General</c:formatCode>
                <c:ptCount val="12"/>
                <c:pt idx="1">
                  <c:v>1</c:v>
                </c:pt>
                <c:pt idx="2">
                  <c:v>2</c:v>
                </c:pt>
                <c:pt idx="3">
                  <c:v>4</c:v>
                </c:pt>
                <c:pt idx="4">
                  <c:v>4</c:v>
                </c:pt>
                <c:pt idx="5">
                  <c:v>2</c:v>
                </c:pt>
                <c:pt idx="7">
                  <c:v>2</c:v>
                </c:pt>
                <c:pt idx="8">
                  <c:v>1</c:v>
                </c:pt>
                <c:pt idx="9">
                  <c:v>2</c:v>
                </c:pt>
                <c:pt idx="10">
                  <c:v>8</c:v>
                </c:pt>
              </c:numCache>
            </c:numRef>
          </c:val>
          <c:smooth val="0"/>
        </c:ser>
        <c:ser>
          <c:idx val="1"/>
          <c:order val="1"/>
          <c:tx>
            <c:strRef>
              <c:f>Pivottables!$P$34:$P$35</c:f>
              <c:strCache>
                <c:ptCount val="1"/>
                <c:pt idx="0">
                  <c:v>w</c:v>
                </c:pt>
              </c:strCache>
            </c:strRef>
          </c:tx>
          <c:spPr>
            <a:ln w="22225" cap="sq">
              <a:solidFill>
                <a:srgbClr val="00B626"/>
              </a:solidFill>
            </a:ln>
          </c:spPr>
          <c:marker>
            <c:symbol val="square"/>
            <c:size val="5"/>
            <c:spPr>
              <a:solidFill>
                <a:schemeClr val="bg1"/>
              </a:solidFill>
              <a:ln w="15875">
                <a:solidFill>
                  <a:srgbClr val="00B626"/>
                </a:solidFill>
              </a:ln>
            </c:spPr>
          </c:marker>
          <c:cat>
            <c:strRef>
              <c:f>Pivottables!$N$36:$N$48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Pivottables!$P$36:$P$48</c:f>
              <c:numCache>
                <c:formatCode>General</c:formatCode>
                <c:ptCount val="12"/>
                <c:pt idx="0">
                  <c:v>7</c:v>
                </c:pt>
                <c:pt idx="1">
                  <c:v>3</c:v>
                </c:pt>
                <c:pt idx="2">
                  <c:v>2</c:v>
                </c:pt>
                <c:pt idx="3">
                  <c:v>1</c:v>
                </c:pt>
                <c:pt idx="4">
                  <c:v>1</c:v>
                </c:pt>
                <c:pt idx="5">
                  <c:v>3</c:v>
                </c:pt>
                <c:pt idx="6">
                  <c:v>1</c:v>
                </c:pt>
                <c:pt idx="7">
                  <c:v>1</c:v>
                </c:pt>
                <c:pt idx="8">
                  <c:v>2</c:v>
                </c:pt>
                <c:pt idx="9">
                  <c:v>2</c:v>
                </c:pt>
                <c:pt idx="11">
                  <c:v>2</c:v>
                </c:pt>
              </c:numCache>
            </c:numRef>
          </c:val>
          <c:smooth val="0"/>
        </c:ser>
        <c:dLbls>
          <c:showLegendKey val="0"/>
          <c:showVal val="0"/>
          <c:showCatName val="0"/>
          <c:showSerName val="0"/>
          <c:showPercent val="0"/>
          <c:showBubbleSize val="0"/>
        </c:dLbls>
        <c:marker val="1"/>
        <c:smooth val="0"/>
        <c:axId val="115769728"/>
        <c:axId val="115771648"/>
      </c:lineChart>
      <c:catAx>
        <c:axId val="115769728"/>
        <c:scaling>
          <c:orientation val="minMax"/>
        </c:scaling>
        <c:delete val="0"/>
        <c:axPos val="b"/>
        <c:majorTickMark val="out"/>
        <c:minorTickMark val="none"/>
        <c:tickLblPos val="nextTo"/>
        <c:crossAx val="115771648"/>
        <c:crosses val="autoZero"/>
        <c:auto val="1"/>
        <c:lblAlgn val="ctr"/>
        <c:lblOffset val="100"/>
        <c:noMultiLvlLbl val="0"/>
      </c:catAx>
      <c:valAx>
        <c:axId val="115771648"/>
        <c:scaling>
          <c:orientation val="minMax"/>
        </c:scaling>
        <c:delete val="1"/>
        <c:axPos val="l"/>
        <c:numFmt formatCode="General" sourceLinked="1"/>
        <c:majorTickMark val="out"/>
        <c:minorTickMark val="none"/>
        <c:tickLblPos val="nextTo"/>
        <c:crossAx val="115769728"/>
        <c:crosses val="autoZero"/>
        <c:crossBetween val="between"/>
      </c:valAx>
      <c:spPr>
        <a:noFill/>
        <a:ln>
          <a:noFill/>
        </a:ln>
      </c:spPr>
    </c:plotArea>
    <c:legend>
      <c:legendPos val="b"/>
      <c:layout>
        <c:manualLayout>
          <c:xMode val="edge"/>
          <c:yMode val="edge"/>
          <c:x val="0.39217042471963731"/>
          <c:y val="0.74283008991406851"/>
          <c:w val="0.26111369601527079"/>
          <c:h val="0.11319502017422883"/>
        </c:manualLayout>
      </c:layout>
      <c:overlay val="0"/>
    </c:legend>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[Excel-project.xlsx]Pivottables!month Trade</c:name>
    <c:fmtId val="8"/>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3"/>
        <c:marker>
          <c:symbol val="none"/>
        </c:marker>
      </c:pivotFmt>
    </c:pivotFmts>
    <c:plotArea>
      <c:layout/>
      <c:barChart>
        <c:barDir val="bar"/>
        <c:grouping val="clustered"/>
        <c:varyColors val="0"/>
        <c:ser>
          <c:idx val="0"/>
          <c:order val="0"/>
          <c:tx>
            <c:strRef>
              <c:f>Pivottables!$L$34</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Pivottables!$K$35:$K$47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Pivottables!$L$35:$L$47</c:f>
              <c:numCache>
                <c:formatCode>General</c:formatCode>
                <c:ptCount val="12"/>
                <c:pt idx="0">
                  <c:v>7</c:v>
                </c:pt>
                <c:pt idx="1">
                  <c:v>4</c:v>
                </c:pt>
                <c:pt idx="2">
                  <c:v>4</c:v>
                </c:pt>
                <c:pt idx="3">
                  <c:v>5</c:v>
                </c:pt>
                <c:pt idx="4">
                  <c:v>5</c:v>
                </c:pt>
                <c:pt idx="5">
                  <c:v>5</c:v>
                </c:pt>
                <c:pt idx="6">
                  <c:v>1</c:v>
                </c:pt>
                <c:pt idx="7">
                  <c:v>3</c:v>
                </c:pt>
                <c:pt idx="8">
                  <c:v>3</c:v>
                </c:pt>
                <c:pt idx="9">
                  <c:v>4</c:v>
                </c:pt>
                <c:pt idx="10">
                  <c:v>8</c:v>
                </c:pt>
                <c:pt idx="11">
                  <c:v>2</c:v>
                </c:pt>
              </c:numCache>
            </c:numRef>
          </c:val>
        </c:ser>
        <c:dLbls>
          <c:showLegendKey val="0"/>
          <c:showVal val="0"/>
          <c:showCatName val="0"/>
          <c:showSerName val="0"/>
          <c:showPercent val="0"/>
          <c:showBubbleSize val="0"/>
        </c:dLbls>
        <c:gapWidth val="150"/>
        <c:axId val="115793280"/>
        <c:axId val="115479680"/>
      </c:barChart>
      <c:catAx>
        <c:axId val="115793280"/>
        <c:scaling>
          <c:orientation val="minMax"/>
        </c:scaling>
        <c:delete val="0"/>
        <c:axPos val="l"/>
        <c:majorTickMark val="out"/>
        <c:minorTickMark val="none"/>
        <c:tickLblPos val="nextTo"/>
        <c:crossAx val="115479680"/>
        <c:crosses val="autoZero"/>
        <c:auto val="1"/>
        <c:lblAlgn val="ctr"/>
        <c:lblOffset val="100"/>
        <c:noMultiLvlLbl val="0"/>
      </c:catAx>
      <c:valAx>
        <c:axId val="115479680"/>
        <c:scaling>
          <c:orientation val="minMax"/>
        </c:scaling>
        <c:delete val="1"/>
        <c:axPos val="b"/>
        <c:numFmt formatCode="General" sourceLinked="1"/>
        <c:majorTickMark val="out"/>
        <c:minorTickMark val="none"/>
        <c:tickLblPos val="nextTo"/>
        <c:crossAx val="115793280"/>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[Excel-project.xlsx]Pivottables!Top6</c:name>
    <c:fmtId val="25"/>
  </c:pivotSource>
  <c:chart>
    <c:autoTitleDeleted val="1"/>
    <c:pivotFmts>
      <c:pivotFmt>
        <c:idx val="0"/>
        <c:marker>
          <c:symbol val="none"/>
        </c:marker>
      </c:pivotFmt>
      <c:pivotFmt>
        <c:idx val="1"/>
        <c:spPr>
          <a:solidFill>
            <a:srgbClr val="8D7EF3"/>
          </a:solidFill>
        </c:spPr>
      </c:pivotFmt>
      <c:pivotFmt>
        <c:idx val="2"/>
        <c:spPr>
          <a:solidFill>
            <a:srgbClr val="4958CE"/>
          </a:solidFill>
        </c:spPr>
      </c:pivotFmt>
      <c:pivotFmt>
        <c:idx val="3"/>
        <c:spPr>
          <a:solidFill>
            <a:srgbClr val="0AEAE0"/>
          </a:solidFill>
        </c:spPr>
      </c:pivotFmt>
      <c:pivotFmt>
        <c:idx val="4"/>
        <c:spPr>
          <a:solidFill>
            <a:srgbClr val="FFC000"/>
          </a:solidFill>
        </c:spPr>
      </c:pivotFmt>
      <c:pivotFmt>
        <c:idx val="5"/>
        <c:spPr>
          <a:solidFill>
            <a:srgbClr val="FF0066"/>
          </a:solidFill>
        </c:spPr>
      </c:pivotFmt>
      <c:pivotFmt>
        <c:idx val="6"/>
        <c:spPr>
          <a:solidFill>
            <a:srgbClr val="00B626"/>
          </a:solidFill>
        </c:spPr>
      </c:pivotFmt>
      <c:pivotFmt>
        <c:idx val="7"/>
        <c:marker>
          <c:symbol val="none"/>
        </c:marker>
      </c:pivotFmt>
      <c:pivotFmt>
        <c:idx val="8"/>
        <c:spPr>
          <a:solidFill>
            <a:srgbClr val="8D7EF3"/>
          </a:solidFill>
        </c:spPr>
      </c:pivotFmt>
      <c:pivotFmt>
        <c:idx val="9"/>
        <c:spPr>
          <a:solidFill>
            <a:srgbClr val="4958CE"/>
          </a:solidFill>
        </c:spPr>
      </c:pivotFmt>
      <c:pivotFmt>
        <c:idx val="10"/>
        <c:spPr>
          <a:solidFill>
            <a:srgbClr val="0AEAE0"/>
          </a:solidFill>
        </c:spPr>
      </c:pivotFmt>
      <c:pivotFmt>
        <c:idx val="11"/>
        <c:spPr>
          <a:solidFill>
            <a:srgbClr val="FFC000"/>
          </a:solidFill>
        </c:spPr>
      </c:pivotFmt>
      <c:pivotFmt>
        <c:idx val="12"/>
        <c:spPr>
          <a:solidFill>
            <a:srgbClr val="FF0066"/>
          </a:solidFill>
        </c:spPr>
      </c:pivotFmt>
      <c:pivotFmt>
        <c:idx val="13"/>
        <c:spPr>
          <a:solidFill>
            <a:srgbClr val="00B626"/>
          </a:solidFill>
        </c:spPr>
      </c:pivotFmt>
      <c:pivotFmt>
        <c:idx val="14"/>
        <c:marker>
          <c:symbol val="none"/>
        </c:marker>
      </c:pivotFmt>
      <c:pivotFmt>
        <c:idx val="15"/>
        <c:spPr>
          <a:solidFill>
            <a:srgbClr val="8D7EF3"/>
          </a:solidFill>
        </c:spPr>
      </c:pivotFmt>
      <c:pivotFmt>
        <c:idx val="16"/>
        <c:spPr>
          <a:solidFill>
            <a:srgbClr val="4958CE"/>
          </a:solidFill>
        </c:spPr>
      </c:pivotFmt>
      <c:pivotFmt>
        <c:idx val="17"/>
        <c:spPr>
          <a:solidFill>
            <a:srgbClr val="0AEAE0"/>
          </a:solidFill>
        </c:spPr>
      </c:pivotFmt>
      <c:pivotFmt>
        <c:idx val="18"/>
        <c:spPr>
          <a:solidFill>
            <a:srgbClr val="A13F9E"/>
          </a:solidFill>
        </c:spPr>
      </c:pivotFmt>
      <c:pivotFmt>
        <c:idx val="19"/>
        <c:spPr>
          <a:solidFill>
            <a:srgbClr val="FF0066"/>
          </a:solidFill>
        </c:spPr>
      </c:pivotFmt>
      <c:pivotFmt>
        <c:idx val="20"/>
        <c:spPr>
          <a:solidFill>
            <a:srgbClr val="00B626"/>
          </a:solidFill>
        </c:spPr>
      </c:pivotFmt>
      <c:pivotFmt>
        <c:idx val="21"/>
        <c:spPr>
          <a:solidFill>
            <a:srgbClr val="FFC000"/>
          </a:solidFill>
        </c:spPr>
      </c:pivotFmt>
    </c:pivotFmts>
    <c:plotArea>
      <c:layout/>
      <c:doughnutChart>
        <c:varyColors val="1"/>
        <c:ser>
          <c:idx val="0"/>
          <c:order val="0"/>
          <c:tx>
            <c:strRef>
              <c:f>Pivottables!$V$3</c:f>
              <c:strCache>
                <c:ptCount val="1"/>
                <c:pt idx="0">
                  <c:v>Total</c:v>
                </c:pt>
              </c:strCache>
            </c:strRef>
          </c:tx>
          <c:dPt>
            <c:idx val="0"/>
            <c:bubble3D val="0"/>
            <c:spPr>
              <a:solidFill>
                <a:srgbClr val="4958CE"/>
              </a:solidFill>
            </c:spPr>
          </c:dPt>
          <c:dPt>
            <c:idx val="1"/>
            <c:bubble3D val="0"/>
            <c:spPr>
              <a:solidFill>
                <a:srgbClr val="0AEAE0"/>
              </a:solidFill>
            </c:spPr>
          </c:dPt>
          <c:dPt>
            <c:idx val="2"/>
            <c:bubble3D val="0"/>
            <c:spPr>
              <a:solidFill>
                <a:srgbClr val="A13F9E"/>
              </a:solidFill>
            </c:spPr>
          </c:dPt>
          <c:dPt>
            <c:idx val="3"/>
            <c:bubble3D val="0"/>
            <c:spPr>
              <a:solidFill>
                <a:srgbClr val="FF0066"/>
              </a:solidFill>
            </c:spPr>
          </c:dPt>
          <c:dPt>
            <c:idx val="4"/>
            <c:bubble3D val="0"/>
            <c:spPr>
              <a:solidFill>
                <a:srgbClr val="00B626"/>
              </a:solidFill>
            </c:spPr>
          </c:dPt>
          <c:dPt>
            <c:idx val="5"/>
            <c:bubble3D val="0"/>
            <c:spPr>
              <a:solidFill>
                <a:srgbClr val="FFC000"/>
              </a:solidFill>
            </c:spPr>
          </c:dPt>
          <c:cat>
            <c:strRef>
              <c:f>Pivottables!$U$4:$U$10</c:f>
              <c:strCache>
                <c:ptCount val="6"/>
                <c:pt idx="0">
                  <c:v>ITC</c:v>
                </c:pt>
                <c:pt idx="1">
                  <c:v>M&amp;M</c:v>
                </c:pt>
                <c:pt idx="2">
                  <c:v>Suppetro</c:v>
                </c:pt>
                <c:pt idx="3">
                  <c:v>Spice jet</c:v>
                </c:pt>
                <c:pt idx="4">
                  <c:v>SIS</c:v>
                </c:pt>
                <c:pt idx="5">
                  <c:v>Navin fluoro</c:v>
                </c:pt>
              </c:strCache>
            </c:strRef>
          </c:cat>
          <c:val>
            <c:numRef>
              <c:f>Pivottables!$V$4:$V$10</c:f>
              <c:numCache>
                <c:formatCode>0.00</c:formatCode>
                <c:ptCount val="6"/>
                <c:pt idx="0">
                  <c:v>71694.130000000019</c:v>
                </c:pt>
                <c:pt idx="1">
                  <c:v>37583.970000000008</c:v>
                </c:pt>
                <c:pt idx="2">
                  <c:v>26938.200000000008</c:v>
                </c:pt>
                <c:pt idx="3">
                  <c:v>21001.349999999984</c:v>
                </c:pt>
                <c:pt idx="4">
                  <c:v>16665.900000000005</c:v>
                </c:pt>
                <c:pt idx="5">
                  <c:v>15314</c:v>
                </c:pt>
              </c:numCache>
            </c:numRef>
          </c:val>
        </c:ser>
        <c:dLbls>
          <c:showLegendKey val="0"/>
          <c:showVal val="0"/>
          <c:showCatName val="0"/>
          <c:showSerName val="0"/>
          <c:showPercent val="0"/>
          <c:showBubbleSize val="0"/>
          <c:showLeaderLines val="1"/>
        </c:dLbls>
        <c:firstSliceAng val="0"/>
        <c:holeSize val="80"/>
      </c:doughnut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[Excel-project.xlsx]Pivottables!month Trade</c:name>
    <c:fmtId val="15"/>
  </c:pivotSource>
  <c:chart>
    <c:autoTitleDeleted val="1"/>
    <c:pivotFmts>
      <c:pivotFmt>
        <c:idx val="0"/>
        <c:spPr>
          <a:ln w="22225">
            <a:solidFill>
              <a:schemeClr val="bg1">
                <a:lumMod val="95000"/>
              </a:schemeClr>
            </a:solidFill>
            <a:prstDash val="sysDot"/>
          </a:ln>
        </c:spPr>
        <c:marker>
          <c:symbol val="diamond"/>
          <c:size val="9"/>
          <c:spPr>
            <a:solidFill>
              <a:srgbClr val="4958CE"/>
            </a:solidFill>
          </c:spPr>
        </c:marker>
      </c:pivotFmt>
      <c:pivotFmt>
        <c:idx val="1"/>
        <c:spPr>
          <a:ln w="22225">
            <a:solidFill>
              <a:schemeClr val="bg1">
                <a:lumMod val="95000"/>
              </a:schemeClr>
            </a:solidFill>
            <a:prstDash val="sysDot"/>
          </a:ln>
        </c:spPr>
        <c:marker>
          <c:symbol val="diamond"/>
          <c:size val="9"/>
          <c:spPr>
            <a:solidFill>
              <a:srgbClr val="4958CE"/>
            </a:solidFill>
          </c:spPr>
        </c:marker>
      </c:pivotFmt>
      <c:pivotFmt>
        <c:idx val="2"/>
        <c:spPr>
          <a:ln w="22225">
            <a:solidFill>
              <a:schemeClr val="bg1">
                <a:lumMod val="95000"/>
              </a:schemeClr>
            </a:solidFill>
            <a:prstDash val="sysDot"/>
          </a:ln>
        </c:spPr>
        <c:marker>
          <c:symbol val="diamond"/>
          <c:size val="9"/>
          <c:spPr>
            <a:solidFill>
              <a:srgbClr val="4958CE"/>
            </a:solidFill>
          </c:spPr>
        </c:marker>
      </c:pivotFmt>
    </c:pivotFmts>
    <c:plotArea>
      <c:layout/>
      <c:lineChart>
        <c:grouping val="standard"/>
        <c:varyColors val="0"/>
        <c:ser>
          <c:idx val="0"/>
          <c:order val="0"/>
          <c:tx>
            <c:strRef>
              <c:f>Pivottables!$L$34</c:f>
              <c:strCache>
                <c:ptCount val="1"/>
                <c:pt idx="0">
                  <c:v>Total</c:v>
                </c:pt>
              </c:strCache>
            </c:strRef>
          </c:tx>
          <c:spPr>
            <a:ln w="22225">
              <a:solidFill>
                <a:schemeClr val="bg1">
                  <a:lumMod val="95000"/>
                </a:schemeClr>
              </a:solidFill>
              <a:prstDash val="sysDot"/>
            </a:ln>
          </c:spPr>
          <c:marker>
            <c:symbol val="diamond"/>
            <c:size val="9"/>
            <c:spPr>
              <a:solidFill>
                <a:srgbClr val="4958CE"/>
              </a:solidFill>
            </c:spPr>
          </c:marker>
          <c:cat>
            <c:strRef>
              <c:f>Pivottables!$K$35:$K$47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Pivottables!$L$35:$L$47</c:f>
              <c:numCache>
                <c:formatCode>General</c:formatCode>
                <c:ptCount val="12"/>
                <c:pt idx="0">
                  <c:v>7</c:v>
                </c:pt>
                <c:pt idx="1">
                  <c:v>4</c:v>
                </c:pt>
                <c:pt idx="2">
                  <c:v>4</c:v>
                </c:pt>
                <c:pt idx="3">
                  <c:v>5</c:v>
                </c:pt>
                <c:pt idx="4">
                  <c:v>5</c:v>
                </c:pt>
                <c:pt idx="5">
                  <c:v>5</c:v>
                </c:pt>
                <c:pt idx="6">
                  <c:v>1</c:v>
                </c:pt>
                <c:pt idx="7">
                  <c:v>3</c:v>
                </c:pt>
                <c:pt idx="8">
                  <c:v>3</c:v>
                </c:pt>
                <c:pt idx="9">
                  <c:v>4</c:v>
                </c:pt>
                <c:pt idx="10">
                  <c:v>8</c:v>
                </c:pt>
                <c:pt idx="11">
                  <c:v>2</c:v>
                </c:pt>
              </c:numCache>
            </c:numRef>
          </c:val>
          <c:smooth val="0"/>
        </c:ser>
        <c:dLbls>
          <c:showLegendKey val="0"/>
          <c:showVal val="0"/>
          <c:showCatName val="0"/>
          <c:showSerName val="0"/>
          <c:showPercent val="0"/>
          <c:showBubbleSize val="0"/>
        </c:dLbls>
        <c:marker val="1"/>
        <c:smooth val="0"/>
        <c:axId val="115576832"/>
        <c:axId val="115578752"/>
      </c:lineChart>
      <c:catAx>
        <c:axId val="115576832"/>
        <c:scaling>
          <c:orientation val="minMax"/>
        </c:scaling>
        <c:delete val="0"/>
        <c:axPos val="b"/>
        <c:majorTickMark val="out"/>
        <c:minorTickMark val="none"/>
        <c:tickLblPos val="nextTo"/>
        <c:spPr>
          <a:noFill/>
          <a:ln>
            <a:noFill/>
          </a:ln>
        </c:spPr>
        <c:crossAx val="115578752"/>
        <c:crosses val="autoZero"/>
        <c:auto val="1"/>
        <c:lblAlgn val="ctr"/>
        <c:lblOffset val="100"/>
        <c:noMultiLvlLbl val="0"/>
      </c:catAx>
      <c:valAx>
        <c:axId val="115578752"/>
        <c:scaling>
          <c:orientation val="minMax"/>
        </c:scaling>
        <c:delete val="0"/>
        <c:axPos val="l"/>
        <c:majorGridlines/>
        <c:numFmt formatCode="General" sourceLinked="1"/>
        <c:majorTickMark val="out"/>
        <c:minorTickMark val="none"/>
        <c:tickLblPos val="nextTo"/>
        <c:spPr>
          <a:ln>
            <a:noFill/>
          </a:ln>
        </c:spPr>
        <c:crossAx val="115576832"/>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[Excel-project.xlsx]Pivottables!PivotTable17</c:name>
    <c:fmtId val="4"/>
  </c:pivotSource>
  <c:chart>
    <c:autoTitleDeleted val="0"/>
    <c:pivotFmts>
      <c:pivotFmt>
        <c:idx val="0"/>
      </c:pivotFmt>
      <c:pivotFmt>
        <c:idx val="1"/>
        <c:spPr>
          <a:ln w="22225">
            <a:solidFill>
              <a:srgbClr val="FFC000"/>
            </a:solidFill>
          </a:ln>
        </c:spPr>
        <c:marker>
          <c:symbol val="none"/>
        </c:marker>
      </c:pivotFmt>
      <c:pivotFmt>
        <c:idx val="2"/>
        <c:spPr>
          <a:ln w="22225">
            <a:solidFill>
              <a:srgbClr val="FF0066"/>
            </a:solidFill>
          </a:ln>
        </c:spPr>
        <c:marker>
          <c:symbol val="none"/>
        </c:marker>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ln w="22225">
            <a:solidFill>
              <a:srgbClr val="00B626"/>
            </a:solidFill>
          </a:ln>
        </c:spPr>
        <c:marker>
          <c:symbol val="none"/>
        </c:marker>
      </c:pivotFmt>
      <c:pivotFmt>
        <c:idx val="19"/>
      </c:pivotFmt>
      <c:pivotFmt>
        <c:idx val="20"/>
        <c:spPr>
          <a:ln w="22225">
            <a:solidFill>
              <a:srgbClr val="00B626"/>
            </a:solidFill>
          </a:ln>
        </c:spPr>
        <c:marker>
          <c:symbol val="none"/>
        </c:marker>
      </c:pivotFmt>
      <c:pivotFmt>
        <c:idx val="21"/>
        <c:spPr>
          <a:ln w="22225">
            <a:solidFill>
              <a:srgbClr val="FFC000"/>
            </a:solidFill>
          </a:ln>
        </c:spPr>
        <c:marker>
          <c:symbol val="none"/>
        </c:marker>
      </c:pivotFmt>
      <c:pivotFmt>
        <c:idx val="22"/>
        <c:spPr>
          <a:ln w="22225">
            <a:solidFill>
              <a:srgbClr val="FF0066"/>
            </a:solidFill>
          </a:ln>
        </c:spPr>
        <c:marker>
          <c:symbol val="none"/>
        </c:marker>
      </c:pivotFmt>
      <c:pivotFmt>
        <c:idx val="23"/>
        <c:spPr>
          <a:ln w="22225">
            <a:solidFill>
              <a:srgbClr val="00B626"/>
            </a:solidFill>
          </a:ln>
        </c:spPr>
        <c:marker>
          <c:symbol val="none"/>
        </c:marker>
      </c:pivotFmt>
      <c:pivotFmt>
        <c:idx val="24"/>
        <c:spPr>
          <a:ln w="22225">
            <a:solidFill>
              <a:srgbClr val="FFC000"/>
            </a:solidFill>
          </a:ln>
        </c:spPr>
        <c:marker>
          <c:symbol val="none"/>
        </c:marker>
      </c:pivotFmt>
      <c:pivotFmt>
        <c:idx val="25"/>
        <c:spPr>
          <a:ln w="22225">
            <a:solidFill>
              <a:srgbClr val="FF0066"/>
            </a:solidFill>
          </a:ln>
        </c:spPr>
        <c:marker>
          <c:symbol val="none"/>
        </c:marker>
      </c:pivotFmt>
    </c:pivotFmts>
    <c:plotArea>
      <c:layout/>
      <c:lineChart>
        <c:grouping val="standard"/>
        <c:varyColors val="0"/>
        <c:ser>
          <c:idx val="0"/>
          <c:order val="0"/>
          <c:tx>
            <c:strRef>
              <c:f>Pivottables!$T$34:$T$35</c:f>
              <c:strCache>
                <c:ptCount val="1"/>
                <c:pt idx="0">
                  <c:v>Large</c:v>
                </c:pt>
              </c:strCache>
            </c:strRef>
          </c:tx>
          <c:spPr>
            <a:ln w="22225">
              <a:solidFill>
                <a:srgbClr val="00B626"/>
              </a:solidFill>
            </a:ln>
          </c:spPr>
          <c:marker>
            <c:symbol val="none"/>
          </c:marker>
          <c:cat>
            <c:strRef>
              <c:f>Pivottables!$S$36:$S$48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Pivottables!$T$36:$T$48</c:f>
              <c:numCache>
                <c:formatCode>General</c:formatCode>
                <c:ptCount val="12"/>
                <c:pt idx="0">
                  <c:v>104687.76000000001</c:v>
                </c:pt>
                <c:pt idx="1">
                  <c:v>17831.095000000005</c:v>
                </c:pt>
                <c:pt idx="2">
                  <c:v>11976.485000000022</c:v>
                </c:pt>
                <c:pt idx="3">
                  <c:v>-5395.4900000000143</c:v>
                </c:pt>
                <c:pt idx="4">
                  <c:v>-4033.1000000000004</c:v>
                </c:pt>
                <c:pt idx="5">
                  <c:v>9975</c:v>
                </c:pt>
                <c:pt idx="7">
                  <c:v>-2499</c:v>
                </c:pt>
                <c:pt idx="8">
                  <c:v>-2502</c:v>
                </c:pt>
                <c:pt idx="10">
                  <c:v>-7481</c:v>
                </c:pt>
              </c:numCache>
            </c:numRef>
          </c:val>
          <c:smooth val="0"/>
        </c:ser>
        <c:ser>
          <c:idx val="1"/>
          <c:order val="1"/>
          <c:tx>
            <c:strRef>
              <c:f>Pivottables!$U$34:$U$35</c:f>
              <c:strCache>
                <c:ptCount val="1"/>
                <c:pt idx="0">
                  <c:v>Midcap</c:v>
                </c:pt>
              </c:strCache>
            </c:strRef>
          </c:tx>
          <c:spPr>
            <a:ln w="22225">
              <a:solidFill>
                <a:srgbClr val="FFC000"/>
              </a:solidFill>
            </a:ln>
          </c:spPr>
          <c:marker>
            <c:symbol val="none"/>
          </c:marker>
          <c:cat>
            <c:strRef>
              <c:f>Pivottables!$S$36:$S$48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Pivottables!$U$36:$U$48</c:f>
              <c:numCache>
                <c:formatCode>General</c:formatCode>
                <c:ptCount val="12"/>
                <c:pt idx="5">
                  <c:v>26999.700000000008</c:v>
                </c:pt>
                <c:pt idx="6">
                  <c:v>5700.0000000000027</c:v>
                </c:pt>
                <c:pt idx="8">
                  <c:v>31175.5</c:v>
                </c:pt>
                <c:pt idx="9">
                  <c:v>17822</c:v>
                </c:pt>
                <c:pt idx="10">
                  <c:v>-7495</c:v>
                </c:pt>
              </c:numCache>
            </c:numRef>
          </c:val>
          <c:smooth val="0"/>
        </c:ser>
        <c:ser>
          <c:idx val="2"/>
          <c:order val="2"/>
          <c:tx>
            <c:strRef>
              <c:f>Pivottables!$V$34:$V$35</c:f>
              <c:strCache>
                <c:ptCount val="1"/>
                <c:pt idx="0">
                  <c:v>Small</c:v>
                </c:pt>
              </c:strCache>
            </c:strRef>
          </c:tx>
          <c:spPr>
            <a:ln w="22225">
              <a:solidFill>
                <a:srgbClr val="FF0066"/>
              </a:solidFill>
            </a:ln>
          </c:spPr>
          <c:marker>
            <c:symbol val="none"/>
          </c:marker>
          <c:cat>
            <c:strRef>
              <c:f>Pivottables!$S$36:$S$48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Pivottables!$V$36:$V$48</c:f>
              <c:numCache>
                <c:formatCode>General</c:formatCode>
                <c:ptCount val="12"/>
                <c:pt idx="7">
                  <c:v>9740.1999999999953</c:v>
                </c:pt>
                <c:pt idx="9">
                  <c:v>14004.349999999984</c:v>
                </c:pt>
                <c:pt idx="10">
                  <c:v>-5000</c:v>
                </c:pt>
                <c:pt idx="11">
                  <c:v>7268.5999999999995</c:v>
                </c:pt>
              </c:numCache>
            </c:numRef>
          </c:val>
          <c:smooth val="0"/>
        </c:ser>
        <c:dLbls>
          <c:showLegendKey val="0"/>
          <c:showVal val="0"/>
          <c:showCatName val="0"/>
          <c:showSerName val="0"/>
          <c:showPercent val="0"/>
          <c:showBubbleSize val="0"/>
        </c:dLbls>
        <c:marker val="1"/>
        <c:smooth val="0"/>
        <c:axId val="115652864"/>
        <c:axId val="115654656"/>
      </c:lineChart>
      <c:catAx>
        <c:axId val="115652864"/>
        <c:scaling>
          <c:orientation val="minMax"/>
        </c:scaling>
        <c:delete val="0"/>
        <c:axPos val="b"/>
        <c:majorTickMark val="out"/>
        <c:minorTickMark val="none"/>
        <c:tickLblPos val="nextTo"/>
        <c:spPr>
          <a:noFill/>
          <a:ln>
            <a:noFill/>
          </a:ln>
        </c:spPr>
        <c:crossAx val="115654656"/>
        <c:crosses val="autoZero"/>
        <c:auto val="1"/>
        <c:lblAlgn val="ctr"/>
        <c:lblOffset val="100"/>
        <c:noMultiLvlLbl val="0"/>
      </c:catAx>
      <c:valAx>
        <c:axId val="115654656"/>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spPr>
          <a:noFill/>
          <a:ln>
            <a:noFill/>
          </a:ln>
        </c:spPr>
        <c:crossAx val="115652864"/>
        <c:crosses val="autoZero"/>
        <c:crossBetween val="between"/>
      </c:valAx>
    </c:plotArea>
    <c:legend>
      <c:legendPos val="b"/>
      <c:layout/>
      <c:overlay val="0"/>
    </c:legend>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5182051489650503"/>
          <c:w val="0.91760302055412413"/>
          <c:h val="0.84817948510349495"/>
        </c:manualLayout>
      </c:layout>
      <c:lineChart>
        <c:grouping val="standard"/>
        <c:varyColors val="0"/>
        <c:ser>
          <c:idx val="0"/>
          <c:order val="0"/>
          <c:tx>
            <c:strRef>
              <c:f>Pivottables!$P$65</c:f>
              <c:strCache>
                <c:ptCount val="1"/>
                <c:pt idx="0">
                  <c:v>Account Balance</c:v>
                </c:pt>
              </c:strCache>
            </c:strRef>
          </c:tx>
          <c:spPr>
            <a:ln w="25400" cap="flat" cmpd="sng" algn="ctr">
              <a:gradFill>
                <a:gsLst>
                  <a:gs pos="100000">
                    <a:srgbClr val="4958CE"/>
                  </a:gs>
                  <a:gs pos="0">
                    <a:srgbClr val="A13F9E"/>
                  </a:gs>
                </a:gsLst>
                <a:lin ang="5400000" scaled="0"/>
              </a:gradFill>
              <a:prstDash val="solid"/>
            </a:ln>
            <a:effectLst/>
          </c:spPr>
          <c:marker>
            <c:symbol val="none"/>
          </c:marker>
          <c:cat>
            <c:strRef>
              <c:f>Pivottables!$O$66:$O$78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Pivottables!$P$66:$P$78</c:f>
              <c:numCache>
                <c:formatCode>[$INR]\ #,##0.00</c:formatCode>
                <c:ptCount val="13"/>
                <c:pt idx="0">
                  <c:v>604687.76</c:v>
                </c:pt>
                <c:pt idx="1">
                  <c:v>622518.85499999998</c:v>
                </c:pt>
                <c:pt idx="2">
                  <c:v>634495.34000000008</c:v>
                </c:pt>
                <c:pt idx="3">
                  <c:v>629099.85</c:v>
                </c:pt>
                <c:pt idx="4">
                  <c:v>625066.75</c:v>
                </c:pt>
                <c:pt idx="5">
                  <c:v>662041.44999999995</c:v>
                </c:pt>
                <c:pt idx="6">
                  <c:v>667741.44999999995</c:v>
                </c:pt>
                <c:pt idx="7">
                  <c:v>674982.65</c:v>
                </c:pt>
                <c:pt idx="8">
                  <c:v>703656.15</c:v>
                </c:pt>
                <c:pt idx="9">
                  <c:v>735482.5</c:v>
                </c:pt>
                <c:pt idx="10">
                  <c:v>715506.5</c:v>
                </c:pt>
                <c:pt idx="11">
                  <c:v>722775.1</c:v>
                </c:pt>
              </c:numCache>
            </c:numRef>
          </c:val>
          <c:smooth val="0"/>
        </c:ser>
        <c:dLbls>
          <c:showLegendKey val="0"/>
          <c:showVal val="0"/>
          <c:showCatName val="0"/>
          <c:showSerName val="0"/>
          <c:showPercent val="0"/>
          <c:showBubbleSize val="0"/>
        </c:dLbls>
        <c:marker val="1"/>
        <c:smooth val="0"/>
        <c:axId val="115817856"/>
        <c:axId val="115840128"/>
      </c:lineChart>
      <c:catAx>
        <c:axId val="115817856"/>
        <c:scaling>
          <c:orientation val="minMax"/>
        </c:scaling>
        <c:delete val="1"/>
        <c:axPos val="b"/>
        <c:majorTickMark val="out"/>
        <c:minorTickMark val="none"/>
        <c:tickLblPos val="nextTo"/>
        <c:crossAx val="115840128"/>
        <c:crosses val="autoZero"/>
        <c:auto val="1"/>
        <c:lblAlgn val="ctr"/>
        <c:lblOffset val="100"/>
        <c:noMultiLvlLbl val="0"/>
      </c:catAx>
      <c:valAx>
        <c:axId val="115840128"/>
        <c:scaling>
          <c:orientation val="minMax"/>
          <c:min val="300000"/>
        </c:scaling>
        <c:delete val="1"/>
        <c:axPos val="l"/>
        <c:numFmt formatCode="[$INR]\ #,##0" sourceLinked="0"/>
        <c:majorTickMark val="out"/>
        <c:minorTickMark val="none"/>
        <c:tickLblPos val="nextTo"/>
        <c:crossAx val="115817856"/>
        <c:crosses val="autoZero"/>
        <c:crossBetween val="between"/>
        <c:majorUnit val="15000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912148042718945E-2"/>
          <c:y val="5.7224606580829757E-2"/>
          <c:w val="0.92814375774827806"/>
          <c:h val="0.87982832618025753"/>
        </c:manualLayout>
      </c:layout>
      <c:areaChart>
        <c:grouping val="standard"/>
        <c:varyColors val="0"/>
        <c:ser>
          <c:idx val="0"/>
          <c:order val="0"/>
          <c:spPr>
            <a:gradFill>
              <a:gsLst>
                <a:gs pos="0">
                  <a:srgbClr val="A13F9E">
                    <a:alpha val="45000"/>
                  </a:srgbClr>
                </a:gs>
                <a:gs pos="23000">
                  <a:srgbClr val="4958CE">
                    <a:alpha val="0"/>
                  </a:srgbClr>
                </a:gs>
              </a:gsLst>
              <a:lin ang="5400000" scaled="0"/>
            </a:gradFill>
            <a:ln>
              <a:noFill/>
            </a:ln>
          </c:spPr>
          <c:val>
            <c:numRef>
              <c:f>Pivottables!$P$66:$P$77</c:f>
              <c:numCache>
                <c:formatCode>[$INR]\ #,##0.00</c:formatCode>
                <c:ptCount val="12"/>
                <c:pt idx="0">
                  <c:v>604687.76</c:v>
                </c:pt>
                <c:pt idx="1">
                  <c:v>622518.85499999998</c:v>
                </c:pt>
                <c:pt idx="2">
                  <c:v>634495.34000000008</c:v>
                </c:pt>
                <c:pt idx="3">
                  <c:v>629099.85</c:v>
                </c:pt>
                <c:pt idx="4">
                  <c:v>625066.75</c:v>
                </c:pt>
                <c:pt idx="5">
                  <c:v>662041.44999999995</c:v>
                </c:pt>
                <c:pt idx="6">
                  <c:v>667741.44999999995</c:v>
                </c:pt>
                <c:pt idx="7">
                  <c:v>674982.65</c:v>
                </c:pt>
                <c:pt idx="8">
                  <c:v>703656.15</c:v>
                </c:pt>
                <c:pt idx="9">
                  <c:v>735482.5</c:v>
                </c:pt>
                <c:pt idx="10">
                  <c:v>715506.5</c:v>
                </c:pt>
                <c:pt idx="11">
                  <c:v>722775.1</c:v>
                </c:pt>
              </c:numCache>
            </c:numRef>
          </c:val>
        </c:ser>
        <c:dLbls>
          <c:showLegendKey val="0"/>
          <c:showVal val="0"/>
          <c:showCatName val="0"/>
          <c:showSerName val="0"/>
          <c:showPercent val="0"/>
          <c:showBubbleSize val="0"/>
        </c:dLbls>
        <c:axId val="116138368"/>
        <c:axId val="116139904"/>
      </c:areaChart>
      <c:catAx>
        <c:axId val="116138368"/>
        <c:scaling>
          <c:orientation val="minMax"/>
        </c:scaling>
        <c:delete val="1"/>
        <c:axPos val="b"/>
        <c:majorTickMark val="out"/>
        <c:minorTickMark val="none"/>
        <c:tickLblPos val="nextTo"/>
        <c:crossAx val="116139904"/>
        <c:crosses val="autoZero"/>
        <c:auto val="1"/>
        <c:lblAlgn val="ctr"/>
        <c:lblOffset val="100"/>
        <c:noMultiLvlLbl val="0"/>
      </c:catAx>
      <c:valAx>
        <c:axId val="116139904"/>
        <c:scaling>
          <c:orientation val="minMax"/>
        </c:scaling>
        <c:delete val="1"/>
        <c:axPos val="l"/>
        <c:numFmt formatCode="[$INR]\ #,##0.00" sourceLinked="1"/>
        <c:majorTickMark val="out"/>
        <c:minorTickMark val="none"/>
        <c:tickLblPos val="nextTo"/>
        <c:crossAx val="116138368"/>
        <c:crosses val="autoZero"/>
        <c:crossBetween val="midCat"/>
      </c:valAx>
      <c:spPr>
        <a:noFill/>
        <a:ln>
          <a:noFill/>
        </a:ln>
      </c:spPr>
    </c:plotArea>
    <c:plotVisOnly val="1"/>
    <c:dispBlanksAs val="zero"/>
    <c:showDLblsOverMax val="0"/>
  </c:chart>
  <c:spPr>
    <a:noFill/>
    <a:ln w="0">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8.xml"/><Relationship Id="rId18" Type="http://schemas.openxmlformats.org/officeDocument/2006/relationships/chart" Target="../charts/chart9.xml"/><Relationship Id="rId3" Type="http://schemas.openxmlformats.org/officeDocument/2006/relationships/chart" Target="../charts/chart2.xml"/><Relationship Id="rId21" Type="http://schemas.openxmlformats.org/officeDocument/2006/relationships/chart" Target="../charts/chart10.xml"/><Relationship Id="rId7" Type="http://schemas.openxmlformats.org/officeDocument/2006/relationships/image" Target="../media/image2.png"/><Relationship Id="rId12" Type="http://schemas.openxmlformats.org/officeDocument/2006/relationships/chart" Target="../charts/chart7.xml"/><Relationship Id="rId17" Type="http://schemas.openxmlformats.org/officeDocument/2006/relationships/image" Target="../media/image8.png"/><Relationship Id="rId2" Type="http://schemas.openxmlformats.org/officeDocument/2006/relationships/chart" Target="../charts/chart1.xml"/><Relationship Id="rId16" Type="http://schemas.openxmlformats.org/officeDocument/2006/relationships/image" Target="../media/image7.png"/><Relationship Id="rId20"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chart" Target="../charts/chart6.xml"/><Relationship Id="rId5" Type="http://schemas.openxmlformats.org/officeDocument/2006/relationships/hyperlink" Target="#Database!A1"/><Relationship Id="rId15" Type="http://schemas.openxmlformats.org/officeDocument/2006/relationships/image" Target="../media/image6.png"/><Relationship Id="rId23" Type="http://schemas.openxmlformats.org/officeDocument/2006/relationships/chart" Target="../charts/chart12.xml"/><Relationship Id="rId10" Type="http://schemas.openxmlformats.org/officeDocument/2006/relationships/chart" Target="../charts/chart5.xml"/><Relationship Id="rId19" Type="http://schemas.openxmlformats.org/officeDocument/2006/relationships/image" Target="../media/image9.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image" Target="../media/image5.png"/><Relationship Id="rId22"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16</xdr:col>
      <xdr:colOff>600076</xdr:colOff>
      <xdr:row>3</xdr:row>
      <xdr:rowOff>381001</xdr:rowOff>
    </xdr:from>
    <xdr:to>
      <xdr:col>17</xdr:col>
      <xdr:colOff>85726</xdr:colOff>
      <xdr:row>4</xdr:row>
      <xdr:rowOff>76201</xdr:rowOff>
    </xdr:to>
    <xdr:sp macro="" textlink="">
      <xdr:nvSpPr>
        <xdr:cNvPr id="16" name="Rectangle 15"/>
        <xdr:cNvSpPr/>
      </xdr:nvSpPr>
      <xdr:spPr>
        <a:xfrm>
          <a:off x="16887826" y="1485901"/>
          <a:ext cx="95250" cy="114300"/>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518697</xdr:colOff>
      <xdr:row>3</xdr:row>
      <xdr:rowOff>384276</xdr:rowOff>
    </xdr:from>
    <xdr:to>
      <xdr:col>15</xdr:col>
      <xdr:colOff>598525</xdr:colOff>
      <xdr:row>4</xdr:row>
      <xdr:rowOff>37325</xdr:rowOff>
    </xdr:to>
    <xdr:sp macro="" textlink="">
      <xdr:nvSpPr>
        <xdr:cNvPr id="7" name="Rectangle 6"/>
        <xdr:cNvSpPr/>
      </xdr:nvSpPr>
      <xdr:spPr>
        <a:xfrm rot="2606363">
          <a:off x="15796797" y="1670151"/>
          <a:ext cx="79828" cy="72149"/>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38104</xdr:colOff>
      <xdr:row>3</xdr:row>
      <xdr:rowOff>2</xdr:rowOff>
    </xdr:from>
    <xdr:to>
      <xdr:col>18</xdr:col>
      <xdr:colOff>76204</xdr:colOff>
      <xdr:row>9</xdr:row>
      <xdr:rowOff>190500</xdr:rowOff>
    </xdr:to>
    <xdr:sp macro="" textlink="">
      <xdr:nvSpPr>
        <xdr:cNvPr id="5" name="L-Shape 4"/>
        <xdr:cNvSpPr/>
      </xdr:nvSpPr>
      <xdr:spPr>
        <a:xfrm rot="5400000" flipV="1">
          <a:off x="7743830" y="-6600824"/>
          <a:ext cx="2133598" cy="17545050"/>
        </a:xfrm>
        <a:prstGeom prst="corner">
          <a:avLst>
            <a:gd name="adj1" fmla="val 31588"/>
            <a:gd name="adj2" fmla="val 19703"/>
          </a:avLst>
        </a:prstGeom>
        <a:gradFill flip="none" rotWithShape="1">
          <a:gsLst>
            <a:gs pos="100000">
              <a:srgbClr val="4958CE"/>
            </a:gs>
            <a:gs pos="0">
              <a:srgbClr val="A13F9E"/>
            </a:gs>
          </a:gsLst>
          <a:lin ang="13500000" scaled="1"/>
          <a:tileRect/>
        </a:gra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890587</xdr:colOff>
      <xdr:row>0</xdr:row>
      <xdr:rowOff>214313</xdr:rowOff>
    </xdr:from>
    <xdr:to>
      <xdr:col>2</xdr:col>
      <xdr:colOff>80962</xdr:colOff>
      <xdr:row>1</xdr:row>
      <xdr:rowOff>119063</xdr:rowOff>
    </xdr:to>
    <xdr:sp macro="" textlink="">
      <xdr:nvSpPr>
        <xdr:cNvPr id="14" name="Rectangle 13"/>
        <xdr:cNvSpPr/>
      </xdr:nvSpPr>
      <xdr:spPr>
        <a:xfrm rot="18865523">
          <a:off x="1228725" y="276225"/>
          <a:ext cx="304800" cy="180975"/>
        </a:xfrm>
        <a:prstGeom prst="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481178</xdr:colOff>
      <xdr:row>4</xdr:row>
      <xdr:rowOff>12034</xdr:rowOff>
    </xdr:from>
    <xdr:to>
      <xdr:col>16</xdr:col>
      <xdr:colOff>27372</xdr:colOff>
      <xdr:row>4</xdr:row>
      <xdr:rowOff>57753</xdr:rowOff>
    </xdr:to>
    <xdr:sp macro="" textlink="">
      <xdr:nvSpPr>
        <xdr:cNvPr id="13" name="Rectangle 12"/>
        <xdr:cNvSpPr/>
      </xdr:nvSpPr>
      <xdr:spPr>
        <a:xfrm rot="2508640">
          <a:off x="15759278" y="1536034"/>
          <a:ext cx="155794" cy="45719"/>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951832</xdr:colOff>
      <xdr:row>0</xdr:row>
      <xdr:rowOff>298414</xdr:rowOff>
    </xdr:from>
    <xdr:to>
      <xdr:col>15</xdr:col>
      <xdr:colOff>70150</xdr:colOff>
      <xdr:row>1</xdr:row>
      <xdr:rowOff>41879</xdr:rowOff>
    </xdr:to>
    <xdr:sp macro="" textlink="">
      <xdr:nvSpPr>
        <xdr:cNvPr id="12" name="Rectangle 11"/>
        <xdr:cNvSpPr/>
      </xdr:nvSpPr>
      <xdr:spPr>
        <a:xfrm rot="2508640">
          <a:off x="15191707" y="298414"/>
          <a:ext cx="156543" cy="143515"/>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319088</xdr:colOff>
      <xdr:row>3</xdr:row>
      <xdr:rowOff>214313</xdr:rowOff>
    </xdr:from>
    <xdr:to>
      <xdr:col>1</xdr:col>
      <xdr:colOff>90488</xdr:colOff>
      <xdr:row>4</xdr:row>
      <xdr:rowOff>223838</xdr:rowOff>
    </xdr:to>
    <xdr:sp macro="" textlink="">
      <xdr:nvSpPr>
        <xdr:cNvPr id="6" name="Rectangle 5"/>
        <xdr:cNvSpPr/>
      </xdr:nvSpPr>
      <xdr:spPr>
        <a:xfrm rot="18868594">
          <a:off x="190500" y="1628776"/>
          <a:ext cx="428625" cy="171450"/>
        </a:xfrm>
        <a:prstGeom prst="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28574</xdr:colOff>
      <xdr:row>4</xdr:row>
      <xdr:rowOff>28574</xdr:rowOff>
    </xdr:from>
    <xdr:to>
      <xdr:col>17</xdr:col>
      <xdr:colOff>0</xdr:colOff>
      <xdr:row>4</xdr:row>
      <xdr:rowOff>419099</xdr:rowOff>
    </xdr:to>
    <xdr:sp macro="" textlink="">
      <xdr:nvSpPr>
        <xdr:cNvPr id="2" name="Round Same Side Corner Rectangle 1"/>
        <xdr:cNvSpPr/>
      </xdr:nvSpPr>
      <xdr:spPr>
        <a:xfrm>
          <a:off x="428624" y="1552574"/>
          <a:ext cx="16468726" cy="390525"/>
        </a:xfrm>
        <a:prstGeom prst="round2SameRect">
          <a:avLst/>
        </a:prstGeom>
        <a:noFill/>
        <a:ln w="76200">
          <a:solidFill>
            <a:srgbClr val="362F4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19056</xdr:rowOff>
    </xdr:from>
    <xdr:to>
      <xdr:col>17</xdr:col>
      <xdr:colOff>47624</xdr:colOff>
      <xdr:row>3</xdr:row>
      <xdr:rowOff>9528</xdr:rowOff>
    </xdr:to>
    <xdr:sp macro="" textlink="">
      <xdr:nvSpPr>
        <xdr:cNvPr id="10" name="L-Shape 9"/>
        <xdr:cNvSpPr/>
      </xdr:nvSpPr>
      <xdr:spPr>
        <a:xfrm rot="16200000" flipH="1">
          <a:off x="7724776" y="-7705720"/>
          <a:ext cx="1095372" cy="16544924"/>
        </a:xfrm>
        <a:prstGeom prst="corner">
          <a:avLst>
            <a:gd name="adj1" fmla="val 114636"/>
            <a:gd name="adj2" fmla="val 33478"/>
          </a:avLst>
        </a:prstGeom>
        <a:gradFill>
          <a:gsLst>
            <a:gs pos="100000">
              <a:srgbClr val="4958CE"/>
            </a:gs>
            <a:gs pos="0">
              <a:srgbClr val="A13F9E"/>
            </a:gs>
          </a:gsLst>
          <a:lin ang="135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361950</xdr:rowOff>
    </xdr:from>
    <xdr:to>
      <xdr:col>2</xdr:col>
      <xdr:colOff>0</xdr:colOff>
      <xdr:row>3</xdr:row>
      <xdr:rowOff>9526</xdr:rowOff>
    </xdr:to>
    <xdr:sp macro="" textlink="">
      <xdr:nvSpPr>
        <xdr:cNvPr id="8" name="Rectangle 7"/>
        <xdr:cNvSpPr/>
      </xdr:nvSpPr>
      <xdr:spPr>
        <a:xfrm>
          <a:off x="0" y="361950"/>
          <a:ext cx="1390650" cy="752476"/>
        </a:xfrm>
        <a:prstGeom prst="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66675</xdr:colOff>
      <xdr:row>0</xdr:row>
      <xdr:rowOff>19050</xdr:rowOff>
    </xdr:from>
    <xdr:to>
      <xdr:col>18</xdr:col>
      <xdr:colOff>76200</xdr:colOff>
      <xdr:row>3</xdr:row>
      <xdr:rowOff>247650</xdr:rowOff>
    </xdr:to>
    <xdr:sp macro="" textlink="">
      <xdr:nvSpPr>
        <xdr:cNvPr id="15" name="Rectangle 14"/>
        <xdr:cNvSpPr/>
      </xdr:nvSpPr>
      <xdr:spPr>
        <a:xfrm>
          <a:off x="15744825" y="19050"/>
          <a:ext cx="1838325" cy="1333500"/>
        </a:xfrm>
        <a:prstGeom prst="rect">
          <a:avLst/>
        </a:prstGeom>
        <a:gradFill flip="none" rotWithShape="1">
          <a:gsLst>
            <a:gs pos="100000">
              <a:srgbClr val="8B46AA"/>
            </a:gs>
            <a:gs pos="13000">
              <a:srgbClr val="8049B0"/>
            </a:gs>
            <a:gs pos="22000">
              <a:srgbClr val="754CB6"/>
            </a:gs>
            <a:gs pos="100000">
              <a:srgbClr val="A13F9E"/>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9525</xdr:colOff>
      <xdr:row>1</xdr:row>
      <xdr:rowOff>19050</xdr:rowOff>
    </xdr:from>
    <xdr:to>
      <xdr:col>15</xdr:col>
      <xdr:colOff>9525</xdr:colOff>
      <xdr:row>3</xdr:row>
      <xdr:rowOff>28576</xdr:rowOff>
    </xdr:to>
    <xdr:sp macro="" textlink="">
      <xdr:nvSpPr>
        <xdr:cNvPr id="9" name="Rounded Rectangle 8"/>
        <xdr:cNvSpPr/>
      </xdr:nvSpPr>
      <xdr:spPr>
        <a:xfrm>
          <a:off x="1400175" y="419100"/>
          <a:ext cx="13887450" cy="714376"/>
        </a:xfrm>
        <a:prstGeom prst="roundRect">
          <a:avLst/>
        </a:prstGeom>
        <a:noFill/>
        <a:ln w="76200">
          <a:solidFill>
            <a:srgbClr val="362F4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942975</xdr:colOff>
      <xdr:row>0</xdr:row>
      <xdr:rowOff>190500</xdr:rowOff>
    </xdr:from>
    <xdr:to>
      <xdr:col>15</xdr:col>
      <xdr:colOff>228600</xdr:colOff>
      <xdr:row>1</xdr:row>
      <xdr:rowOff>47625</xdr:rowOff>
    </xdr:to>
    <xdr:sp macro="" textlink="">
      <xdr:nvSpPr>
        <xdr:cNvPr id="3" name="TextBox 2">
          <a:hlinkClick xmlns:r="http://schemas.openxmlformats.org/officeDocument/2006/relationships" r:id="rId1" tooltip="Go To Dashboard"/>
        </xdr:cNvPr>
        <xdr:cNvSpPr txBox="1"/>
      </xdr:nvSpPr>
      <xdr:spPr>
        <a:xfrm>
          <a:off x="15182850" y="190500"/>
          <a:ext cx="323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t>
          </a:r>
        </a:p>
      </xdr:txBody>
    </xdr:sp>
    <xdr:clientData/>
  </xdr:twoCellAnchor>
  <xdr:twoCellAnchor>
    <xdr:from>
      <xdr:col>17</xdr:col>
      <xdr:colOff>9523</xdr:colOff>
      <xdr:row>9</xdr:row>
      <xdr:rowOff>190499</xdr:rowOff>
    </xdr:from>
    <xdr:to>
      <xdr:col>18</xdr:col>
      <xdr:colOff>76200</xdr:colOff>
      <xdr:row>94</xdr:row>
      <xdr:rowOff>247648</xdr:rowOff>
    </xdr:to>
    <xdr:sp macro="" textlink="">
      <xdr:nvSpPr>
        <xdr:cNvPr id="4" name="Rectangle 3"/>
        <xdr:cNvSpPr/>
      </xdr:nvSpPr>
      <xdr:spPr>
        <a:xfrm>
          <a:off x="16906873" y="3238499"/>
          <a:ext cx="676277" cy="22726649"/>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190499</xdr:colOff>
      <xdr:row>4</xdr:row>
      <xdr:rowOff>59056</xdr:rowOff>
    </xdr:from>
    <xdr:to>
      <xdr:col>16</xdr:col>
      <xdr:colOff>542924</xdr:colOff>
      <xdr:row>4</xdr:row>
      <xdr:rowOff>104775</xdr:rowOff>
    </xdr:to>
    <xdr:sp macro="" textlink="">
      <xdr:nvSpPr>
        <xdr:cNvPr id="11" name="Rectangle 10"/>
        <xdr:cNvSpPr/>
      </xdr:nvSpPr>
      <xdr:spPr>
        <a:xfrm flipH="1">
          <a:off x="15868649" y="1583056"/>
          <a:ext cx="962025" cy="45719"/>
        </a:xfrm>
        <a:prstGeom prst="rect">
          <a:avLst/>
        </a:prstGeom>
        <a:solidFill>
          <a:srgbClr val="362F4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409575</xdr:colOff>
      <xdr:row>22</xdr:row>
      <xdr:rowOff>171450</xdr:rowOff>
    </xdr:from>
    <xdr:to>
      <xdr:col>15</xdr:col>
      <xdr:colOff>57150</xdr:colOff>
      <xdr:row>30</xdr:row>
      <xdr:rowOff>161925</xdr:rowOff>
    </xdr:to>
    <xdr:sp macro="" textlink="">
      <xdr:nvSpPr>
        <xdr:cNvPr id="188" name="Rounded Rectangle 187"/>
        <xdr:cNvSpPr/>
      </xdr:nvSpPr>
      <xdr:spPr>
        <a:xfrm>
          <a:off x="7115175" y="4362450"/>
          <a:ext cx="2085975" cy="1514475"/>
        </a:xfrm>
        <a:prstGeom prst="roundRect">
          <a:avLst/>
        </a:prstGeom>
        <a:solidFill>
          <a:schemeClr val="accent3">
            <a:lumMod val="50000"/>
          </a:schemeClr>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solidFill>
              <a:schemeClr val="bg1"/>
            </a:solidFill>
          </a:endParaRPr>
        </a:p>
      </xdr:txBody>
    </xdr:sp>
    <xdr:clientData/>
  </xdr:twoCellAnchor>
  <xdr:twoCellAnchor>
    <xdr:from>
      <xdr:col>5</xdr:col>
      <xdr:colOff>9525</xdr:colOff>
      <xdr:row>22</xdr:row>
      <xdr:rowOff>164306</xdr:rowOff>
    </xdr:from>
    <xdr:to>
      <xdr:col>11</xdr:col>
      <xdr:colOff>304800</xdr:colOff>
      <xdr:row>37</xdr:row>
      <xdr:rowOff>142876</xdr:rowOff>
    </xdr:to>
    <xdr:sp macro="" textlink="Pivottables!I4">
      <xdr:nvSpPr>
        <xdr:cNvPr id="186" name="Rounded Rectangle 185"/>
        <xdr:cNvSpPr/>
      </xdr:nvSpPr>
      <xdr:spPr>
        <a:xfrm>
          <a:off x="3057525" y="4355306"/>
          <a:ext cx="3952875" cy="283607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17</xdr:col>
      <xdr:colOff>552450</xdr:colOff>
      <xdr:row>26</xdr:row>
      <xdr:rowOff>38100</xdr:rowOff>
    </xdr:from>
    <xdr:to>
      <xdr:col>23</xdr:col>
      <xdr:colOff>207644</xdr:colOff>
      <xdr:row>37</xdr:row>
      <xdr:rowOff>133350</xdr:rowOff>
    </xdr:to>
    <xdr:sp macro="" textlink="">
      <xdr:nvSpPr>
        <xdr:cNvPr id="116" name="Rounded Rectangle 115"/>
        <xdr:cNvSpPr/>
      </xdr:nvSpPr>
      <xdr:spPr>
        <a:xfrm>
          <a:off x="10807700" y="4991100"/>
          <a:ext cx="3274694" cy="219075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23</xdr:col>
      <xdr:colOff>304800</xdr:colOff>
      <xdr:row>22</xdr:row>
      <xdr:rowOff>152399</xdr:rowOff>
    </xdr:from>
    <xdr:to>
      <xdr:col>27</xdr:col>
      <xdr:colOff>112394</xdr:colOff>
      <xdr:row>33</xdr:row>
      <xdr:rowOff>95250</xdr:rowOff>
    </xdr:to>
    <xdr:sp macro="" textlink="">
      <xdr:nvSpPr>
        <xdr:cNvPr id="102" name="Rounded Rectangle 101"/>
        <xdr:cNvSpPr/>
      </xdr:nvSpPr>
      <xdr:spPr>
        <a:xfrm>
          <a:off x="14325600" y="4343399"/>
          <a:ext cx="2245994" cy="2038351"/>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0</xdr:col>
      <xdr:colOff>123825</xdr:colOff>
      <xdr:row>0</xdr:row>
      <xdr:rowOff>133350</xdr:rowOff>
    </xdr:from>
    <xdr:to>
      <xdr:col>2</xdr:col>
      <xdr:colOff>102489</xdr:colOff>
      <xdr:row>5</xdr:row>
      <xdr:rowOff>114300</xdr:rowOff>
    </xdr:to>
    <xdr:sp macro="" textlink="">
      <xdr:nvSpPr>
        <xdr:cNvPr id="4" name="Rounded Rectangle 3"/>
        <xdr:cNvSpPr/>
      </xdr:nvSpPr>
      <xdr:spPr>
        <a:xfrm>
          <a:off x="123825" y="133350"/>
          <a:ext cx="1197864" cy="93345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3</xdr:row>
      <xdr:rowOff>123826</xdr:rowOff>
    </xdr:from>
    <xdr:to>
      <xdr:col>2</xdr:col>
      <xdr:colOff>133350</xdr:colOff>
      <xdr:row>4</xdr:row>
      <xdr:rowOff>180976</xdr:rowOff>
    </xdr:to>
    <xdr:sp macro="" textlink="Pivottables!B3">
      <xdr:nvSpPr>
        <xdr:cNvPr id="5" name="TextBox 4"/>
        <xdr:cNvSpPr txBox="1"/>
      </xdr:nvSpPr>
      <xdr:spPr>
        <a:xfrm>
          <a:off x="114300" y="695326"/>
          <a:ext cx="12382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E73051-171D-4BE7-A39A-D93F8F266637}" type="TxLink">
            <a:rPr lang="en-US" sz="1100">
              <a:solidFill>
                <a:schemeClr val="bg2">
                  <a:lumMod val="25000"/>
                </a:schemeClr>
              </a:solidFill>
              <a:latin typeface="Arial" pitchFamily="34" charset="0"/>
              <a:cs typeface="Arial" pitchFamily="34" charset="0"/>
            </a:rPr>
            <a:pPr algn="ctr"/>
            <a:t>INR 500,000.00</a:t>
          </a:fld>
          <a:endParaRPr lang="en-US" sz="1100">
            <a:solidFill>
              <a:schemeClr val="bg2">
                <a:lumMod val="25000"/>
              </a:schemeClr>
            </a:solidFill>
            <a:latin typeface="Arial" pitchFamily="34" charset="0"/>
            <a:cs typeface="Arial" pitchFamily="34" charset="0"/>
          </a:endParaRPr>
        </a:p>
      </xdr:txBody>
    </xdr:sp>
    <xdr:clientData/>
  </xdr:twoCellAnchor>
  <xdr:twoCellAnchor>
    <xdr:from>
      <xdr:col>0</xdr:col>
      <xdr:colOff>276225</xdr:colOff>
      <xdr:row>0</xdr:row>
      <xdr:rowOff>133349</xdr:rowOff>
    </xdr:from>
    <xdr:to>
      <xdr:col>1</xdr:col>
      <xdr:colOff>552450</xdr:colOff>
      <xdr:row>3</xdr:row>
      <xdr:rowOff>161924</xdr:rowOff>
    </xdr:to>
    <xdr:sp macro="" textlink="">
      <xdr:nvSpPr>
        <xdr:cNvPr id="6" name="TextBox 5"/>
        <xdr:cNvSpPr txBox="1"/>
      </xdr:nvSpPr>
      <xdr:spPr>
        <a:xfrm>
          <a:off x="276225" y="133349"/>
          <a:ext cx="8858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Starting Balance</a:t>
          </a:r>
        </a:p>
      </xdr:txBody>
    </xdr:sp>
    <xdr:clientData/>
  </xdr:twoCellAnchor>
  <xdr:twoCellAnchor>
    <xdr:from>
      <xdr:col>2</xdr:col>
      <xdr:colOff>219074</xdr:colOff>
      <xdr:row>0</xdr:row>
      <xdr:rowOff>128587</xdr:rowOff>
    </xdr:from>
    <xdr:to>
      <xdr:col>4</xdr:col>
      <xdr:colOff>476249</xdr:colOff>
      <xdr:row>11</xdr:row>
      <xdr:rowOff>44767</xdr:rowOff>
    </xdr:to>
    <xdr:sp macro="" textlink="">
      <xdr:nvSpPr>
        <xdr:cNvPr id="7" name="Rounded Rectangle 6"/>
        <xdr:cNvSpPr/>
      </xdr:nvSpPr>
      <xdr:spPr>
        <a:xfrm>
          <a:off x="1438274" y="128587"/>
          <a:ext cx="1476375"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3</xdr:row>
      <xdr:rowOff>76200</xdr:rowOff>
    </xdr:from>
    <xdr:to>
      <xdr:col>1</xdr:col>
      <xdr:colOff>552450</xdr:colOff>
      <xdr:row>3</xdr:row>
      <xdr:rowOff>76200</xdr:rowOff>
    </xdr:to>
    <xdr:cxnSp macro="">
      <xdr:nvCxnSpPr>
        <xdr:cNvPr id="9" name="Straight Connector 8"/>
        <xdr:cNvCxnSpPr/>
      </xdr:nvCxnSpPr>
      <xdr:spPr>
        <a:xfrm>
          <a:off x="304800" y="647700"/>
          <a:ext cx="8572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133350</xdr:colOff>
      <xdr:row>6</xdr:row>
      <xdr:rowOff>47625</xdr:rowOff>
    </xdr:from>
    <xdr:to>
      <xdr:col>2</xdr:col>
      <xdr:colOff>112014</xdr:colOff>
      <xdr:row>11</xdr:row>
      <xdr:rowOff>27813</xdr:rowOff>
    </xdr:to>
    <xdr:sp macro="" textlink="">
      <xdr:nvSpPr>
        <xdr:cNvPr id="12" name="Rounded Rectangle 11"/>
        <xdr:cNvSpPr/>
      </xdr:nvSpPr>
      <xdr:spPr>
        <a:xfrm>
          <a:off x="133350" y="1190625"/>
          <a:ext cx="1197864" cy="932688"/>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66675</xdr:colOff>
      <xdr:row>6</xdr:row>
      <xdr:rowOff>38099</xdr:rowOff>
    </xdr:from>
    <xdr:to>
      <xdr:col>2</xdr:col>
      <xdr:colOff>171450</xdr:colOff>
      <xdr:row>9</xdr:row>
      <xdr:rowOff>66674</xdr:rowOff>
    </xdr:to>
    <xdr:sp macro="" textlink="">
      <xdr:nvSpPr>
        <xdr:cNvPr id="14" name="TextBox 13"/>
        <xdr:cNvSpPr txBox="1"/>
      </xdr:nvSpPr>
      <xdr:spPr>
        <a:xfrm>
          <a:off x="66675" y="1181099"/>
          <a:ext cx="13239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Risk/Position</a:t>
          </a:r>
          <a:endParaRPr lang="en-US" sz="1100">
            <a:solidFill>
              <a:srgbClr val="FF0066"/>
            </a:solidFill>
            <a:latin typeface="Abadi"/>
          </a:endParaRPr>
        </a:p>
      </xdr:txBody>
    </xdr:sp>
    <xdr:clientData/>
  </xdr:twoCellAnchor>
  <xdr:twoCellAnchor>
    <xdr:from>
      <xdr:col>0</xdr:col>
      <xdr:colOff>304800</xdr:colOff>
      <xdr:row>8</xdr:row>
      <xdr:rowOff>133350</xdr:rowOff>
    </xdr:from>
    <xdr:to>
      <xdr:col>1</xdr:col>
      <xdr:colOff>552450</xdr:colOff>
      <xdr:row>8</xdr:row>
      <xdr:rowOff>133350</xdr:rowOff>
    </xdr:to>
    <xdr:cxnSp macro="">
      <xdr:nvCxnSpPr>
        <xdr:cNvPr id="15" name="Straight Connector 14"/>
        <xdr:cNvCxnSpPr/>
      </xdr:nvCxnSpPr>
      <xdr:spPr>
        <a:xfrm>
          <a:off x="304800" y="1657350"/>
          <a:ext cx="8572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428625</xdr:colOff>
      <xdr:row>9</xdr:row>
      <xdr:rowOff>19051</xdr:rowOff>
    </xdr:from>
    <xdr:to>
      <xdr:col>2</xdr:col>
      <xdr:colOff>447675</xdr:colOff>
      <xdr:row>10</xdr:row>
      <xdr:rowOff>57151</xdr:rowOff>
    </xdr:to>
    <xdr:sp macro="" textlink="Pivottables!B6">
      <xdr:nvSpPr>
        <xdr:cNvPr id="16" name="TextBox 15"/>
        <xdr:cNvSpPr txBox="1"/>
      </xdr:nvSpPr>
      <xdr:spPr>
        <a:xfrm>
          <a:off x="428625" y="1733551"/>
          <a:ext cx="12382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02B679-9BEA-47AB-A78F-446345BD333F}" type="TxLink">
            <a:rPr lang="en-US" sz="1200">
              <a:solidFill>
                <a:schemeClr val="bg2">
                  <a:lumMod val="25000"/>
                </a:schemeClr>
              </a:solidFill>
              <a:latin typeface="Arial" pitchFamily="34" charset="0"/>
              <a:cs typeface="Arial" pitchFamily="34" charset="0"/>
            </a:rPr>
            <a:pPr/>
            <a:t>0.50%</a:t>
          </a:fld>
          <a:endParaRPr lang="en-US" sz="1200">
            <a:solidFill>
              <a:schemeClr val="bg2">
                <a:lumMod val="25000"/>
              </a:schemeClr>
            </a:solidFill>
            <a:latin typeface="Arial" pitchFamily="34" charset="0"/>
            <a:cs typeface="Arial" pitchFamily="34" charset="0"/>
          </a:endParaRPr>
        </a:p>
      </xdr:txBody>
    </xdr:sp>
    <xdr:clientData/>
  </xdr:twoCellAnchor>
  <xdr:twoCellAnchor>
    <xdr:from>
      <xdr:col>2</xdr:col>
      <xdr:colOff>238124</xdr:colOff>
      <xdr:row>1</xdr:row>
      <xdr:rowOff>61912</xdr:rowOff>
    </xdr:from>
    <xdr:to>
      <xdr:col>5</xdr:col>
      <xdr:colOff>152399</xdr:colOff>
      <xdr:row>4</xdr:row>
      <xdr:rowOff>90487</xdr:rowOff>
    </xdr:to>
    <xdr:sp macro="" textlink="">
      <xdr:nvSpPr>
        <xdr:cNvPr id="13" name="TextBox 12"/>
        <xdr:cNvSpPr txBox="1"/>
      </xdr:nvSpPr>
      <xdr:spPr>
        <a:xfrm>
          <a:off x="1457324" y="25241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Total Gain</a:t>
          </a:r>
        </a:p>
      </xdr:txBody>
    </xdr:sp>
    <xdr:clientData/>
  </xdr:twoCellAnchor>
  <xdr:twoCellAnchor editAs="oneCell">
    <xdr:from>
      <xdr:col>2</xdr:col>
      <xdr:colOff>393516</xdr:colOff>
      <xdr:row>2</xdr:row>
      <xdr:rowOff>23814</xdr:rowOff>
    </xdr:from>
    <xdr:to>
      <xdr:col>3</xdr:col>
      <xdr:colOff>177306</xdr:colOff>
      <xdr:row>3</xdr:row>
      <xdr:rowOff>107634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2716" y="404814"/>
          <a:ext cx="393390" cy="274320"/>
        </a:xfrm>
        <a:prstGeom prst="rect">
          <a:avLst/>
        </a:prstGeom>
      </xdr:spPr>
    </xdr:pic>
    <xdr:clientData/>
  </xdr:twoCellAnchor>
  <xdr:twoCellAnchor>
    <xdr:from>
      <xdr:col>2</xdr:col>
      <xdr:colOff>457200</xdr:colOff>
      <xdr:row>3</xdr:row>
      <xdr:rowOff>161925</xdr:rowOff>
    </xdr:from>
    <xdr:to>
      <xdr:col>4</xdr:col>
      <xdr:colOff>257175</xdr:colOff>
      <xdr:row>3</xdr:row>
      <xdr:rowOff>161925</xdr:rowOff>
    </xdr:to>
    <xdr:cxnSp macro="">
      <xdr:nvCxnSpPr>
        <xdr:cNvPr id="17" name="Straight Connector 16"/>
        <xdr:cNvCxnSpPr/>
      </xdr:nvCxnSpPr>
      <xdr:spPr>
        <a:xfrm>
          <a:off x="1676400" y="733425"/>
          <a:ext cx="10191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114299</xdr:colOff>
      <xdr:row>6</xdr:row>
      <xdr:rowOff>4762</xdr:rowOff>
    </xdr:from>
    <xdr:to>
      <xdr:col>5</xdr:col>
      <xdr:colOff>28574</xdr:colOff>
      <xdr:row>9</xdr:row>
      <xdr:rowOff>33337</xdr:rowOff>
    </xdr:to>
    <xdr:sp macro="" textlink="">
      <xdr:nvSpPr>
        <xdr:cNvPr id="18" name="TextBox 17"/>
        <xdr:cNvSpPr txBox="1"/>
      </xdr:nvSpPr>
      <xdr:spPr>
        <a:xfrm>
          <a:off x="1333499" y="114776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Total Trades</a:t>
          </a:r>
        </a:p>
      </xdr:txBody>
    </xdr:sp>
    <xdr:clientData/>
  </xdr:twoCellAnchor>
  <xdr:twoCellAnchor>
    <xdr:from>
      <xdr:col>3</xdr:col>
      <xdr:colOff>123825</xdr:colOff>
      <xdr:row>8</xdr:row>
      <xdr:rowOff>95250</xdr:rowOff>
    </xdr:from>
    <xdr:to>
      <xdr:col>5</xdr:col>
      <xdr:colOff>285750</xdr:colOff>
      <xdr:row>10</xdr:row>
      <xdr:rowOff>19050</xdr:rowOff>
    </xdr:to>
    <xdr:sp macro="" textlink="Pivottables!B12">
      <xdr:nvSpPr>
        <xdr:cNvPr id="20" name="TextBox 19"/>
        <xdr:cNvSpPr txBox="1"/>
      </xdr:nvSpPr>
      <xdr:spPr>
        <a:xfrm>
          <a:off x="1952625" y="1619250"/>
          <a:ext cx="13811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510EDE6-DB32-48A6-893D-61E493546E0C}" type="TxLink">
            <a:rPr lang="en-US" sz="1800">
              <a:solidFill>
                <a:schemeClr val="bg2">
                  <a:lumMod val="25000"/>
                </a:schemeClr>
              </a:solidFill>
              <a:latin typeface="Arial" pitchFamily="34" charset="0"/>
              <a:cs typeface="Arial" pitchFamily="34" charset="0"/>
            </a:rPr>
            <a:pPr algn="l"/>
            <a:t>51</a:t>
          </a:fld>
          <a:endParaRPr lang="en-US" sz="1800">
            <a:solidFill>
              <a:schemeClr val="bg2">
                <a:lumMod val="25000"/>
              </a:schemeClr>
            </a:solidFill>
            <a:latin typeface="Arial" pitchFamily="34" charset="0"/>
            <a:cs typeface="Arial" pitchFamily="34" charset="0"/>
          </a:endParaRPr>
        </a:p>
      </xdr:txBody>
    </xdr:sp>
    <xdr:clientData/>
  </xdr:twoCellAnchor>
  <xdr:twoCellAnchor>
    <xdr:from>
      <xdr:col>2</xdr:col>
      <xdr:colOff>361950</xdr:colOff>
      <xdr:row>4</xdr:row>
      <xdr:rowOff>28575</xdr:rowOff>
    </xdr:from>
    <xdr:to>
      <xdr:col>4</xdr:col>
      <xdr:colOff>523875</xdr:colOff>
      <xdr:row>5</xdr:row>
      <xdr:rowOff>142875</xdr:rowOff>
    </xdr:to>
    <xdr:grpSp>
      <xdr:nvGrpSpPr>
        <xdr:cNvPr id="44" name="Group 43"/>
        <xdr:cNvGrpSpPr/>
      </xdr:nvGrpSpPr>
      <xdr:grpSpPr>
        <a:xfrm>
          <a:off x="1586593" y="790575"/>
          <a:ext cx="1386568" cy="304800"/>
          <a:chOff x="1581150" y="685800"/>
          <a:chExt cx="1381125" cy="304800"/>
        </a:xfrm>
      </xdr:grpSpPr>
      <xdr:sp macro="" textlink="">
        <xdr:nvSpPr>
          <xdr:cNvPr id="2" name="Isosceles Triangle 1"/>
          <xdr:cNvSpPr/>
        </xdr:nvSpPr>
        <xdr:spPr>
          <a:xfrm>
            <a:off x="2609850" y="762000"/>
            <a:ext cx="109728" cy="64008"/>
          </a:xfrm>
          <a:prstGeom prst="triangle">
            <a:avLst/>
          </a:prstGeom>
          <a:solidFill>
            <a:srgbClr val="00B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sp macro="" textlink="Pivottables!B9">
        <xdr:nvSpPr>
          <xdr:cNvPr id="8" name="TextBox 7"/>
          <xdr:cNvSpPr txBox="1"/>
        </xdr:nvSpPr>
        <xdr:spPr>
          <a:xfrm>
            <a:off x="1581150" y="685800"/>
            <a:ext cx="13811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8808E3-BD5F-4379-B206-F3872DE26304}" type="TxLink">
              <a:rPr lang="en-US" sz="1600">
                <a:solidFill>
                  <a:schemeClr val="bg2">
                    <a:lumMod val="25000"/>
                  </a:schemeClr>
                </a:solidFill>
                <a:latin typeface="Arial" pitchFamily="34" charset="0"/>
                <a:cs typeface="Arial" pitchFamily="34" charset="0"/>
              </a:rPr>
              <a:pPr/>
              <a:t>222,775.1</a:t>
            </a:fld>
            <a:endParaRPr lang="en-US" sz="1600">
              <a:solidFill>
                <a:schemeClr val="bg2">
                  <a:lumMod val="25000"/>
                </a:schemeClr>
              </a:solidFill>
              <a:latin typeface="Arial" pitchFamily="34" charset="0"/>
              <a:cs typeface="Arial" pitchFamily="34" charset="0"/>
            </a:endParaRPr>
          </a:p>
        </xdr:txBody>
      </xdr:sp>
      <xdr:sp macro="" textlink="">
        <xdr:nvSpPr>
          <xdr:cNvPr id="21" name="Isosceles Triangle 20"/>
          <xdr:cNvSpPr/>
        </xdr:nvSpPr>
        <xdr:spPr>
          <a:xfrm flipV="1">
            <a:off x="2609850" y="866775"/>
            <a:ext cx="109728" cy="64008"/>
          </a:xfrm>
          <a:prstGeom prs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clientData/>
  </xdr:twoCellAnchor>
  <xdr:twoCellAnchor>
    <xdr:from>
      <xdr:col>4</xdr:col>
      <xdr:colOff>587755</xdr:colOff>
      <xdr:row>0</xdr:row>
      <xdr:rowOff>135731</xdr:rowOff>
    </xdr:from>
    <xdr:to>
      <xdr:col>8</xdr:col>
      <xdr:colOff>254381</xdr:colOff>
      <xdr:row>11</xdr:row>
      <xdr:rowOff>51911</xdr:rowOff>
    </xdr:to>
    <xdr:sp macro="" textlink="Pivottables!I4">
      <xdr:nvSpPr>
        <xdr:cNvPr id="19" name="Rounded Rectangle 18"/>
        <xdr:cNvSpPr/>
      </xdr:nvSpPr>
      <xdr:spPr>
        <a:xfrm>
          <a:off x="3026155" y="135731"/>
          <a:ext cx="2105026"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5</xdr:col>
      <xdr:colOff>9524</xdr:colOff>
      <xdr:row>1</xdr:row>
      <xdr:rowOff>33337</xdr:rowOff>
    </xdr:from>
    <xdr:to>
      <xdr:col>7</xdr:col>
      <xdr:colOff>533399</xdr:colOff>
      <xdr:row>4</xdr:row>
      <xdr:rowOff>61912</xdr:rowOff>
    </xdr:to>
    <xdr:sp macro="" textlink="">
      <xdr:nvSpPr>
        <xdr:cNvPr id="22" name="TextBox 21"/>
        <xdr:cNvSpPr txBox="1"/>
      </xdr:nvSpPr>
      <xdr:spPr>
        <a:xfrm>
          <a:off x="3057524" y="223837"/>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Top 5</a:t>
          </a:r>
        </a:p>
        <a:p>
          <a:pPr algn="l"/>
          <a:r>
            <a:rPr lang="en-US" sz="1100">
              <a:solidFill>
                <a:schemeClr val="tx1">
                  <a:lumMod val="75000"/>
                  <a:lumOff val="25000"/>
                </a:schemeClr>
              </a:solidFill>
              <a:latin typeface="Abadi"/>
            </a:rPr>
            <a:t>Most</a:t>
          </a:r>
          <a:r>
            <a:rPr lang="en-US" sz="1050">
              <a:solidFill>
                <a:schemeClr val="tx1">
                  <a:lumMod val="85000"/>
                  <a:lumOff val="15000"/>
                </a:schemeClr>
              </a:solidFill>
              <a:latin typeface="Abadi"/>
            </a:rPr>
            <a:t> Traded</a:t>
          </a:r>
        </a:p>
        <a:p>
          <a:pPr algn="l"/>
          <a:r>
            <a:rPr lang="en-US" sz="900">
              <a:solidFill>
                <a:schemeClr val="tx1">
                  <a:lumMod val="50000"/>
                  <a:lumOff val="50000"/>
                </a:schemeClr>
              </a:solidFill>
              <a:latin typeface="Abadi"/>
            </a:rPr>
            <a:t>Stock</a:t>
          </a:r>
        </a:p>
      </xdr:txBody>
    </xdr:sp>
    <xdr:clientData/>
  </xdr:twoCellAnchor>
  <xdr:twoCellAnchor>
    <xdr:from>
      <xdr:col>7</xdr:col>
      <xdr:colOff>400050</xdr:colOff>
      <xdr:row>1</xdr:row>
      <xdr:rowOff>133350</xdr:rowOff>
    </xdr:from>
    <xdr:to>
      <xdr:col>7</xdr:col>
      <xdr:colOff>491490</xdr:colOff>
      <xdr:row>2</xdr:row>
      <xdr:rowOff>34290</xdr:rowOff>
    </xdr:to>
    <xdr:sp macro="" textlink="">
      <xdr:nvSpPr>
        <xdr:cNvPr id="10" name="5-Point Star 9"/>
        <xdr:cNvSpPr/>
      </xdr:nvSpPr>
      <xdr:spPr>
        <a:xfrm>
          <a:off x="4667250" y="323850"/>
          <a:ext cx="91440" cy="91440"/>
        </a:xfrm>
        <a:prstGeom prst="star5">
          <a:avLst/>
        </a:prstGeom>
        <a:solidFill>
          <a:srgbClr val="FEE04E"/>
        </a:solidFill>
        <a:ln>
          <a:solidFill>
            <a:srgbClr val="FEE04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a:t>
          </a:r>
        </a:p>
      </xdr:txBody>
    </xdr:sp>
    <xdr:clientData/>
  </xdr:twoCellAnchor>
  <xdr:twoCellAnchor>
    <xdr:from>
      <xdr:col>5</xdr:col>
      <xdr:colOff>76200</xdr:colOff>
      <xdr:row>4</xdr:row>
      <xdr:rowOff>114300</xdr:rowOff>
    </xdr:from>
    <xdr:to>
      <xdr:col>8</xdr:col>
      <xdr:colOff>220266</xdr:colOff>
      <xdr:row>10</xdr:row>
      <xdr:rowOff>95250</xdr:rowOff>
    </xdr:to>
    <xdr:grpSp>
      <xdr:nvGrpSpPr>
        <xdr:cNvPr id="37" name="Group 36"/>
        <xdr:cNvGrpSpPr/>
      </xdr:nvGrpSpPr>
      <xdr:grpSpPr>
        <a:xfrm>
          <a:off x="3137807" y="876300"/>
          <a:ext cx="1981030" cy="1123950"/>
          <a:chOff x="3095625" y="809625"/>
          <a:chExt cx="1972866" cy="1123950"/>
        </a:xfrm>
      </xdr:grpSpPr>
      <xdr:grpSp>
        <xdr:nvGrpSpPr>
          <xdr:cNvPr id="24" name="Group 23"/>
          <xdr:cNvGrpSpPr/>
        </xdr:nvGrpSpPr>
        <xdr:grpSpPr>
          <a:xfrm>
            <a:off x="3095625" y="809625"/>
            <a:ext cx="1943100" cy="295275"/>
            <a:chOff x="3105150" y="800100"/>
            <a:chExt cx="1943100" cy="295275"/>
          </a:xfrm>
        </xdr:grpSpPr>
        <xdr:sp macro="" textlink="Pivottables!H4">
          <xdr:nvSpPr>
            <xdr:cNvPr id="11" name="TextBox 10"/>
            <xdr:cNvSpPr txBox="1"/>
          </xdr:nvSpPr>
          <xdr:spPr>
            <a:xfrm>
              <a:off x="410527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73B7BDA-1942-49E9-B00B-A20A34464BA9}" type="TxLink">
                <a:rPr lang="en-US" sz="1100">
                  <a:solidFill>
                    <a:schemeClr val="tx1">
                      <a:lumMod val="65000"/>
                      <a:lumOff val="35000"/>
                    </a:schemeClr>
                  </a:solidFill>
                  <a:latin typeface="Arial" pitchFamily="34" charset="0"/>
                  <a:cs typeface="Arial" pitchFamily="34" charset="0"/>
                </a:rPr>
                <a:pPr algn="l"/>
                <a:t>M&amp;M</a:t>
              </a:fld>
              <a:endParaRPr lang="en-US" sz="1100">
                <a:solidFill>
                  <a:schemeClr val="tx1">
                    <a:lumMod val="65000"/>
                    <a:lumOff val="35000"/>
                  </a:schemeClr>
                </a:solidFill>
                <a:latin typeface="Arial" pitchFamily="34" charset="0"/>
                <a:cs typeface="Arial" pitchFamily="34" charset="0"/>
              </a:endParaRPr>
            </a:p>
          </xdr:txBody>
        </xdr:sp>
        <xdr:sp macro="" textlink="Pivottables!I4">
          <xdr:nvSpPr>
            <xdr:cNvPr id="23" name="TextBox 22"/>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3FA55C5-ED07-4891-8268-4EAD2844EB62}" type="TxLink">
                <a:rPr lang="en-US" sz="1100">
                  <a:solidFill>
                    <a:schemeClr val="tx1">
                      <a:lumMod val="65000"/>
                      <a:lumOff val="35000"/>
                    </a:schemeClr>
                  </a:solidFill>
                  <a:latin typeface="Arial" pitchFamily="34" charset="0"/>
                  <a:cs typeface="Arial" pitchFamily="34" charset="0"/>
                </a:rPr>
                <a:pPr algn="l"/>
                <a:t>37583.97</a:t>
              </a:fld>
              <a:endParaRPr lang="en-US" sz="1100">
                <a:solidFill>
                  <a:schemeClr val="tx1">
                    <a:lumMod val="65000"/>
                    <a:lumOff val="35000"/>
                  </a:schemeClr>
                </a:solidFill>
                <a:latin typeface="Arial" pitchFamily="34" charset="0"/>
                <a:cs typeface="Arial" pitchFamily="34" charset="0"/>
              </a:endParaRPr>
            </a:p>
          </xdr:txBody>
        </xdr:sp>
      </xdr:grpSp>
      <xdr:grpSp>
        <xdr:nvGrpSpPr>
          <xdr:cNvPr id="25" name="Group 24"/>
          <xdr:cNvGrpSpPr/>
        </xdr:nvGrpSpPr>
        <xdr:grpSpPr>
          <a:xfrm>
            <a:off x="3102769" y="1638300"/>
            <a:ext cx="1958281" cy="295275"/>
            <a:chOff x="3105150" y="800100"/>
            <a:chExt cx="1958281" cy="295275"/>
          </a:xfrm>
        </xdr:grpSpPr>
        <xdr:sp macro="" textlink="Pivottables!H8">
          <xdr:nvSpPr>
            <xdr:cNvPr id="26" name="TextBox 25"/>
            <xdr:cNvSpPr txBox="1"/>
          </xdr:nvSpPr>
          <xdr:spPr>
            <a:xfrm>
              <a:off x="4120456"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9853BEC-263C-4278-83BB-2FE330B4836F}" type="TxLink">
                <a:rPr lang="en-US" sz="1100">
                  <a:solidFill>
                    <a:schemeClr val="tx1">
                      <a:lumMod val="65000"/>
                      <a:lumOff val="35000"/>
                    </a:schemeClr>
                  </a:solidFill>
                  <a:latin typeface="Arial" pitchFamily="34" charset="0"/>
                  <a:cs typeface="Arial" pitchFamily="34" charset="0"/>
                </a:rPr>
                <a:pPr algn="l"/>
                <a:t>Cipla</a:t>
              </a:fld>
              <a:endParaRPr lang="en-US" sz="1100">
                <a:solidFill>
                  <a:schemeClr val="tx1">
                    <a:lumMod val="65000"/>
                    <a:lumOff val="35000"/>
                  </a:schemeClr>
                </a:solidFill>
                <a:latin typeface="Arial" pitchFamily="34" charset="0"/>
                <a:cs typeface="Arial" pitchFamily="34" charset="0"/>
              </a:endParaRPr>
            </a:p>
          </xdr:txBody>
        </xdr:sp>
        <xdr:sp macro="" textlink="Pivottables!I8">
          <xdr:nvSpPr>
            <xdr:cNvPr id="27" name="TextBox 26"/>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DD3369-10A0-4ECA-B9A8-BFC079AD1306}" type="TxLink">
                <a:rPr lang="en-US" sz="1100">
                  <a:solidFill>
                    <a:schemeClr val="tx1">
                      <a:lumMod val="65000"/>
                      <a:lumOff val="35000"/>
                    </a:schemeClr>
                  </a:solidFill>
                  <a:latin typeface="Arial" pitchFamily="34" charset="0"/>
                  <a:cs typeface="Arial" pitchFamily="34" charset="0"/>
                </a:rPr>
                <a:pPr algn="l"/>
                <a:t>-7514.05</a:t>
              </a:fld>
              <a:endParaRPr lang="en-US" sz="1100">
                <a:solidFill>
                  <a:schemeClr val="tx1">
                    <a:lumMod val="65000"/>
                    <a:lumOff val="35000"/>
                  </a:schemeClr>
                </a:solidFill>
                <a:latin typeface="Arial" pitchFamily="34" charset="0"/>
                <a:cs typeface="Arial" pitchFamily="34" charset="0"/>
              </a:endParaRPr>
            </a:p>
          </xdr:txBody>
        </xdr:sp>
      </xdr:grpSp>
      <xdr:grpSp>
        <xdr:nvGrpSpPr>
          <xdr:cNvPr id="28" name="Group 27"/>
          <xdr:cNvGrpSpPr/>
        </xdr:nvGrpSpPr>
        <xdr:grpSpPr>
          <a:xfrm>
            <a:off x="3106341" y="1431132"/>
            <a:ext cx="1962150" cy="295275"/>
            <a:chOff x="3105150" y="800100"/>
            <a:chExt cx="1962150" cy="295275"/>
          </a:xfrm>
        </xdr:grpSpPr>
        <xdr:sp macro="" textlink="Pivottables!H7">
          <xdr:nvSpPr>
            <xdr:cNvPr id="29" name="TextBox 28"/>
            <xdr:cNvSpPr txBox="1"/>
          </xdr:nvSpPr>
          <xdr:spPr>
            <a:xfrm>
              <a:off x="412432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F7D38BD-D7E2-4A75-B822-76A7BB7799B9}" type="TxLink">
                <a:rPr lang="en-US" sz="1100">
                  <a:solidFill>
                    <a:schemeClr val="tx1">
                      <a:lumMod val="65000"/>
                      <a:lumOff val="35000"/>
                    </a:schemeClr>
                  </a:solidFill>
                  <a:latin typeface="Arial" pitchFamily="34" charset="0"/>
                  <a:cs typeface="Arial" pitchFamily="34" charset="0"/>
                </a:rPr>
                <a:pPr algn="l"/>
                <a:t>ITC</a:t>
              </a:fld>
              <a:endParaRPr lang="en-US" sz="1100">
                <a:solidFill>
                  <a:schemeClr val="tx1">
                    <a:lumMod val="65000"/>
                    <a:lumOff val="35000"/>
                  </a:schemeClr>
                </a:solidFill>
                <a:latin typeface="Arial" pitchFamily="34" charset="0"/>
                <a:cs typeface="Arial" pitchFamily="34" charset="0"/>
              </a:endParaRPr>
            </a:p>
          </xdr:txBody>
        </xdr:sp>
        <xdr:sp macro="" textlink="Pivottables!I7">
          <xdr:nvSpPr>
            <xdr:cNvPr id="30" name="TextBox 29"/>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8576A17-4612-47D0-BAC7-635C69B2A270}" type="TxLink">
                <a:rPr lang="en-US" sz="1100">
                  <a:solidFill>
                    <a:schemeClr val="tx1">
                      <a:lumMod val="65000"/>
                      <a:lumOff val="35000"/>
                    </a:schemeClr>
                  </a:solidFill>
                  <a:latin typeface="Arial" pitchFamily="34" charset="0"/>
                  <a:cs typeface="Arial" pitchFamily="34" charset="0"/>
                </a:rPr>
                <a:pPr algn="l"/>
                <a:t>71694.13</a:t>
              </a:fld>
              <a:endParaRPr lang="en-US" sz="1100">
                <a:solidFill>
                  <a:schemeClr val="tx1">
                    <a:lumMod val="65000"/>
                    <a:lumOff val="35000"/>
                  </a:schemeClr>
                </a:solidFill>
                <a:latin typeface="Arial" pitchFamily="34" charset="0"/>
                <a:cs typeface="Arial" pitchFamily="34" charset="0"/>
              </a:endParaRPr>
            </a:p>
          </xdr:txBody>
        </xdr:sp>
      </xdr:grpSp>
      <xdr:grpSp>
        <xdr:nvGrpSpPr>
          <xdr:cNvPr id="31" name="Group 30"/>
          <xdr:cNvGrpSpPr/>
        </xdr:nvGrpSpPr>
        <xdr:grpSpPr>
          <a:xfrm>
            <a:off x="3109913" y="1223963"/>
            <a:ext cx="1943696" cy="295275"/>
            <a:chOff x="3105150" y="800100"/>
            <a:chExt cx="1943696" cy="295275"/>
          </a:xfrm>
        </xdr:grpSpPr>
        <xdr:sp macro="" textlink="Pivottables!H6">
          <xdr:nvSpPr>
            <xdr:cNvPr id="32" name="TextBox 31"/>
            <xdr:cNvSpPr txBox="1"/>
          </xdr:nvSpPr>
          <xdr:spPr>
            <a:xfrm>
              <a:off x="4105871"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72AEBBE-513F-4EB1-B51E-351DA4A6DC57}" type="TxLink">
                <a:rPr lang="en-US" sz="1100">
                  <a:solidFill>
                    <a:schemeClr val="tx1">
                      <a:lumMod val="65000"/>
                      <a:lumOff val="35000"/>
                    </a:schemeClr>
                  </a:solidFill>
                  <a:latin typeface="Arial" pitchFamily="34" charset="0"/>
                  <a:cs typeface="Arial" pitchFamily="34" charset="0"/>
                </a:rPr>
                <a:pPr algn="l"/>
                <a:t>Spice jet</a:t>
              </a:fld>
              <a:endParaRPr lang="en-US" sz="1100">
                <a:solidFill>
                  <a:schemeClr val="tx1">
                    <a:lumMod val="65000"/>
                    <a:lumOff val="35000"/>
                  </a:schemeClr>
                </a:solidFill>
                <a:latin typeface="Arial" pitchFamily="34" charset="0"/>
                <a:cs typeface="Arial" pitchFamily="34" charset="0"/>
              </a:endParaRPr>
            </a:p>
          </xdr:txBody>
        </xdr:sp>
        <xdr:sp macro="" textlink="Pivottables!I6">
          <xdr:nvSpPr>
            <xdr:cNvPr id="33" name="TextBox 32"/>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997F2D9-80E5-49F1-A95A-DA4D0E763530}" type="TxLink">
                <a:rPr lang="en-US" sz="1100">
                  <a:solidFill>
                    <a:schemeClr val="tx1">
                      <a:lumMod val="65000"/>
                      <a:lumOff val="35000"/>
                    </a:schemeClr>
                  </a:solidFill>
                  <a:latin typeface="Arial" pitchFamily="34" charset="0"/>
                  <a:cs typeface="Arial" pitchFamily="34" charset="0"/>
                </a:rPr>
                <a:pPr algn="l"/>
                <a:t>21001.35</a:t>
              </a:fld>
              <a:endParaRPr lang="en-US" sz="1100">
                <a:solidFill>
                  <a:schemeClr val="tx1">
                    <a:lumMod val="65000"/>
                    <a:lumOff val="35000"/>
                  </a:schemeClr>
                </a:solidFill>
                <a:latin typeface="Arial" pitchFamily="34" charset="0"/>
                <a:cs typeface="Arial" pitchFamily="34" charset="0"/>
              </a:endParaRPr>
            </a:p>
          </xdr:txBody>
        </xdr:sp>
      </xdr:grpSp>
      <xdr:grpSp>
        <xdr:nvGrpSpPr>
          <xdr:cNvPr id="34" name="Group 33"/>
          <xdr:cNvGrpSpPr/>
        </xdr:nvGrpSpPr>
        <xdr:grpSpPr>
          <a:xfrm>
            <a:off x="3099197" y="1016794"/>
            <a:ext cx="1946970" cy="295275"/>
            <a:chOff x="3105150" y="800100"/>
            <a:chExt cx="1946970" cy="295275"/>
          </a:xfrm>
        </xdr:grpSpPr>
        <xdr:sp macro="" textlink="Pivottables!H5">
          <xdr:nvSpPr>
            <xdr:cNvPr id="35" name="TextBox 34"/>
            <xdr:cNvSpPr txBox="1"/>
          </xdr:nvSpPr>
          <xdr:spPr>
            <a:xfrm>
              <a:off x="410914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DACADC4-408A-49D3-A097-66235D6B80F7}" type="TxLink">
                <a:rPr lang="en-US" sz="1100">
                  <a:solidFill>
                    <a:schemeClr val="tx1">
                      <a:lumMod val="65000"/>
                      <a:lumOff val="35000"/>
                    </a:schemeClr>
                  </a:solidFill>
                  <a:latin typeface="Arial" pitchFamily="34" charset="0"/>
                  <a:cs typeface="Arial" pitchFamily="34" charset="0"/>
                </a:rPr>
                <a:pPr algn="l"/>
                <a:t>Bajaj Auto</a:t>
              </a:fld>
              <a:endParaRPr lang="en-US" sz="1100">
                <a:solidFill>
                  <a:schemeClr val="tx1">
                    <a:lumMod val="65000"/>
                    <a:lumOff val="35000"/>
                  </a:schemeClr>
                </a:solidFill>
                <a:latin typeface="Arial" pitchFamily="34" charset="0"/>
                <a:cs typeface="Arial" pitchFamily="34" charset="0"/>
              </a:endParaRPr>
            </a:p>
          </xdr:txBody>
        </xdr:sp>
        <xdr:sp macro="" textlink="Pivottables!I5">
          <xdr:nvSpPr>
            <xdr:cNvPr id="36" name="TextBox 35"/>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158C7F-4AEE-42D1-B302-D38610A908CE}" type="TxLink">
                <a:rPr lang="en-US" sz="1100">
                  <a:solidFill>
                    <a:schemeClr val="tx1">
                      <a:lumMod val="65000"/>
                      <a:lumOff val="35000"/>
                    </a:schemeClr>
                  </a:solidFill>
                  <a:latin typeface="Arial" pitchFamily="34" charset="0"/>
                  <a:cs typeface="Arial" pitchFamily="34" charset="0"/>
                </a:rPr>
                <a:pPr algn="l"/>
                <a:t>-10105.3</a:t>
              </a:fld>
              <a:endParaRPr lang="en-US" sz="1100">
                <a:solidFill>
                  <a:schemeClr val="tx1">
                    <a:lumMod val="65000"/>
                    <a:lumOff val="35000"/>
                  </a:schemeClr>
                </a:solidFill>
                <a:latin typeface="Arial" pitchFamily="34" charset="0"/>
                <a:cs typeface="Arial" pitchFamily="34" charset="0"/>
              </a:endParaRPr>
            </a:p>
          </xdr:txBody>
        </xdr:sp>
      </xdr:grpSp>
    </xdr:grpSp>
    <xdr:clientData/>
  </xdr:twoCellAnchor>
  <xdr:twoCellAnchor>
    <xdr:from>
      <xdr:col>8</xdr:col>
      <xdr:colOff>365887</xdr:colOff>
      <xdr:row>0</xdr:row>
      <xdr:rowOff>121443</xdr:rowOff>
    </xdr:from>
    <xdr:to>
      <xdr:col>17</xdr:col>
      <xdr:colOff>393319</xdr:colOff>
      <xdr:row>11</xdr:row>
      <xdr:rowOff>37623</xdr:rowOff>
    </xdr:to>
    <xdr:sp macro="" textlink="Pivottables!I4">
      <xdr:nvSpPr>
        <xdr:cNvPr id="38" name="Rounded Rectangle 37"/>
        <xdr:cNvSpPr/>
      </xdr:nvSpPr>
      <xdr:spPr>
        <a:xfrm>
          <a:off x="5242687" y="121443"/>
          <a:ext cx="5513832"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5</xdr:col>
      <xdr:colOff>104775</xdr:colOff>
      <xdr:row>4</xdr:row>
      <xdr:rowOff>47625</xdr:rowOff>
    </xdr:from>
    <xdr:to>
      <xdr:col>6</xdr:col>
      <xdr:colOff>466725</xdr:colOff>
      <xdr:row>4</xdr:row>
      <xdr:rowOff>47625</xdr:rowOff>
    </xdr:to>
    <xdr:cxnSp macro="">
      <xdr:nvCxnSpPr>
        <xdr:cNvPr id="41" name="Straight Connector 40"/>
        <xdr:cNvCxnSpPr/>
      </xdr:nvCxnSpPr>
      <xdr:spPr>
        <a:xfrm>
          <a:off x="3152775" y="809625"/>
          <a:ext cx="9715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466725</xdr:colOff>
      <xdr:row>8</xdr:row>
      <xdr:rowOff>66675</xdr:rowOff>
    </xdr:from>
    <xdr:to>
      <xdr:col>4</xdr:col>
      <xdr:colOff>266700</xdr:colOff>
      <xdr:row>8</xdr:row>
      <xdr:rowOff>66675</xdr:rowOff>
    </xdr:to>
    <xdr:cxnSp macro="">
      <xdr:nvCxnSpPr>
        <xdr:cNvPr id="45" name="Straight Connector 44"/>
        <xdr:cNvCxnSpPr/>
      </xdr:nvCxnSpPr>
      <xdr:spPr>
        <a:xfrm>
          <a:off x="1685925" y="1590675"/>
          <a:ext cx="10191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85724</xdr:colOff>
      <xdr:row>1</xdr:row>
      <xdr:rowOff>76198</xdr:rowOff>
    </xdr:from>
    <xdr:to>
      <xdr:col>17</xdr:col>
      <xdr:colOff>268604</xdr:colOff>
      <xdr:row>8</xdr:row>
      <xdr:rowOff>114298</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457199</xdr:colOff>
      <xdr:row>0</xdr:row>
      <xdr:rowOff>109537</xdr:rowOff>
    </xdr:from>
    <xdr:to>
      <xdr:col>12</xdr:col>
      <xdr:colOff>19050</xdr:colOff>
      <xdr:row>3</xdr:row>
      <xdr:rowOff>138112</xdr:rowOff>
    </xdr:to>
    <xdr:sp macro="" textlink="">
      <xdr:nvSpPr>
        <xdr:cNvPr id="50" name="TextBox 49"/>
        <xdr:cNvSpPr txBox="1"/>
      </xdr:nvSpPr>
      <xdr:spPr>
        <a:xfrm>
          <a:off x="5333999" y="10953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a:solidFill>
                <a:schemeClr val="tx1">
                  <a:lumMod val="75000"/>
                  <a:lumOff val="25000"/>
                </a:schemeClr>
              </a:solidFill>
              <a:latin typeface="Abadi"/>
            </a:rPr>
            <a:t>Total Earnings </a:t>
          </a:r>
          <a:r>
            <a:rPr lang="en-US" sz="1050">
              <a:solidFill>
                <a:schemeClr val="tx1">
                  <a:lumMod val="50000"/>
                  <a:lumOff val="50000"/>
                </a:schemeClr>
              </a:solidFill>
              <a:latin typeface="Abadi"/>
            </a:rPr>
            <a:t>by</a:t>
          </a:r>
          <a:r>
            <a:rPr lang="en-US" sz="1050" baseline="0">
              <a:solidFill>
                <a:schemeClr val="tx1">
                  <a:lumMod val="50000"/>
                  <a:lumOff val="50000"/>
                </a:schemeClr>
              </a:solidFill>
              <a:latin typeface="Abadi"/>
            </a:rPr>
            <a:t> Month</a:t>
          </a:r>
          <a:endParaRPr lang="en-US" sz="700">
            <a:solidFill>
              <a:schemeClr val="tx1">
                <a:lumMod val="50000"/>
                <a:lumOff val="50000"/>
              </a:schemeClr>
            </a:solidFill>
            <a:latin typeface="Abadi"/>
          </a:endParaRPr>
        </a:p>
      </xdr:txBody>
    </xdr:sp>
    <xdr:clientData/>
  </xdr:twoCellAnchor>
  <xdr:twoCellAnchor>
    <xdr:from>
      <xdr:col>14</xdr:col>
      <xdr:colOff>447674</xdr:colOff>
      <xdr:row>7</xdr:row>
      <xdr:rowOff>4763</xdr:rowOff>
    </xdr:from>
    <xdr:to>
      <xdr:col>16</xdr:col>
      <xdr:colOff>581025</xdr:colOff>
      <xdr:row>10</xdr:row>
      <xdr:rowOff>76200</xdr:rowOff>
    </xdr:to>
    <xdr:grpSp>
      <xdr:nvGrpSpPr>
        <xdr:cNvPr id="68" name="Group 67"/>
        <xdr:cNvGrpSpPr/>
      </xdr:nvGrpSpPr>
      <xdr:grpSpPr>
        <a:xfrm>
          <a:off x="9020174" y="1338263"/>
          <a:ext cx="1357994" cy="642937"/>
          <a:chOff x="8982074" y="1338263"/>
          <a:chExt cx="1352551" cy="642937"/>
        </a:xfrm>
      </xdr:grpSpPr>
      <xdr:grpSp>
        <xdr:nvGrpSpPr>
          <xdr:cNvPr id="54" name="Group 53"/>
          <xdr:cNvGrpSpPr/>
        </xdr:nvGrpSpPr>
        <xdr:grpSpPr>
          <a:xfrm>
            <a:off x="8982074" y="1338263"/>
            <a:ext cx="1352551" cy="642937"/>
            <a:chOff x="5695949" y="1309688"/>
            <a:chExt cx="1352551" cy="642937"/>
          </a:xfrm>
        </xdr:grpSpPr>
        <xdr:sp macro="" textlink="">
          <xdr:nvSpPr>
            <xdr:cNvPr id="55" name="TextBox 54"/>
            <xdr:cNvSpPr txBox="1"/>
          </xdr:nvSpPr>
          <xdr:spPr>
            <a:xfrm>
              <a:off x="5895975" y="1309688"/>
              <a:ext cx="93345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85000"/>
                      <a:lumOff val="15000"/>
                    </a:schemeClr>
                  </a:solidFill>
                  <a:latin typeface="Abadi"/>
                </a:rPr>
                <a:t>Lowest</a:t>
              </a:r>
              <a:endParaRPr lang="en-US" sz="1100">
                <a:solidFill>
                  <a:schemeClr val="tx1">
                    <a:lumMod val="85000"/>
                    <a:lumOff val="15000"/>
                  </a:schemeClr>
                </a:solidFill>
                <a:latin typeface="Abadi"/>
              </a:endParaRPr>
            </a:p>
            <a:p>
              <a:pPr algn="ctr"/>
              <a:r>
                <a:rPr lang="en-US" sz="700">
                  <a:solidFill>
                    <a:schemeClr val="tx1">
                      <a:lumMod val="65000"/>
                      <a:lumOff val="35000"/>
                    </a:schemeClr>
                  </a:solidFill>
                  <a:latin typeface="Abadi"/>
                </a:rPr>
                <a:t>Monthly</a:t>
              </a:r>
              <a:r>
                <a:rPr lang="en-US" sz="700" baseline="0">
                  <a:solidFill>
                    <a:schemeClr val="tx1">
                      <a:lumMod val="65000"/>
                      <a:lumOff val="35000"/>
                    </a:schemeClr>
                  </a:solidFill>
                  <a:latin typeface="Abadi"/>
                </a:rPr>
                <a:t> Earnings</a:t>
              </a:r>
              <a:endParaRPr lang="en-US" sz="700">
                <a:solidFill>
                  <a:schemeClr val="tx1">
                    <a:lumMod val="65000"/>
                    <a:lumOff val="35000"/>
                  </a:schemeClr>
                </a:solidFill>
                <a:latin typeface="Abadi"/>
              </a:endParaRPr>
            </a:p>
          </xdr:txBody>
        </xdr:sp>
        <xdr:sp macro="" textlink="Pivottables!L21">
          <xdr:nvSpPr>
            <xdr:cNvPr id="56" name="TextBox 55"/>
            <xdr:cNvSpPr txBox="1"/>
          </xdr:nvSpPr>
          <xdr:spPr>
            <a:xfrm>
              <a:off x="5695949" y="1700212"/>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BBAA65-A3D4-4701-8851-10167315DB7E}" type="TxLink">
                <a:rPr lang="en-US" sz="1200">
                  <a:solidFill>
                    <a:schemeClr val="tx1">
                      <a:lumMod val="50000"/>
                      <a:lumOff val="50000"/>
                    </a:schemeClr>
                  </a:solidFill>
                  <a:latin typeface="Abadi"/>
                </a:rPr>
                <a:pPr algn="ctr"/>
                <a:t>-19976</a:t>
              </a:fld>
              <a:endParaRPr lang="en-US" sz="1200">
                <a:solidFill>
                  <a:schemeClr val="tx1">
                    <a:lumMod val="50000"/>
                    <a:lumOff val="50000"/>
                  </a:schemeClr>
                </a:solidFill>
                <a:latin typeface="Abadi"/>
              </a:endParaRPr>
            </a:p>
          </xdr:txBody>
        </xdr:sp>
      </xdr:grpSp>
      <xdr:sp macro="" textlink="">
        <xdr:nvSpPr>
          <xdr:cNvPr id="61" name="Isosceles Triangle 60"/>
          <xdr:cNvSpPr/>
        </xdr:nvSpPr>
        <xdr:spPr>
          <a:xfrm flipV="1">
            <a:off x="9134475" y="1452562"/>
            <a:ext cx="182880" cy="91440"/>
          </a:xfrm>
          <a:prstGeom prst="triangle">
            <a:avLst/>
          </a:prstGeom>
          <a:solidFill>
            <a:srgbClr val="FF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clientData/>
  </xdr:twoCellAnchor>
  <xdr:twoCellAnchor>
    <xdr:from>
      <xdr:col>9</xdr:col>
      <xdr:colOff>104774</xdr:colOff>
      <xdr:row>7</xdr:row>
      <xdr:rowOff>4763</xdr:rowOff>
    </xdr:from>
    <xdr:to>
      <xdr:col>11</xdr:col>
      <xdr:colOff>238125</xdr:colOff>
      <xdr:row>10</xdr:row>
      <xdr:rowOff>76200</xdr:rowOff>
    </xdr:to>
    <xdr:grpSp>
      <xdr:nvGrpSpPr>
        <xdr:cNvPr id="66" name="Group 65"/>
        <xdr:cNvGrpSpPr/>
      </xdr:nvGrpSpPr>
      <xdr:grpSpPr>
        <a:xfrm>
          <a:off x="5615667" y="1338263"/>
          <a:ext cx="1357994" cy="642937"/>
          <a:chOff x="5591174" y="1338263"/>
          <a:chExt cx="1352551" cy="642937"/>
        </a:xfrm>
      </xdr:grpSpPr>
      <xdr:grpSp>
        <xdr:nvGrpSpPr>
          <xdr:cNvPr id="53" name="Group 52"/>
          <xdr:cNvGrpSpPr/>
        </xdr:nvGrpSpPr>
        <xdr:grpSpPr>
          <a:xfrm>
            <a:off x="5591174" y="1338263"/>
            <a:ext cx="1352551" cy="642937"/>
            <a:chOff x="5695949" y="1309688"/>
            <a:chExt cx="1352551" cy="642937"/>
          </a:xfrm>
        </xdr:grpSpPr>
        <xdr:sp macro="" textlink="">
          <xdr:nvSpPr>
            <xdr:cNvPr id="51" name="TextBox 50"/>
            <xdr:cNvSpPr txBox="1"/>
          </xdr:nvSpPr>
          <xdr:spPr>
            <a:xfrm>
              <a:off x="5895975" y="1309688"/>
              <a:ext cx="93345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85000"/>
                      <a:lumOff val="15000"/>
                    </a:schemeClr>
                  </a:solidFill>
                  <a:latin typeface="Abadi"/>
                </a:rPr>
                <a:t>Highest </a:t>
              </a:r>
              <a:endParaRPr lang="en-US" sz="1100">
                <a:solidFill>
                  <a:schemeClr val="tx1">
                    <a:lumMod val="85000"/>
                    <a:lumOff val="15000"/>
                  </a:schemeClr>
                </a:solidFill>
                <a:latin typeface="Abadi"/>
              </a:endParaRPr>
            </a:p>
            <a:p>
              <a:pPr algn="ctr"/>
              <a:r>
                <a:rPr lang="en-US" sz="700">
                  <a:solidFill>
                    <a:schemeClr val="tx1">
                      <a:lumMod val="65000"/>
                      <a:lumOff val="35000"/>
                    </a:schemeClr>
                  </a:solidFill>
                  <a:latin typeface="Abadi"/>
                </a:rPr>
                <a:t>Monthly</a:t>
              </a:r>
              <a:r>
                <a:rPr lang="en-US" sz="700" baseline="0">
                  <a:solidFill>
                    <a:schemeClr val="tx1">
                      <a:lumMod val="65000"/>
                      <a:lumOff val="35000"/>
                    </a:schemeClr>
                  </a:solidFill>
                  <a:latin typeface="Abadi"/>
                </a:rPr>
                <a:t> Earnings</a:t>
              </a:r>
              <a:endParaRPr lang="en-US" sz="700">
                <a:solidFill>
                  <a:schemeClr val="tx1">
                    <a:lumMod val="65000"/>
                    <a:lumOff val="35000"/>
                  </a:schemeClr>
                </a:solidFill>
                <a:latin typeface="Abadi"/>
              </a:endParaRPr>
            </a:p>
          </xdr:txBody>
        </xdr:sp>
        <xdr:sp macro="" textlink="Pivottables!L19">
          <xdr:nvSpPr>
            <xdr:cNvPr id="52" name="TextBox 51"/>
            <xdr:cNvSpPr txBox="1"/>
          </xdr:nvSpPr>
          <xdr:spPr>
            <a:xfrm>
              <a:off x="5695949" y="1700212"/>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691E67-1046-4565-8B17-920536F627CF}" type="TxLink">
                <a:rPr lang="en-US" sz="1200">
                  <a:solidFill>
                    <a:schemeClr val="tx1">
                      <a:lumMod val="50000"/>
                      <a:lumOff val="50000"/>
                    </a:schemeClr>
                  </a:solidFill>
                  <a:latin typeface="Abadi"/>
                </a:rPr>
                <a:pPr algn="ctr"/>
                <a:t>104687.76</a:t>
              </a:fld>
              <a:endParaRPr lang="en-US" sz="1200">
                <a:solidFill>
                  <a:schemeClr val="tx1">
                    <a:lumMod val="50000"/>
                    <a:lumOff val="50000"/>
                  </a:schemeClr>
                </a:solidFill>
                <a:latin typeface="Abadi"/>
              </a:endParaRPr>
            </a:p>
          </xdr:txBody>
        </xdr:sp>
      </xdr:grpSp>
      <xdr:sp macro="" textlink="">
        <xdr:nvSpPr>
          <xdr:cNvPr id="62" name="Isosceles Triangle 61"/>
          <xdr:cNvSpPr/>
        </xdr:nvSpPr>
        <xdr:spPr>
          <a:xfrm>
            <a:off x="5705475" y="1466850"/>
            <a:ext cx="182880" cy="91440"/>
          </a:xfrm>
          <a:prstGeom prst="triangle">
            <a:avLst/>
          </a:prstGeom>
          <a:solidFill>
            <a:srgbClr val="00B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clientData/>
  </xdr:twoCellAnchor>
  <xdr:twoCellAnchor>
    <xdr:from>
      <xdr:col>11</xdr:col>
      <xdr:colOff>581024</xdr:colOff>
      <xdr:row>7</xdr:row>
      <xdr:rowOff>9526</xdr:rowOff>
    </xdr:from>
    <xdr:to>
      <xdr:col>14</xdr:col>
      <xdr:colOff>104775</xdr:colOff>
      <xdr:row>10</xdr:row>
      <xdr:rowOff>80963</xdr:rowOff>
    </xdr:to>
    <xdr:grpSp>
      <xdr:nvGrpSpPr>
        <xdr:cNvPr id="67" name="Group 66"/>
        <xdr:cNvGrpSpPr/>
      </xdr:nvGrpSpPr>
      <xdr:grpSpPr>
        <a:xfrm>
          <a:off x="7316560" y="1343026"/>
          <a:ext cx="1360715" cy="642937"/>
          <a:chOff x="7286624" y="1343026"/>
          <a:chExt cx="1352551" cy="642937"/>
        </a:xfrm>
      </xdr:grpSpPr>
      <xdr:grpSp>
        <xdr:nvGrpSpPr>
          <xdr:cNvPr id="57" name="Group 56"/>
          <xdr:cNvGrpSpPr/>
        </xdr:nvGrpSpPr>
        <xdr:grpSpPr>
          <a:xfrm>
            <a:off x="7286624" y="1343026"/>
            <a:ext cx="1352551" cy="642937"/>
            <a:chOff x="5695949" y="1309688"/>
            <a:chExt cx="1352551" cy="642937"/>
          </a:xfrm>
        </xdr:grpSpPr>
        <xdr:sp macro="" textlink="">
          <xdr:nvSpPr>
            <xdr:cNvPr id="58" name="TextBox 57"/>
            <xdr:cNvSpPr txBox="1"/>
          </xdr:nvSpPr>
          <xdr:spPr>
            <a:xfrm>
              <a:off x="5895975" y="1309688"/>
              <a:ext cx="93345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85000"/>
                      <a:lumOff val="15000"/>
                    </a:schemeClr>
                  </a:solidFill>
                  <a:latin typeface="Abadi"/>
                </a:rPr>
                <a:t>Average</a:t>
              </a:r>
              <a:endParaRPr lang="en-US" sz="1100">
                <a:solidFill>
                  <a:schemeClr val="tx1">
                    <a:lumMod val="85000"/>
                    <a:lumOff val="15000"/>
                  </a:schemeClr>
                </a:solidFill>
                <a:latin typeface="Abadi"/>
              </a:endParaRPr>
            </a:p>
            <a:p>
              <a:pPr algn="ctr"/>
              <a:r>
                <a:rPr lang="en-US" sz="700">
                  <a:solidFill>
                    <a:schemeClr val="tx1">
                      <a:lumMod val="65000"/>
                      <a:lumOff val="35000"/>
                    </a:schemeClr>
                  </a:solidFill>
                  <a:latin typeface="Abadi"/>
                </a:rPr>
                <a:t>Monthly</a:t>
              </a:r>
              <a:r>
                <a:rPr lang="en-US" sz="700" baseline="0">
                  <a:solidFill>
                    <a:schemeClr val="tx1">
                      <a:lumMod val="65000"/>
                      <a:lumOff val="35000"/>
                    </a:schemeClr>
                  </a:solidFill>
                  <a:latin typeface="Abadi"/>
                </a:rPr>
                <a:t> Earnings</a:t>
              </a:r>
              <a:endParaRPr lang="en-US" sz="700">
                <a:solidFill>
                  <a:schemeClr val="tx1">
                    <a:lumMod val="65000"/>
                    <a:lumOff val="35000"/>
                  </a:schemeClr>
                </a:solidFill>
                <a:latin typeface="Abadi"/>
              </a:endParaRPr>
            </a:p>
          </xdr:txBody>
        </xdr:sp>
        <xdr:sp macro="" textlink="Pivottables!L20">
          <xdr:nvSpPr>
            <xdr:cNvPr id="59" name="TextBox 58"/>
            <xdr:cNvSpPr txBox="1"/>
          </xdr:nvSpPr>
          <xdr:spPr>
            <a:xfrm>
              <a:off x="5695949" y="1700212"/>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F960FA-1E77-4D3D-BAA0-D15FCC7C9C4A}" type="TxLink">
                <a:rPr lang="en-US" sz="1200">
                  <a:solidFill>
                    <a:schemeClr val="tx1">
                      <a:lumMod val="50000"/>
                      <a:lumOff val="50000"/>
                    </a:schemeClr>
                  </a:solidFill>
                  <a:latin typeface="Abadi"/>
                </a:rPr>
                <a:pPr algn="ctr"/>
                <a:t>18564.59</a:t>
              </a:fld>
              <a:endParaRPr lang="en-US" sz="1200">
                <a:solidFill>
                  <a:schemeClr val="tx1">
                    <a:lumMod val="50000"/>
                    <a:lumOff val="50000"/>
                  </a:schemeClr>
                </a:solidFill>
                <a:latin typeface="Abadi"/>
              </a:endParaRPr>
            </a:p>
          </xdr:txBody>
        </xdr:sp>
      </xdr:grpSp>
      <xdr:grpSp>
        <xdr:nvGrpSpPr>
          <xdr:cNvPr id="65" name="Group 64"/>
          <xdr:cNvGrpSpPr/>
        </xdr:nvGrpSpPr>
        <xdr:grpSpPr>
          <a:xfrm>
            <a:off x="7419975" y="1438275"/>
            <a:ext cx="182880" cy="215265"/>
            <a:chOff x="7419975" y="1438275"/>
            <a:chExt cx="182880" cy="215265"/>
          </a:xfrm>
        </xdr:grpSpPr>
        <xdr:sp macro="" textlink="">
          <xdr:nvSpPr>
            <xdr:cNvPr id="63" name="Isosceles Triangle 62"/>
            <xdr:cNvSpPr/>
          </xdr:nvSpPr>
          <xdr:spPr>
            <a:xfrm>
              <a:off x="7419975" y="1438275"/>
              <a:ext cx="182880" cy="91440"/>
            </a:xfrm>
            <a:prstGeom prst="triangle">
              <a:avLst/>
            </a:prstGeom>
            <a:solidFill>
              <a:srgbClr val="00B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sp macro="" textlink="">
          <xdr:nvSpPr>
            <xdr:cNvPr id="64" name="Isosceles Triangle 63"/>
            <xdr:cNvSpPr/>
          </xdr:nvSpPr>
          <xdr:spPr>
            <a:xfrm flipV="1">
              <a:off x="7419975" y="1562100"/>
              <a:ext cx="182880" cy="91440"/>
            </a:xfrm>
            <a:prstGeom prst="triangle">
              <a:avLst/>
            </a:prstGeom>
            <a:solidFill>
              <a:srgbClr val="FF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grpSp>
    <xdr:clientData/>
  </xdr:twoCellAnchor>
  <xdr:twoCellAnchor>
    <xdr:from>
      <xdr:col>17</xdr:col>
      <xdr:colOff>504824</xdr:colOff>
      <xdr:row>0</xdr:row>
      <xdr:rowOff>114299</xdr:rowOff>
    </xdr:from>
    <xdr:to>
      <xdr:col>21</xdr:col>
      <xdr:colOff>78104</xdr:colOff>
      <xdr:row>11</xdr:row>
      <xdr:rowOff>30479</xdr:rowOff>
    </xdr:to>
    <xdr:sp macro="" textlink="Pivottables!I4">
      <xdr:nvSpPr>
        <xdr:cNvPr id="69" name="Rounded Rectangle 68"/>
        <xdr:cNvSpPr/>
      </xdr:nvSpPr>
      <xdr:spPr>
        <a:xfrm>
          <a:off x="10868024" y="114299"/>
          <a:ext cx="2011680"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17</xdr:col>
      <xdr:colOff>495299</xdr:colOff>
      <xdr:row>1</xdr:row>
      <xdr:rowOff>38098</xdr:rowOff>
    </xdr:from>
    <xdr:to>
      <xdr:col>19</xdr:col>
      <xdr:colOff>447675</xdr:colOff>
      <xdr:row>5</xdr:row>
      <xdr:rowOff>152399</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504825</xdr:colOff>
      <xdr:row>5</xdr:row>
      <xdr:rowOff>190499</xdr:rowOff>
    </xdr:from>
    <xdr:to>
      <xdr:col>19</xdr:col>
      <xdr:colOff>485775</xdr:colOff>
      <xdr:row>10</xdr:row>
      <xdr:rowOff>114300</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180975</xdr:colOff>
      <xdr:row>5</xdr:row>
      <xdr:rowOff>161925</xdr:rowOff>
    </xdr:from>
    <xdr:to>
      <xdr:col>20</xdr:col>
      <xdr:colOff>400050</xdr:colOff>
      <xdr:row>5</xdr:row>
      <xdr:rowOff>161925</xdr:rowOff>
    </xdr:to>
    <xdr:cxnSp macro="">
      <xdr:nvCxnSpPr>
        <xdr:cNvPr id="75" name="Straight Connector 74"/>
        <xdr:cNvCxnSpPr/>
      </xdr:nvCxnSpPr>
      <xdr:spPr>
        <a:xfrm>
          <a:off x="11153775" y="1114425"/>
          <a:ext cx="14382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19</xdr:col>
      <xdr:colOff>219074</xdr:colOff>
      <xdr:row>1</xdr:row>
      <xdr:rowOff>166688</xdr:rowOff>
    </xdr:from>
    <xdr:to>
      <xdr:col>22</xdr:col>
      <xdr:colOff>161924</xdr:colOff>
      <xdr:row>4</xdr:row>
      <xdr:rowOff>171450</xdr:rowOff>
    </xdr:to>
    <xdr:grpSp>
      <xdr:nvGrpSpPr>
        <xdr:cNvPr id="42" name="Group 41"/>
        <xdr:cNvGrpSpPr/>
      </xdr:nvGrpSpPr>
      <xdr:grpSpPr>
        <a:xfrm>
          <a:off x="11853181" y="357188"/>
          <a:ext cx="1779814" cy="576262"/>
          <a:chOff x="11801474" y="357188"/>
          <a:chExt cx="1771650" cy="576262"/>
        </a:xfrm>
      </xdr:grpSpPr>
      <xdr:sp macro="" textlink="">
        <xdr:nvSpPr>
          <xdr:cNvPr id="71" name="TextBox 70"/>
          <xdr:cNvSpPr txBox="1"/>
        </xdr:nvSpPr>
        <xdr:spPr>
          <a:xfrm>
            <a:off x="11801474" y="3571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Total Wins</a:t>
            </a:r>
          </a:p>
        </xdr:txBody>
      </xdr:sp>
      <xdr:sp macro="" textlink="Pivottables!L29">
        <xdr:nvSpPr>
          <xdr:cNvPr id="76" name="TextBox 75"/>
          <xdr:cNvSpPr txBox="1"/>
        </xdr:nvSpPr>
        <xdr:spPr>
          <a:xfrm>
            <a:off x="11830049" y="6238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D6C7CC-1111-4CF9-89A9-DE3A530011E2}" type="TxLink">
              <a:rPr lang="en-US" sz="1400">
                <a:solidFill>
                  <a:schemeClr val="tx1">
                    <a:lumMod val="50000"/>
                    <a:lumOff val="50000"/>
                  </a:schemeClr>
                </a:solidFill>
                <a:latin typeface="Arial" pitchFamily="34" charset="0"/>
                <a:cs typeface="Arial" pitchFamily="34" charset="0"/>
              </a:rPr>
              <a:pPr algn="l"/>
              <a:t>25</a:t>
            </a:fld>
            <a:endParaRPr lang="en-US" sz="1400">
              <a:solidFill>
                <a:schemeClr val="tx1">
                  <a:lumMod val="50000"/>
                  <a:lumOff val="50000"/>
                </a:schemeClr>
              </a:solidFill>
              <a:latin typeface="Arial" pitchFamily="34" charset="0"/>
              <a:cs typeface="Arial" pitchFamily="34" charset="0"/>
            </a:endParaRPr>
          </a:p>
        </xdr:txBody>
      </xdr:sp>
    </xdr:grpSp>
    <xdr:clientData/>
  </xdr:twoCellAnchor>
  <xdr:twoCellAnchor>
    <xdr:from>
      <xdr:col>18</xdr:col>
      <xdr:colOff>180974</xdr:colOff>
      <xdr:row>2</xdr:row>
      <xdr:rowOff>138113</xdr:rowOff>
    </xdr:from>
    <xdr:to>
      <xdr:col>19</xdr:col>
      <xdr:colOff>352425</xdr:colOff>
      <xdr:row>4</xdr:row>
      <xdr:rowOff>47625</xdr:rowOff>
    </xdr:to>
    <xdr:sp macro="" textlink="Pivottables!M29">
      <xdr:nvSpPr>
        <xdr:cNvPr id="77" name="TextBox 76"/>
        <xdr:cNvSpPr txBox="1"/>
      </xdr:nvSpPr>
      <xdr:spPr>
        <a:xfrm>
          <a:off x="11153774" y="519113"/>
          <a:ext cx="781051"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520F368-3A01-417C-AD5D-227246074498}" type="TxLink">
            <a:rPr lang="en-US" sz="1000">
              <a:solidFill>
                <a:schemeClr val="tx1">
                  <a:lumMod val="65000"/>
                  <a:lumOff val="35000"/>
                </a:schemeClr>
              </a:solidFill>
              <a:latin typeface="Arial" pitchFamily="34" charset="0"/>
              <a:cs typeface="Arial" pitchFamily="34" charset="0"/>
            </a:rPr>
            <a:pPr algn="l"/>
            <a:t>49.02%</a:t>
          </a:fld>
          <a:endParaRPr lang="en-US" sz="1000">
            <a:solidFill>
              <a:schemeClr val="tx1">
                <a:lumMod val="65000"/>
                <a:lumOff val="35000"/>
              </a:schemeClr>
            </a:solidFill>
            <a:latin typeface="Arial" pitchFamily="34" charset="0"/>
            <a:cs typeface="Arial" pitchFamily="34" charset="0"/>
          </a:endParaRPr>
        </a:p>
      </xdr:txBody>
    </xdr:sp>
    <xdr:clientData/>
  </xdr:twoCellAnchor>
  <xdr:twoCellAnchor>
    <xdr:from>
      <xdr:col>19</xdr:col>
      <xdr:colOff>228599</xdr:colOff>
      <xdr:row>6</xdr:row>
      <xdr:rowOff>166688</xdr:rowOff>
    </xdr:from>
    <xdr:to>
      <xdr:col>22</xdr:col>
      <xdr:colOff>171449</xdr:colOff>
      <xdr:row>9</xdr:row>
      <xdr:rowOff>171450</xdr:rowOff>
    </xdr:to>
    <xdr:grpSp>
      <xdr:nvGrpSpPr>
        <xdr:cNvPr id="78" name="Group 77"/>
        <xdr:cNvGrpSpPr/>
      </xdr:nvGrpSpPr>
      <xdr:grpSpPr>
        <a:xfrm>
          <a:off x="11862706" y="1309688"/>
          <a:ext cx="1779814" cy="576262"/>
          <a:chOff x="11801474" y="357188"/>
          <a:chExt cx="1771650" cy="576262"/>
        </a:xfrm>
      </xdr:grpSpPr>
      <xdr:sp macro="" textlink="">
        <xdr:nvSpPr>
          <xdr:cNvPr id="79" name="TextBox 78"/>
          <xdr:cNvSpPr txBox="1"/>
        </xdr:nvSpPr>
        <xdr:spPr>
          <a:xfrm>
            <a:off x="11801474" y="3571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Total Losses</a:t>
            </a:r>
          </a:p>
        </xdr:txBody>
      </xdr:sp>
      <xdr:sp macro="" textlink="Pivottables!L30">
        <xdr:nvSpPr>
          <xdr:cNvPr id="80" name="TextBox 79"/>
          <xdr:cNvSpPr txBox="1"/>
        </xdr:nvSpPr>
        <xdr:spPr>
          <a:xfrm>
            <a:off x="11830049" y="6238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3F8C20E-1297-4B30-B64E-B9B9E8EB4CD5}" type="TxLink">
              <a:rPr lang="en-US" sz="1400">
                <a:solidFill>
                  <a:schemeClr val="tx1">
                    <a:lumMod val="50000"/>
                    <a:lumOff val="50000"/>
                  </a:schemeClr>
                </a:solidFill>
                <a:latin typeface="Arial" pitchFamily="34" charset="0"/>
                <a:cs typeface="Arial" pitchFamily="34" charset="0"/>
              </a:rPr>
              <a:pPr algn="l"/>
              <a:t>26</a:t>
            </a:fld>
            <a:endParaRPr lang="en-US" sz="1400">
              <a:solidFill>
                <a:schemeClr val="tx1">
                  <a:lumMod val="50000"/>
                  <a:lumOff val="50000"/>
                </a:schemeClr>
              </a:solidFill>
              <a:latin typeface="Arial" pitchFamily="34" charset="0"/>
              <a:cs typeface="Arial" pitchFamily="34" charset="0"/>
            </a:endParaRPr>
          </a:p>
        </xdr:txBody>
      </xdr:sp>
    </xdr:grpSp>
    <xdr:clientData/>
  </xdr:twoCellAnchor>
  <xdr:twoCellAnchor>
    <xdr:from>
      <xdr:col>18</xdr:col>
      <xdr:colOff>209549</xdr:colOff>
      <xdr:row>7</xdr:row>
      <xdr:rowOff>100013</xdr:rowOff>
    </xdr:from>
    <xdr:to>
      <xdr:col>19</xdr:col>
      <xdr:colOff>381000</xdr:colOff>
      <xdr:row>9</xdr:row>
      <xdr:rowOff>9525</xdr:rowOff>
    </xdr:to>
    <xdr:sp macro="" textlink="Pivottables!M30">
      <xdr:nvSpPr>
        <xdr:cNvPr id="81" name="TextBox 80"/>
        <xdr:cNvSpPr txBox="1"/>
      </xdr:nvSpPr>
      <xdr:spPr>
        <a:xfrm>
          <a:off x="11182349" y="1433513"/>
          <a:ext cx="781051"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9919951-C0DE-40DD-84C2-F7CC0FF33960}" type="TxLink">
            <a:rPr lang="en-US" sz="1000">
              <a:solidFill>
                <a:schemeClr val="tx1">
                  <a:lumMod val="65000"/>
                  <a:lumOff val="35000"/>
                </a:schemeClr>
              </a:solidFill>
              <a:latin typeface="Arial" pitchFamily="34" charset="0"/>
              <a:ea typeface="+mn-ea"/>
              <a:cs typeface="Arial" pitchFamily="34" charset="0"/>
            </a:rPr>
            <a:pPr marL="0" indent="0" algn="l"/>
            <a:t>50.98%</a:t>
          </a:fld>
          <a:endParaRPr lang="en-US" sz="1000">
            <a:solidFill>
              <a:schemeClr val="tx1">
                <a:lumMod val="65000"/>
                <a:lumOff val="35000"/>
              </a:schemeClr>
            </a:solidFill>
            <a:latin typeface="Arial" pitchFamily="34" charset="0"/>
            <a:ea typeface="+mn-ea"/>
            <a:cs typeface="Arial" pitchFamily="34" charset="0"/>
          </a:endParaRPr>
        </a:p>
      </xdr:txBody>
    </xdr:sp>
    <xdr:clientData/>
  </xdr:twoCellAnchor>
  <xdr:twoCellAnchor>
    <xdr:from>
      <xdr:col>21</xdr:col>
      <xdr:colOff>179640</xdr:colOff>
      <xdr:row>0</xdr:row>
      <xdr:rowOff>114299</xdr:rowOff>
    </xdr:from>
    <xdr:to>
      <xdr:col>24</xdr:col>
      <xdr:colOff>69912</xdr:colOff>
      <xdr:row>11</xdr:row>
      <xdr:rowOff>30479</xdr:rowOff>
    </xdr:to>
    <xdr:sp macro="" textlink="">
      <xdr:nvSpPr>
        <xdr:cNvPr id="82" name="Rounded Rectangle 81"/>
        <xdr:cNvSpPr/>
      </xdr:nvSpPr>
      <xdr:spPr>
        <a:xfrm>
          <a:off x="12981240" y="114299"/>
          <a:ext cx="1719072" cy="2011680"/>
        </a:xfrm>
        <a:prstGeom prst="roundRect">
          <a:avLst/>
        </a:prstGeom>
        <a:solidFill>
          <a:schemeClr val="accent3">
            <a:lumMod val="50000"/>
          </a:schemeClr>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solidFill>
              <a:schemeClr val="bg1"/>
            </a:solidFill>
          </a:endParaRPr>
        </a:p>
      </xdr:txBody>
    </xdr:sp>
    <xdr:clientData/>
  </xdr:twoCellAnchor>
  <xdr:twoCellAnchor editAs="oneCell">
    <xdr:from>
      <xdr:col>21</xdr:col>
      <xdr:colOff>219075</xdr:colOff>
      <xdr:row>3</xdr:row>
      <xdr:rowOff>19049</xdr:rowOff>
    </xdr:from>
    <xdr:to>
      <xdr:col>24</xdr:col>
      <xdr:colOff>47625</xdr:colOff>
      <xdr:row>10</xdr:row>
      <xdr:rowOff>57150</xdr:rowOff>
    </xdr:to>
    <mc:AlternateContent xmlns:mc="http://schemas.openxmlformats.org/markup-compatibility/2006" xmlns:a14="http://schemas.microsoft.com/office/drawing/2010/main">
      <mc:Choice Requires="a14">
        <xdr:graphicFrame macro="">
          <xdr:nvGraphicFramePr>
            <xdr:cNvPr id="8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20675" y="590549"/>
              <a:ext cx="1657350" cy="137160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21</xdr:col>
      <xdr:colOff>209549</xdr:colOff>
      <xdr:row>0</xdr:row>
      <xdr:rowOff>109537</xdr:rowOff>
    </xdr:from>
    <xdr:to>
      <xdr:col>24</xdr:col>
      <xdr:colOff>381000</xdr:colOff>
      <xdr:row>3</xdr:row>
      <xdr:rowOff>138112</xdr:rowOff>
    </xdr:to>
    <xdr:sp macro="" textlink="">
      <xdr:nvSpPr>
        <xdr:cNvPr id="85" name="TextBox 84"/>
        <xdr:cNvSpPr txBox="1"/>
      </xdr:nvSpPr>
      <xdr:spPr>
        <a:xfrm>
          <a:off x="13011149" y="10953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Abadi"/>
            </a:rPr>
            <a:t>Monthly </a:t>
          </a:r>
        </a:p>
        <a:p>
          <a:pPr algn="l"/>
          <a:r>
            <a:rPr lang="en-US" sz="900">
              <a:solidFill>
                <a:schemeClr val="bg1"/>
              </a:solidFill>
              <a:latin typeface="Abadi"/>
            </a:rPr>
            <a:t>Slicer</a:t>
          </a:r>
          <a:endParaRPr lang="en-US" sz="1200">
            <a:solidFill>
              <a:schemeClr val="bg1"/>
            </a:solidFill>
            <a:latin typeface="Abadi"/>
          </a:endParaRPr>
        </a:p>
      </xdr:txBody>
    </xdr:sp>
    <xdr:clientData/>
  </xdr:twoCellAnchor>
  <xdr:twoCellAnchor>
    <xdr:from>
      <xdr:col>21</xdr:col>
      <xdr:colOff>295275</xdr:colOff>
      <xdr:row>3</xdr:row>
      <xdr:rowOff>28575</xdr:rowOff>
    </xdr:from>
    <xdr:to>
      <xdr:col>22</xdr:col>
      <xdr:colOff>600075</xdr:colOff>
      <xdr:row>3</xdr:row>
      <xdr:rowOff>28575</xdr:rowOff>
    </xdr:to>
    <xdr:cxnSp macro="">
      <xdr:nvCxnSpPr>
        <xdr:cNvPr id="86" name="Straight Connector 85"/>
        <xdr:cNvCxnSpPr/>
      </xdr:nvCxnSpPr>
      <xdr:spPr>
        <a:xfrm>
          <a:off x="13096875" y="600075"/>
          <a:ext cx="914400" cy="0"/>
        </a:xfrm>
        <a:prstGeom prst="line">
          <a:avLst/>
        </a:prstGeom>
        <a:ln w="6350">
          <a:solidFill>
            <a:schemeClr val="bg1"/>
          </a:solidFill>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23</xdr:col>
      <xdr:colOff>304800</xdr:colOff>
      <xdr:row>0</xdr:row>
      <xdr:rowOff>152400</xdr:rowOff>
    </xdr:from>
    <xdr:to>
      <xdr:col>24</xdr:col>
      <xdr:colOff>19050</xdr:colOff>
      <xdr:row>2</xdr:row>
      <xdr:rowOff>28575</xdr:rowOff>
    </xdr:to>
    <xdr:sp macro="" textlink="">
      <xdr:nvSpPr>
        <xdr:cNvPr id="88" name="TextBox 87">
          <a:hlinkClick xmlns:r="http://schemas.openxmlformats.org/officeDocument/2006/relationships" r:id="rId5" tooltip="Go To Database"/>
        </xdr:cNvPr>
        <xdr:cNvSpPr txBox="1"/>
      </xdr:nvSpPr>
      <xdr:spPr>
        <a:xfrm>
          <a:off x="14325600" y="152400"/>
          <a:ext cx="323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t>
          </a:r>
        </a:p>
      </xdr:txBody>
    </xdr:sp>
    <xdr:clientData/>
  </xdr:twoCellAnchor>
  <xdr:twoCellAnchor>
    <xdr:from>
      <xdr:col>24</xdr:col>
      <xdr:colOff>171449</xdr:colOff>
      <xdr:row>0</xdr:row>
      <xdr:rowOff>104774</xdr:rowOff>
    </xdr:from>
    <xdr:to>
      <xdr:col>27</xdr:col>
      <xdr:colOff>61721</xdr:colOff>
      <xdr:row>11</xdr:row>
      <xdr:rowOff>20954</xdr:rowOff>
    </xdr:to>
    <xdr:sp macro="" textlink="">
      <xdr:nvSpPr>
        <xdr:cNvPr id="89" name="Rounded Rectangle 88"/>
        <xdr:cNvSpPr/>
      </xdr:nvSpPr>
      <xdr:spPr>
        <a:xfrm>
          <a:off x="14801849" y="104774"/>
          <a:ext cx="1719072"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solidFill>
              <a:schemeClr val="bg1"/>
            </a:solidFill>
          </a:endParaRPr>
        </a:p>
      </xdr:txBody>
    </xdr:sp>
    <xdr:clientData/>
  </xdr:twoCellAnchor>
  <xdr:twoCellAnchor>
    <xdr:from>
      <xdr:col>24</xdr:col>
      <xdr:colOff>76199</xdr:colOff>
      <xdr:row>5</xdr:row>
      <xdr:rowOff>0</xdr:rowOff>
    </xdr:from>
    <xdr:to>
      <xdr:col>27</xdr:col>
      <xdr:colOff>133350</xdr:colOff>
      <xdr:row>11</xdr:row>
      <xdr:rowOff>28575</xdr:rowOff>
    </xdr:to>
    <xdr:graphicFrame macro="">
      <xdr:nvGraphicFramePr>
        <xdr:cNvPr id="91" name="Chart 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114300</xdr:colOff>
      <xdr:row>0</xdr:row>
      <xdr:rowOff>128587</xdr:rowOff>
    </xdr:from>
    <xdr:to>
      <xdr:col>27</xdr:col>
      <xdr:colOff>390525</xdr:colOff>
      <xdr:row>3</xdr:row>
      <xdr:rowOff>133350</xdr:rowOff>
    </xdr:to>
    <xdr:grpSp>
      <xdr:nvGrpSpPr>
        <xdr:cNvPr id="43" name="Group 42"/>
        <xdr:cNvGrpSpPr/>
      </xdr:nvGrpSpPr>
      <xdr:grpSpPr>
        <a:xfrm>
          <a:off x="14810014" y="128587"/>
          <a:ext cx="2113190" cy="576263"/>
          <a:chOff x="14744700" y="128587"/>
          <a:chExt cx="2105025" cy="576263"/>
        </a:xfrm>
      </xdr:grpSpPr>
      <xdr:sp macro="" textlink="">
        <xdr:nvSpPr>
          <xdr:cNvPr id="90" name="TextBox 89"/>
          <xdr:cNvSpPr txBox="1"/>
        </xdr:nvSpPr>
        <xdr:spPr>
          <a:xfrm>
            <a:off x="14849474" y="128587"/>
            <a:ext cx="2000251" cy="42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Reward</a:t>
            </a:r>
            <a:r>
              <a:rPr lang="en-US" sz="1200" baseline="0">
                <a:solidFill>
                  <a:schemeClr val="tx1">
                    <a:lumMod val="75000"/>
                    <a:lumOff val="25000"/>
                  </a:schemeClr>
                </a:solidFill>
                <a:latin typeface="Abadi"/>
              </a:rPr>
              <a:t>/Risk Ratio</a:t>
            </a:r>
            <a:endParaRPr lang="en-US" sz="1200">
              <a:solidFill>
                <a:schemeClr val="tx1">
                  <a:lumMod val="75000"/>
                  <a:lumOff val="25000"/>
                </a:schemeClr>
              </a:solidFill>
              <a:latin typeface="Abadi"/>
            </a:endParaRPr>
          </a:p>
        </xdr:txBody>
      </xdr:sp>
      <xdr:sp macro="" textlink="Pivottables!P16">
        <xdr:nvSpPr>
          <xdr:cNvPr id="92" name="TextBox 91"/>
          <xdr:cNvSpPr txBox="1"/>
        </xdr:nvSpPr>
        <xdr:spPr>
          <a:xfrm>
            <a:off x="14744700" y="452437"/>
            <a:ext cx="723900"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CCD28D6-830D-4E20-98DF-586E1EA20E7A}" type="TxLink">
              <a:rPr lang="en-US" sz="1800">
                <a:solidFill>
                  <a:srgbClr val="A13F9E"/>
                </a:solidFill>
                <a:latin typeface="Abadi"/>
              </a:rPr>
              <a:pPr algn="r"/>
              <a:t>5.48</a:t>
            </a:fld>
            <a:endParaRPr lang="en-US" sz="1800">
              <a:solidFill>
                <a:srgbClr val="A13F9E"/>
              </a:solidFill>
              <a:latin typeface="Abadi"/>
            </a:endParaRPr>
          </a:p>
        </xdr:txBody>
      </xdr:sp>
    </xdr:grpSp>
    <xdr:clientData/>
  </xdr:twoCellAnchor>
  <xdr:twoCellAnchor>
    <xdr:from>
      <xdr:col>24</xdr:col>
      <xdr:colOff>104775</xdr:colOff>
      <xdr:row>3</xdr:row>
      <xdr:rowOff>157162</xdr:rowOff>
    </xdr:from>
    <xdr:to>
      <xdr:col>27</xdr:col>
      <xdr:colOff>400050</xdr:colOff>
      <xdr:row>6</xdr:row>
      <xdr:rowOff>161925</xdr:rowOff>
    </xdr:to>
    <xdr:grpSp>
      <xdr:nvGrpSpPr>
        <xdr:cNvPr id="93" name="Group 92"/>
        <xdr:cNvGrpSpPr/>
      </xdr:nvGrpSpPr>
      <xdr:grpSpPr>
        <a:xfrm>
          <a:off x="14800489" y="728662"/>
          <a:ext cx="2132240" cy="576263"/>
          <a:chOff x="14725650" y="128587"/>
          <a:chExt cx="2124075" cy="576263"/>
        </a:xfrm>
      </xdr:grpSpPr>
      <xdr:sp macro="" textlink="">
        <xdr:nvSpPr>
          <xdr:cNvPr id="94" name="TextBox 93"/>
          <xdr:cNvSpPr txBox="1"/>
        </xdr:nvSpPr>
        <xdr:spPr>
          <a:xfrm>
            <a:off x="14849474" y="128587"/>
            <a:ext cx="2000251" cy="42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Highest R/R</a:t>
            </a:r>
          </a:p>
        </xdr:txBody>
      </xdr:sp>
      <xdr:sp macro="" textlink="Pivottables!P18">
        <xdr:nvSpPr>
          <xdr:cNvPr id="95" name="TextBox 94"/>
          <xdr:cNvSpPr txBox="1"/>
        </xdr:nvSpPr>
        <xdr:spPr>
          <a:xfrm>
            <a:off x="14725650" y="452437"/>
            <a:ext cx="723900"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74CEC4C0-8A76-4DAE-A3D0-C5B9735E9F27}" type="TxLink">
              <a:rPr lang="en-US" sz="1800">
                <a:solidFill>
                  <a:srgbClr val="A13F9E"/>
                </a:solidFill>
                <a:latin typeface="Abadi"/>
              </a:rPr>
              <a:pPr algn="r"/>
              <a:t>11.01</a:t>
            </a:fld>
            <a:endParaRPr lang="en-US" sz="1800">
              <a:solidFill>
                <a:srgbClr val="A13F9E"/>
              </a:solidFill>
              <a:latin typeface="Abadi"/>
            </a:endParaRPr>
          </a:p>
        </xdr:txBody>
      </xdr:sp>
    </xdr:grpSp>
    <xdr:clientData/>
  </xdr:twoCellAnchor>
  <xdr:twoCellAnchor>
    <xdr:from>
      <xdr:col>23</xdr:col>
      <xdr:colOff>276225</xdr:colOff>
      <xdr:row>11</xdr:row>
      <xdr:rowOff>114299</xdr:rowOff>
    </xdr:from>
    <xdr:to>
      <xdr:col>27</xdr:col>
      <xdr:colOff>83819</xdr:colOff>
      <xdr:row>22</xdr:row>
      <xdr:rowOff>57150</xdr:rowOff>
    </xdr:to>
    <xdr:sp macro="" textlink="">
      <xdr:nvSpPr>
        <xdr:cNvPr id="87" name="Rounded Rectangle 86"/>
        <xdr:cNvSpPr/>
      </xdr:nvSpPr>
      <xdr:spPr>
        <a:xfrm>
          <a:off x="14297025" y="2209799"/>
          <a:ext cx="2245994" cy="2038351"/>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23</xdr:col>
      <xdr:colOff>542924</xdr:colOff>
      <xdr:row>12</xdr:row>
      <xdr:rowOff>42863</xdr:rowOff>
    </xdr:from>
    <xdr:to>
      <xdr:col>26</xdr:col>
      <xdr:colOff>457199</xdr:colOff>
      <xdr:row>13</xdr:row>
      <xdr:rowOff>161925</xdr:rowOff>
    </xdr:to>
    <xdr:sp macro="" textlink="">
      <xdr:nvSpPr>
        <xdr:cNvPr id="96" name="TextBox 95"/>
        <xdr:cNvSpPr txBox="1"/>
      </xdr:nvSpPr>
      <xdr:spPr>
        <a:xfrm>
          <a:off x="14563724" y="2328863"/>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Abadi"/>
            </a:rPr>
            <a:t>Profit by MCap</a:t>
          </a:r>
        </a:p>
      </xdr:txBody>
    </xdr:sp>
    <xdr:clientData/>
  </xdr:twoCellAnchor>
  <xdr:twoCellAnchor>
    <xdr:from>
      <xdr:col>24</xdr:col>
      <xdr:colOff>85725</xdr:colOff>
      <xdr:row>13</xdr:row>
      <xdr:rowOff>180975</xdr:rowOff>
    </xdr:from>
    <xdr:to>
      <xdr:col>26</xdr:col>
      <xdr:colOff>304800</xdr:colOff>
      <xdr:row>13</xdr:row>
      <xdr:rowOff>180975</xdr:rowOff>
    </xdr:to>
    <xdr:cxnSp macro="">
      <xdr:nvCxnSpPr>
        <xdr:cNvPr id="98" name="Straight Connector 97"/>
        <xdr:cNvCxnSpPr/>
      </xdr:nvCxnSpPr>
      <xdr:spPr>
        <a:xfrm>
          <a:off x="14716125" y="2657475"/>
          <a:ext cx="14382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24</xdr:col>
      <xdr:colOff>171449</xdr:colOff>
      <xdr:row>23</xdr:row>
      <xdr:rowOff>38099</xdr:rowOff>
    </xdr:from>
    <xdr:to>
      <xdr:col>28</xdr:col>
      <xdr:colOff>200024</xdr:colOff>
      <xdr:row>27</xdr:row>
      <xdr:rowOff>133350</xdr:rowOff>
    </xdr:to>
    <xdr:grpSp>
      <xdr:nvGrpSpPr>
        <xdr:cNvPr id="103" name="Group 102"/>
        <xdr:cNvGrpSpPr/>
      </xdr:nvGrpSpPr>
      <xdr:grpSpPr>
        <a:xfrm>
          <a:off x="14867163" y="4419599"/>
          <a:ext cx="2477861" cy="857251"/>
          <a:chOff x="11506199" y="209549"/>
          <a:chExt cx="2466975" cy="857251"/>
        </a:xfrm>
      </xdr:grpSpPr>
      <xdr:sp macro="" textlink="">
        <xdr:nvSpPr>
          <xdr:cNvPr id="104" name="TextBox 103"/>
          <xdr:cNvSpPr txBox="1"/>
        </xdr:nvSpPr>
        <xdr:spPr>
          <a:xfrm>
            <a:off x="11506199" y="209549"/>
            <a:ext cx="17430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Abadi"/>
              </a:rPr>
              <a:t>Max </a:t>
            </a:r>
          </a:p>
          <a:p>
            <a:pPr algn="ctr"/>
            <a:r>
              <a:rPr lang="en-US" sz="1050">
                <a:solidFill>
                  <a:schemeClr val="tx1">
                    <a:lumMod val="50000"/>
                    <a:lumOff val="50000"/>
                  </a:schemeClr>
                </a:solidFill>
                <a:latin typeface="Abadi"/>
              </a:rPr>
              <a:t>Continuous </a:t>
            </a:r>
          </a:p>
          <a:p>
            <a:pPr algn="ctr"/>
            <a:r>
              <a:rPr lang="en-US" sz="1050">
                <a:solidFill>
                  <a:schemeClr val="tx1">
                    <a:lumMod val="50000"/>
                    <a:lumOff val="50000"/>
                  </a:schemeClr>
                </a:solidFill>
                <a:latin typeface="Abadi"/>
              </a:rPr>
              <a:t>Win</a:t>
            </a:r>
          </a:p>
        </xdr:txBody>
      </xdr:sp>
      <xdr:sp macro="" textlink="Pivottables!O29">
        <xdr:nvSpPr>
          <xdr:cNvPr id="105" name="TextBox 104"/>
          <xdr:cNvSpPr txBox="1"/>
        </xdr:nvSpPr>
        <xdr:spPr>
          <a:xfrm>
            <a:off x="12230099" y="75723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2C32A96-2BDA-4950-A455-03759A03368B}" type="TxLink">
              <a:rPr lang="en-US" sz="1800">
                <a:solidFill>
                  <a:schemeClr val="tx1">
                    <a:lumMod val="50000"/>
                    <a:lumOff val="50000"/>
                  </a:schemeClr>
                </a:solidFill>
                <a:latin typeface="Arial" pitchFamily="34" charset="0"/>
                <a:cs typeface="Arial" pitchFamily="34" charset="0"/>
              </a:rPr>
              <a:pPr algn="l"/>
              <a:t>9</a:t>
            </a:fld>
            <a:endParaRPr lang="en-US" sz="1800">
              <a:solidFill>
                <a:schemeClr val="tx1">
                  <a:lumMod val="50000"/>
                  <a:lumOff val="50000"/>
                </a:schemeClr>
              </a:solidFill>
              <a:latin typeface="Arial" pitchFamily="34" charset="0"/>
              <a:cs typeface="Arial" pitchFamily="34" charset="0"/>
            </a:endParaRPr>
          </a:p>
        </xdr:txBody>
      </xdr:sp>
    </xdr:grpSp>
    <xdr:clientData/>
  </xdr:twoCellAnchor>
  <xdr:twoCellAnchor>
    <xdr:from>
      <xdr:col>24</xdr:col>
      <xdr:colOff>171449</xdr:colOff>
      <xdr:row>27</xdr:row>
      <xdr:rowOff>161922</xdr:rowOff>
    </xdr:from>
    <xdr:to>
      <xdr:col>27</xdr:col>
      <xdr:colOff>85724</xdr:colOff>
      <xdr:row>31</xdr:row>
      <xdr:rowOff>190499</xdr:rowOff>
    </xdr:to>
    <xdr:sp macro="" textlink="">
      <xdr:nvSpPr>
        <xdr:cNvPr id="109" name="TextBox 108"/>
        <xdr:cNvSpPr txBox="1"/>
      </xdr:nvSpPr>
      <xdr:spPr>
        <a:xfrm>
          <a:off x="14801849" y="5305422"/>
          <a:ext cx="1743075" cy="790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Abadi"/>
            </a:rPr>
            <a:t>Max </a:t>
          </a:r>
        </a:p>
        <a:p>
          <a:pPr algn="ctr"/>
          <a:r>
            <a:rPr lang="en-US" sz="1050">
              <a:solidFill>
                <a:schemeClr val="tx1">
                  <a:lumMod val="50000"/>
                  <a:lumOff val="50000"/>
                </a:schemeClr>
              </a:solidFill>
              <a:latin typeface="Abadi"/>
            </a:rPr>
            <a:t>Continuous </a:t>
          </a:r>
        </a:p>
        <a:p>
          <a:pPr algn="ctr"/>
          <a:r>
            <a:rPr lang="en-US" sz="1050">
              <a:solidFill>
                <a:schemeClr val="tx1">
                  <a:lumMod val="50000"/>
                  <a:lumOff val="50000"/>
                </a:schemeClr>
              </a:solidFill>
              <a:latin typeface="Abadi"/>
            </a:rPr>
            <a:t>Losses</a:t>
          </a:r>
        </a:p>
      </xdr:txBody>
    </xdr:sp>
    <xdr:clientData/>
  </xdr:twoCellAnchor>
  <xdr:twoCellAnchor>
    <xdr:from>
      <xdr:col>25</xdr:col>
      <xdr:colOff>285749</xdr:colOff>
      <xdr:row>31</xdr:row>
      <xdr:rowOff>42861</xdr:rowOff>
    </xdr:from>
    <xdr:to>
      <xdr:col>28</xdr:col>
      <xdr:colOff>200024</xdr:colOff>
      <xdr:row>32</xdr:row>
      <xdr:rowOff>161923</xdr:rowOff>
    </xdr:to>
    <xdr:sp macro="" textlink="Pivottables!P29">
      <xdr:nvSpPr>
        <xdr:cNvPr id="110" name="TextBox 109"/>
        <xdr:cNvSpPr txBox="1"/>
      </xdr:nvSpPr>
      <xdr:spPr>
        <a:xfrm>
          <a:off x="15525749" y="5948361"/>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67F539E-90F5-4188-8572-1083D56547A0}" type="TxLink">
            <a:rPr lang="en-US" sz="1800">
              <a:solidFill>
                <a:schemeClr val="tx1">
                  <a:lumMod val="50000"/>
                  <a:lumOff val="50000"/>
                </a:schemeClr>
              </a:solidFill>
              <a:latin typeface="Arial" pitchFamily="34" charset="0"/>
              <a:cs typeface="Arial" pitchFamily="34" charset="0"/>
            </a:rPr>
            <a:pPr algn="l"/>
            <a:t>8</a:t>
          </a:fld>
          <a:endParaRPr lang="en-US" sz="1800">
            <a:solidFill>
              <a:schemeClr val="tx1">
                <a:lumMod val="50000"/>
                <a:lumOff val="50000"/>
              </a:schemeClr>
            </a:solidFill>
            <a:latin typeface="Arial" pitchFamily="34" charset="0"/>
            <a:cs typeface="Arial" pitchFamily="34" charset="0"/>
          </a:endParaRPr>
        </a:p>
      </xdr:txBody>
    </xdr:sp>
    <xdr:clientData/>
  </xdr:twoCellAnchor>
  <xdr:twoCellAnchor>
    <xdr:from>
      <xdr:col>23</xdr:col>
      <xdr:colOff>485775</xdr:colOff>
      <xdr:row>28</xdr:row>
      <xdr:rowOff>0</xdr:rowOff>
    </xdr:from>
    <xdr:to>
      <xdr:col>26</xdr:col>
      <xdr:colOff>552450</xdr:colOff>
      <xdr:row>28</xdr:row>
      <xdr:rowOff>0</xdr:rowOff>
    </xdr:to>
    <xdr:cxnSp macro="">
      <xdr:nvCxnSpPr>
        <xdr:cNvPr id="123" name="Straight Connector 122"/>
        <xdr:cNvCxnSpPr/>
      </xdr:nvCxnSpPr>
      <xdr:spPr>
        <a:xfrm>
          <a:off x="14506575" y="5334000"/>
          <a:ext cx="18954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23</xdr:col>
      <xdr:colOff>361949</xdr:colOff>
      <xdr:row>29</xdr:row>
      <xdr:rowOff>59330</xdr:rowOff>
    </xdr:from>
    <xdr:to>
      <xdr:col>25</xdr:col>
      <xdr:colOff>285749</xdr:colOff>
      <xdr:row>34</xdr:row>
      <xdr:rowOff>34081</xdr:rowOff>
    </xdr:to>
    <xdr:pic>
      <xdr:nvPicPr>
        <xdr:cNvPr id="40" name="Picture 3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382749" y="5583830"/>
          <a:ext cx="1143000" cy="927251"/>
        </a:xfrm>
        <a:prstGeom prst="rect">
          <a:avLst/>
        </a:prstGeom>
      </xdr:spPr>
    </xdr:pic>
    <xdr:clientData/>
  </xdr:twoCellAnchor>
  <xdr:twoCellAnchor editAs="oneCell">
    <xdr:from>
      <xdr:col>23</xdr:col>
      <xdr:colOff>285753</xdr:colOff>
      <xdr:row>23</xdr:row>
      <xdr:rowOff>133352</xdr:rowOff>
    </xdr:from>
    <xdr:to>
      <xdr:col>25</xdr:col>
      <xdr:colOff>209551</xdr:colOff>
      <xdr:row>28</xdr:row>
      <xdr:rowOff>108103</xdr:rowOff>
    </xdr:to>
    <xdr:pic>
      <xdr:nvPicPr>
        <xdr:cNvPr id="39" name="Picture 38"/>
        <xdr:cNvPicPr>
          <a:picLocks noChangeAspect="1"/>
        </xdr:cNvPicPr>
      </xdr:nvPicPr>
      <xdr:blipFill>
        <a:blip xmlns:r="http://schemas.openxmlformats.org/officeDocument/2006/relationships" r:embed="rId8" cstate="print">
          <a:clrChange>
            <a:clrFrom>
              <a:srgbClr val="ACDC11">
                <a:alpha val="96863"/>
              </a:srgbClr>
            </a:clrFrom>
            <a:clrTo>
              <a:srgbClr val="ACDC11">
                <a:alpha val="0"/>
              </a:srgbClr>
            </a:clrTo>
          </a:clrChange>
          <a:extLst>
            <a:ext uri="{28A0092B-C50C-407E-A947-70E740481C1C}">
              <a14:useLocalDpi xmlns:a14="http://schemas.microsoft.com/office/drawing/2010/main" val="0"/>
            </a:ext>
          </a:extLst>
        </a:blip>
        <a:stretch>
          <a:fillRect/>
        </a:stretch>
      </xdr:blipFill>
      <xdr:spPr>
        <a:xfrm>
          <a:off x="14306553" y="4514852"/>
          <a:ext cx="1142998" cy="927251"/>
        </a:xfrm>
        <a:prstGeom prst="rect">
          <a:avLst/>
        </a:prstGeom>
        <a:ln>
          <a:noFill/>
        </a:ln>
        <a:effectLst/>
      </xdr:spPr>
    </xdr:pic>
    <xdr:clientData/>
  </xdr:twoCellAnchor>
  <xdr:twoCellAnchor editAs="oneCell">
    <xdr:from>
      <xdr:col>25</xdr:col>
      <xdr:colOff>504826</xdr:colOff>
      <xdr:row>1</xdr:row>
      <xdr:rowOff>171451</xdr:rowOff>
    </xdr:from>
    <xdr:to>
      <xdr:col>27</xdr:col>
      <xdr:colOff>28576</xdr:colOff>
      <xdr:row>5</xdr:row>
      <xdr:rowOff>152401</xdr:rowOff>
    </xdr:to>
    <xdr:pic>
      <xdr:nvPicPr>
        <xdr:cNvPr id="46" name="Picture 4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44826" y="361951"/>
          <a:ext cx="742950" cy="742950"/>
        </a:xfrm>
        <a:prstGeom prst="rect">
          <a:avLst/>
        </a:prstGeom>
      </xdr:spPr>
    </xdr:pic>
    <xdr:clientData/>
  </xdr:twoCellAnchor>
  <xdr:twoCellAnchor>
    <xdr:from>
      <xdr:col>22</xdr:col>
      <xdr:colOff>400050</xdr:colOff>
      <xdr:row>13</xdr:row>
      <xdr:rowOff>171449</xdr:rowOff>
    </xdr:from>
    <xdr:to>
      <xdr:col>27</xdr:col>
      <xdr:colOff>523875</xdr:colOff>
      <xdr:row>22</xdr:row>
      <xdr:rowOff>66675</xdr:rowOff>
    </xdr:to>
    <xdr:graphicFrame macro="">
      <xdr:nvGraphicFramePr>
        <xdr:cNvPr id="100" name="Chart 9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400050</xdr:colOff>
      <xdr:row>15</xdr:row>
      <xdr:rowOff>76200</xdr:rowOff>
    </xdr:from>
    <xdr:to>
      <xdr:col>25</xdr:col>
      <xdr:colOff>521970</xdr:colOff>
      <xdr:row>19</xdr:row>
      <xdr:rowOff>47625</xdr:rowOff>
    </xdr:to>
    <xdr:sp macro="" textlink="">
      <xdr:nvSpPr>
        <xdr:cNvPr id="47" name="Oval 46"/>
        <xdr:cNvSpPr/>
      </xdr:nvSpPr>
      <xdr:spPr>
        <a:xfrm>
          <a:off x="15030450" y="2933700"/>
          <a:ext cx="731520" cy="73342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485775</xdr:colOff>
      <xdr:row>11</xdr:row>
      <xdr:rowOff>123825</xdr:rowOff>
    </xdr:from>
    <xdr:to>
      <xdr:col>23</xdr:col>
      <xdr:colOff>140969</xdr:colOff>
      <xdr:row>25</xdr:row>
      <xdr:rowOff>114301</xdr:rowOff>
    </xdr:to>
    <xdr:sp macro="" textlink="">
      <xdr:nvSpPr>
        <xdr:cNvPr id="106" name="Rounded Rectangle 105"/>
        <xdr:cNvSpPr/>
      </xdr:nvSpPr>
      <xdr:spPr>
        <a:xfrm>
          <a:off x="10848975" y="2219325"/>
          <a:ext cx="3312794" cy="2657476"/>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18</xdr:col>
      <xdr:colOff>581024</xdr:colOff>
      <xdr:row>11</xdr:row>
      <xdr:rowOff>157162</xdr:rowOff>
    </xdr:from>
    <xdr:to>
      <xdr:col>22</xdr:col>
      <xdr:colOff>142875</xdr:colOff>
      <xdr:row>14</xdr:row>
      <xdr:rowOff>185737</xdr:rowOff>
    </xdr:to>
    <xdr:sp macro="" textlink="">
      <xdr:nvSpPr>
        <xdr:cNvPr id="107" name="TextBox 106"/>
        <xdr:cNvSpPr txBox="1"/>
      </xdr:nvSpPr>
      <xdr:spPr>
        <a:xfrm>
          <a:off x="11553824" y="2252662"/>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75000"/>
                  <a:lumOff val="25000"/>
                </a:schemeClr>
              </a:solidFill>
              <a:latin typeface="Abadi"/>
            </a:rPr>
            <a:t>Total Trades </a:t>
          </a:r>
          <a:r>
            <a:rPr lang="en-US" sz="1200">
              <a:solidFill>
                <a:schemeClr val="tx1">
                  <a:lumMod val="50000"/>
                  <a:lumOff val="50000"/>
                </a:schemeClr>
              </a:solidFill>
              <a:latin typeface="Abadi"/>
            </a:rPr>
            <a:t>by</a:t>
          </a:r>
          <a:r>
            <a:rPr lang="en-US" sz="1200" baseline="0">
              <a:solidFill>
                <a:schemeClr val="tx1">
                  <a:lumMod val="50000"/>
                  <a:lumOff val="50000"/>
                </a:schemeClr>
              </a:solidFill>
              <a:latin typeface="Abadi"/>
            </a:rPr>
            <a:t> Month</a:t>
          </a:r>
          <a:endParaRPr lang="en-US" sz="900">
            <a:solidFill>
              <a:schemeClr val="tx1">
                <a:lumMod val="50000"/>
                <a:lumOff val="50000"/>
              </a:schemeClr>
            </a:solidFill>
            <a:latin typeface="Abadi"/>
          </a:endParaRPr>
        </a:p>
      </xdr:txBody>
    </xdr:sp>
    <xdr:clientData/>
  </xdr:twoCellAnchor>
  <xdr:twoCellAnchor>
    <xdr:from>
      <xdr:col>19</xdr:col>
      <xdr:colOff>200025</xdr:colOff>
      <xdr:row>14</xdr:row>
      <xdr:rowOff>28575</xdr:rowOff>
    </xdr:from>
    <xdr:to>
      <xdr:col>21</xdr:col>
      <xdr:colOff>533400</xdr:colOff>
      <xdr:row>14</xdr:row>
      <xdr:rowOff>28575</xdr:rowOff>
    </xdr:to>
    <xdr:cxnSp macro="">
      <xdr:nvCxnSpPr>
        <xdr:cNvPr id="111" name="Straight Connector 110"/>
        <xdr:cNvCxnSpPr/>
      </xdr:nvCxnSpPr>
      <xdr:spPr>
        <a:xfrm>
          <a:off x="11782425" y="2695575"/>
          <a:ext cx="15525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581024</xdr:colOff>
      <xdr:row>25</xdr:row>
      <xdr:rowOff>176212</xdr:rowOff>
    </xdr:from>
    <xdr:to>
      <xdr:col>22</xdr:col>
      <xdr:colOff>142875</xdr:colOff>
      <xdr:row>29</xdr:row>
      <xdr:rowOff>14287</xdr:rowOff>
    </xdr:to>
    <xdr:grpSp>
      <xdr:nvGrpSpPr>
        <xdr:cNvPr id="72" name="Group 71"/>
        <xdr:cNvGrpSpPr/>
      </xdr:nvGrpSpPr>
      <xdr:grpSpPr>
        <a:xfrm>
          <a:off x="11602810" y="4938712"/>
          <a:ext cx="2011136" cy="600075"/>
          <a:chOff x="11601449" y="4586287"/>
          <a:chExt cx="2000251" cy="600075"/>
        </a:xfrm>
      </xdr:grpSpPr>
      <xdr:sp macro="" textlink="">
        <xdr:nvSpPr>
          <xdr:cNvPr id="112" name="TextBox 111"/>
          <xdr:cNvSpPr txBox="1"/>
        </xdr:nvSpPr>
        <xdr:spPr>
          <a:xfrm>
            <a:off x="11601449" y="458628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75000"/>
                    <a:lumOff val="25000"/>
                  </a:schemeClr>
                </a:solidFill>
                <a:latin typeface="Abadi"/>
              </a:rPr>
              <a:t>Total Win/Loss </a:t>
            </a:r>
            <a:r>
              <a:rPr lang="en-US" sz="1200">
                <a:solidFill>
                  <a:schemeClr val="tx1">
                    <a:lumMod val="50000"/>
                    <a:lumOff val="50000"/>
                  </a:schemeClr>
                </a:solidFill>
                <a:latin typeface="Abadi"/>
              </a:rPr>
              <a:t>by</a:t>
            </a:r>
            <a:r>
              <a:rPr lang="en-US" sz="1200" baseline="0">
                <a:solidFill>
                  <a:schemeClr val="tx1">
                    <a:lumMod val="50000"/>
                    <a:lumOff val="50000"/>
                  </a:schemeClr>
                </a:solidFill>
                <a:latin typeface="Abadi"/>
              </a:rPr>
              <a:t> Month</a:t>
            </a:r>
            <a:endParaRPr lang="en-US" sz="900">
              <a:solidFill>
                <a:schemeClr val="tx1">
                  <a:lumMod val="50000"/>
                  <a:lumOff val="50000"/>
                </a:schemeClr>
              </a:solidFill>
              <a:latin typeface="Abadi"/>
            </a:endParaRPr>
          </a:p>
        </xdr:txBody>
      </xdr:sp>
      <xdr:cxnSp macro="">
        <xdr:nvCxnSpPr>
          <xdr:cNvPr id="113" name="Straight Connector 112"/>
          <xdr:cNvCxnSpPr/>
        </xdr:nvCxnSpPr>
        <xdr:spPr>
          <a:xfrm>
            <a:off x="11830050" y="5029200"/>
            <a:ext cx="1552575" cy="0"/>
          </a:xfrm>
          <a:prstGeom prst="line">
            <a:avLst/>
          </a:prstGeom>
        </xdr:spPr>
        <xdr:style>
          <a:lnRef idx="2">
            <a:schemeClr val="accent4"/>
          </a:lnRef>
          <a:fillRef idx="0">
            <a:schemeClr val="accent4"/>
          </a:fillRef>
          <a:effectRef idx="1">
            <a:schemeClr val="accent4"/>
          </a:effectRef>
          <a:fontRef idx="minor">
            <a:schemeClr val="tx1"/>
          </a:fontRef>
        </xdr:style>
      </xdr:cxnSp>
    </xdr:grpSp>
    <xdr:clientData/>
  </xdr:twoCellAnchor>
  <xdr:twoCellAnchor>
    <xdr:from>
      <xdr:col>17</xdr:col>
      <xdr:colOff>485776</xdr:colOff>
      <xdr:row>28</xdr:row>
      <xdr:rowOff>47624</xdr:rowOff>
    </xdr:from>
    <xdr:to>
      <xdr:col>23</xdr:col>
      <xdr:colOff>180976</xdr:colOff>
      <xdr:row>38</xdr:row>
      <xdr:rowOff>171450</xdr:rowOff>
    </xdr:to>
    <xdr:graphicFrame macro="">
      <xdr:nvGraphicFramePr>
        <xdr:cNvPr id="114" name="Chart 1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609599</xdr:colOff>
      <xdr:row>14</xdr:row>
      <xdr:rowOff>76200</xdr:rowOff>
    </xdr:from>
    <xdr:to>
      <xdr:col>23</xdr:col>
      <xdr:colOff>54428</xdr:colOff>
      <xdr:row>25</xdr:row>
      <xdr:rowOff>133349</xdr:rowOff>
    </xdr:to>
    <xdr:graphicFrame macro="">
      <xdr:nvGraphicFramePr>
        <xdr:cNvPr id="115" name="Chart 1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111505</xdr:colOff>
      <xdr:row>11</xdr:row>
      <xdr:rowOff>135731</xdr:rowOff>
    </xdr:from>
    <xdr:to>
      <xdr:col>17</xdr:col>
      <xdr:colOff>387731</xdr:colOff>
      <xdr:row>22</xdr:row>
      <xdr:rowOff>51911</xdr:rowOff>
    </xdr:to>
    <xdr:sp macro="" textlink="Pivottables!I4">
      <xdr:nvSpPr>
        <xdr:cNvPr id="117" name="Rounded Rectangle 116"/>
        <xdr:cNvSpPr/>
      </xdr:nvSpPr>
      <xdr:spPr>
        <a:xfrm>
          <a:off x="8645905" y="2231231"/>
          <a:ext cx="2105026"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14</xdr:col>
      <xdr:colOff>238124</xdr:colOff>
      <xdr:row>12</xdr:row>
      <xdr:rowOff>61912</xdr:rowOff>
    </xdr:from>
    <xdr:to>
      <xdr:col>17</xdr:col>
      <xdr:colOff>152399</xdr:colOff>
      <xdr:row>15</xdr:row>
      <xdr:rowOff>90487</xdr:rowOff>
    </xdr:to>
    <xdr:sp macro="" textlink="">
      <xdr:nvSpPr>
        <xdr:cNvPr id="118" name="TextBox 117"/>
        <xdr:cNvSpPr txBox="1"/>
      </xdr:nvSpPr>
      <xdr:spPr>
        <a:xfrm>
          <a:off x="8772524" y="234791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US" sz="900">
            <a:solidFill>
              <a:schemeClr val="tx1">
                <a:lumMod val="50000"/>
                <a:lumOff val="50000"/>
              </a:schemeClr>
            </a:solidFill>
            <a:latin typeface="Abadi"/>
          </a:endParaRPr>
        </a:p>
      </xdr:txBody>
    </xdr:sp>
    <xdr:clientData/>
  </xdr:twoCellAnchor>
  <xdr:twoCellAnchor>
    <xdr:from>
      <xdr:col>14</xdr:col>
      <xdr:colOff>238124</xdr:colOff>
      <xdr:row>12</xdr:row>
      <xdr:rowOff>33337</xdr:rowOff>
    </xdr:from>
    <xdr:to>
      <xdr:col>17</xdr:col>
      <xdr:colOff>152399</xdr:colOff>
      <xdr:row>15</xdr:row>
      <xdr:rowOff>61912</xdr:rowOff>
    </xdr:to>
    <xdr:sp macro="" textlink="">
      <xdr:nvSpPr>
        <xdr:cNvPr id="120" name="TextBox 119"/>
        <xdr:cNvSpPr txBox="1"/>
      </xdr:nvSpPr>
      <xdr:spPr>
        <a:xfrm>
          <a:off x="8772524" y="2319337"/>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Top 5</a:t>
          </a:r>
        </a:p>
        <a:p>
          <a:pPr algn="l"/>
          <a:r>
            <a:rPr lang="en-US" sz="1100">
              <a:solidFill>
                <a:schemeClr val="tx1">
                  <a:lumMod val="75000"/>
                  <a:lumOff val="25000"/>
                </a:schemeClr>
              </a:solidFill>
              <a:latin typeface="Abadi"/>
            </a:rPr>
            <a:t>Loss </a:t>
          </a:r>
        </a:p>
        <a:p>
          <a:pPr algn="l"/>
          <a:r>
            <a:rPr lang="en-US" sz="900">
              <a:solidFill>
                <a:schemeClr val="tx1">
                  <a:lumMod val="50000"/>
                  <a:lumOff val="50000"/>
                </a:schemeClr>
              </a:solidFill>
              <a:latin typeface="Abadi"/>
              <a:ea typeface="+mn-ea"/>
              <a:cs typeface="+mn-cs"/>
            </a:rPr>
            <a:t>making</a:t>
          </a:r>
          <a:r>
            <a:rPr lang="en-US" sz="1050" baseline="0">
              <a:solidFill>
                <a:schemeClr val="tx1">
                  <a:lumMod val="85000"/>
                  <a:lumOff val="15000"/>
                </a:schemeClr>
              </a:solidFill>
              <a:latin typeface="Abadi"/>
            </a:rPr>
            <a:t> </a:t>
          </a:r>
          <a:r>
            <a:rPr lang="en-US" sz="900">
              <a:solidFill>
                <a:schemeClr val="tx1">
                  <a:lumMod val="50000"/>
                  <a:lumOff val="50000"/>
                </a:schemeClr>
              </a:solidFill>
              <a:latin typeface="Abadi"/>
            </a:rPr>
            <a:t>Trades</a:t>
          </a:r>
        </a:p>
      </xdr:txBody>
    </xdr:sp>
    <xdr:clientData/>
  </xdr:twoCellAnchor>
  <xdr:twoCellAnchor>
    <xdr:from>
      <xdr:col>14</xdr:col>
      <xdr:colOff>247650</xdr:colOff>
      <xdr:row>15</xdr:row>
      <xdr:rowOff>114300</xdr:rowOff>
    </xdr:from>
    <xdr:to>
      <xdr:col>17</xdr:col>
      <xdr:colOff>391716</xdr:colOff>
      <xdr:row>21</xdr:row>
      <xdr:rowOff>95250</xdr:rowOff>
    </xdr:to>
    <xdr:grpSp>
      <xdr:nvGrpSpPr>
        <xdr:cNvPr id="121" name="Group 120"/>
        <xdr:cNvGrpSpPr/>
      </xdr:nvGrpSpPr>
      <xdr:grpSpPr>
        <a:xfrm>
          <a:off x="8820150" y="2971800"/>
          <a:ext cx="1981030" cy="1123950"/>
          <a:chOff x="3095625" y="809625"/>
          <a:chExt cx="1972866" cy="1123950"/>
        </a:xfrm>
      </xdr:grpSpPr>
      <xdr:grpSp>
        <xdr:nvGrpSpPr>
          <xdr:cNvPr id="122" name="Group 121"/>
          <xdr:cNvGrpSpPr/>
        </xdr:nvGrpSpPr>
        <xdr:grpSpPr>
          <a:xfrm>
            <a:off x="3095625" y="809625"/>
            <a:ext cx="1943100" cy="295275"/>
            <a:chOff x="3105150" y="800100"/>
            <a:chExt cx="1943100" cy="295275"/>
          </a:xfrm>
        </xdr:grpSpPr>
        <xdr:sp macro="" textlink="Pivottables!R4">
          <xdr:nvSpPr>
            <xdr:cNvPr id="136" name="TextBox 135"/>
            <xdr:cNvSpPr txBox="1"/>
          </xdr:nvSpPr>
          <xdr:spPr>
            <a:xfrm>
              <a:off x="410527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0DCCBC2-4E91-4D08-A8C8-9D224417308D}" type="TxLink">
                <a:rPr lang="en-US" sz="1100">
                  <a:solidFill>
                    <a:schemeClr val="tx1">
                      <a:lumMod val="65000"/>
                      <a:lumOff val="35000"/>
                    </a:schemeClr>
                  </a:solidFill>
                  <a:latin typeface="Arial" pitchFamily="34" charset="0"/>
                  <a:cs typeface="Arial" pitchFamily="34" charset="0"/>
                </a:rPr>
                <a:pPr algn="l"/>
                <a:t>Bajaj Auto</a:t>
              </a:fld>
              <a:endParaRPr lang="en-US" sz="1100">
                <a:solidFill>
                  <a:schemeClr val="tx1">
                    <a:lumMod val="65000"/>
                    <a:lumOff val="35000"/>
                  </a:schemeClr>
                </a:solidFill>
                <a:latin typeface="Arial" pitchFamily="34" charset="0"/>
                <a:cs typeface="Arial" pitchFamily="34" charset="0"/>
              </a:endParaRPr>
            </a:p>
          </xdr:txBody>
        </xdr:sp>
        <xdr:sp macro="" textlink="Pivottables!S4">
          <xdr:nvSpPr>
            <xdr:cNvPr id="137" name="TextBox 136"/>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9D3029-0EF5-4C3B-8629-6B318A658AEB}" type="TxLink">
                <a:rPr lang="en-US" sz="1100">
                  <a:solidFill>
                    <a:schemeClr val="tx1">
                      <a:lumMod val="65000"/>
                      <a:lumOff val="35000"/>
                    </a:schemeClr>
                  </a:solidFill>
                  <a:latin typeface="Arial" pitchFamily="34" charset="0"/>
                  <a:cs typeface="Arial" pitchFamily="34" charset="0"/>
                </a:rPr>
                <a:pPr algn="l"/>
                <a:t>-10105.30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4" name="Group 123"/>
          <xdr:cNvGrpSpPr/>
        </xdr:nvGrpSpPr>
        <xdr:grpSpPr>
          <a:xfrm>
            <a:off x="3102769" y="1638300"/>
            <a:ext cx="1958281" cy="295275"/>
            <a:chOff x="3105150" y="800100"/>
            <a:chExt cx="1958281" cy="295275"/>
          </a:xfrm>
        </xdr:grpSpPr>
        <xdr:sp macro="" textlink="Pivottables!R8">
          <xdr:nvSpPr>
            <xdr:cNvPr id="134" name="TextBox 133"/>
            <xdr:cNvSpPr txBox="1"/>
          </xdr:nvSpPr>
          <xdr:spPr>
            <a:xfrm>
              <a:off x="4120456"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043EAAA-C40F-49C0-A900-9AD4B8CA2D2E}" type="TxLink">
                <a:rPr lang="en-US" sz="1100">
                  <a:solidFill>
                    <a:schemeClr val="tx1">
                      <a:lumMod val="65000"/>
                      <a:lumOff val="35000"/>
                    </a:schemeClr>
                  </a:solidFill>
                  <a:latin typeface="Arial" pitchFamily="34" charset="0"/>
                  <a:cs typeface="Arial" pitchFamily="34" charset="0"/>
                </a:rPr>
                <a:pPr algn="l"/>
                <a:t>Moil</a:t>
              </a:fld>
              <a:endParaRPr lang="en-US" sz="1100">
                <a:solidFill>
                  <a:schemeClr val="tx1">
                    <a:lumMod val="65000"/>
                    <a:lumOff val="35000"/>
                  </a:schemeClr>
                </a:solidFill>
                <a:latin typeface="Arial" pitchFamily="34" charset="0"/>
                <a:cs typeface="Arial" pitchFamily="34" charset="0"/>
              </a:endParaRPr>
            </a:p>
          </xdr:txBody>
        </xdr:sp>
        <xdr:sp macro="" textlink="Pivottables!S8">
          <xdr:nvSpPr>
            <xdr:cNvPr id="135" name="TextBox 134"/>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89A344A-1024-46CE-96C0-3E097419C2FC}" type="TxLink">
                <a:rPr lang="en-US" sz="1100">
                  <a:solidFill>
                    <a:schemeClr val="tx1">
                      <a:lumMod val="65000"/>
                      <a:lumOff val="35000"/>
                    </a:schemeClr>
                  </a:solidFill>
                  <a:latin typeface="Arial" pitchFamily="34" charset="0"/>
                  <a:cs typeface="Arial" pitchFamily="34" charset="0"/>
                </a:rPr>
                <a:pPr algn="l"/>
                <a:t>-5000.50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5" name="Group 124"/>
          <xdr:cNvGrpSpPr/>
        </xdr:nvGrpSpPr>
        <xdr:grpSpPr>
          <a:xfrm>
            <a:off x="3106341" y="1431132"/>
            <a:ext cx="1962150" cy="295275"/>
            <a:chOff x="3105150" y="800100"/>
            <a:chExt cx="1962150" cy="295275"/>
          </a:xfrm>
        </xdr:grpSpPr>
        <xdr:sp macro="" textlink="Pivottables!R7">
          <xdr:nvSpPr>
            <xdr:cNvPr id="132" name="TextBox 131"/>
            <xdr:cNvSpPr txBox="1"/>
          </xdr:nvSpPr>
          <xdr:spPr>
            <a:xfrm>
              <a:off x="412432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C1FE0C1-88A1-4BC1-83B2-B56CC69E1C24}" type="TxLink">
                <a:rPr lang="en-US" sz="1100">
                  <a:solidFill>
                    <a:schemeClr val="tx1">
                      <a:lumMod val="65000"/>
                      <a:lumOff val="35000"/>
                    </a:schemeClr>
                  </a:solidFill>
                  <a:latin typeface="Arial" pitchFamily="34" charset="0"/>
                  <a:cs typeface="Arial" pitchFamily="34" charset="0"/>
                </a:rPr>
                <a:pPr algn="l"/>
                <a:t>HDFC Life</a:t>
              </a:fld>
              <a:endParaRPr lang="en-US" sz="1100">
                <a:solidFill>
                  <a:schemeClr val="tx1">
                    <a:lumMod val="65000"/>
                    <a:lumOff val="35000"/>
                  </a:schemeClr>
                </a:solidFill>
                <a:latin typeface="Arial" pitchFamily="34" charset="0"/>
                <a:cs typeface="Arial" pitchFamily="34" charset="0"/>
              </a:endParaRPr>
            </a:p>
          </xdr:txBody>
        </xdr:sp>
        <xdr:sp macro="" textlink="Pivottables!S7">
          <xdr:nvSpPr>
            <xdr:cNvPr id="133" name="TextBox 132"/>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E104759-37B5-4437-8690-9059F9EFD8E4}" type="TxLink">
                <a:rPr lang="en-US" sz="1100">
                  <a:solidFill>
                    <a:schemeClr val="tx1">
                      <a:lumMod val="65000"/>
                      <a:lumOff val="35000"/>
                    </a:schemeClr>
                  </a:solidFill>
                  <a:latin typeface="Arial" pitchFamily="34" charset="0"/>
                  <a:cs typeface="Arial" pitchFamily="34" charset="0"/>
                </a:rPr>
                <a:pPr algn="l"/>
                <a:t>-5001.80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6" name="Group 125"/>
          <xdr:cNvGrpSpPr/>
        </xdr:nvGrpSpPr>
        <xdr:grpSpPr>
          <a:xfrm>
            <a:off x="3109913" y="1223963"/>
            <a:ext cx="1943696" cy="295275"/>
            <a:chOff x="3105150" y="800100"/>
            <a:chExt cx="1943696" cy="295275"/>
          </a:xfrm>
        </xdr:grpSpPr>
        <xdr:sp macro="" textlink="Pivottables!R6">
          <xdr:nvSpPr>
            <xdr:cNvPr id="130" name="TextBox 129"/>
            <xdr:cNvSpPr txBox="1"/>
          </xdr:nvSpPr>
          <xdr:spPr>
            <a:xfrm>
              <a:off x="4105871"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B0FA255-1D84-4EE3-9FCB-DE096FA5992D}" type="TxLink">
                <a:rPr lang="en-US" sz="1100">
                  <a:solidFill>
                    <a:schemeClr val="tx1">
                      <a:lumMod val="65000"/>
                      <a:lumOff val="35000"/>
                    </a:schemeClr>
                  </a:solidFill>
                  <a:latin typeface="Arial" pitchFamily="34" charset="0"/>
                  <a:cs typeface="Arial" pitchFamily="34" charset="0"/>
                </a:rPr>
                <a:pPr algn="l"/>
                <a:t>DR Reddy</a:t>
              </a:fld>
              <a:endParaRPr lang="en-US" sz="1100">
                <a:solidFill>
                  <a:schemeClr val="tx1">
                    <a:lumMod val="65000"/>
                    <a:lumOff val="35000"/>
                  </a:schemeClr>
                </a:solidFill>
                <a:latin typeface="Arial" pitchFamily="34" charset="0"/>
                <a:cs typeface="Arial" pitchFamily="34" charset="0"/>
              </a:endParaRPr>
            </a:p>
          </xdr:txBody>
        </xdr:sp>
        <xdr:sp macro="" textlink="Pivottables!S6">
          <xdr:nvSpPr>
            <xdr:cNvPr id="131" name="TextBox 130"/>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42B394A-E691-4410-8F93-79F79ED7B14B}" type="TxLink">
                <a:rPr lang="en-US" sz="1100">
                  <a:solidFill>
                    <a:schemeClr val="tx1">
                      <a:lumMod val="65000"/>
                      <a:lumOff val="35000"/>
                    </a:schemeClr>
                  </a:solidFill>
                  <a:latin typeface="Arial" pitchFamily="34" charset="0"/>
                  <a:cs typeface="Arial" pitchFamily="34" charset="0"/>
                </a:rPr>
                <a:pPr algn="l"/>
                <a:t>-5040.90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7" name="Group 126"/>
          <xdr:cNvGrpSpPr/>
        </xdr:nvGrpSpPr>
        <xdr:grpSpPr>
          <a:xfrm>
            <a:off x="3099197" y="1016794"/>
            <a:ext cx="1946970" cy="295275"/>
            <a:chOff x="3105150" y="800100"/>
            <a:chExt cx="1946970" cy="295275"/>
          </a:xfrm>
        </xdr:grpSpPr>
        <xdr:sp macro="" textlink="Pivottables!R5">
          <xdr:nvSpPr>
            <xdr:cNvPr id="128" name="TextBox 127"/>
            <xdr:cNvSpPr txBox="1"/>
          </xdr:nvSpPr>
          <xdr:spPr>
            <a:xfrm>
              <a:off x="410914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AED9EAB-D30B-43C2-96C6-AF1D704B0A95}" type="TxLink">
                <a:rPr lang="en-US" sz="1100">
                  <a:solidFill>
                    <a:schemeClr val="tx1">
                      <a:lumMod val="65000"/>
                      <a:lumOff val="35000"/>
                    </a:schemeClr>
                  </a:solidFill>
                  <a:latin typeface="Arial" pitchFamily="34" charset="0"/>
                  <a:cs typeface="Arial" pitchFamily="34" charset="0"/>
                </a:rPr>
                <a:pPr algn="l"/>
                <a:t>Cipla</a:t>
              </a:fld>
              <a:endParaRPr lang="en-US" sz="1100">
                <a:solidFill>
                  <a:schemeClr val="tx1">
                    <a:lumMod val="65000"/>
                    <a:lumOff val="35000"/>
                  </a:schemeClr>
                </a:solidFill>
                <a:latin typeface="Arial" pitchFamily="34" charset="0"/>
                <a:cs typeface="Arial" pitchFamily="34" charset="0"/>
              </a:endParaRPr>
            </a:p>
          </xdr:txBody>
        </xdr:sp>
        <xdr:sp macro="" textlink="Pivottables!S5">
          <xdr:nvSpPr>
            <xdr:cNvPr id="129" name="TextBox 128"/>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99B5FE3-9982-4FB3-9B42-0596A732A3A4}" type="TxLink">
                <a:rPr lang="en-US" sz="1100">
                  <a:solidFill>
                    <a:schemeClr val="tx1">
                      <a:lumMod val="65000"/>
                      <a:lumOff val="35000"/>
                    </a:schemeClr>
                  </a:solidFill>
                  <a:latin typeface="Arial" pitchFamily="34" charset="0"/>
                  <a:cs typeface="Arial" pitchFamily="34" charset="0"/>
                </a:rPr>
                <a:pPr algn="l"/>
                <a:t>-7514.05</a:t>
              </a:fld>
              <a:endParaRPr lang="en-US" sz="1100">
                <a:solidFill>
                  <a:schemeClr val="tx1">
                    <a:lumMod val="65000"/>
                    <a:lumOff val="35000"/>
                  </a:schemeClr>
                </a:solidFill>
                <a:latin typeface="Arial" pitchFamily="34" charset="0"/>
                <a:cs typeface="Arial" pitchFamily="34" charset="0"/>
              </a:endParaRPr>
            </a:p>
          </xdr:txBody>
        </xdr:sp>
      </xdr:grpSp>
    </xdr:grpSp>
    <xdr:clientData/>
  </xdr:twoCellAnchor>
  <xdr:twoCellAnchor>
    <xdr:from>
      <xdr:col>14</xdr:col>
      <xdr:colOff>333375</xdr:colOff>
      <xdr:row>15</xdr:row>
      <xdr:rowOff>47625</xdr:rowOff>
    </xdr:from>
    <xdr:to>
      <xdr:col>16</xdr:col>
      <xdr:colOff>85725</xdr:colOff>
      <xdr:row>15</xdr:row>
      <xdr:rowOff>47625</xdr:rowOff>
    </xdr:to>
    <xdr:cxnSp macro="">
      <xdr:nvCxnSpPr>
        <xdr:cNvPr id="138" name="Straight Connector 137"/>
        <xdr:cNvCxnSpPr/>
      </xdr:nvCxnSpPr>
      <xdr:spPr>
        <a:xfrm>
          <a:off x="8867775" y="2905125"/>
          <a:ext cx="9715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121030</xdr:colOff>
      <xdr:row>11</xdr:row>
      <xdr:rowOff>126206</xdr:rowOff>
    </xdr:from>
    <xdr:to>
      <xdr:col>4</xdr:col>
      <xdr:colOff>485775</xdr:colOff>
      <xdr:row>37</xdr:row>
      <xdr:rowOff>142875</xdr:rowOff>
    </xdr:to>
    <xdr:sp macro="" textlink="Pivottables!I4">
      <xdr:nvSpPr>
        <xdr:cNvPr id="139" name="Rounded Rectangle 138"/>
        <xdr:cNvSpPr/>
      </xdr:nvSpPr>
      <xdr:spPr>
        <a:xfrm>
          <a:off x="121030" y="2221706"/>
          <a:ext cx="2803145" cy="4969669"/>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16</xdr:col>
      <xdr:colOff>561975</xdr:colOff>
      <xdr:row>12</xdr:row>
      <xdr:rowOff>104775</xdr:rowOff>
    </xdr:from>
    <xdr:to>
      <xdr:col>17</xdr:col>
      <xdr:colOff>43815</xdr:colOff>
      <xdr:row>13</xdr:row>
      <xdr:rowOff>5715</xdr:rowOff>
    </xdr:to>
    <xdr:sp macro="" textlink="">
      <xdr:nvSpPr>
        <xdr:cNvPr id="140" name="5-Point Star 139"/>
        <xdr:cNvSpPr/>
      </xdr:nvSpPr>
      <xdr:spPr>
        <a:xfrm>
          <a:off x="10315575" y="2390775"/>
          <a:ext cx="91440" cy="91440"/>
        </a:xfrm>
        <a:prstGeom prst="star5">
          <a:avLst/>
        </a:prstGeom>
        <a:solidFill>
          <a:srgbClr val="FEE04E"/>
        </a:solidFill>
        <a:ln>
          <a:solidFill>
            <a:srgbClr val="FEE04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a:t>
          </a:r>
        </a:p>
      </xdr:txBody>
    </xdr:sp>
    <xdr:clientData/>
  </xdr:twoCellAnchor>
  <xdr:twoCellAnchor>
    <xdr:from>
      <xdr:col>0</xdr:col>
      <xdr:colOff>228599</xdr:colOff>
      <xdr:row>12</xdr:row>
      <xdr:rowOff>42862</xdr:rowOff>
    </xdr:from>
    <xdr:to>
      <xdr:col>3</xdr:col>
      <xdr:colOff>142874</xdr:colOff>
      <xdr:row>15</xdr:row>
      <xdr:rowOff>71437</xdr:rowOff>
    </xdr:to>
    <xdr:sp macro="" textlink="">
      <xdr:nvSpPr>
        <xdr:cNvPr id="141" name="TextBox 140"/>
        <xdr:cNvSpPr txBox="1"/>
      </xdr:nvSpPr>
      <xdr:spPr>
        <a:xfrm>
          <a:off x="228599" y="232886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Top 6</a:t>
          </a:r>
        </a:p>
        <a:p>
          <a:pPr algn="l"/>
          <a:r>
            <a:rPr lang="en-US" sz="1100">
              <a:solidFill>
                <a:schemeClr val="tx1">
                  <a:lumMod val="75000"/>
                  <a:lumOff val="25000"/>
                </a:schemeClr>
              </a:solidFill>
              <a:latin typeface="Abadi"/>
            </a:rPr>
            <a:t>Most Profitable </a:t>
          </a:r>
        </a:p>
        <a:p>
          <a:pPr algn="l"/>
          <a:r>
            <a:rPr lang="en-US" sz="900">
              <a:solidFill>
                <a:schemeClr val="tx1">
                  <a:lumMod val="50000"/>
                  <a:lumOff val="50000"/>
                </a:schemeClr>
              </a:solidFill>
              <a:latin typeface="Abadi"/>
              <a:ea typeface="+mn-ea"/>
              <a:cs typeface="+mn-cs"/>
            </a:rPr>
            <a:t>Companies</a:t>
          </a:r>
          <a:endParaRPr lang="en-US" sz="900">
            <a:solidFill>
              <a:schemeClr val="tx1">
                <a:lumMod val="50000"/>
                <a:lumOff val="50000"/>
              </a:schemeClr>
            </a:solidFill>
            <a:latin typeface="Abadi"/>
          </a:endParaRPr>
        </a:p>
      </xdr:txBody>
    </xdr:sp>
    <xdr:clientData/>
  </xdr:twoCellAnchor>
  <xdr:twoCellAnchor>
    <xdr:from>
      <xdr:col>0</xdr:col>
      <xdr:colOff>314325</xdr:colOff>
      <xdr:row>15</xdr:row>
      <xdr:rowOff>57150</xdr:rowOff>
    </xdr:from>
    <xdr:to>
      <xdr:col>2</xdr:col>
      <xdr:colOff>219075</xdr:colOff>
      <xdr:row>15</xdr:row>
      <xdr:rowOff>57150</xdr:rowOff>
    </xdr:to>
    <xdr:cxnSp macro="">
      <xdr:nvCxnSpPr>
        <xdr:cNvPr id="142" name="Straight Connector 141"/>
        <xdr:cNvCxnSpPr/>
      </xdr:nvCxnSpPr>
      <xdr:spPr>
        <a:xfrm>
          <a:off x="314325" y="2914650"/>
          <a:ext cx="11239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581025</xdr:colOff>
      <xdr:row>16</xdr:row>
      <xdr:rowOff>28575</xdr:rowOff>
    </xdr:from>
    <xdr:to>
      <xdr:col>3</xdr:col>
      <xdr:colOff>581025</xdr:colOff>
      <xdr:row>25</xdr:row>
      <xdr:rowOff>142875</xdr:rowOff>
    </xdr:to>
    <xdr:graphicFrame macro="">
      <xdr:nvGraphicFramePr>
        <xdr:cNvPr id="144" name="Chart 1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371475</xdr:colOff>
      <xdr:row>18</xdr:row>
      <xdr:rowOff>123826</xdr:rowOff>
    </xdr:from>
    <xdr:to>
      <xdr:col>3</xdr:col>
      <xdr:colOff>190500</xdr:colOff>
      <xdr:row>23</xdr:row>
      <xdr:rowOff>38100</xdr:rowOff>
    </xdr:to>
    <xdr:grpSp>
      <xdr:nvGrpSpPr>
        <xdr:cNvPr id="146" name="Group 145"/>
        <xdr:cNvGrpSpPr/>
      </xdr:nvGrpSpPr>
      <xdr:grpSpPr>
        <a:xfrm>
          <a:off x="983796" y="3552826"/>
          <a:ext cx="1043668" cy="866774"/>
          <a:chOff x="1019175" y="3486151"/>
          <a:chExt cx="1038225" cy="866774"/>
        </a:xfrm>
      </xdr:grpSpPr>
      <xdr:sp macro="" textlink="">
        <xdr:nvSpPr>
          <xdr:cNvPr id="83" name="TextBox 82"/>
          <xdr:cNvSpPr txBox="1"/>
        </xdr:nvSpPr>
        <xdr:spPr>
          <a:xfrm>
            <a:off x="1019175" y="3486151"/>
            <a:ext cx="10382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ea typeface="+mn-ea"/>
                <a:cs typeface="+mn-cs"/>
              </a:rPr>
              <a:t>Total</a:t>
            </a:r>
            <a:r>
              <a:rPr lang="en-US" sz="1100">
                <a:latin typeface="Abadi"/>
              </a:rPr>
              <a:t> </a:t>
            </a:r>
            <a:r>
              <a:rPr lang="en-US" sz="1200">
                <a:solidFill>
                  <a:srgbClr val="FF0066"/>
                </a:solidFill>
                <a:latin typeface="Abadi"/>
                <a:ea typeface="+mn-ea"/>
                <a:cs typeface="+mn-cs"/>
              </a:rPr>
              <a:t>Profit</a:t>
            </a:r>
          </a:p>
        </xdr:txBody>
      </xdr:sp>
      <xdr:sp macro="" textlink="Pivottables!V10">
        <xdr:nvSpPr>
          <xdr:cNvPr id="101" name="TextBox 100"/>
          <xdr:cNvSpPr txBox="1"/>
        </xdr:nvSpPr>
        <xdr:spPr>
          <a:xfrm>
            <a:off x="1057275" y="4114800"/>
            <a:ext cx="9715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E44535-9628-4C1D-8B22-553F36FCA5DC}" type="TxLink">
              <a:rPr lang="en-US" sz="1400">
                <a:solidFill>
                  <a:srgbClr val="A13F9E"/>
                </a:solidFill>
                <a:latin typeface="Arial" pitchFamily="34" charset="0"/>
                <a:cs typeface="Arial" pitchFamily="34" charset="0"/>
              </a:rPr>
              <a:pPr algn="ctr"/>
              <a:t>189197.55</a:t>
            </a:fld>
            <a:endParaRPr lang="en-US" sz="1400">
              <a:solidFill>
                <a:srgbClr val="A13F9E"/>
              </a:solidFill>
              <a:latin typeface="Arial" pitchFamily="34" charset="0"/>
              <a:cs typeface="Arial" pitchFamily="34" charset="0"/>
            </a:endParaRPr>
          </a:p>
        </xdr:txBody>
      </xdr:sp>
      <xdr:pic>
        <xdr:nvPicPr>
          <xdr:cNvPr id="145" name="Picture 1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6966" y="3776664"/>
            <a:ext cx="393390" cy="274320"/>
          </a:xfrm>
          <a:prstGeom prst="rect">
            <a:avLst/>
          </a:prstGeom>
        </xdr:spPr>
      </xdr:pic>
    </xdr:grpSp>
    <xdr:clientData/>
  </xdr:twoCellAnchor>
  <xdr:twoCellAnchor>
    <xdr:from>
      <xdr:col>0</xdr:col>
      <xdr:colOff>485774</xdr:colOff>
      <xdr:row>26</xdr:row>
      <xdr:rowOff>38100</xdr:rowOff>
    </xdr:from>
    <xdr:to>
      <xdr:col>2</xdr:col>
      <xdr:colOff>228599</xdr:colOff>
      <xdr:row>28</xdr:row>
      <xdr:rowOff>180975</xdr:rowOff>
    </xdr:to>
    <xdr:grpSp>
      <xdr:nvGrpSpPr>
        <xdr:cNvPr id="153" name="Group 152"/>
        <xdr:cNvGrpSpPr/>
      </xdr:nvGrpSpPr>
      <xdr:grpSpPr>
        <a:xfrm>
          <a:off x="485774" y="4991100"/>
          <a:ext cx="967468" cy="523875"/>
          <a:chOff x="342899" y="4991100"/>
          <a:chExt cx="962025" cy="523875"/>
        </a:xfrm>
      </xdr:grpSpPr>
      <xdr:sp macro="" textlink="Pivottables!U4">
        <xdr:nvSpPr>
          <xdr:cNvPr id="147" name="TextBox 146"/>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E9CF2A-E078-4A4C-B356-CB315243DB7F}" type="TxLink">
              <a:rPr lang="en-US" sz="1100">
                <a:solidFill>
                  <a:schemeClr val="tx1">
                    <a:lumMod val="50000"/>
                    <a:lumOff val="50000"/>
                  </a:schemeClr>
                </a:solidFill>
                <a:latin typeface="Arial" pitchFamily="34" charset="0"/>
                <a:cs typeface="Arial" pitchFamily="34" charset="0"/>
              </a:rPr>
              <a:pPr/>
              <a:t>ITC</a:t>
            </a:fld>
            <a:endParaRPr lang="en-US" sz="1100">
              <a:solidFill>
                <a:schemeClr val="tx1">
                  <a:lumMod val="50000"/>
                  <a:lumOff val="50000"/>
                </a:schemeClr>
              </a:solidFill>
              <a:latin typeface="Arial" pitchFamily="34" charset="0"/>
              <a:cs typeface="Arial" pitchFamily="34" charset="0"/>
            </a:endParaRPr>
          </a:p>
        </xdr:txBody>
      </xdr:sp>
      <xdr:sp macro="" textlink="Pivottables!V4">
        <xdr:nvSpPr>
          <xdr:cNvPr id="148" name="TextBox 147"/>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7D3DD8-E213-421F-A7E5-DFE8E3CBC50E}" type="TxLink">
              <a:rPr lang="en-US" sz="1200">
                <a:latin typeface="Arial" pitchFamily="34" charset="0"/>
                <a:cs typeface="Arial" pitchFamily="34" charset="0"/>
              </a:rPr>
              <a:pPr/>
              <a:t>71694.13</a:t>
            </a:fld>
            <a:endParaRPr lang="en-US" sz="1200">
              <a:latin typeface="Arial" pitchFamily="34" charset="0"/>
              <a:cs typeface="Arial" pitchFamily="34" charset="0"/>
            </a:endParaRPr>
          </a:p>
        </xdr:txBody>
      </xdr:sp>
    </xdr:grpSp>
    <xdr:clientData/>
  </xdr:twoCellAnchor>
  <xdr:twoCellAnchor>
    <xdr:from>
      <xdr:col>0</xdr:col>
      <xdr:colOff>481011</xdr:colOff>
      <xdr:row>29</xdr:row>
      <xdr:rowOff>185738</xdr:rowOff>
    </xdr:from>
    <xdr:to>
      <xdr:col>2</xdr:col>
      <xdr:colOff>223836</xdr:colOff>
      <xdr:row>32</xdr:row>
      <xdr:rowOff>138113</xdr:rowOff>
    </xdr:to>
    <xdr:grpSp>
      <xdr:nvGrpSpPr>
        <xdr:cNvPr id="154" name="Group 153"/>
        <xdr:cNvGrpSpPr/>
      </xdr:nvGrpSpPr>
      <xdr:grpSpPr>
        <a:xfrm>
          <a:off x="481011" y="5710238"/>
          <a:ext cx="967468" cy="523875"/>
          <a:chOff x="342899" y="4991100"/>
          <a:chExt cx="962025" cy="523875"/>
        </a:xfrm>
      </xdr:grpSpPr>
      <xdr:sp macro="" textlink="Pivottables!U5">
        <xdr:nvSpPr>
          <xdr:cNvPr id="155" name="TextBox 154"/>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D5D0FC-5F27-4654-A18A-1D59B1C653D0}" type="TxLink">
              <a:rPr lang="en-US" sz="1100">
                <a:solidFill>
                  <a:schemeClr val="tx1">
                    <a:lumMod val="50000"/>
                    <a:lumOff val="50000"/>
                  </a:schemeClr>
                </a:solidFill>
                <a:latin typeface="Arial" pitchFamily="34" charset="0"/>
                <a:cs typeface="Arial" pitchFamily="34" charset="0"/>
              </a:rPr>
              <a:pPr/>
              <a:t>M&amp;M</a:t>
            </a:fld>
            <a:endParaRPr lang="en-US" sz="1100">
              <a:solidFill>
                <a:schemeClr val="tx1">
                  <a:lumMod val="50000"/>
                  <a:lumOff val="50000"/>
                </a:schemeClr>
              </a:solidFill>
              <a:latin typeface="Arial" pitchFamily="34" charset="0"/>
              <a:cs typeface="Arial" pitchFamily="34" charset="0"/>
            </a:endParaRPr>
          </a:p>
        </xdr:txBody>
      </xdr:sp>
      <xdr:sp macro="" textlink="Pivottables!V5">
        <xdr:nvSpPr>
          <xdr:cNvPr id="156" name="TextBox 155"/>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55F186-4604-4D62-B8EE-7E60F9A5ED15}" type="TxLink">
              <a:rPr lang="en-US" sz="1200">
                <a:latin typeface="Arial" pitchFamily="34" charset="0"/>
                <a:cs typeface="Arial" pitchFamily="34" charset="0"/>
              </a:rPr>
              <a:pPr/>
              <a:t>37583.97</a:t>
            </a:fld>
            <a:endParaRPr lang="en-US" sz="1200">
              <a:latin typeface="Arial" pitchFamily="34" charset="0"/>
              <a:cs typeface="Arial" pitchFamily="34" charset="0"/>
            </a:endParaRPr>
          </a:p>
        </xdr:txBody>
      </xdr:sp>
    </xdr:grpSp>
    <xdr:clientData/>
  </xdr:twoCellAnchor>
  <xdr:twoCellAnchor>
    <xdr:from>
      <xdr:col>0</xdr:col>
      <xdr:colOff>476249</xdr:colOff>
      <xdr:row>33</xdr:row>
      <xdr:rowOff>142875</xdr:rowOff>
    </xdr:from>
    <xdr:to>
      <xdr:col>2</xdr:col>
      <xdr:colOff>219074</xdr:colOff>
      <xdr:row>36</xdr:row>
      <xdr:rowOff>95250</xdr:rowOff>
    </xdr:to>
    <xdr:grpSp>
      <xdr:nvGrpSpPr>
        <xdr:cNvPr id="157" name="Group 156"/>
        <xdr:cNvGrpSpPr/>
      </xdr:nvGrpSpPr>
      <xdr:grpSpPr>
        <a:xfrm>
          <a:off x="476249" y="6429375"/>
          <a:ext cx="967468" cy="523875"/>
          <a:chOff x="342899" y="4991100"/>
          <a:chExt cx="962025" cy="523875"/>
        </a:xfrm>
      </xdr:grpSpPr>
      <xdr:sp macro="" textlink="Pivottables!U6">
        <xdr:nvSpPr>
          <xdr:cNvPr id="158" name="TextBox 157"/>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C7430F-8AA3-4768-8329-FF427658560C}" type="TxLink">
              <a:rPr lang="en-US" sz="1100">
                <a:solidFill>
                  <a:schemeClr val="tx1">
                    <a:lumMod val="50000"/>
                    <a:lumOff val="50000"/>
                  </a:schemeClr>
                </a:solidFill>
                <a:latin typeface="Arial" pitchFamily="34" charset="0"/>
                <a:cs typeface="Arial" pitchFamily="34" charset="0"/>
              </a:rPr>
              <a:pPr/>
              <a:t>Suppetro</a:t>
            </a:fld>
            <a:endParaRPr lang="en-US" sz="1100">
              <a:solidFill>
                <a:schemeClr val="tx1">
                  <a:lumMod val="50000"/>
                  <a:lumOff val="50000"/>
                </a:schemeClr>
              </a:solidFill>
              <a:latin typeface="Arial" pitchFamily="34" charset="0"/>
              <a:cs typeface="Arial" pitchFamily="34" charset="0"/>
            </a:endParaRPr>
          </a:p>
        </xdr:txBody>
      </xdr:sp>
      <xdr:sp macro="" textlink="Pivottables!V6">
        <xdr:nvSpPr>
          <xdr:cNvPr id="159" name="TextBox 158"/>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D9D848-BF2E-4581-9AC4-4D75930831A7}" type="TxLink">
              <a:rPr lang="en-US" sz="1200">
                <a:latin typeface="Arial" pitchFamily="34" charset="0"/>
                <a:cs typeface="Arial" pitchFamily="34" charset="0"/>
              </a:rPr>
              <a:pPr/>
              <a:t>26938.20</a:t>
            </a:fld>
            <a:endParaRPr lang="en-US" sz="1200">
              <a:latin typeface="Arial" pitchFamily="34" charset="0"/>
              <a:cs typeface="Arial" pitchFamily="34" charset="0"/>
            </a:endParaRPr>
          </a:p>
        </xdr:txBody>
      </xdr:sp>
    </xdr:grpSp>
    <xdr:clientData/>
  </xdr:twoCellAnchor>
  <xdr:twoCellAnchor>
    <xdr:from>
      <xdr:col>2</xdr:col>
      <xdr:colOff>600074</xdr:colOff>
      <xdr:row>26</xdr:row>
      <xdr:rowOff>38100</xdr:rowOff>
    </xdr:from>
    <xdr:to>
      <xdr:col>4</xdr:col>
      <xdr:colOff>342899</xdr:colOff>
      <xdr:row>28</xdr:row>
      <xdr:rowOff>180975</xdr:rowOff>
    </xdr:to>
    <xdr:grpSp>
      <xdr:nvGrpSpPr>
        <xdr:cNvPr id="160" name="Group 159"/>
        <xdr:cNvGrpSpPr/>
      </xdr:nvGrpSpPr>
      <xdr:grpSpPr>
        <a:xfrm>
          <a:off x="1824717" y="4991100"/>
          <a:ext cx="967468" cy="523875"/>
          <a:chOff x="342899" y="4991100"/>
          <a:chExt cx="962025" cy="523875"/>
        </a:xfrm>
      </xdr:grpSpPr>
      <xdr:sp macro="" textlink="Pivottables!U7">
        <xdr:nvSpPr>
          <xdr:cNvPr id="161" name="TextBox 160"/>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82C18D-9BD6-4692-B7BE-5B0615AC99C8}" type="TxLink">
              <a:rPr lang="en-US" sz="1100">
                <a:solidFill>
                  <a:schemeClr val="tx1">
                    <a:lumMod val="50000"/>
                    <a:lumOff val="50000"/>
                  </a:schemeClr>
                </a:solidFill>
                <a:latin typeface="Arial" pitchFamily="34" charset="0"/>
                <a:cs typeface="Arial" pitchFamily="34" charset="0"/>
              </a:rPr>
              <a:pPr/>
              <a:t>Spice jet</a:t>
            </a:fld>
            <a:endParaRPr lang="en-US" sz="1100">
              <a:solidFill>
                <a:schemeClr val="tx1">
                  <a:lumMod val="50000"/>
                  <a:lumOff val="50000"/>
                </a:schemeClr>
              </a:solidFill>
              <a:latin typeface="Arial" pitchFamily="34" charset="0"/>
              <a:cs typeface="Arial" pitchFamily="34" charset="0"/>
            </a:endParaRPr>
          </a:p>
        </xdr:txBody>
      </xdr:sp>
      <xdr:sp macro="" textlink="Pivottables!V7">
        <xdr:nvSpPr>
          <xdr:cNvPr id="162" name="TextBox 161"/>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6D1C05-0EB8-4036-B2F5-AC52F3E7B85C}" type="TxLink">
              <a:rPr lang="en-US" sz="1200">
                <a:latin typeface="Arial" pitchFamily="34" charset="0"/>
                <a:cs typeface="Arial" pitchFamily="34" charset="0"/>
              </a:rPr>
              <a:pPr/>
              <a:t>21001.35</a:t>
            </a:fld>
            <a:endParaRPr lang="en-US" sz="1200">
              <a:latin typeface="Arial" pitchFamily="34" charset="0"/>
              <a:cs typeface="Arial" pitchFamily="34" charset="0"/>
            </a:endParaRPr>
          </a:p>
        </xdr:txBody>
      </xdr:sp>
    </xdr:grpSp>
    <xdr:clientData/>
  </xdr:twoCellAnchor>
  <xdr:twoCellAnchor>
    <xdr:from>
      <xdr:col>2</xdr:col>
      <xdr:colOff>595311</xdr:colOff>
      <xdr:row>29</xdr:row>
      <xdr:rowOff>185738</xdr:rowOff>
    </xdr:from>
    <xdr:to>
      <xdr:col>4</xdr:col>
      <xdr:colOff>338136</xdr:colOff>
      <xdr:row>32</xdr:row>
      <xdr:rowOff>138113</xdr:rowOff>
    </xdr:to>
    <xdr:grpSp>
      <xdr:nvGrpSpPr>
        <xdr:cNvPr id="163" name="Group 162"/>
        <xdr:cNvGrpSpPr/>
      </xdr:nvGrpSpPr>
      <xdr:grpSpPr>
        <a:xfrm>
          <a:off x="1819954" y="5710238"/>
          <a:ext cx="967468" cy="523875"/>
          <a:chOff x="342899" y="4991100"/>
          <a:chExt cx="962025" cy="523875"/>
        </a:xfrm>
      </xdr:grpSpPr>
      <xdr:sp macro="" textlink="Pivottables!U8">
        <xdr:nvSpPr>
          <xdr:cNvPr id="164" name="TextBox 163"/>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A17E1C-9C06-40C6-B36E-A334D2C1304F}" type="TxLink">
              <a:rPr lang="en-US" sz="1100">
                <a:solidFill>
                  <a:schemeClr val="tx1">
                    <a:lumMod val="50000"/>
                    <a:lumOff val="50000"/>
                  </a:schemeClr>
                </a:solidFill>
                <a:latin typeface="Arial" pitchFamily="34" charset="0"/>
                <a:cs typeface="Arial" pitchFamily="34" charset="0"/>
              </a:rPr>
              <a:pPr/>
              <a:t>SIS</a:t>
            </a:fld>
            <a:endParaRPr lang="en-US" sz="1100">
              <a:solidFill>
                <a:schemeClr val="tx1">
                  <a:lumMod val="50000"/>
                  <a:lumOff val="50000"/>
                </a:schemeClr>
              </a:solidFill>
              <a:latin typeface="Arial" pitchFamily="34" charset="0"/>
              <a:cs typeface="Arial" pitchFamily="34" charset="0"/>
            </a:endParaRPr>
          </a:p>
        </xdr:txBody>
      </xdr:sp>
      <xdr:sp macro="" textlink="Pivottables!V8">
        <xdr:nvSpPr>
          <xdr:cNvPr id="165" name="TextBox 164"/>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ED5148-364C-4336-BA6C-52753CB2A16F}" type="TxLink">
              <a:rPr lang="en-US" sz="1200">
                <a:latin typeface="Arial" pitchFamily="34" charset="0"/>
                <a:cs typeface="Arial" pitchFamily="34" charset="0"/>
              </a:rPr>
              <a:pPr/>
              <a:t>16665.90</a:t>
            </a:fld>
            <a:endParaRPr lang="en-US" sz="1200">
              <a:latin typeface="Arial" pitchFamily="34" charset="0"/>
              <a:cs typeface="Arial" pitchFamily="34" charset="0"/>
            </a:endParaRPr>
          </a:p>
        </xdr:txBody>
      </xdr:sp>
    </xdr:grpSp>
    <xdr:clientData/>
  </xdr:twoCellAnchor>
  <xdr:twoCellAnchor>
    <xdr:from>
      <xdr:col>2</xdr:col>
      <xdr:colOff>590549</xdr:colOff>
      <xdr:row>33</xdr:row>
      <xdr:rowOff>142875</xdr:rowOff>
    </xdr:from>
    <xdr:to>
      <xdr:col>4</xdr:col>
      <xdr:colOff>333374</xdr:colOff>
      <xdr:row>36</xdr:row>
      <xdr:rowOff>95250</xdr:rowOff>
    </xdr:to>
    <xdr:grpSp>
      <xdr:nvGrpSpPr>
        <xdr:cNvPr id="166" name="Group 165"/>
        <xdr:cNvGrpSpPr/>
      </xdr:nvGrpSpPr>
      <xdr:grpSpPr>
        <a:xfrm>
          <a:off x="1815192" y="6429375"/>
          <a:ext cx="967468" cy="523875"/>
          <a:chOff x="342899" y="4991100"/>
          <a:chExt cx="962025" cy="523875"/>
        </a:xfrm>
      </xdr:grpSpPr>
      <xdr:sp macro="" textlink="Pivottables!U9">
        <xdr:nvSpPr>
          <xdr:cNvPr id="167" name="TextBox 166"/>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77566C-51C9-420B-AD1C-DF59D682BA71}" type="TxLink">
              <a:rPr lang="en-US" sz="1100">
                <a:solidFill>
                  <a:schemeClr val="tx1">
                    <a:lumMod val="50000"/>
                    <a:lumOff val="50000"/>
                  </a:schemeClr>
                </a:solidFill>
                <a:latin typeface="Arial" pitchFamily="34" charset="0"/>
                <a:cs typeface="Arial" pitchFamily="34" charset="0"/>
              </a:rPr>
              <a:pPr/>
              <a:t>Navin fluoro</a:t>
            </a:fld>
            <a:endParaRPr lang="en-US" sz="1100">
              <a:solidFill>
                <a:schemeClr val="tx1">
                  <a:lumMod val="50000"/>
                  <a:lumOff val="50000"/>
                </a:schemeClr>
              </a:solidFill>
              <a:latin typeface="Arial" pitchFamily="34" charset="0"/>
              <a:cs typeface="Arial" pitchFamily="34" charset="0"/>
            </a:endParaRPr>
          </a:p>
        </xdr:txBody>
      </xdr:sp>
      <xdr:sp macro="" textlink="Pivottables!V9">
        <xdr:nvSpPr>
          <xdr:cNvPr id="168" name="TextBox 167"/>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8FAB25-CABE-46CC-B3EE-A825E489E867}" type="TxLink">
              <a:rPr lang="en-US" sz="1200">
                <a:latin typeface="Arial" pitchFamily="34" charset="0"/>
                <a:cs typeface="Arial" pitchFamily="34" charset="0"/>
              </a:rPr>
              <a:pPr/>
              <a:t>15314.00</a:t>
            </a:fld>
            <a:endParaRPr lang="en-US" sz="1200">
              <a:latin typeface="Arial" pitchFamily="34" charset="0"/>
              <a:cs typeface="Arial" pitchFamily="34" charset="0"/>
            </a:endParaRPr>
          </a:p>
        </xdr:txBody>
      </xdr:sp>
    </xdr:grpSp>
    <xdr:clientData/>
  </xdr:twoCellAnchor>
  <xdr:twoCellAnchor editAs="oneCell">
    <xdr:from>
      <xdr:col>0</xdr:col>
      <xdr:colOff>161925</xdr:colOff>
      <xdr:row>26</xdr:row>
      <xdr:rowOff>9525</xdr:rowOff>
    </xdr:from>
    <xdr:to>
      <xdr:col>1</xdr:col>
      <xdr:colOff>38100</xdr:colOff>
      <xdr:row>28</xdr:row>
      <xdr:rowOff>114300</xdr:rowOff>
    </xdr:to>
    <xdr:pic>
      <xdr:nvPicPr>
        <xdr:cNvPr id="169" name="Picture 168"/>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61925" y="4962525"/>
          <a:ext cx="485775" cy="485775"/>
        </a:xfrm>
        <a:prstGeom prst="rect">
          <a:avLst/>
        </a:prstGeom>
      </xdr:spPr>
    </xdr:pic>
    <xdr:clientData/>
  </xdr:twoCellAnchor>
  <xdr:twoCellAnchor editAs="oneCell">
    <xdr:from>
      <xdr:col>0</xdr:col>
      <xdr:colOff>295275</xdr:colOff>
      <xdr:row>34</xdr:row>
      <xdr:rowOff>57151</xdr:rowOff>
    </xdr:from>
    <xdr:to>
      <xdr:col>0</xdr:col>
      <xdr:colOff>506360</xdr:colOff>
      <xdr:row>35</xdr:row>
      <xdr:rowOff>85725</xdr:rowOff>
    </xdr:to>
    <xdr:pic>
      <xdr:nvPicPr>
        <xdr:cNvPr id="170" name="Picture 16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95275" y="6534151"/>
          <a:ext cx="211085" cy="219074"/>
        </a:xfrm>
        <a:prstGeom prst="rect">
          <a:avLst/>
        </a:prstGeom>
      </xdr:spPr>
    </xdr:pic>
    <xdr:clientData/>
  </xdr:twoCellAnchor>
  <xdr:twoCellAnchor editAs="oneCell">
    <xdr:from>
      <xdr:col>0</xdr:col>
      <xdr:colOff>238125</xdr:colOff>
      <xdr:row>30</xdr:row>
      <xdr:rowOff>66675</xdr:rowOff>
    </xdr:from>
    <xdr:to>
      <xdr:col>0</xdr:col>
      <xdr:colOff>518632</xdr:colOff>
      <xdr:row>31</xdr:row>
      <xdr:rowOff>152400</xdr:rowOff>
    </xdr:to>
    <xdr:pic>
      <xdr:nvPicPr>
        <xdr:cNvPr id="171" name="Picture 170"/>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38125" y="5781675"/>
          <a:ext cx="280507" cy="276225"/>
        </a:xfrm>
        <a:prstGeom prst="rect">
          <a:avLst/>
        </a:prstGeom>
      </xdr:spPr>
    </xdr:pic>
    <xdr:clientData/>
  </xdr:twoCellAnchor>
  <xdr:twoCellAnchor>
    <xdr:from>
      <xdr:col>23</xdr:col>
      <xdr:colOff>330580</xdr:colOff>
      <xdr:row>34</xdr:row>
      <xdr:rowOff>2381</xdr:rowOff>
    </xdr:from>
    <xdr:to>
      <xdr:col>27</xdr:col>
      <xdr:colOff>123825</xdr:colOff>
      <xdr:row>37</xdr:row>
      <xdr:rowOff>142875</xdr:rowOff>
    </xdr:to>
    <xdr:sp macro="" textlink="Pivottables!I4">
      <xdr:nvSpPr>
        <xdr:cNvPr id="172" name="Rounded Rectangle 171"/>
        <xdr:cNvSpPr/>
      </xdr:nvSpPr>
      <xdr:spPr>
        <a:xfrm>
          <a:off x="14351380" y="6479381"/>
          <a:ext cx="2231645" cy="71199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23</xdr:col>
      <xdr:colOff>380999</xdr:colOff>
      <xdr:row>34</xdr:row>
      <xdr:rowOff>33337</xdr:rowOff>
    </xdr:from>
    <xdr:to>
      <xdr:col>26</xdr:col>
      <xdr:colOff>552450</xdr:colOff>
      <xdr:row>37</xdr:row>
      <xdr:rowOff>61912</xdr:rowOff>
    </xdr:to>
    <xdr:sp macro="" textlink="">
      <xdr:nvSpPr>
        <xdr:cNvPr id="173" name="TextBox 172"/>
        <xdr:cNvSpPr txBox="1"/>
      </xdr:nvSpPr>
      <xdr:spPr>
        <a:xfrm>
          <a:off x="14401799" y="651033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solidFill>
                <a:srgbClr val="FF0066"/>
              </a:solidFill>
              <a:latin typeface="Abadi"/>
            </a:rPr>
            <a:t>Duration</a:t>
          </a:r>
          <a:endParaRPr lang="en-US" sz="1000">
            <a:solidFill>
              <a:srgbClr val="FF0066"/>
            </a:solidFill>
            <a:latin typeface="Abadi"/>
          </a:endParaRPr>
        </a:p>
      </xdr:txBody>
    </xdr:sp>
    <xdr:clientData/>
  </xdr:twoCellAnchor>
  <xdr:twoCellAnchor>
    <xdr:from>
      <xdr:col>23</xdr:col>
      <xdr:colOff>133349</xdr:colOff>
      <xdr:row>36</xdr:row>
      <xdr:rowOff>52388</xdr:rowOff>
    </xdr:from>
    <xdr:to>
      <xdr:col>25</xdr:col>
      <xdr:colOff>266700</xdr:colOff>
      <xdr:row>37</xdr:row>
      <xdr:rowOff>114301</xdr:rowOff>
    </xdr:to>
    <xdr:sp macro="" textlink="Database!O3">
      <xdr:nvSpPr>
        <xdr:cNvPr id="175" name="TextBox 174"/>
        <xdr:cNvSpPr txBox="1"/>
      </xdr:nvSpPr>
      <xdr:spPr>
        <a:xfrm>
          <a:off x="14154149" y="6910388"/>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B149E4-6638-4DDB-A6B4-6BA38DA425BA}" type="TxLink">
            <a:rPr lang="en-US" sz="2000">
              <a:solidFill>
                <a:srgbClr val="4958CE"/>
              </a:solidFill>
              <a:latin typeface="Arial" pitchFamily="34" charset="0"/>
              <a:cs typeface="Arial" pitchFamily="34" charset="0"/>
            </a:rPr>
            <a:pPr algn="ctr"/>
            <a:t>10</a:t>
          </a:fld>
          <a:endParaRPr lang="en-US" sz="2000">
            <a:solidFill>
              <a:srgbClr val="4958CE"/>
            </a:solidFill>
            <a:latin typeface="Arial" pitchFamily="34" charset="0"/>
            <a:cs typeface="Arial" pitchFamily="34" charset="0"/>
          </a:endParaRPr>
        </a:p>
      </xdr:txBody>
    </xdr:sp>
    <xdr:clientData/>
  </xdr:twoCellAnchor>
  <xdr:twoCellAnchor>
    <xdr:from>
      <xdr:col>23</xdr:col>
      <xdr:colOff>476250</xdr:colOff>
      <xdr:row>35</xdr:row>
      <xdr:rowOff>123825</xdr:rowOff>
    </xdr:from>
    <xdr:to>
      <xdr:col>25</xdr:col>
      <xdr:colOff>19050</xdr:colOff>
      <xdr:row>35</xdr:row>
      <xdr:rowOff>123825</xdr:rowOff>
    </xdr:to>
    <xdr:cxnSp macro="">
      <xdr:nvCxnSpPr>
        <xdr:cNvPr id="177" name="Straight Connector 176"/>
        <xdr:cNvCxnSpPr/>
      </xdr:nvCxnSpPr>
      <xdr:spPr>
        <a:xfrm>
          <a:off x="14497050" y="6791325"/>
          <a:ext cx="76200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25</xdr:col>
      <xdr:colOff>314325</xdr:colOff>
      <xdr:row>34</xdr:row>
      <xdr:rowOff>75659</xdr:rowOff>
    </xdr:from>
    <xdr:to>
      <xdr:col>26</xdr:col>
      <xdr:colOff>571242</xdr:colOff>
      <xdr:row>37</xdr:row>
      <xdr:rowOff>76201</xdr:rowOff>
    </xdr:to>
    <xdr:pic>
      <xdr:nvPicPr>
        <xdr:cNvPr id="60" name="Picture 59"/>
        <xdr:cNvPicPr>
          <a:picLocks noChangeAspect="1"/>
        </xdr:cNvPicPr>
      </xdr:nvPicPr>
      <xdr:blipFill>
        <a:blip xmlns:r="http://schemas.openxmlformats.org/officeDocument/2006/relationships" r:embed="rId17"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15554325" y="6552659"/>
          <a:ext cx="866517" cy="572042"/>
        </a:xfrm>
        <a:prstGeom prst="rect">
          <a:avLst/>
        </a:prstGeom>
      </xdr:spPr>
    </xdr:pic>
    <xdr:clientData/>
  </xdr:twoCellAnchor>
  <xdr:twoCellAnchor>
    <xdr:from>
      <xdr:col>5</xdr:col>
      <xdr:colOff>9525</xdr:colOff>
      <xdr:row>11</xdr:row>
      <xdr:rowOff>145256</xdr:rowOff>
    </xdr:from>
    <xdr:to>
      <xdr:col>14</xdr:col>
      <xdr:colOff>6730</xdr:colOff>
      <xdr:row>22</xdr:row>
      <xdr:rowOff>61436</xdr:rowOff>
    </xdr:to>
    <xdr:sp macro="" textlink="Pivottables!I4">
      <xdr:nvSpPr>
        <xdr:cNvPr id="174" name="Rounded Rectangle 173"/>
        <xdr:cNvSpPr/>
      </xdr:nvSpPr>
      <xdr:spPr>
        <a:xfrm>
          <a:off x="3057525" y="2240756"/>
          <a:ext cx="5483605"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11</xdr:col>
      <xdr:colOff>276226</xdr:colOff>
      <xdr:row>12</xdr:row>
      <xdr:rowOff>4762</xdr:rowOff>
    </xdr:from>
    <xdr:to>
      <xdr:col>13</xdr:col>
      <xdr:colOff>295276</xdr:colOff>
      <xdr:row>15</xdr:row>
      <xdr:rowOff>95250</xdr:rowOff>
    </xdr:to>
    <xdr:sp macro="" textlink="">
      <xdr:nvSpPr>
        <xdr:cNvPr id="176" name="TextBox 175"/>
        <xdr:cNvSpPr txBox="1"/>
      </xdr:nvSpPr>
      <xdr:spPr>
        <a:xfrm>
          <a:off x="6981826" y="2290762"/>
          <a:ext cx="1238250" cy="661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Average</a:t>
          </a:r>
        </a:p>
        <a:p>
          <a:pPr algn="l"/>
          <a:r>
            <a:rPr lang="en-US" sz="1200">
              <a:solidFill>
                <a:schemeClr val="tx1">
                  <a:lumMod val="75000"/>
                  <a:lumOff val="25000"/>
                </a:schemeClr>
              </a:solidFill>
              <a:latin typeface="Abadi"/>
            </a:rPr>
            <a:t>No.</a:t>
          </a:r>
          <a:r>
            <a:rPr lang="en-US" sz="1200" baseline="0">
              <a:solidFill>
                <a:schemeClr val="tx1">
                  <a:lumMod val="75000"/>
                  <a:lumOff val="25000"/>
                </a:schemeClr>
              </a:solidFill>
              <a:latin typeface="Abadi"/>
            </a:rPr>
            <a:t> of Trades</a:t>
          </a:r>
          <a:endParaRPr lang="en-US" sz="1200">
            <a:solidFill>
              <a:schemeClr val="tx1">
                <a:lumMod val="75000"/>
                <a:lumOff val="25000"/>
              </a:schemeClr>
            </a:solidFill>
            <a:latin typeface="Abadi"/>
          </a:endParaRPr>
        </a:p>
        <a:p>
          <a:pPr algn="l"/>
          <a:r>
            <a:rPr lang="en-US" sz="1000">
              <a:solidFill>
                <a:schemeClr val="bg1">
                  <a:lumMod val="50000"/>
                </a:schemeClr>
              </a:solidFill>
              <a:latin typeface="Abadi"/>
              <a:ea typeface="+mn-ea"/>
              <a:cs typeface="+mn-cs"/>
            </a:rPr>
            <a:t>by</a:t>
          </a:r>
          <a:r>
            <a:rPr lang="en-US" sz="1000" baseline="0">
              <a:solidFill>
                <a:schemeClr val="bg1">
                  <a:lumMod val="50000"/>
                </a:schemeClr>
              </a:solidFill>
              <a:latin typeface="Abadi"/>
              <a:ea typeface="+mn-ea"/>
              <a:cs typeface="+mn-cs"/>
            </a:rPr>
            <a:t> Months</a:t>
          </a:r>
          <a:endParaRPr lang="en-US" sz="1000">
            <a:solidFill>
              <a:schemeClr val="bg1">
                <a:lumMod val="50000"/>
              </a:schemeClr>
            </a:solidFill>
            <a:latin typeface="Abadi"/>
          </a:endParaRPr>
        </a:p>
      </xdr:txBody>
    </xdr:sp>
    <xdr:clientData/>
  </xdr:twoCellAnchor>
  <xdr:twoCellAnchor>
    <xdr:from>
      <xdr:col>5</xdr:col>
      <xdr:colOff>47624</xdr:colOff>
      <xdr:row>12</xdr:row>
      <xdr:rowOff>161924</xdr:rowOff>
    </xdr:from>
    <xdr:to>
      <xdr:col>11</xdr:col>
      <xdr:colOff>171450</xdr:colOff>
      <xdr:row>22</xdr:row>
      <xdr:rowOff>38100</xdr:rowOff>
    </xdr:to>
    <xdr:graphicFrame macro="">
      <xdr:nvGraphicFramePr>
        <xdr:cNvPr id="178" name="Chart 1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333378</xdr:colOff>
      <xdr:row>15</xdr:row>
      <xdr:rowOff>47625</xdr:rowOff>
    </xdr:from>
    <xdr:to>
      <xdr:col>14</xdr:col>
      <xdr:colOff>9527</xdr:colOff>
      <xdr:row>18</xdr:row>
      <xdr:rowOff>28575</xdr:rowOff>
    </xdr:to>
    <xdr:sp macro="" textlink="">
      <xdr:nvSpPr>
        <xdr:cNvPr id="73" name="Round Same Side Corner Rectangle 72"/>
        <xdr:cNvSpPr/>
      </xdr:nvSpPr>
      <xdr:spPr>
        <a:xfrm rot="16200000">
          <a:off x="7515228" y="2428875"/>
          <a:ext cx="552450" cy="1504949"/>
        </a:xfrm>
        <a:prstGeom prst="round2Same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361951</xdr:colOff>
      <xdr:row>15</xdr:row>
      <xdr:rowOff>90487</xdr:rowOff>
    </xdr:from>
    <xdr:to>
      <xdr:col>12</xdr:col>
      <xdr:colOff>171450</xdr:colOff>
      <xdr:row>17</xdr:row>
      <xdr:rowOff>161925</xdr:rowOff>
    </xdr:to>
    <xdr:sp macro="" textlink="Pivottables!L48">
      <xdr:nvSpPr>
        <xdr:cNvPr id="179" name="TextBox 178"/>
        <xdr:cNvSpPr txBox="1"/>
      </xdr:nvSpPr>
      <xdr:spPr>
        <a:xfrm>
          <a:off x="7067551" y="2947987"/>
          <a:ext cx="419099"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5F3CB21-E05B-4DD3-89C1-7E19AA278561}" type="TxLink">
            <a:rPr lang="en-US" sz="1600">
              <a:solidFill>
                <a:schemeClr val="bg1"/>
              </a:solidFill>
              <a:latin typeface="Arial" pitchFamily="34" charset="0"/>
              <a:cs typeface="Arial" pitchFamily="34" charset="0"/>
            </a:rPr>
            <a:pPr algn="l"/>
            <a:t>4</a:t>
          </a:fld>
          <a:endParaRPr lang="en-US" sz="1600">
            <a:solidFill>
              <a:schemeClr val="bg1"/>
            </a:solidFill>
            <a:latin typeface="Arial" pitchFamily="34" charset="0"/>
            <a:cs typeface="Arial" pitchFamily="34" charset="0"/>
          </a:endParaRPr>
        </a:p>
      </xdr:txBody>
    </xdr:sp>
    <xdr:clientData/>
  </xdr:twoCellAnchor>
  <xdr:twoCellAnchor>
    <xdr:from>
      <xdr:col>11</xdr:col>
      <xdr:colOff>352426</xdr:colOff>
      <xdr:row>20</xdr:row>
      <xdr:rowOff>52387</xdr:rowOff>
    </xdr:from>
    <xdr:to>
      <xdr:col>12</xdr:col>
      <xdr:colOff>276225</xdr:colOff>
      <xdr:row>22</xdr:row>
      <xdr:rowOff>123825</xdr:rowOff>
    </xdr:to>
    <xdr:sp macro="" textlink="Pivottables!L49">
      <xdr:nvSpPr>
        <xdr:cNvPr id="180" name="TextBox 179"/>
        <xdr:cNvSpPr txBox="1"/>
      </xdr:nvSpPr>
      <xdr:spPr>
        <a:xfrm>
          <a:off x="7058026" y="3862387"/>
          <a:ext cx="533399"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DC86E8-F0CB-43CD-8498-46EEFEB2E344}" type="TxLink">
            <a:rPr lang="en-US" sz="1400">
              <a:solidFill>
                <a:schemeClr val="tx1">
                  <a:lumMod val="75000"/>
                  <a:lumOff val="25000"/>
                </a:schemeClr>
              </a:solidFill>
              <a:latin typeface="Arial" pitchFamily="34" charset="0"/>
              <a:cs typeface="Arial" pitchFamily="34" charset="0"/>
            </a:rPr>
            <a:pPr algn="ctr"/>
            <a:t>8</a:t>
          </a:fld>
          <a:endParaRPr lang="en-US" sz="1400">
            <a:solidFill>
              <a:schemeClr val="tx1">
                <a:lumMod val="75000"/>
                <a:lumOff val="25000"/>
              </a:schemeClr>
            </a:solidFill>
            <a:latin typeface="Arial" pitchFamily="34" charset="0"/>
            <a:cs typeface="Arial" pitchFamily="34" charset="0"/>
          </a:endParaRPr>
        </a:p>
      </xdr:txBody>
    </xdr:sp>
    <xdr:clientData/>
  </xdr:twoCellAnchor>
  <xdr:twoCellAnchor>
    <xdr:from>
      <xdr:col>12</xdr:col>
      <xdr:colOff>485776</xdr:colOff>
      <xdr:row>20</xdr:row>
      <xdr:rowOff>52387</xdr:rowOff>
    </xdr:from>
    <xdr:to>
      <xdr:col>13</xdr:col>
      <xdr:colOff>409575</xdr:colOff>
      <xdr:row>22</xdr:row>
      <xdr:rowOff>123825</xdr:rowOff>
    </xdr:to>
    <xdr:sp macro="" textlink="Pivottables!L50">
      <xdr:nvSpPr>
        <xdr:cNvPr id="181" name="TextBox 180"/>
        <xdr:cNvSpPr txBox="1"/>
      </xdr:nvSpPr>
      <xdr:spPr>
        <a:xfrm>
          <a:off x="7800976" y="3862387"/>
          <a:ext cx="533399"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F7B3BB-D65F-418A-919A-9BDB928488B4}" type="TxLink">
            <a:rPr lang="en-US" sz="1400">
              <a:solidFill>
                <a:schemeClr val="tx1">
                  <a:lumMod val="75000"/>
                  <a:lumOff val="25000"/>
                </a:schemeClr>
              </a:solidFill>
              <a:latin typeface="Arial" pitchFamily="34" charset="0"/>
              <a:cs typeface="Arial" pitchFamily="34" charset="0"/>
            </a:rPr>
            <a:pPr algn="ctr"/>
            <a:t>1</a:t>
          </a:fld>
          <a:endParaRPr lang="en-US" sz="1400">
            <a:solidFill>
              <a:schemeClr val="tx1">
                <a:lumMod val="75000"/>
                <a:lumOff val="25000"/>
              </a:schemeClr>
            </a:solidFill>
            <a:latin typeface="Arial" pitchFamily="34" charset="0"/>
            <a:cs typeface="Arial" pitchFamily="34" charset="0"/>
          </a:endParaRPr>
        </a:p>
      </xdr:txBody>
    </xdr:sp>
    <xdr:clientData/>
  </xdr:twoCellAnchor>
  <xdr:twoCellAnchor>
    <xdr:from>
      <xdr:col>12</xdr:col>
      <xdr:colOff>123826</xdr:colOff>
      <xdr:row>16</xdr:row>
      <xdr:rowOff>4762</xdr:rowOff>
    </xdr:from>
    <xdr:to>
      <xdr:col>14</xdr:col>
      <xdr:colOff>38100</xdr:colOff>
      <xdr:row>17</xdr:row>
      <xdr:rowOff>114300</xdr:rowOff>
    </xdr:to>
    <xdr:sp macro="" textlink="">
      <xdr:nvSpPr>
        <xdr:cNvPr id="183" name="TextBox 182"/>
        <xdr:cNvSpPr txBox="1"/>
      </xdr:nvSpPr>
      <xdr:spPr>
        <a:xfrm>
          <a:off x="7439026" y="3052762"/>
          <a:ext cx="1133474"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800">
              <a:solidFill>
                <a:schemeClr val="bg1">
                  <a:lumMod val="95000"/>
                </a:schemeClr>
              </a:solidFill>
              <a:latin typeface="Arial Rounded MT Bold" pitchFamily="34" charset="0"/>
              <a:cs typeface="Arial" pitchFamily="34" charset="0"/>
            </a:rPr>
            <a:t>Avg.</a:t>
          </a:r>
          <a:r>
            <a:rPr lang="en-US" sz="800" baseline="0">
              <a:solidFill>
                <a:schemeClr val="bg1">
                  <a:lumMod val="95000"/>
                </a:schemeClr>
              </a:solidFill>
              <a:latin typeface="Arial Rounded MT Bold" pitchFamily="34" charset="0"/>
              <a:cs typeface="Arial" pitchFamily="34" charset="0"/>
            </a:rPr>
            <a:t> Trades/Month</a:t>
          </a:r>
          <a:endParaRPr lang="en-US" sz="800">
            <a:solidFill>
              <a:schemeClr val="bg1">
                <a:lumMod val="95000"/>
              </a:schemeClr>
            </a:solidFill>
            <a:latin typeface="Arial Rounded MT Bold" pitchFamily="34" charset="0"/>
            <a:cs typeface="Arial" pitchFamily="34" charset="0"/>
          </a:endParaRPr>
        </a:p>
      </xdr:txBody>
    </xdr:sp>
    <xdr:clientData/>
  </xdr:twoCellAnchor>
  <xdr:twoCellAnchor>
    <xdr:from>
      <xdr:col>11</xdr:col>
      <xdr:colOff>266701</xdr:colOff>
      <xdr:row>19</xdr:row>
      <xdr:rowOff>61913</xdr:rowOff>
    </xdr:from>
    <xdr:to>
      <xdr:col>12</xdr:col>
      <xdr:colOff>419100</xdr:colOff>
      <xdr:row>21</xdr:row>
      <xdr:rowOff>38101</xdr:rowOff>
    </xdr:to>
    <xdr:sp macro="" textlink="">
      <xdr:nvSpPr>
        <xdr:cNvPr id="184" name="TextBox 183"/>
        <xdr:cNvSpPr txBox="1"/>
      </xdr:nvSpPr>
      <xdr:spPr>
        <a:xfrm>
          <a:off x="6972301" y="3681413"/>
          <a:ext cx="761999"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tx1">
                  <a:lumMod val="75000"/>
                  <a:lumOff val="25000"/>
                </a:schemeClr>
              </a:solidFill>
              <a:latin typeface="Arial" pitchFamily="34" charset="0"/>
              <a:cs typeface="Arial" pitchFamily="34" charset="0"/>
            </a:rPr>
            <a:t>Maximum</a:t>
          </a:r>
        </a:p>
        <a:p>
          <a:pPr algn="ctr"/>
          <a:r>
            <a:rPr lang="en-US" sz="900">
              <a:solidFill>
                <a:schemeClr val="tx1">
                  <a:lumMod val="50000"/>
                  <a:lumOff val="50000"/>
                </a:schemeClr>
              </a:solidFill>
              <a:latin typeface="Arial" pitchFamily="34" charset="0"/>
              <a:cs typeface="Arial" pitchFamily="34" charset="0"/>
            </a:rPr>
            <a:t>Trades</a:t>
          </a:r>
        </a:p>
      </xdr:txBody>
    </xdr:sp>
    <xdr:clientData/>
  </xdr:twoCellAnchor>
  <xdr:twoCellAnchor>
    <xdr:from>
      <xdr:col>12</xdr:col>
      <xdr:colOff>381001</xdr:colOff>
      <xdr:row>19</xdr:row>
      <xdr:rowOff>61912</xdr:rowOff>
    </xdr:from>
    <xdr:to>
      <xdr:col>13</xdr:col>
      <xdr:colOff>533400</xdr:colOff>
      <xdr:row>21</xdr:row>
      <xdr:rowOff>38100</xdr:rowOff>
    </xdr:to>
    <xdr:sp macro="" textlink="">
      <xdr:nvSpPr>
        <xdr:cNvPr id="185" name="TextBox 184"/>
        <xdr:cNvSpPr txBox="1"/>
      </xdr:nvSpPr>
      <xdr:spPr>
        <a:xfrm>
          <a:off x="7696201" y="3681412"/>
          <a:ext cx="761999"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tx1">
                  <a:lumMod val="75000"/>
                  <a:lumOff val="25000"/>
                </a:schemeClr>
              </a:solidFill>
              <a:latin typeface="Arial" pitchFamily="34" charset="0"/>
              <a:cs typeface="Arial" pitchFamily="34" charset="0"/>
            </a:rPr>
            <a:t>Minimum</a:t>
          </a:r>
        </a:p>
        <a:p>
          <a:pPr algn="ctr"/>
          <a:r>
            <a:rPr lang="en-US" sz="900">
              <a:solidFill>
                <a:schemeClr val="tx1">
                  <a:lumMod val="50000"/>
                  <a:lumOff val="50000"/>
                </a:schemeClr>
              </a:solidFill>
              <a:latin typeface="Arial" pitchFamily="34" charset="0"/>
              <a:cs typeface="Arial" pitchFamily="34" charset="0"/>
            </a:rPr>
            <a:t>Trades</a:t>
          </a:r>
        </a:p>
      </xdr:txBody>
    </xdr:sp>
    <xdr:clientData/>
  </xdr:twoCellAnchor>
  <xdr:twoCellAnchor editAs="oneCell">
    <xdr:from>
      <xdr:col>11</xdr:col>
      <xdr:colOff>495301</xdr:colOff>
      <xdr:row>18</xdr:row>
      <xdr:rowOff>28575</xdr:rowOff>
    </xdr:from>
    <xdr:to>
      <xdr:col>12</xdr:col>
      <xdr:colOff>152400</xdr:colOff>
      <xdr:row>19</xdr:row>
      <xdr:rowOff>99368</xdr:rowOff>
    </xdr:to>
    <xdr:pic>
      <xdr:nvPicPr>
        <xdr:cNvPr id="97" name="Picture 96"/>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7200901" y="3457575"/>
          <a:ext cx="266699" cy="261293"/>
        </a:xfrm>
        <a:prstGeom prst="rect">
          <a:avLst/>
        </a:prstGeom>
      </xdr:spPr>
    </xdr:pic>
    <xdr:clientData/>
  </xdr:twoCellAnchor>
  <xdr:twoCellAnchor editAs="oneCell">
    <xdr:from>
      <xdr:col>13</xdr:col>
      <xdr:colOff>16650</xdr:colOff>
      <xdr:row>18</xdr:row>
      <xdr:rowOff>45226</xdr:rowOff>
    </xdr:from>
    <xdr:to>
      <xdr:col>13</xdr:col>
      <xdr:colOff>263153</xdr:colOff>
      <xdr:row>19</xdr:row>
      <xdr:rowOff>104776</xdr:rowOff>
    </xdr:to>
    <xdr:pic>
      <xdr:nvPicPr>
        <xdr:cNvPr id="99" name="Picture 98"/>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7941450" y="3474226"/>
          <a:ext cx="246503" cy="250050"/>
        </a:xfrm>
        <a:prstGeom prst="rect">
          <a:avLst/>
        </a:prstGeom>
      </xdr:spPr>
    </xdr:pic>
    <xdr:clientData/>
  </xdr:twoCellAnchor>
  <xdr:twoCellAnchor>
    <xdr:from>
      <xdr:col>5</xdr:col>
      <xdr:colOff>209551</xdr:colOff>
      <xdr:row>25</xdr:row>
      <xdr:rowOff>152400</xdr:rowOff>
    </xdr:from>
    <xdr:to>
      <xdr:col>11</xdr:col>
      <xdr:colOff>219075</xdr:colOff>
      <xdr:row>37</xdr:row>
      <xdr:rowOff>95250</xdr:rowOff>
    </xdr:to>
    <xdr:graphicFrame macro="">
      <xdr:nvGraphicFramePr>
        <xdr:cNvPr id="182" name="Chart 1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12</xdr:col>
      <xdr:colOff>9524</xdr:colOff>
      <xdr:row>25</xdr:row>
      <xdr:rowOff>85725</xdr:rowOff>
    </xdr:from>
    <xdr:to>
      <xdr:col>14</xdr:col>
      <xdr:colOff>466725</xdr:colOff>
      <xdr:row>30</xdr:row>
      <xdr:rowOff>133350</xdr:rowOff>
    </xdr:to>
    <mc:AlternateContent xmlns:mc="http://schemas.openxmlformats.org/markup-compatibility/2006" xmlns:a14="http://schemas.microsoft.com/office/drawing/2010/main">
      <mc:Choice Requires="a14">
        <xdr:graphicFrame macro="">
          <xdr:nvGraphicFramePr>
            <xdr:cNvPr id="187" name="Market Cap"/>
            <xdr:cNvGraphicFramePr/>
          </xdr:nvGraphicFramePr>
          <xdr:xfrm>
            <a:off x="0" y="0"/>
            <a:ext cx="0" cy="0"/>
          </xdr:xfrm>
          <a:graphic>
            <a:graphicData uri="http://schemas.microsoft.com/office/drawing/2010/slicer">
              <sle:slicer xmlns:sle="http://schemas.microsoft.com/office/drawing/2010/slicer" name="Market Cap"/>
            </a:graphicData>
          </a:graphic>
        </xdr:graphicFrame>
      </mc:Choice>
      <mc:Fallback xmlns="">
        <xdr:sp macro="" textlink="">
          <xdr:nvSpPr>
            <xdr:cNvPr id="0" name=""/>
            <xdr:cNvSpPr>
              <a:spLocks noTextEdit="1"/>
            </xdr:cNvSpPr>
          </xdr:nvSpPr>
          <xdr:spPr>
            <a:xfrm>
              <a:off x="7324724" y="4848225"/>
              <a:ext cx="1676401"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11</xdr:col>
      <xdr:colOff>504824</xdr:colOff>
      <xdr:row>22</xdr:row>
      <xdr:rowOff>119062</xdr:rowOff>
    </xdr:from>
    <xdr:to>
      <xdr:col>15</xdr:col>
      <xdr:colOff>66675</xdr:colOff>
      <xdr:row>25</xdr:row>
      <xdr:rowOff>147637</xdr:rowOff>
    </xdr:to>
    <xdr:sp macro="" textlink="">
      <xdr:nvSpPr>
        <xdr:cNvPr id="189" name="TextBox 188"/>
        <xdr:cNvSpPr txBox="1"/>
      </xdr:nvSpPr>
      <xdr:spPr>
        <a:xfrm>
          <a:off x="7210424" y="4310062"/>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Abadi"/>
            </a:rPr>
            <a:t>Mcap</a:t>
          </a:r>
        </a:p>
        <a:p>
          <a:pPr algn="l"/>
          <a:r>
            <a:rPr lang="en-US" sz="900">
              <a:solidFill>
                <a:schemeClr val="bg1"/>
              </a:solidFill>
              <a:latin typeface="Abadi"/>
            </a:rPr>
            <a:t>Slicer</a:t>
          </a:r>
          <a:endParaRPr lang="en-US" sz="1200">
            <a:solidFill>
              <a:schemeClr val="bg1"/>
            </a:solidFill>
            <a:latin typeface="Abadi"/>
          </a:endParaRPr>
        </a:p>
      </xdr:txBody>
    </xdr:sp>
    <xdr:clientData/>
  </xdr:twoCellAnchor>
  <xdr:twoCellAnchor>
    <xdr:from>
      <xdr:col>11</xdr:col>
      <xdr:colOff>590550</xdr:colOff>
      <xdr:row>25</xdr:row>
      <xdr:rowOff>38100</xdr:rowOff>
    </xdr:from>
    <xdr:to>
      <xdr:col>13</xdr:col>
      <xdr:colOff>285750</xdr:colOff>
      <xdr:row>25</xdr:row>
      <xdr:rowOff>38100</xdr:rowOff>
    </xdr:to>
    <xdr:cxnSp macro="">
      <xdr:nvCxnSpPr>
        <xdr:cNvPr id="190" name="Straight Connector 189"/>
        <xdr:cNvCxnSpPr/>
      </xdr:nvCxnSpPr>
      <xdr:spPr>
        <a:xfrm>
          <a:off x="7296150" y="4800600"/>
          <a:ext cx="914400" cy="0"/>
        </a:xfrm>
        <a:prstGeom prst="line">
          <a:avLst/>
        </a:prstGeom>
        <a:ln w="6350">
          <a:solidFill>
            <a:schemeClr val="bg1"/>
          </a:solidFill>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xdr:col>
      <xdr:colOff>171450</xdr:colOff>
      <xdr:row>23</xdr:row>
      <xdr:rowOff>14287</xdr:rowOff>
    </xdr:from>
    <xdr:to>
      <xdr:col>8</xdr:col>
      <xdr:colOff>447675</xdr:colOff>
      <xdr:row>26</xdr:row>
      <xdr:rowOff>42862</xdr:rowOff>
    </xdr:to>
    <xdr:sp macro="" textlink="">
      <xdr:nvSpPr>
        <xdr:cNvPr id="191" name="TextBox 190"/>
        <xdr:cNvSpPr txBox="1"/>
      </xdr:nvSpPr>
      <xdr:spPr>
        <a:xfrm>
          <a:off x="3219450" y="4395787"/>
          <a:ext cx="21050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Total Earnings </a:t>
          </a:r>
          <a:r>
            <a:rPr lang="en-US" sz="1200">
              <a:solidFill>
                <a:schemeClr val="tx1">
                  <a:lumMod val="50000"/>
                  <a:lumOff val="50000"/>
                </a:schemeClr>
              </a:solidFill>
              <a:latin typeface="Abadi"/>
            </a:rPr>
            <a:t>by</a:t>
          </a:r>
          <a:r>
            <a:rPr lang="en-US" sz="1200" baseline="0">
              <a:solidFill>
                <a:schemeClr val="tx1">
                  <a:lumMod val="50000"/>
                  <a:lumOff val="50000"/>
                </a:schemeClr>
              </a:solidFill>
              <a:latin typeface="Abadi"/>
            </a:rPr>
            <a:t> Mcap</a:t>
          </a:r>
          <a:endParaRPr lang="en-US" sz="1200">
            <a:solidFill>
              <a:schemeClr val="tx1">
                <a:lumMod val="50000"/>
                <a:lumOff val="50000"/>
              </a:schemeClr>
            </a:solidFill>
            <a:latin typeface="Abadi"/>
          </a:endParaRPr>
        </a:p>
      </xdr:txBody>
    </xdr:sp>
    <xdr:clientData/>
  </xdr:twoCellAnchor>
  <xdr:twoCellAnchor>
    <xdr:from>
      <xdr:col>5</xdr:col>
      <xdr:colOff>276225</xdr:colOff>
      <xdr:row>25</xdr:row>
      <xdr:rowOff>76200</xdr:rowOff>
    </xdr:from>
    <xdr:to>
      <xdr:col>8</xdr:col>
      <xdr:colOff>209550</xdr:colOff>
      <xdr:row>25</xdr:row>
      <xdr:rowOff>76200</xdr:rowOff>
    </xdr:to>
    <xdr:cxnSp macro="">
      <xdr:nvCxnSpPr>
        <xdr:cNvPr id="192" name="Straight Connector 191"/>
        <xdr:cNvCxnSpPr/>
      </xdr:nvCxnSpPr>
      <xdr:spPr>
        <a:xfrm>
          <a:off x="3324225" y="4838700"/>
          <a:ext cx="176212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15</xdr:col>
      <xdr:colOff>149605</xdr:colOff>
      <xdr:row>22</xdr:row>
      <xdr:rowOff>173830</xdr:rowOff>
    </xdr:from>
    <xdr:to>
      <xdr:col>17</xdr:col>
      <xdr:colOff>419100</xdr:colOff>
      <xdr:row>30</xdr:row>
      <xdr:rowOff>167734</xdr:rowOff>
    </xdr:to>
    <xdr:sp macro="" textlink="Pivottables!I4">
      <xdr:nvSpPr>
        <xdr:cNvPr id="196" name="Rounded Rectangle 195"/>
        <xdr:cNvSpPr/>
      </xdr:nvSpPr>
      <xdr:spPr>
        <a:xfrm>
          <a:off x="9293605" y="4364830"/>
          <a:ext cx="1488695" cy="151790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15</xdr:col>
      <xdr:colOff>123824</xdr:colOff>
      <xdr:row>22</xdr:row>
      <xdr:rowOff>138112</xdr:rowOff>
    </xdr:from>
    <xdr:to>
      <xdr:col>18</xdr:col>
      <xdr:colOff>38099</xdr:colOff>
      <xdr:row>25</xdr:row>
      <xdr:rowOff>47625</xdr:rowOff>
    </xdr:to>
    <xdr:sp macro="" textlink="">
      <xdr:nvSpPr>
        <xdr:cNvPr id="197" name="TextBox 196"/>
        <xdr:cNvSpPr txBox="1"/>
      </xdr:nvSpPr>
      <xdr:spPr>
        <a:xfrm>
          <a:off x="9267824" y="4329112"/>
          <a:ext cx="1743075" cy="481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rgbClr val="FF0066"/>
              </a:solidFill>
              <a:latin typeface="Abadi"/>
            </a:rPr>
            <a:t>Total Gain (%)</a:t>
          </a:r>
        </a:p>
      </xdr:txBody>
    </xdr:sp>
    <xdr:clientData/>
  </xdr:twoCellAnchor>
  <xdr:twoCellAnchor editAs="oneCell">
    <xdr:from>
      <xdr:col>15</xdr:col>
      <xdr:colOff>250641</xdr:colOff>
      <xdr:row>23</xdr:row>
      <xdr:rowOff>52389</xdr:rowOff>
    </xdr:from>
    <xdr:to>
      <xdr:col>15</xdr:col>
      <xdr:colOff>590550</xdr:colOff>
      <xdr:row>24</xdr:row>
      <xdr:rowOff>98915</xdr:rowOff>
    </xdr:to>
    <xdr:pic>
      <xdr:nvPicPr>
        <xdr:cNvPr id="198" name="Picture 1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4641" y="4433889"/>
          <a:ext cx="339909" cy="237026"/>
        </a:xfrm>
        <a:prstGeom prst="rect">
          <a:avLst/>
        </a:prstGeom>
      </xdr:spPr>
    </xdr:pic>
    <xdr:clientData/>
  </xdr:twoCellAnchor>
  <xdr:twoCellAnchor>
    <xdr:from>
      <xdr:col>15</xdr:col>
      <xdr:colOff>333375</xdr:colOff>
      <xdr:row>25</xdr:row>
      <xdr:rowOff>0</xdr:rowOff>
    </xdr:from>
    <xdr:to>
      <xdr:col>17</xdr:col>
      <xdr:colOff>209550</xdr:colOff>
      <xdr:row>25</xdr:row>
      <xdr:rowOff>0</xdr:rowOff>
    </xdr:to>
    <xdr:cxnSp macro="">
      <xdr:nvCxnSpPr>
        <xdr:cNvPr id="199" name="Straight Connector 198"/>
        <xdr:cNvCxnSpPr/>
      </xdr:nvCxnSpPr>
      <xdr:spPr>
        <a:xfrm>
          <a:off x="9477375" y="4762500"/>
          <a:ext cx="10953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15</xdr:col>
      <xdr:colOff>28574</xdr:colOff>
      <xdr:row>26</xdr:row>
      <xdr:rowOff>61912</xdr:rowOff>
    </xdr:from>
    <xdr:to>
      <xdr:col>17</xdr:col>
      <xdr:colOff>552449</xdr:colOff>
      <xdr:row>29</xdr:row>
      <xdr:rowOff>90487</xdr:rowOff>
    </xdr:to>
    <xdr:sp macro="" textlink="">
      <xdr:nvSpPr>
        <xdr:cNvPr id="200" name="TextBox 199"/>
        <xdr:cNvSpPr txBox="1"/>
      </xdr:nvSpPr>
      <xdr:spPr>
        <a:xfrm>
          <a:off x="9172574" y="501491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Max</a:t>
          </a:r>
          <a:r>
            <a:rPr lang="en-US" sz="1200" baseline="0">
              <a:solidFill>
                <a:srgbClr val="FF0066"/>
              </a:solidFill>
              <a:latin typeface="Abadi"/>
            </a:rPr>
            <a:t> Drawdown</a:t>
          </a:r>
          <a:endParaRPr lang="en-US" sz="1200">
            <a:solidFill>
              <a:srgbClr val="FF0066"/>
            </a:solidFill>
            <a:latin typeface="Abadi"/>
          </a:endParaRPr>
        </a:p>
      </xdr:txBody>
    </xdr:sp>
    <xdr:clientData/>
  </xdr:twoCellAnchor>
  <xdr:twoCellAnchor>
    <xdr:from>
      <xdr:col>15</xdr:col>
      <xdr:colOff>466725</xdr:colOff>
      <xdr:row>28</xdr:row>
      <xdr:rowOff>180975</xdr:rowOff>
    </xdr:from>
    <xdr:to>
      <xdr:col>17</xdr:col>
      <xdr:colOff>295275</xdr:colOff>
      <xdr:row>30</xdr:row>
      <xdr:rowOff>104775</xdr:rowOff>
    </xdr:to>
    <xdr:sp macro="" textlink="Database!L3">
      <xdr:nvSpPr>
        <xdr:cNvPr id="201" name="TextBox 200"/>
        <xdr:cNvSpPr txBox="1"/>
      </xdr:nvSpPr>
      <xdr:spPr>
        <a:xfrm>
          <a:off x="9610725" y="5514975"/>
          <a:ext cx="10477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72CC7E1-092C-42AA-BA3B-E54181F7CE6E}" type="TxLink">
            <a:rPr lang="en-US" sz="1600">
              <a:solidFill>
                <a:schemeClr val="bg2">
                  <a:lumMod val="25000"/>
                </a:schemeClr>
              </a:solidFill>
              <a:latin typeface="Arial" pitchFamily="34" charset="0"/>
              <a:cs typeface="Arial" pitchFamily="34" charset="0"/>
            </a:rPr>
            <a:pPr algn="l"/>
            <a:t>-2.72%</a:t>
          </a:fld>
          <a:endParaRPr lang="en-US" sz="1600">
            <a:solidFill>
              <a:schemeClr val="bg2">
                <a:lumMod val="25000"/>
              </a:schemeClr>
            </a:solidFill>
            <a:latin typeface="Arial" pitchFamily="34" charset="0"/>
            <a:cs typeface="Arial" pitchFamily="34" charset="0"/>
          </a:endParaRPr>
        </a:p>
      </xdr:txBody>
    </xdr:sp>
    <xdr:clientData/>
  </xdr:twoCellAnchor>
  <xdr:twoCellAnchor>
    <xdr:from>
      <xdr:col>15</xdr:col>
      <xdr:colOff>342900</xdr:colOff>
      <xdr:row>28</xdr:row>
      <xdr:rowOff>123825</xdr:rowOff>
    </xdr:from>
    <xdr:to>
      <xdr:col>17</xdr:col>
      <xdr:colOff>228600</xdr:colOff>
      <xdr:row>28</xdr:row>
      <xdr:rowOff>123825</xdr:rowOff>
    </xdr:to>
    <xdr:cxnSp macro="">
      <xdr:nvCxnSpPr>
        <xdr:cNvPr id="206" name="Straight Connector 205"/>
        <xdr:cNvCxnSpPr/>
      </xdr:nvCxnSpPr>
      <xdr:spPr>
        <a:xfrm>
          <a:off x="9486900" y="5457825"/>
          <a:ext cx="110490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27</xdr:col>
      <xdr:colOff>521080</xdr:colOff>
      <xdr:row>44</xdr:row>
      <xdr:rowOff>145255</xdr:rowOff>
    </xdr:from>
    <xdr:to>
      <xdr:col>30</xdr:col>
      <xdr:colOff>180975</xdr:colOff>
      <xdr:row>52</xdr:row>
      <xdr:rowOff>139159</xdr:rowOff>
    </xdr:to>
    <xdr:sp macro="" textlink="Pivottables!I4">
      <xdr:nvSpPr>
        <xdr:cNvPr id="207" name="Rounded Rectangle 206"/>
        <xdr:cNvSpPr/>
      </xdr:nvSpPr>
      <xdr:spPr>
        <a:xfrm>
          <a:off x="16980280" y="8527255"/>
          <a:ext cx="1488695" cy="151790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15</xdr:col>
      <xdr:colOff>447675</xdr:colOff>
      <xdr:row>25</xdr:row>
      <xdr:rowOff>47625</xdr:rowOff>
    </xdr:from>
    <xdr:to>
      <xdr:col>17</xdr:col>
      <xdr:colOff>276225</xdr:colOff>
      <xdr:row>26</xdr:row>
      <xdr:rowOff>161925</xdr:rowOff>
    </xdr:to>
    <xdr:sp macro="" textlink="Database!K3">
      <xdr:nvSpPr>
        <xdr:cNvPr id="208" name="TextBox 207"/>
        <xdr:cNvSpPr txBox="1"/>
      </xdr:nvSpPr>
      <xdr:spPr>
        <a:xfrm>
          <a:off x="9591675" y="4810125"/>
          <a:ext cx="10477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43F57D9-B11C-4CF6-AD32-0964DF2132D3}" type="TxLink">
            <a:rPr lang="en-US" sz="1600">
              <a:solidFill>
                <a:schemeClr val="bg2">
                  <a:lumMod val="25000"/>
                </a:schemeClr>
              </a:solidFill>
              <a:latin typeface="Arial" pitchFamily="34" charset="0"/>
              <a:cs typeface="Arial" pitchFamily="34" charset="0"/>
            </a:rPr>
            <a:pPr algn="l"/>
            <a:t>44.56%</a:t>
          </a:fld>
          <a:endParaRPr lang="en-US" sz="1600">
            <a:solidFill>
              <a:schemeClr val="bg2">
                <a:lumMod val="25000"/>
              </a:schemeClr>
            </a:solidFill>
            <a:latin typeface="Arial" pitchFamily="34" charset="0"/>
            <a:cs typeface="Arial" pitchFamily="34" charset="0"/>
          </a:endParaRPr>
        </a:p>
      </xdr:txBody>
    </xdr:sp>
    <xdr:clientData/>
  </xdr:twoCellAnchor>
  <xdr:twoCellAnchor>
    <xdr:from>
      <xdr:col>11</xdr:col>
      <xdr:colOff>400051</xdr:colOff>
      <xdr:row>31</xdr:row>
      <xdr:rowOff>50007</xdr:rowOff>
    </xdr:from>
    <xdr:to>
      <xdr:col>17</xdr:col>
      <xdr:colOff>419101</xdr:colOff>
      <xdr:row>37</xdr:row>
      <xdr:rowOff>152401</xdr:rowOff>
    </xdr:to>
    <xdr:sp macro="" textlink="Pivottables!I4">
      <xdr:nvSpPr>
        <xdr:cNvPr id="209" name="Rounded Rectangle 208"/>
        <xdr:cNvSpPr/>
      </xdr:nvSpPr>
      <xdr:spPr>
        <a:xfrm>
          <a:off x="7105651" y="5955507"/>
          <a:ext cx="3676650" cy="124539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11</xdr:col>
      <xdr:colOff>485775</xdr:colOff>
      <xdr:row>31</xdr:row>
      <xdr:rowOff>109538</xdr:rowOff>
    </xdr:from>
    <xdr:to>
      <xdr:col>15</xdr:col>
      <xdr:colOff>152400</xdr:colOff>
      <xdr:row>33</xdr:row>
      <xdr:rowOff>47626</xdr:rowOff>
    </xdr:to>
    <xdr:sp macro="" textlink="">
      <xdr:nvSpPr>
        <xdr:cNvPr id="210" name="TextBox 209"/>
        <xdr:cNvSpPr txBox="1"/>
      </xdr:nvSpPr>
      <xdr:spPr>
        <a:xfrm>
          <a:off x="7191375" y="6015038"/>
          <a:ext cx="2105025"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Account Balance</a:t>
          </a:r>
          <a:endParaRPr lang="en-US" sz="1200">
            <a:solidFill>
              <a:schemeClr val="tx1">
                <a:lumMod val="50000"/>
                <a:lumOff val="50000"/>
              </a:schemeClr>
            </a:solidFill>
            <a:latin typeface="Abadi"/>
          </a:endParaRPr>
        </a:p>
      </xdr:txBody>
    </xdr:sp>
    <xdr:clientData/>
  </xdr:twoCellAnchor>
  <xdr:twoCellAnchor>
    <xdr:from>
      <xdr:col>11</xdr:col>
      <xdr:colOff>590550</xdr:colOff>
      <xdr:row>33</xdr:row>
      <xdr:rowOff>9525</xdr:rowOff>
    </xdr:from>
    <xdr:to>
      <xdr:col>14</xdr:col>
      <xdr:colOff>19050</xdr:colOff>
      <xdr:row>33</xdr:row>
      <xdr:rowOff>9525</xdr:rowOff>
    </xdr:to>
    <xdr:cxnSp macro="">
      <xdr:nvCxnSpPr>
        <xdr:cNvPr id="211" name="Straight Connector 210"/>
        <xdr:cNvCxnSpPr/>
      </xdr:nvCxnSpPr>
      <xdr:spPr>
        <a:xfrm>
          <a:off x="7296150" y="6296025"/>
          <a:ext cx="125730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11</xdr:col>
      <xdr:colOff>523875</xdr:colOff>
      <xdr:row>30</xdr:row>
      <xdr:rowOff>57149</xdr:rowOff>
    </xdr:from>
    <xdr:to>
      <xdr:col>18</xdr:col>
      <xdr:colOff>285750</xdr:colOff>
      <xdr:row>47</xdr:row>
      <xdr:rowOff>104775</xdr:rowOff>
    </xdr:to>
    <xdr:grpSp>
      <xdr:nvGrpSpPr>
        <xdr:cNvPr id="48" name="Group 47"/>
        <xdr:cNvGrpSpPr/>
      </xdr:nvGrpSpPr>
      <xdr:grpSpPr>
        <a:xfrm>
          <a:off x="7259411" y="5772149"/>
          <a:ext cx="4048125" cy="3286126"/>
          <a:chOff x="7229475" y="5772149"/>
          <a:chExt cx="4029075" cy="3286126"/>
        </a:xfrm>
      </xdr:grpSpPr>
      <xdr:graphicFrame macro="">
        <xdr:nvGraphicFramePr>
          <xdr:cNvPr id="213" name="Chart 212"/>
          <xdr:cNvGraphicFramePr/>
        </xdr:nvGraphicFramePr>
        <xdr:xfrm>
          <a:off x="7229475" y="5772149"/>
          <a:ext cx="4029075" cy="2240280"/>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214" name="Chart 213"/>
          <xdr:cNvGraphicFramePr/>
        </xdr:nvGraphicFramePr>
        <xdr:xfrm>
          <a:off x="7229475" y="6276975"/>
          <a:ext cx="3371850" cy="2781300"/>
        </xdr:xfrm>
        <a:graphic>
          <a:graphicData uri="http://schemas.openxmlformats.org/drawingml/2006/chart">
            <c:chart xmlns:c="http://schemas.openxmlformats.org/drawingml/2006/chart" xmlns:r="http://schemas.openxmlformats.org/officeDocument/2006/relationships" r:id="rId23"/>
          </a:graphicData>
        </a:graphic>
      </xdr:graphicFrame>
    </xdr:grpSp>
    <xdr:clientData/>
  </xdr:twoCellAnchor>
  <xdr:twoCellAnchor>
    <xdr:from>
      <xdr:col>11</xdr:col>
      <xdr:colOff>581025</xdr:colOff>
      <xdr:row>33</xdr:row>
      <xdr:rowOff>76200</xdr:rowOff>
    </xdr:from>
    <xdr:to>
      <xdr:col>13</xdr:col>
      <xdr:colOff>342900</xdr:colOff>
      <xdr:row>35</xdr:row>
      <xdr:rowOff>0</xdr:rowOff>
    </xdr:to>
    <xdr:sp macro="" textlink="Pivottables!S51">
      <xdr:nvSpPr>
        <xdr:cNvPr id="215" name="TextBox 214"/>
        <xdr:cNvSpPr txBox="1"/>
      </xdr:nvSpPr>
      <xdr:spPr>
        <a:xfrm>
          <a:off x="7286625" y="6362700"/>
          <a:ext cx="98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B0456B-DB2A-4195-AF86-6513FA068F46}" type="TxLink">
            <a:rPr lang="en-US" sz="1400">
              <a:latin typeface="Arial" pitchFamily="34" charset="0"/>
              <a:cs typeface="Arial" pitchFamily="34" charset="0"/>
            </a:rPr>
            <a:pPr/>
            <a:t>722775.1</a:t>
          </a:fld>
          <a:endParaRPr lang="en-US" sz="1400">
            <a:latin typeface="Arial" pitchFamily="34" charset="0"/>
            <a:cs typeface="Arial" pitchFamily="34" charset="0"/>
          </a:endParaRPr>
        </a:p>
      </xdr:txBody>
    </xdr:sp>
    <xdr:clientData/>
  </xdr:twoCellAnchor>
  <xdr:twoCellAnchor>
    <xdr:from>
      <xdr:col>13</xdr:col>
      <xdr:colOff>152400</xdr:colOff>
      <xdr:row>33</xdr:row>
      <xdr:rowOff>109537</xdr:rowOff>
    </xdr:from>
    <xdr:to>
      <xdr:col>13</xdr:col>
      <xdr:colOff>590550</xdr:colOff>
      <xdr:row>35</xdr:row>
      <xdr:rowOff>0</xdr:rowOff>
    </xdr:to>
    <xdr:sp macro="" textlink="">
      <xdr:nvSpPr>
        <xdr:cNvPr id="216" name="TextBox 215"/>
        <xdr:cNvSpPr txBox="1"/>
      </xdr:nvSpPr>
      <xdr:spPr>
        <a:xfrm>
          <a:off x="8077200" y="6396037"/>
          <a:ext cx="438150" cy="271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rgbClr val="FF0066"/>
              </a:solidFill>
              <a:latin typeface="Arial" pitchFamily="34" charset="0"/>
              <a:cs typeface="Arial" pitchFamily="34" charset="0"/>
            </a:rPr>
            <a:t>INR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4718.319986921299" createdVersion="4" refreshedVersion="4" minRefreshableVersion="3" recordCount="51">
  <cacheSource type="worksheet">
    <worksheetSource name="Table2"/>
  </cacheSource>
  <cacheFields count="16">
    <cacheField name="No. of Trades" numFmtId="0">
      <sharedItems containsSemiMixedTypes="0" containsString="0" containsNumber="1" containsInteger="1" minValue="1" maxValue="51"/>
    </cacheField>
    <cacheField name="Stock Name" numFmtId="0">
      <sharedItems containsBlank="1" count="27">
        <s v="Coal "/>
        <s v="ITC"/>
        <s v="Indusind"/>
        <s v="Kotak"/>
        <s v="Tata Motors"/>
        <s v="M&amp;M"/>
        <s v="Maruti"/>
        <s v="Bajaj Auto"/>
        <s v="DR Reddy"/>
        <s v="BPCL"/>
        <s v="Cipla"/>
        <s v="HDFC Life"/>
        <s v="Suppetro"/>
        <s v="GAEL"/>
        <s v="Godrej agro"/>
        <s v="Navin fluoro"/>
        <s v="Axis Bank"/>
        <s v="Sundaram fin"/>
        <s v="Thyrocare"/>
        <s v="Moil"/>
        <s v="SIS"/>
        <s v="Ipca lab"/>
        <s v="Polymed"/>
        <s v="Spice jet"/>
        <s v="Indoco"/>
        <m u="1"/>
        <s v="HDFC" u="1"/>
      </sharedItems>
    </cacheField>
    <cacheField name="Market Cap" numFmtId="0">
      <sharedItems count="3">
        <s v="Large"/>
        <s v="Midcap"/>
        <s v="Small"/>
      </sharedItems>
    </cacheField>
    <cacheField name="Date" numFmtId="164">
      <sharedItems containsSemiMixedTypes="0" containsNonDate="0" containsDate="1" containsString="0" minDate="2021-01-03T00:00:00" maxDate="2021-12-03T00:00:00" count="79">
        <d v="2021-01-03T00:00:00"/>
        <d v="2021-01-07T00:00:00"/>
        <d v="2021-01-08T00:00:00"/>
        <d v="2021-01-09T00:00:00"/>
        <d v="2021-01-13T00:00:00"/>
        <d v="2021-01-21T00:00:00"/>
        <d v="2021-02-01T00:00:00"/>
        <d v="2021-02-02T00:00:00"/>
        <d v="2021-02-03T00:00:00"/>
        <d v="2021-02-04T00:00:00"/>
        <d v="2021-03-05T00:00:00"/>
        <d v="2021-03-06T00:00:00"/>
        <d v="2021-03-07T00:00:00"/>
        <d v="2021-03-08T00:00:00"/>
        <d v="2021-04-09T00:00:00"/>
        <d v="2021-04-10T00:00:00"/>
        <d v="2021-04-11T00:00:00"/>
        <d v="2021-04-12T00:00:00"/>
        <d v="2021-04-13T00:00:00"/>
        <d v="2021-05-15T00:00:00"/>
        <d v="2021-05-16T00:00:00"/>
        <d v="2021-05-17T00:00:00"/>
        <d v="2021-05-18T00:00:00"/>
        <d v="2021-05-19T00:00:00"/>
        <d v="2021-06-05T00:00:00"/>
        <d v="2021-06-06T00:00:00"/>
        <d v="2021-06-07T00:00:00"/>
        <d v="2021-06-08T00:00:00"/>
        <d v="2021-06-09T00:00:00"/>
        <d v="2021-07-04T00:00:00"/>
        <d v="2021-08-04T00:00:00"/>
        <d v="2021-08-05T00:00:00"/>
        <d v="2021-08-06T00:00:00"/>
        <d v="2021-09-10T00:00:00"/>
        <d v="2021-09-11T00:00:00"/>
        <d v="2021-09-12T00:00:00"/>
        <d v="2021-10-13T00:00:00"/>
        <d v="2021-10-14T00:00:00"/>
        <d v="2021-10-15T00:00:00"/>
        <d v="2021-10-16T00:00:00"/>
        <d v="2021-11-23T00:00:00"/>
        <d v="2021-11-24T00:00:00"/>
        <d v="2021-11-25T00:00:00"/>
        <d v="2021-11-26T00:00:00"/>
        <d v="2021-11-27T00:00:00"/>
        <d v="2021-11-28T00:00:00"/>
        <d v="2021-11-29T00:00:00"/>
        <d v="2021-11-30T00:00:00"/>
        <d v="2021-12-01T00:00:00"/>
        <d v="2021-12-02T00:00:00"/>
        <d v="2021-10-06T00:00:00" u="1"/>
        <d v="2021-09-13T00:00:00" u="1"/>
        <d v="2021-11-04T00:00:00" u="1"/>
        <d v="2021-10-18T00:00:00" u="1"/>
        <d v="2021-11-16T00:00:00" u="1"/>
        <d v="2021-10-04T00:00:00" u="1"/>
        <d v="2021-09-30T00:00:00" u="1"/>
        <d v="2021-11-21T00:00:00" u="1"/>
        <d v="2021-10-02T00:00:00" u="1"/>
        <d v="2021-11-07T00:00:00" u="1"/>
        <d v="2021-09-09T00:00:00" u="1"/>
        <d v="2021-09-28T00:00:00" u="1"/>
        <d v="2021-10-07T00:00:00" u="1"/>
        <d v="2021-09-21T00:00:00" u="1"/>
        <d v="2021-11-05T00:00:00" u="1"/>
        <d v="2021-09-07T00:00:00" u="1"/>
        <d v="2021-10-12T00:00:00" u="1"/>
        <d v="2021-10-05T00:00:00" u="1"/>
        <d v="2021-11-10T00:00:00" u="1"/>
        <d v="2021-11-03T00:00:00" u="1"/>
        <d v="2021-11-22T00:00:00" u="1"/>
        <d v="2021-11-15T00:00:00" u="1"/>
        <d v="2021-11-01T00:00:00" u="1"/>
        <d v="2021-09-29T00:00:00" u="1"/>
        <d v="2021-09-03T00:00:00" u="1"/>
        <d v="2021-10-08T00:00:00" u="1"/>
        <d v="2021-09-08T00:00:00" u="1"/>
        <d v="2021-09-27T00:00:00" u="1"/>
        <d v="2021-11-18T00:00:00" u="1"/>
      </sharedItems>
    </cacheField>
    <cacheField name="Entry" numFmtId="0">
      <sharedItems containsSemiMixedTypes="0" containsString="0" containsNumber="1" minValue="21" maxValue="7492.5"/>
    </cacheField>
    <cacheField name="Stoploss" numFmtId="0">
      <sharedItems containsSemiMixedTypes="0" containsString="0" containsNumber="1" minValue="20" maxValue="7164.25"/>
    </cacheField>
    <cacheField name="Target" numFmtId="0">
      <sharedItems containsSemiMixedTypes="0" containsString="0" containsNumber="1" minValue="23.1" maxValue="8241.75"/>
    </cacheField>
    <cacheField name="Win/Loss" numFmtId="0">
      <sharedItems count="2">
        <s v="w"/>
        <s v="l"/>
      </sharedItems>
    </cacheField>
    <cacheField name="PnL Per Trade" numFmtId="0">
      <sharedItems containsSemiMixedTypes="0" containsString="0" containsNumber="1" minValue="-2538.0000000000109" maxValue="34074.625"/>
    </cacheField>
    <cacheField name="No. of Lots" numFmtId="0">
      <sharedItems containsSemiMixedTypes="0" containsString="0" containsNumber="1" containsInteger="1" minValue="6" maxValue="8333"/>
    </cacheField>
    <cacheField name="Account Balance" numFmtId="0">
      <sharedItems containsSemiMixedTypes="0" containsString="0" containsNumber="1" minValue="507097.97499999998" maxValue="831357.50000000012" count="83">
        <n v="507097.97499999998"/>
        <n v="526706.02500000002"/>
        <n v="533414.40000000002"/>
        <n v="567489.02500000002"/>
        <n v="585500.48"/>
        <n v="596172.77"/>
        <n v="604687.76"/>
        <n v="611827.64"/>
        <n v="616269.71"/>
        <n v="613732.91"/>
        <n v="622518.85499999998"/>
        <n v="619996.005"/>
        <n v="626980.06500000006"/>
        <n v="624457.21500000008"/>
        <n v="634495.34000000008"/>
        <n v="639131.30000000005"/>
        <n v="636628.4"/>
        <n v="634090.4"/>
        <n v="631594.9"/>
        <n v="629099.85000000009"/>
        <n v="635093.85000000009"/>
        <n v="632591.35000000009"/>
        <n v="630092.15"/>
        <n v="627569.35000000009"/>
        <n v="625066.75"/>
        <n v="652004.95000000007"/>
        <n v="657076.45000000007"/>
        <n v="654574.45000000007"/>
        <n v="652066.45000000007"/>
        <n v="662041.45000000007"/>
        <n v="667741.45000000007"/>
        <n v="679982.15"/>
        <n v="677481.65"/>
        <n v="674982.65"/>
        <n v="694148.55"/>
        <n v="691646.55"/>
        <n v="703656.15"/>
        <n v="722656.15"/>
        <n v="720159.15"/>
        <n v="717660.5"/>
        <n v="735482.5"/>
        <n v="732982.5"/>
        <n v="730486.5"/>
        <n v="727986.5"/>
        <n v="725486.5"/>
        <n v="722966.5"/>
        <n v="720466.5"/>
        <n v="718005.5"/>
        <n v="715506.5"/>
        <n v="720006.5"/>
        <n v="722775.10000000009"/>
        <n v="828861.50000000012" u="1"/>
        <n v="813881.50000000012" u="1"/>
        <n v="655258.45000000007" u="1"/>
        <n v="806358.50000000012" u="1"/>
        <n v="805898.50000000012" u="1"/>
        <n v="823861.50000000012" u="1"/>
        <n v="821341.50000000012" u="1"/>
        <n v="821150.10000000009" u="1"/>
        <n v="664998.65" u="1"/>
        <n v="831357.50000000012" u="1"/>
        <n v="681665.55" u="1"/>
        <n v="816378.50000000012" u="1"/>
        <n v="801398.50000000012" u="1"/>
        <n v="816380.50000000012" u="1"/>
        <n v="707676.15" u="1"/>
        <n v="649558.45000000007" u="1"/>
        <n v="811378.50000000012" u="1"/>
        <n v="808858.50000000012" u="1"/>
        <n v="808667.10000000009" u="1"/>
        <n v="691173.15" u="1"/>
        <n v="826361.50000000012" u="1"/>
        <n v="818874.50000000012" u="1"/>
        <n v="667499.15" u="1"/>
        <n v="818841.50000000012" u="1"/>
        <n v="710173.15" u="1"/>
        <n v="803897.50000000012" u="1"/>
        <n v="818381.50000000012" u="1"/>
        <n v="679163.55" u="1"/>
        <n v="662499.65" u="1"/>
        <n v="705177.5" u="1"/>
        <n v="813878.50000000012" u="1"/>
        <n v="722999.5" u="1"/>
      </sharedItems>
    </cacheField>
    <cacheField name="%Gain/Loss" numFmtId="10">
      <sharedItems containsSemiMixedTypes="0" containsString="0" containsNumber="1" minValue="1.4200000000000001E-2" maxValue="0.47099999999999997"/>
    </cacheField>
    <cacheField name="Drawdown" numFmtId="10">
      <sharedItems containsMixedTypes="1" containsNumber="1" minValue="-2.7160401505134383E-2" maxValue="-3.3991291431135343E-3"/>
    </cacheField>
    <cacheField name="Type" numFmtId="0">
      <sharedItems/>
    </cacheField>
    <cacheField name="R/R" numFmtId="0">
      <sharedItems containsSemiMixedTypes="0" containsString="0" containsNumber="1" minValue="0.77" maxValue="38.35"/>
    </cacheField>
    <cacheField name="Month" numFmtId="0">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4718.508614467595" createdVersion="4" refreshedVersion="4" minRefreshableVersion="3" recordCount="1">
  <cacheSource type="worksheet">
    <worksheetSource name="Table1"/>
  </cacheSource>
  <cacheFields count="13">
    <cacheField name="Average R/R" numFmtId="2">
      <sharedItems containsSemiMixedTypes="0" containsString="0" containsNumber="1" minValue="5.4835294117647067" maxValue="5.4835294117647067"/>
    </cacheField>
    <cacheField name="Total trades" numFmtId="0">
      <sharedItems containsSemiMixedTypes="0" containsString="0" containsNumber="1" containsInteger="1" minValue="51" maxValue="51"/>
    </cacheField>
    <cacheField name="Total wins" numFmtId="0">
      <sharedItems containsSemiMixedTypes="0" containsString="0" containsNumber="1" containsInteger="1" minValue="25" maxValue="26" count="2">
        <n v="25"/>
        <n v="26" u="1"/>
      </sharedItems>
    </cacheField>
    <cacheField name="Total Losses" numFmtId="0">
      <sharedItems containsSemiMixedTypes="0" containsString="0" containsNumber="1" containsInteger="1" minValue="25" maxValue="26" count="2">
        <n v="26"/>
        <n v="25" u="1"/>
      </sharedItems>
    </cacheField>
    <cacheField name="Winning %" numFmtId="10">
      <sharedItems containsSemiMixedTypes="0" containsString="0" containsNumber="1" minValue="0.49019607843137253" maxValue="0.49019607843137253"/>
    </cacheField>
    <cacheField name="Total Gain" numFmtId="0">
      <sharedItems containsSemiMixedTypes="0" containsString="0" containsNumber="1" minValue="222775.10000000003" maxValue="222775.10000000003"/>
    </cacheField>
    <cacheField name="Starting Balance" numFmtId="165">
      <sharedItems containsSemiMixedTypes="0" containsString="0" containsNumber="1" containsInteger="1" minValue="500000" maxValue="500000"/>
    </cacheField>
    <cacheField name="Risk/Position(in %)" numFmtId="10">
      <sharedItems containsSemiMixedTypes="0" containsString="0" containsNumber="1" minValue="5.0000000000000001E-3" maxValue="5.0000000000000001E-3"/>
    </cacheField>
    <cacheField name="Total % Gain" numFmtId="10">
      <sharedItems containsSemiMixedTypes="0" containsString="0" containsNumber="1" minValue="0.44555020000000006" maxValue="0.44555020000000006"/>
    </cacheField>
    <cacheField name="Max Drawdown" numFmtId="10">
      <sharedItems containsSemiMixedTypes="0" containsString="0" containsNumber="1" minValue="-2.7160401505134383E-2" maxValue="-2.7160401505134383E-2"/>
    </cacheField>
    <cacheField name="Max continuous win" numFmtId="0">
      <sharedItems containsSemiMixedTypes="0" containsString="0" containsNumber="1" containsInteger="1" minValue="9" maxValue="9"/>
    </cacheField>
    <cacheField name="Max Continuous Loss" numFmtId="0">
      <sharedItems containsSemiMixedTypes="0" containsString="0" containsNumber="1" containsInteger="1" minValue="8" maxValue="8"/>
    </cacheField>
    <cacheField name="Total duration (months)" numFmtId="0">
      <sharedItems containsSemiMixedTypes="0" containsString="0" containsNumber="1" containsInteger="1" minValue="10" maxValue="10" count="1">
        <n v="1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1">
  <r>
    <n v="1"/>
    <x v="0"/>
    <x v="0"/>
    <x v="0"/>
    <n v="146.35"/>
    <n v="141.19999999999999"/>
    <n v="160.98499999999999"/>
    <x v="0"/>
    <n v="7097.9749999999958"/>
    <n v="485"/>
    <x v="0"/>
    <n v="1.4200000000000001E-2"/>
    <s v=""/>
    <s v="Long"/>
    <n v="2.84"/>
    <x v="0"/>
  </r>
  <r>
    <n v="2"/>
    <x v="1"/>
    <x v="0"/>
    <x v="1"/>
    <n v="211.75"/>
    <n v="209.05"/>
    <n v="232.92500000000001"/>
    <x v="0"/>
    <n v="19608.05000000001"/>
    <n v="926"/>
    <x v="1"/>
    <n v="5.3400000000000003E-2"/>
    <s v=""/>
    <s v="Long"/>
    <n v="7.84"/>
    <x v="0"/>
  </r>
  <r>
    <n v="3"/>
    <x v="2"/>
    <x v="0"/>
    <x v="1"/>
    <n v="1001.25"/>
    <n v="964.1"/>
    <n v="1101.375"/>
    <x v="0"/>
    <n v="6708.375"/>
    <n v="67"/>
    <x v="2"/>
    <n v="6.6799999999999998E-2"/>
    <s v=""/>
    <s v="Long"/>
    <n v="2.7"/>
    <x v="0"/>
  </r>
  <r>
    <n v="4"/>
    <x v="1"/>
    <x v="0"/>
    <x v="2"/>
    <n v="211.25"/>
    <n v="209.7"/>
    <n v="232.375"/>
    <x v="0"/>
    <n v="34074.625"/>
    <n v="1613"/>
    <x v="3"/>
    <n v="0.13500000000000001"/>
    <s v=""/>
    <s v="Long"/>
    <n v="13.63"/>
    <x v="0"/>
  </r>
  <r>
    <n v="5"/>
    <x v="1"/>
    <x v="0"/>
    <x v="3"/>
    <n v="212.65"/>
    <n v="209.7"/>
    <n v="233.91500000000002"/>
    <x v="0"/>
    <n v="18011.455000000013"/>
    <n v="847"/>
    <x v="4"/>
    <n v="0.17100000000000001"/>
    <s v=""/>
    <s v="Long"/>
    <n v="7.21"/>
    <x v="0"/>
  </r>
  <r>
    <n v="6"/>
    <x v="3"/>
    <x v="0"/>
    <x v="4"/>
    <n v="1840.05"/>
    <n v="1796.75"/>
    <n v="2024.0549999999998"/>
    <x v="0"/>
    <n v="10672.289999999994"/>
    <n v="58"/>
    <x v="5"/>
    <n v="0.1923"/>
    <s v=""/>
    <s v="Long"/>
    <n v="4.25"/>
    <x v="0"/>
  </r>
  <r>
    <n v="7"/>
    <x v="4"/>
    <x v="0"/>
    <x v="5"/>
    <n v="301.95"/>
    <n v="293.10000000000002"/>
    <n v="332.14499999999998"/>
    <x v="0"/>
    <n v="8514.989999999998"/>
    <n v="282"/>
    <x v="6"/>
    <n v="0.2094"/>
    <s v=""/>
    <s v="Long"/>
    <n v="3.41"/>
    <x v="0"/>
  </r>
  <r>
    <n v="8"/>
    <x v="5"/>
    <x v="0"/>
    <x v="6"/>
    <n v="811.35"/>
    <n v="783.05"/>
    <n v="892.48500000000001"/>
    <x v="0"/>
    <n v="7139.8799999999992"/>
    <n v="88"/>
    <x v="7"/>
    <n v="0.22370000000000001"/>
    <s v=""/>
    <s v="Long"/>
    <n v="2.87"/>
    <x v="1"/>
  </r>
  <r>
    <n v="9"/>
    <x v="6"/>
    <x v="0"/>
    <x v="7"/>
    <n v="7403.45"/>
    <n v="6974"/>
    <n v="8143.7950000000001"/>
    <x v="0"/>
    <n v="4442.0700000000015"/>
    <n v="6"/>
    <x v="8"/>
    <n v="0.23250000000000001"/>
    <s v=""/>
    <s v="Long"/>
    <n v="1.72"/>
    <x v="1"/>
  </r>
  <r>
    <n v="10"/>
    <x v="7"/>
    <x v="0"/>
    <x v="8"/>
    <n v="3913.4"/>
    <n v="3822.8"/>
    <n v="4304.74"/>
    <x v="1"/>
    <n v="-2536.7999999999975"/>
    <n v="28"/>
    <x v="9"/>
    <n v="0.22750000000000001"/>
    <n v="-4.1163794988397697E-3"/>
    <s v="Long"/>
    <n v="4.32"/>
    <x v="1"/>
  </r>
  <r>
    <n v="11"/>
    <x v="5"/>
    <x v="0"/>
    <x v="9"/>
    <n v="806.05"/>
    <n v="783.05"/>
    <n v="886.65499999999997"/>
    <x v="0"/>
    <n v="8785.9450000000015"/>
    <n v="109"/>
    <x v="10"/>
    <n v="0.245"/>
    <s v=""/>
    <s v="Long"/>
    <n v="3.5"/>
    <x v="1"/>
  </r>
  <r>
    <n v="12"/>
    <x v="7"/>
    <x v="0"/>
    <x v="10"/>
    <n v="3899.25"/>
    <n v="3822.8"/>
    <n v="4289.1750000000002"/>
    <x v="1"/>
    <n v="-2522.849999999994"/>
    <n v="33"/>
    <x v="11"/>
    <n v="0.24"/>
    <n v="-4.052648333037201E-3"/>
    <s v="Long"/>
    <n v="5.0999999999999996"/>
    <x v="2"/>
  </r>
  <r>
    <n v="13"/>
    <x v="5"/>
    <x v="0"/>
    <x v="11"/>
    <n v="812.1"/>
    <n v="783.05"/>
    <n v="893.31000000000006"/>
    <x v="0"/>
    <n v="6984.0600000000031"/>
    <n v="86"/>
    <x v="12"/>
    <n v="0.254"/>
    <s v=""/>
    <s v="Long"/>
    <n v="2.8"/>
    <x v="2"/>
  </r>
  <r>
    <n v="14"/>
    <x v="7"/>
    <x v="0"/>
    <x v="12"/>
    <n v="3899.25"/>
    <n v="3822.8"/>
    <n v="4289.1750000000002"/>
    <x v="1"/>
    <n v="-2522.849999999994"/>
    <n v="33"/>
    <x v="13"/>
    <n v="0.24890000000000001"/>
    <n v="-4.0238121446492508E-3"/>
    <s v="Long"/>
    <n v="5.0999999999999996"/>
    <x v="2"/>
  </r>
  <r>
    <n v="15"/>
    <x v="5"/>
    <x v="0"/>
    <x v="13"/>
    <n v="803.05"/>
    <n v="783.05"/>
    <n v="883.35500000000002"/>
    <x v="0"/>
    <n v="10038.125000000007"/>
    <n v="125"/>
    <x v="14"/>
    <n v="0.26900000000000002"/>
    <s v=""/>
    <s v="Long"/>
    <n v="4.0199999999999996"/>
    <x v="2"/>
  </r>
  <r>
    <n v="16"/>
    <x v="5"/>
    <x v="0"/>
    <x v="14"/>
    <n v="827.85"/>
    <n v="783.05"/>
    <n v="910.63499999999999"/>
    <x v="0"/>
    <n v="4635.9599999999982"/>
    <n v="56"/>
    <x v="15"/>
    <n v="0.27829999999999999"/>
    <s v=""/>
    <s v="Long"/>
    <n v="1.85"/>
    <x v="3"/>
  </r>
  <r>
    <n v="17"/>
    <x v="8"/>
    <x v="0"/>
    <x v="15"/>
    <n v="5042.7"/>
    <n v="4950"/>
    <n v="5546.9699999999993"/>
    <x v="1"/>
    <n v="-2502.8999999999951"/>
    <n v="27"/>
    <x v="16"/>
    <n v="0.27329999999999999"/>
    <n v="-3.9160967394337018E-3"/>
    <s v="Long"/>
    <n v="5.44"/>
    <x v="3"/>
  </r>
  <r>
    <n v="18"/>
    <x v="8"/>
    <x v="0"/>
    <x v="16"/>
    <n v="5034.6000000000004"/>
    <n v="4950"/>
    <n v="5538.06"/>
    <x v="1"/>
    <n v="-2538.0000000000109"/>
    <n v="30"/>
    <x v="17"/>
    <n v="0.26819999999999999"/>
    <n v="-7.8871117718691333E-3"/>
    <s v="Long"/>
    <n v="5.95"/>
    <x v="3"/>
  </r>
  <r>
    <n v="19"/>
    <x v="9"/>
    <x v="0"/>
    <x v="17"/>
    <n v="447.2"/>
    <n v="435.7"/>
    <n v="491.91999999999996"/>
    <x v="1"/>
    <n v="-2495.5"/>
    <n v="217"/>
    <x v="18"/>
    <n v="0.26319999999999999"/>
    <n v="-1.1791630295684193E-2"/>
    <s v="Long"/>
    <n v="3.89"/>
    <x v="3"/>
  </r>
  <r>
    <n v="20"/>
    <x v="10"/>
    <x v="0"/>
    <x v="18"/>
    <n v="916"/>
    <n v="898.05"/>
    <n v="1007.6"/>
    <x v="1"/>
    <n v="-2495.0500000000065"/>
    <n v="139"/>
    <x v="19"/>
    <n v="0.25819999999999999"/>
    <n v="-1.5695444738819633E-2"/>
    <s v="Long"/>
    <n v="5.0999999999999996"/>
    <x v="3"/>
  </r>
  <r>
    <n v="21"/>
    <x v="6"/>
    <x v="0"/>
    <x v="19"/>
    <n v="7492.5"/>
    <n v="7164.25"/>
    <n v="8241.75"/>
    <x v="0"/>
    <n v="5994"/>
    <n v="8"/>
    <x v="20"/>
    <n v="0.2702"/>
    <n v="-6.3170900877487198E-3"/>
    <s v="Long"/>
    <n v="2.2799999999999998"/>
    <x v="4"/>
  </r>
  <r>
    <n v="22"/>
    <x v="9"/>
    <x v="0"/>
    <x v="20"/>
    <n v="449.45"/>
    <n v="435.7"/>
    <n v="494.39499999999998"/>
    <x v="1"/>
    <n v="-2502.5"/>
    <n v="182"/>
    <x v="21"/>
    <n v="0.26519999999999999"/>
    <n v="-1.0232560977689487E-2"/>
    <s v="Long"/>
    <n v="3.27"/>
    <x v="4"/>
  </r>
  <r>
    <n v="23"/>
    <x v="11"/>
    <x v="0"/>
    <x v="21"/>
    <n v="703.4"/>
    <n v="699"/>
    <n v="773.74"/>
    <x v="1"/>
    <n v="-2499.1999999999871"/>
    <n v="568"/>
    <x v="22"/>
    <n v="0.26019999999999999"/>
    <n v="-1.4142868609313958E-2"/>
    <s v="Long"/>
    <n v="15.99"/>
    <x v="4"/>
  </r>
  <r>
    <n v="24"/>
    <x v="7"/>
    <x v="0"/>
    <x v="22"/>
    <n v="3978.75"/>
    <n v="3830.35"/>
    <n v="4376.625"/>
    <x v="1"/>
    <n v="-2522.8000000000015"/>
    <n v="17"/>
    <x v="23"/>
    <n v="0.25509999999999999"/>
    <n v="-1.809010136101917E-2"/>
    <s v="Long"/>
    <n v="2.68"/>
    <x v="4"/>
  </r>
  <r>
    <n v="25"/>
    <x v="11"/>
    <x v="0"/>
    <x v="23"/>
    <n v="703.6"/>
    <n v="689.05"/>
    <n v="773.96"/>
    <x v="1"/>
    <n v="-2502.6000000000117"/>
    <n v="172"/>
    <x v="24"/>
    <n v="0.25009999999999999"/>
    <n v="-2.2005728713333311E-2"/>
    <s v="Long"/>
    <n v="4.84"/>
    <x v="4"/>
  </r>
  <r>
    <n v="26"/>
    <x v="12"/>
    <x v="1"/>
    <x v="24"/>
    <n v="646"/>
    <n v="640"/>
    <n v="710.6"/>
    <x v="0"/>
    <n v="26938.200000000008"/>
    <n v="417"/>
    <x v="25"/>
    <n v="0.30399999999999999"/>
    <s v=""/>
    <s v="Long"/>
    <n v="10.77"/>
    <x v="5"/>
  </r>
  <r>
    <n v="27"/>
    <x v="13"/>
    <x v="1"/>
    <x v="25"/>
    <n v="345"/>
    <n v="328"/>
    <n v="379.5"/>
    <x v="0"/>
    <n v="5071.5"/>
    <n v="147"/>
    <x v="26"/>
    <n v="0.31419999999999998"/>
    <s v=""/>
    <s v="Long"/>
    <n v="2.0299999999999998"/>
    <x v="5"/>
  </r>
  <r>
    <n v="28"/>
    <x v="14"/>
    <x v="1"/>
    <x v="26"/>
    <n v="543"/>
    <n v="537"/>
    <n v="597.29999999999995"/>
    <x v="1"/>
    <n v="-2502"/>
    <n v="417"/>
    <x v="27"/>
    <n v="0.30909999999999999"/>
    <n v="-3.8077760966779431E-3"/>
    <s v="Long"/>
    <n v="9.0500000000000007"/>
    <x v="5"/>
  </r>
  <r>
    <n v="29"/>
    <x v="15"/>
    <x v="1"/>
    <x v="27"/>
    <n v="2546"/>
    <n v="2432"/>
    <n v="2800.6"/>
    <x v="1"/>
    <n v="-2508"/>
    <n v="22"/>
    <x v="28"/>
    <n v="0.30409999999999998"/>
    <n v="-7.6246835509018764E-3"/>
    <s v="Long"/>
    <n v="2.23"/>
    <x v="5"/>
  </r>
  <r>
    <n v="30"/>
    <x v="16"/>
    <x v="0"/>
    <x v="28"/>
    <n v="875"/>
    <n v="853"/>
    <n v="962.5"/>
    <x v="0"/>
    <n v="9975"/>
    <n v="114"/>
    <x v="29"/>
    <n v="0.3241"/>
    <s v=""/>
    <s v="Long"/>
    <n v="3.98"/>
    <x v="5"/>
  </r>
  <r>
    <n v="31"/>
    <x v="17"/>
    <x v="1"/>
    <x v="29"/>
    <n v="114"/>
    <n v="109"/>
    <n v="125.4"/>
    <x v="0"/>
    <n v="5700.0000000000027"/>
    <n v="500"/>
    <x v="30"/>
    <n v="0.33550000000000002"/>
    <s v=""/>
    <s v="Long"/>
    <n v="2.2799999999999998"/>
    <x v="6"/>
  </r>
  <r>
    <n v="32"/>
    <x v="18"/>
    <x v="2"/>
    <x v="30"/>
    <n v="1123"/>
    <n v="1100"/>
    <n v="1235.3"/>
    <x v="0"/>
    <n v="12240.699999999995"/>
    <n v="109"/>
    <x v="31"/>
    <n v="0.36"/>
    <s v=""/>
    <s v="Long"/>
    <n v="4.88"/>
    <x v="7"/>
  </r>
  <r>
    <n v="33"/>
    <x v="19"/>
    <x v="2"/>
    <x v="31"/>
    <n v="56"/>
    <n v="54.5"/>
    <n v="61.6"/>
    <x v="1"/>
    <n v="-2500.5"/>
    <n v="1667"/>
    <x v="32"/>
    <n v="0.35499999999999998"/>
    <n v="-3.6773024115412441E-3"/>
    <s v="Long"/>
    <n v="3.73"/>
    <x v="7"/>
  </r>
  <r>
    <n v="34"/>
    <x v="10"/>
    <x v="0"/>
    <x v="32"/>
    <n v="895"/>
    <n v="888"/>
    <n v="984.5"/>
    <x v="1"/>
    <n v="-2499"/>
    <n v="357"/>
    <x v="33"/>
    <n v="0.35"/>
    <n v="-7.352398882823615E-3"/>
    <s v="Long"/>
    <n v="12.79"/>
    <x v="7"/>
  </r>
  <r>
    <n v="35"/>
    <x v="20"/>
    <x v="1"/>
    <x v="33"/>
    <n v="23"/>
    <n v="22.7"/>
    <n v="25.3"/>
    <x v="0"/>
    <n v="19165.900000000005"/>
    <n v="8333"/>
    <x v="34"/>
    <n v="0.38829999999999998"/>
    <s v=""/>
    <s v="Long"/>
    <n v="7.67"/>
    <x v="8"/>
  </r>
  <r>
    <n v="36"/>
    <x v="21"/>
    <x v="0"/>
    <x v="34"/>
    <n v="1234"/>
    <n v="1228"/>
    <n v="1357.4"/>
    <x v="1"/>
    <n v="-2502"/>
    <n v="417"/>
    <x v="35"/>
    <n v="0.38329999999999997"/>
    <n v="-3.6044157983186739E-3"/>
    <s v="Long"/>
    <n v="20.57"/>
    <x v="8"/>
  </r>
  <r>
    <n v="37"/>
    <x v="22"/>
    <x v="1"/>
    <x v="35"/>
    <n v="432"/>
    <n v="423"/>
    <n v="475.2"/>
    <x v="0"/>
    <n v="12009.599999999997"/>
    <n v="278"/>
    <x v="36"/>
    <n v="0.4073"/>
    <s v=""/>
    <s v="Long"/>
    <n v="4.8"/>
    <x v="8"/>
  </r>
  <r>
    <n v="38"/>
    <x v="23"/>
    <x v="2"/>
    <x v="36"/>
    <n v="38"/>
    <n v="37.5"/>
    <n v="41.8"/>
    <x v="0"/>
    <n v="18999.999999999985"/>
    <n v="5000"/>
    <x v="37"/>
    <n v="0.44529999999999997"/>
    <s v=""/>
    <s v="Long"/>
    <n v="7.6"/>
    <x v="9"/>
  </r>
  <r>
    <n v="39"/>
    <x v="24"/>
    <x v="2"/>
    <x v="37"/>
    <n v="346"/>
    <n v="335"/>
    <n v="380.6"/>
    <x v="1"/>
    <n v="-2497"/>
    <n v="227"/>
    <x v="38"/>
    <n v="0.44030000000000002"/>
    <n v="-3.4553085862481072E-3"/>
    <s v="Long"/>
    <n v="3.15"/>
    <x v="9"/>
  </r>
  <r>
    <n v="40"/>
    <x v="23"/>
    <x v="2"/>
    <x v="38"/>
    <n v="45.95"/>
    <n v="43"/>
    <n v="50.545000000000002"/>
    <x v="1"/>
    <n v="-2498.6500000000024"/>
    <n v="847"/>
    <x v="39"/>
    <n v="0.43530000000000002"/>
    <n v="-6.9129004160554406E-3"/>
    <s v="Long"/>
    <n v="1.56"/>
    <x v="9"/>
  </r>
  <r>
    <n v="41"/>
    <x v="15"/>
    <x v="1"/>
    <x v="39"/>
    <n v="2345"/>
    <n v="2312"/>
    <n v="2579.5"/>
    <x v="0"/>
    <n v="17822"/>
    <n v="76"/>
    <x v="40"/>
    <n v="0.47099999999999997"/>
    <s v=""/>
    <s v="Long"/>
    <n v="7.11"/>
    <x v="9"/>
  </r>
  <r>
    <n v="42"/>
    <x v="16"/>
    <x v="0"/>
    <x v="40"/>
    <n v="767"/>
    <n v="765"/>
    <n v="843.7"/>
    <x v="1"/>
    <n v="-2500"/>
    <n v="1250"/>
    <x v="41"/>
    <n v="0.46600000000000003"/>
    <n v="-3.3991291431135343E-3"/>
    <s v="Long"/>
    <n v="38.35"/>
    <x v="10"/>
  </r>
  <r>
    <n v="43"/>
    <x v="17"/>
    <x v="1"/>
    <x v="41"/>
    <n v="123"/>
    <n v="107"/>
    <n v="135.30000000000001"/>
    <x v="1"/>
    <n v="-2496"/>
    <n v="156"/>
    <x v="42"/>
    <n v="0.46100000000000002"/>
    <n v="-6.7928196795980873E-3"/>
    <s v="Long"/>
    <n v="0.77"/>
    <x v="10"/>
  </r>
  <r>
    <n v="44"/>
    <x v="18"/>
    <x v="2"/>
    <x v="42"/>
    <n v="1424"/>
    <n v="1324"/>
    <n v="1566.4"/>
    <x v="1"/>
    <n v="-2500"/>
    <n v="25"/>
    <x v="43"/>
    <n v="0.45600000000000002"/>
    <n v="-1.0191948822711622E-2"/>
    <s v="Long"/>
    <n v="1.42"/>
    <x v="10"/>
  </r>
  <r>
    <n v="45"/>
    <x v="19"/>
    <x v="2"/>
    <x v="43"/>
    <n v="45"/>
    <n v="41"/>
    <n v="49.5"/>
    <x v="1"/>
    <n v="-2500"/>
    <n v="625"/>
    <x v="44"/>
    <n v="0.45100000000000001"/>
    <n v="-1.3591077965825156E-2"/>
    <s v="Long"/>
    <n v="1.1299999999999999"/>
    <x v="10"/>
  </r>
  <r>
    <n v="46"/>
    <x v="10"/>
    <x v="0"/>
    <x v="44"/>
    <n v="863"/>
    <n v="823"/>
    <n v="949.3"/>
    <x v="1"/>
    <n v="-2520"/>
    <n v="63"/>
    <x v="45"/>
    <n v="0.44590000000000002"/>
    <n v="-1.7017400142083597E-2"/>
    <s v="Long"/>
    <n v="2.16"/>
    <x v="10"/>
  </r>
  <r>
    <n v="47"/>
    <x v="20"/>
    <x v="1"/>
    <x v="45"/>
    <n v="21"/>
    <n v="20"/>
    <n v="23.1"/>
    <x v="1"/>
    <n v="-2500"/>
    <n v="2500"/>
    <x v="46"/>
    <n v="0.44090000000000001"/>
    <n v="-2.0416529285197133E-2"/>
    <s v="Long"/>
    <n v="2.1"/>
    <x v="10"/>
  </r>
  <r>
    <n v="48"/>
    <x v="21"/>
    <x v="0"/>
    <x v="46"/>
    <n v="1432"/>
    <n v="1325"/>
    <n v="1575.2"/>
    <x v="1"/>
    <n v="-2461"/>
    <n v="23"/>
    <x v="47"/>
    <n v="0.436"/>
    <n v="-2.3762632013678096E-2"/>
    <s v="Long"/>
    <n v="1.34"/>
    <x v="10"/>
  </r>
  <r>
    <n v="49"/>
    <x v="22"/>
    <x v="1"/>
    <x v="47"/>
    <n v="564"/>
    <n v="543"/>
    <n v="620.4"/>
    <x v="1"/>
    <n v="-2499"/>
    <n v="119"/>
    <x v="48"/>
    <n v="0.43099999999999999"/>
    <n v="-2.7160401505134383E-2"/>
    <s v="Long"/>
    <n v="2.69"/>
    <x v="10"/>
  </r>
  <r>
    <n v="50"/>
    <x v="23"/>
    <x v="2"/>
    <x v="48"/>
    <n v="36"/>
    <n v="34"/>
    <n v="39.6"/>
    <x v="0"/>
    <n v="4500.0000000000018"/>
    <n v="1250"/>
    <x v="49"/>
    <n v="0.44"/>
    <n v="-2.1041969047530022E-2"/>
    <s v="Long"/>
    <n v="1.8"/>
    <x v="11"/>
  </r>
  <r>
    <n v="51"/>
    <x v="24"/>
    <x v="2"/>
    <x v="49"/>
    <n v="254"/>
    <n v="231"/>
    <n v="279.39999999999998"/>
    <x v="0"/>
    <n v="2768.5999999999976"/>
    <n v="109"/>
    <x v="50"/>
    <n v="0.4456"/>
    <n v="-1.7277637469280245E-2"/>
    <s v="Long"/>
    <n v="1.1000000000000001"/>
    <x v="11"/>
  </r>
</pivotCacheRecords>
</file>

<file path=xl/pivotCache/pivotCacheRecords2.xml><?xml version="1.0" encoding="utf-8"?>
<pivotCacheRecords xmlns="http://schemas.openxmlformats.org/spreadsheetml/2006/main" xmlns:r="http://schemas.openxmlformats.org/officeDocument/2006/relationships" count="1">
  <r>
    <n v="5.4835294117647067"/>
    <n v="51"/>
    <x v="0"/>
    <x v="0"/>
    <n v="0.49019607843137253"/>
    <n v="222775.10000000003"/>
    <n v="500000"/>
    <n v="5.0000000000000001E-3"/>
    <n v="0.44555020000000006"/>
    <n v="-2.7160401505134383E-2"/>
    <n v="9"/>
    <n v="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N50:O63" firstHeaderRow="1" firstDataRow="1" firstDataCol="1"/>
  <pivotFields count="16">
    <pivotField showAll="0"/>
    <pivotField showAll="0"/>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Sum of PnL Per Trad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 Gain"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B8:B9" firstHeaderRow="1" firstDataRow="1" firstDataCol="0"/>
  <pivotFields count="13">
    <pivotField showAll="0"/>
    <pivotField showAll="0"/>
    <pivotField showAll="0"/>
    <pivotField showAll="0"/>
    <pivotField numFmtId="10" showAll="0"/>
    <pivotField dataField="1" showAll="0"/>
    <pivotField numFmtId="165" showAll="0"/>
    <pivotField numFmtId="10" showAll="0"/>
    <pivotField numFmtId="10" showAll="0"/>
    <pivotField numFmtId="10" showAll="0"/>
    <pivotField showAll="0"/>
    <pivotField showAll="0"/>
    <pivotField showAll="0"/>
  </pivotFields>
  <rowItems count="1">
    <i/>
  </rowItems>
  <colItems count="1">
    <i/>
  </colItems>
  <dataFields count="1">
    <dataField name="Sum of Total Gain" fld="5" baseField="0" baseItem="0" numFmtId="166"/>
  </dataFields>
  <formats count="2">
    <format dxfId="29">
      <pivotArea dataOnly="0" labelOnly="1" outline="0" axis="axisValues" fieldPosition="0"/>
    </format>
    <format dxfId="28">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R3:S29" firstHeaderRow="1" firstDataRow="1" firstDataCol="1"/>
  <pivotFields count="16">
    <pivotField showAll="0"/>
    <pivotField axis="axisRow" showAll="0" sortType="ascending">
      <items count="28">
        <item x="16"/>
        <item x="7"/>
        <item x="9"/>
        <item x="10"/>
        <item x="0"/>
        <item x="8"/>
        <item x="13"/>
        <item x="14"/>
        <item m="1" x="26"/>
        <item x="11"/>
        <item x="24"/>
        <item x="2"/>
        <item x="21"/>
        <item x="1"/>
        <item x="3"/>
        <item x="5"/>
        <item x="6"/>
        <item x="19"/>
        <item x="15"/>
        <item x="22"/>
        <item x="20"/>
        <item x="23"/>
        <item x="17"/>
        <item x="12"/>
        <item x="4"/>
        <item x="18"/>
        <item m="1" x="25"/>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showAll="0"/>
  </pivotFields>
  <rowFields count="1">
    <field x="1"/>
  </rowFields>
  <rowItems count="26">
    <i>
      <x v="1"/>
    </i>
    <i>
      <x v="3"/>
    </i>
    <i>
      <x v="5"/>
    </i>
    <i>
      <x v="9"/>
    </i>
    <i>
      <x v="17"/>
    </i>
    <i>
      <x v="2"/>
    </i>
    <i>
      <x v="12"/>
    </i>
    <i>
      <x v="7"/>
    </i>
    <i>
      <x v="10"/>
    </i>
    <i>
      <x v="22"/>
    </i>
    <i>
      <x v="6"/>
    </i>
    <i>
      <x v="11"/>
    </i>
    <i>
      <x v="4"/>
    </i>
    <i>
      <x/>
    </i>
    <i>
      <x v="24"/>
    </i>
    <i>
      <x v="19"/>
    </i>
    <i>
      <x v="25"/>
    </i>
    <i>
      <x v="16"/>
    </i>
    <i>
      <x v="14"/>
    </i>
    <i>
      <x v="18"/>
    </i>
    <i>
      <x v="20"/>
    </i>
    <i>
      <x v="21"/>
    </i>
    <i>
      <x v="23"/>
    </i>
    <i>
      <x v="15"/>
    </i>
    <i>
      <x v="13"/>
    </i>
    <i t="grand">
      <x/>
    </i>
  </rowItems>
  <colItems count="1">
    <i/>
  </colItems>
  <dataFields count="1">
    <dataField name="Sum of PnL Per Trade" fld="8" baseField="0" baseItem="0"/>
  </dataFields>
  <formats count="3">
    <format dxfId="32">
      <pivotArea field="1" type="button" dataOnly="0" labelOnly="1" outline="0" axis="axisRow" fieldPosition="0"/>
    </format>
    <format dxfId="31">
      <pivotArea dataOnly="0" labelOnly="1" outline="0" axis="axisValues" fieldPosition="0"/>
    </format>
    <format dxfId="30">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23:K26" firstHeaderRow="1" firstDataRow="1" firstDataCol="1"/>
  <pivotFields count="13">
    <pivotField numFmtId="2" showAll="0"/>
    <pivotField showAll="0"/>
    <pivotField axis="axisRow" showAll="0">
      <items count="3">
        <item m="1" x="1"/>
        <item x="0"/>
        <item t="default"/>
      </items>
    </pivotField>
    <pivotField axis="axisRow" showAll="0">
      <items count="3">
        <item m="1" x="1"/>
        <item x="0"/>
        <item t="default"/>
      </items>
    </pivotField>
    <pivotField numFmtId="10" showAll="0"/>
    <pivotField showAll="0"/>
    <pivotField numFmtId="165" showAll="0"/>
    <pivotField numFmtId="10" showAll="0"/>
    <pivotField numFmtId="10" showAll="0"/>
    <pivotField numFmtId="10" showAll="0"/>
    <pivotField showAll="0"/>
    <pivotField showAll="0"/>
    <pivotField showAll="0"/>
  </pivotFields>
  <rowFields count="2">
    <field x="2"/>
    <field x="3"/>
  </rowFields>
  <rowItems count="3">
    <i>
      <x v="1"/>
    </i>
    <i r="1">
      <x v="1"/>
    </i>
    <i t="grand">
      <x/>
    </i>
  </rowItems>
  <colItems count="1">
    <i/>
  </colItems>
  <formats count="1">
    <format dxfId="33">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otal trades"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11:B12" firstHeaderRow="1" firstDataRow="1" firstDataCol="0"/>
  <pivotFields count="13">
    <pivotField showAll="0"/>
    <pivotField dataField="1" showAll="0"/>
    <pivotField showAll="0"/>
    <pivotField showAll="0"/>
    <pivotField numFmtId="10" showAll="0"/>
    <pivotField showAll="0"/>
    <pivotField numFmtId="165" showAll="0"/>
    <pivotField numFmtId="10" showAll="0"/>
    <pivotField numFmtId="10" showAll="0"/>
    <pivotField numFmtId="10" showAll="0"/>
    <pivotField showAll="0"/>
    <pivotField showAll="0"/>
    <pivotField showAll="0"/>
  </pivotFields>
  <rowItems count="1">
    <i/>
  </rowItems>
  <colItems count="1">
    <i/>
  </colItems>
  <dataFields count="1">
    <dataField name="Sum of Total trades" fld="1" baseField="0" baseItem="0"/>
  </dataFields>
  <formats count="1">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op 5 most traded"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3:F29" firstHeaderRow="0" firstDataRow="1" firstDataCol="1" rowPageCount="1" colPageCount="1"/>
  <pivotFields count="16">
    <pivotField showAll="0"/>
    <pivotField axis="axisRow" dataField="1" showAll="0" sortType="descending">
      <items count="28">
        <item x="0"/>
        <item m="1" x="26"/>
        <item x="1"/>
        <item m="1" x="25"/>
        <item x="2"/>
        <item x="3"/>
        <item x="4"/>
        <item x="5"/>
        <item x="6"/>
        <item x="7"/>
        <item x="8"/>
        <item x="9"/>
        <item x="10"/>
        <item x="11"/>
        <item x="12"/>
        <item x="13"/>
        <item x="14"/>
        <item x="15"/>
        <item x="16"/>
        <item x="17"/>
        <item x="18"/>
        <item x="19"/>
        <item x="20"/>
        <item x="21"/>
        <item x="22"/>
        <item x="23"/>
        <item x="24"/>
        <item t="default"/>
      </items>
      <autoSortScope>
        <pivotArea dataOnly="0" outline="0" fieldPosition="0">
          <references count="1">
            <reference field="4294967294" count="1" selected="0">
              <x v="0"/>
            </reference>
          </references>
        </pivotArea>
      </autoSortScope>
    </pivotField>
    <pivotField showAll="0" defaultSubtotal="0"/>
    <pivotField showAll="0"/>
    <pivotField showAll="0"/>
    <pivotField showAll="0"/>
    <pivotField showAll="0"/>
    <pivotField showAll="0"/>
    <pivotField dataField="1" showAll="0"/>
    <pivotField showAll="0"/>
    <pivotField showAll="0"/>
    <pivotField showAll="0"/>
    <pivotField showAll="0"/>
    <pivotField showAll="0"/>
    <pivotField showAll="0"/>
    <pivotField axis="axisPage" multipleItemSelectionAllowed="1" showAll="0" defaultSubtotal="0">
      <items count="12">
        <item x="0"/>
        <item x="1"/>
        <item x="2"/>
        <item x="3"/>
        <item x="4"/>
        <item x="5"/>
        <item x="6"/>
        <item x="7"/>
        <item x="8"/>
        <item x="9"/>
        <item x="10"/>
        <item x="11"/>
      </items>
    </pivotField>
  </pivotFields>
  <rowFields count="1">
    <field x="1"/>
  </rowFields>
  <rowItems count="26">
    <i>
      <x v="7"/>
    </i>
    <i>
      <x v="9"/>
    </i>
    <i>
      <x v="25"/>
    </i>
    <i>
      <x v="2"/>
    </i>
    <i>
      <x v="12"/>
    </i>
    <i>
      <x v="20"/>
    </i>
    <i>
      <x v="10"/>
    </i>
    <i>
      <x v="22"/>
    </i>
    <i>
      <x v="11"/>
    </i>
    <i>
      <x v="19"/>
    </i>
    <i>
      <x v="24"/>
    </i>
    <i>
      <x v="21"/>
    </i>
    <i>
      <x v="8"/>
    </i>
    <i>
      <x v="23"/>
    </i>
    <i>
      <x v="17"/>
    </i>
    <i>
      <x v="18"/>
    </i>
    <i>
      <x v="26"/>
    </i>
    <i>
      <x v="13"/>
    </i>
    <i>
      <x v="5"/>
    </i>
    <i>
      <x v="4"/>
    </i>
    <i>
      <x v="6"/>
    </i>
    <i>
      <x v="15"/>
    </i>
    <i>
      <x/>
    </i>
    <i>
      <x v="16"/>
    </i>
    <i>
      <x v="14"/>
    </i>
    <i t="grand">
      <x/>
    </i>
  </rowItems>
  <colFields count="1">
    <field x="-2"/>
  </colFields>
  <colItems count="2">
    <i>
      <x/>
    </i>
    <i i="1">
      <x v="1"/>
    </i>
  </colItems>
  <pageFields count="1">
    <pageField fld="15" hier="-1"/>
  </pageFields>
  <dataFields count="2">
    <dataField name="Count of Stock Name" fld="1" subtotal="count" baseField="1" baseItem="0">
      <extLst>
        <ext xmlns:x14="http://schemas.microsoft.com/office/spreadsheetml/2009/9/main" uri="{E15A36E0-9728-4e99-A89B-3F7291B0FE68}">
          <x14:dataField pivotShowAs="rankDescending"/>
        </ext>
      </extLst>
    </dataField>
    <dataField name="Sum of PnL Per Trade" fld="8" baseField="1" baseItem="0" numFmtId="2"/>
  </dataFields>
  <formats count="3">
    <format dxfId="37">
      <pivotArea field="1" type="button" dataOnly="0" labelOnly="1" outline="0" axis="axisRow" fieldPosition="0"/>
    </format>
    <format dxfId="36">
      <pivotArea dataOnly="0" labelOnly="1" outline="0" fieldPosition="0">
        <references count="1">
          <reference field="4294967294" count="2">
            <x v="0"/>
            <x v="1"/>
          </reference>
        </references>
      </pivotArea>
    </format>
    <format dxfId="3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Q50:R51" firstHeaderRow="0" firstDataRow="1" firstDataCol="0"/>
  <pivotFields count="13">
    <pivotField numFmtId="2" showAll="0"/>
    <pivotField showAll="0"/>
    <pivotField showAll="0"/>
    <pivotField showAll="0"/>
    <pivotField numFmtId="10" showAll="0"/>
    <pivotField dataField="1" showAll="0"/>
    <pivotField dataField="1" numFmtId="165" showAll="0"/>
    <pivotField numFmtId="10" showAll="0"/>
    <pivotField numFmtId="10" showAll="0"/>
    <pivotField numFmtId="10" showAll="0"/>
    <pivotField showAll="0"/>
    <pivotField showAll="0"/>
    <pivotField showAll="0">
      <items count="2">
        <item x="0"/>
        <item t="default"/>
      </items>
    </pivotField>
  </pivotFields>
  <rowItems count="1">
    <i/>
  </rowItems>
  <colFields count="1">
    <field x="-2"/>
  </colFields>
  <colItems count="2">
    <i>
      <x/>
    </i>
    <i i="1">
      <x v="1"/>
    </i>
  </colItems>
  <dataFields count="2">
    <dataField name="Sum of Total Gain" fld="5" baseField="0" baseItem="0"/>
    <dataField name="Sum of Starting Balance" fld="6" baseField="0" baseItem="0"/>
  </dataFields>
  <formats count="1">
    <format dxfId="3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dataPnl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K3:M16" firstHeaderRow="0" firstDataRow="1" firstDataCol="1"/>
  <pivotFields count="16">
    <pivotField showAll="0"/>
    <pivotField showAll="0"/>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axis="axisRow" showAll="0" defaultSubtotal="0">
      <items count="12">
        <item x="0"/>
        <item x="1"/>
        <item x="2"/>
        <item x="3"/>
        <item x="4"/>
        <item x="5"/>
        <item x="6"/>
        <item x="7"/>
        <item x="8"/>
        <item x="9"/>
        <item x="10"/>
        <item x="11"/>
      </items>
    </pivotField>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PnL Per Trade" fld="8" baseField="15" baseItem="5" numFmtId="167"/>
    <dataField name="Sum of PnL Per Trade2" fld="8" baseField="0" baseItem="0"/>
  </dataFields>
  <formats count="4">
    <format dxfId="42">
      <pivotArea field="15" type="button" dataOnly="0" labelOnly="1" outline="0" axis="axisRow" fieldPosition="0"/>
    </format>
    <format dxfId="41">
      <pivotArea dataOnly="0" labelOnly="1" outline="0" axis="axisValues" fieldPosition="0"/>
    </format>
    <format dxfId="40">
      <pivotArea outline="0" fieldPosition="0">
        <references count="1">
          <reference field="4294967294" count="1">
            <x v="0"/>
          </reference>
        </references>
      </pivotArea>
    </format>
    <format dxfId="39">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N34:Q48" firstHeaderRow="1" firstDataRow="2" firstDataCol="1"/>
  <pivotFields count="16">
    <pivotField dataField="1" showAll="0"/>
    <pivotField showAll="0"/>
    <pivotField showAll="0"/>
    <pivotField numFmtId="164" showAll="0"/>
    <pivotField showAll="0"/>
    <pivotField showAll="0"/>
    <pivotField showAll="0"/>
    <pivotField axis="axisCol" showAll="0">
      <items count="3">
        <item x="1"/>
        <item x="0"/>
        <item t="default"/>
      </items>
    </pivotField>
    <pivotField showAll="0"/>
    <pivotField showAll="0"/>
    <pivotField showAll="0"/>
    <pivotField numFmtId="10" showAll="0"/>
    <pivotField showAll="0"/>
    <pivotField showAll="0"/>
    <pivotField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Fields count="1">
    <field x="7"/>
  </colFields>
  <colItems count="3">
    <i>
      <x/>
    </i>
    <i>
      <x v="1"/>
    </i>
    <i t="grand">
      <x/>
    </i>
  </colItems>
  <dataFields count="1">
    <dataField name="Count of No. of Trades" fld="0" subtotal="count" baseField="15" baseItem="0"/>
  </dataFields>
  <formats count="6">
    <format dxfId="48">
      <pivotArea type="origin" dataOnly="0" labelOnly="1" outline="0" fieldPosition="0"/>
    </format>
    <format dxfId="47">
      <pivotArea field="15" type="button" dataOnly="0" labelOnly="1" outline="0" axis="axisRow" fieldPosition="0"/>
    </format>
    <format dxfId="46">
      <pivotArea field="7" type="button" dataOnly="0" labelOnly="1" outline="0" axis="axisCol" fieldPosition="0"/>
    </format>
    <format dxfId="45">
      <pivotArea type="topRight" dataOnly="0" labelOnly="1" outline="0" fieldPosition="0"/>
    </format>
    <format dxfId="44">
      <pivotArea dataOnly="0" labelOnly="1" fieldPosition="0">
        <references count="1">
          <reference field="7" count="0"/>
        </references>
      </pivotArea>
    </format>
    <format dxfId="43">
      <pivotArea dataOnly="0" labelOnly="1" grandCol="1" outline="0" fieldPosition="0"/>
    </format>
  </formats>
  <chartFormats count="2">
    <chartFormat chart="3" format="5" series="1">
      <pivotArea type="data" outline="0" fieldPosition="0">
        <references count="2">
          <reference field="4294967294" count="1" selected="0">
            <x v="0"/>
          </reference>
          <reference field="7" count="1" selected="0">
            <x v="0"/>
          </reference>
        </references>
      </pivotArea>
    </chartFormat>
    <chartFormat chart="3" format="6"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O28:P29" firstHeaderRow="0" firstDataRow="1" firstDataCol="0"/>
  <pivotFields count="13">
    <pivotField numFmtId="2" showAll="0"/>
    <pivotField showAll="0"/>
    <pivotField showAll="0"/>
    <pivotField showAll="0"/>
    <pivotField numFmtId="10" showAll="0"/>
    <pivotField showAll="0"/>
    <pivotField numFmtId="165" showAll="0"/>
    <pivotField numFmtId="10" showAll="0"/>
    <pivotField numFmtId="10" showAll="0"/>
    <pivotField numFmtId="10" showAll="0"/>
    <pivotField dataField="1" showAll="0"/>
    <pivotField dataField="1" showAll="0"/>
    <pivotField showAll="0"/>
  </pivotFields>
  <rowItems count="1">
    <i/>
  </rowItems>
  <colFields count="1">
    <field x="-2"/>
  </colFields>
  <colItems count="2">
    <i>
      <x/>
    </i>
    <i i="1">
      <x v="1"/>
    </i>
  </colItems>
  <dataFields count="2">
    <dataField name="Sum of Max continuous win" fld="10" baseField="0" baseItem="0"/>
    <dataField name="Sum of Max Continuous Loss" fld="11" baseField="0" baseItem="0"/>
  </dataFields>
  <formats count="1">
    <format dxfId="4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Starting Balance"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2:B3" firstHeaderRow="1" firstDataRow="1" firstDataCol="0"/>
  <pivotFields count="13">
    <pivotField showAll="0"/>
    <pivotField showAll="0"/>
    <pivotField showAll="0"/>
    <pivotField showAll="0"/>
    <pivotField numFmtId="10" showAll="0"/>
    <pivotField showAll="0"/>
    <pivotField dataField="1" numFmtId="165" showAll="0"/>
    <pivotField numFmtId="10" showAll="0"/>
    <pivotField numFmtId="10" showAll="0"/>
    <pivotField numFmtId="10" showAll="0"/>
    <pivotField showAll="0"/>
    <pivotField showAll="0"/>
    <pivotField showAll="0"/>
  </pivotFields>
  <rowItems count="1">
    <i/>
  </rowItems>
  <colItems count="1">
    <i/>
  </colItems>
  <dataFields count="1">
    <dataField name="Sum of Starting Balance" fld="6" baseField="0" baseItem="1830472" numFmtId="165"/>
  </dataFields>
  <formats count="3">
    <format dxfId="52">
      <pivotArea dataOnly="0" labelOnly="1" outline="0" axis="axisValues" fieldPosition="0"/>
    </format>
    <format dxfId="51">
      <pivotArea dataOnly="0" labelOnly="1" outline="0" axis="axisValues" fieldPosition="0"/>
    </format>
    <format dxfId="5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rofit by mcap"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O22:P26" firstHeaderRow="1" firstDataRow="1" firstDataCol="1"/>
  <pivotFields count="16">
    <pivotField showAll="0"/>
    <pivotField showAll="0"/>
    <pivotField axis="axisRow" showAll="0">
      <items count="4">
        <item x="0"/>
        <item x="1"/>
        <item x="2"/>
        <item t="default"/>
      </items>
    </pivotField>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showAll="0"/>
  </pivotFields>
  <rowFields count="1">
    <field x="2"/>
  </rowFields>
  <rowItems count="4">
    <i>
      <x/>
    </i>
    <i>
      <x v="1"/>
    </i>
    <i>
      <x v="2"/>
    </i>
    <i t="grand">
      <x/>
    </i>
  </rowItems>
  <colItems count="1">
    <i/>
  </colItems>
  <dataFields count="1">
    <dataField name="Sum of PnL Per Trade" fld="8" baseField="0" baseItem="0"/>
  </dataFields>
  <formats count="2">
    <format dxfId="54">
      <pivotArea field="2" type="button" dataOnly="0" labelOnly="1" outline="0" axis="axisRow" fieldPosition="0"/>
    </format>
    <format dxfId="53">
      <pivotArea dataOnly="0" labelOnly="1" outline="0" axis="axisValues" fieldPosition="0"/>
    </format>
  </formats>
  <chartFormats count="3">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 chart="5" format="9">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S34:W48" firstHeaderRow="1" firstDataRow="2" firstDataCol="1"/>
  <pivotFields count="16">
    <pivotField showAll="0"/>
    <pivotField showAll="0"/>
    <pivotField axis="axisCol" showAll="0">
      <items count="4">
        <item x="0"/>
        <item x="1"/>
        <item x="2"/>
        <item t="default"/>
      </items>
    </pivotField>
    <pivotField numFmtId="164" showAll="0"/>
    <pivotField showAll="0"/>
    <pivotField showAll="0"/>
    <pivotField showAll="0"/>
    <pivotField showAll="0"/>
    <pivotField dataField="1" showAll="0"/>
    <pivotField showAll="0"/>
    <pivotField showAll="0">
      <items count="84">
        <item x="0"/>
        <item x="1"/>
        <item x="2"/>
        <item x="3"/>
        <item x="4"/>
        <item x="5"/>
        <item x="6"/>
        <item x="7"/>
        <item x="9"/>
        <item x="8"/>
        <item x="11"/>
        <item x="10"/>
        <item x="13"/>
        <item x="24"/>
        <item x="12"/>
        <item x="23"/>
        <item x="19"/>
        <item x="22"/>
        <item x="18"/>
        <item x="21"/>
        <item x="17"/>
        <item x="14"/>
        <item x="20"/>
        <item x="16"/>
        <item x="15"/>
        <item x="25"/>
        <item x="28"/>
        <item x="27"/>
        <item x="26"/>
        <item x="29"/>
        <item x="30"/>
        <item x="33"/>
        <item x="32"/>
        <item x="31"/>
        <item x="35"/>
        <item x="34"/>
        <item x="36"/>
        <item x="39"/>
        <item x="38"/>
        <item x="37"/>
        <item x="40"/>
        <item m="1" x="52"/>
        <item m="1" x="64"/>
        <item m="1" x="77"/>
        <item m="1" x="74"/>
        <item m="1" x="58"/>
        <item m="1" x="57"/>
        <item m="1" x="56"/>
        <item m="1" x="71"/>
        <item m="1" x="51"/>
        <item m="1" x="60"/>
        <item m="1" x="66"/>
        <item m="1" x="53"/>
        <item m="1" x="73"/>
        <item m="1" x="59"/>
        <item m="1" x="79"/>
        <item m="1" x="61"/>
        <item m="1" x="78"/>
        <item m="1" x="70"/>
        <item m="1" x="75"/>
        <item m="1" x="65"/>
        <item m="1" x="80"/>
        <item m="1" x="82"/>
        <item m="1" x="72"/>
        <item m="1" x="62"/>
        <item m="1" x="81"/>
        <item m="1" x="67"/>
        <item m="1" x="68"/>
        <item m="1" x="54"/>
        <item m="1" x="76"/>
        <item m="1" x="63"/>
        <item m="1" x="55"/>
        <item m="1" x="69"/>
        <item x="41"/>
        <item x="42"/>
        <item x="43"/>
        <item x="44"/>
        <item x="45"/>
        <item x="46"/>
        <item x="47"/>
        <item x="48"/>
        <item x="49"/>
        <item x="50"/>
        <item t="default"/>
      </items>
    </pivotField>
    <pivotField numFmtId="10" showAll="0"/>
    <pivotField showAll="0"/>
    <pivotField showAll="0"/>
    <pivotField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Fields count="1">
    <field x="2"/>
  </colFields>
  <colItems count="4">
    <i>
      <x/>
    </i>
    <i>
      <x v="1"/>
    </i>
    <i>
      <x v="2"/>
    </i>
    <i t="grand">
      <x/>
    </i>
  </colItems>
  <dataFields count="1">
    <dataField name="Sum of PnL Per Trade" fld="8" baseField="0" baseItem="0"/>
  </dataFields>
  <chartFormats count="3">
    <chartFormat chart="4" format="23" series="1">
      <pivotArea type="data" outline="0" fieldPosition="0">
        <references count="2">
          <reference field="4294967294" count="1" selected="0">
            <x v="0"/>
          </reference>
          <reference field="2" count="1" selected="0">
            <x v="0"/>
          </reference>
        </references>
      </pivotArea>
    </chartFormat>
    <chartFormat chart="4" format="24" series="1">
      <pivotArea type="data" outline="0" fieldPosition="0">
        <references count="2">
          <reference field="4294967294" count="1" selected="0">
            <x v="0"/>
          </reference>
          <reference field="2" count="1" selected="0">
            <x v="1"/>
          </reference>
        </references>
      </pivotArea>
    </chartFormat>
    <chartFormat chart="4" format="25"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Risk/Pos"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5:B6" firstHeaderRow="1" firstDataRow="1" firstDataCol="0"/>
  <pivotFields count="13">
    <pivotField showAll="0"/>
    <pivotField showAll="0"/>
    <pivotField showAll="0"/>
    <pivotField showAll="0"/>
    <pivotField numFmtId="10" showAll="0"/>
    <pivotField showAll="0"/>
    <pivotField numFmtId="165" showAll="0"/>
    <pivotField dataField="1" numFmtId="10" showAll="0"/>
    <pivotField numFmtId="10" showAll="0"/>
    <pivotField numFmtId="10" showAll="0"/>
    <pivotField showAll="0"/>
    <pivotField showAll="0"/>
    <pivotField showAll="0"/>
  </pivotFields>
  <rowItems count="1">
    <i/>
  </rowItems>
  <colItems count="1">
    <i/>
  </colItems>
  <dataFields count="1">
    <dataField name="Sum of Risk/Position(in %)" fld="7" baseField="0" baseItem="0" numFmtId="10"/>
  </dataFields>
  <formats count="1">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9">
  <location ref="K28:L31" firstHeaderRow="1" firstDataRow="1" firstDataCol="1"/>
  <pivotFields count="16">
    <pivotField showAll="0"/>
    <pivotField showAll="0"/>
    <pivotField showAll="0"/>
    <pivotField numFmtId="164" showAll="0"/>
    <pivotField showAll="0"/>
    <pivotField showAll="0"/>
    <pivotField showAll="0"/>
    <pivotField axis="axisRow" dataField="1" showAll="0">
      <items count="3">
        <item x="0"/>
        <item x="1"/>
        <item t="default"/>
      </items>
    </pivotField>
    <pivotField showAll="0"/>
    <pivotField showAll="0"/>
    <pivotField showAll="0"/>
    <pivotField numFmtId="10" showAll="0"/>
    <pivotField showAll="0"/>
    <pivotField showAll="0"/>
    <pivotField showAll="0"/>
    <pivotField showAll="0">
      <items count="13">
        <item x="0"/>
        <item x="1"/>
        <item x="2"/>
        <item x="3"/>
        <item x="4"/>
        <item x="5"/>
        <item x="6"/>
        <item x="7"/>
        <item x="8"/>
        <item x="9"/>
        <item x="10"/>
        <item x="11"/>
        <item t="default"/>
      </items>
    </pivotField>
  </pivotFields>
  <rowFields count="1">
    <field x="7"/>
  </rowFields>
  <rowItems count="3">
    <i>
      <x/>
    </i>
    <i>
      <x v="1"/>
    </i>
    <i t="grand">
      <x/>
    </i>
  </rowItems>
  <colItems count="1">
    <i/>
  </colItems>
  <dataFields count="1">
    <dataField name="Count of Win/Loss" fld="7" subtotal="count" baseField="0" baseItem="0"/>
  </dataFields>
  <formats count="2">
    <format dxfId="57">
      <pivotArea field="7" type="button" dataOnly="0" labelOnly="1" outline="0" axis="axisRow" fieldPosition="0"/>
    </format>
    <format dxfId="56">
      <pivotArea dataOnly="0" labelOnly="1" outline="0" axis="axisValues" fieldPosition="0"/>
    </format>
  </formats>
  <chartFormats count="11">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7" count="1" selected="0">
            <x v="0"/>
          </reference>
        </references>
      </pivotArea>
    </chartFormat>
    <chartFormat chart="0" format="8">
      <pivotArea type="data" outline="0" fieldPosition="0">
        <references count="2">
          <reference field="4294967294" count="1" selected="0">
            <x v="0"/>
          </reference>
          <reference field="7"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7"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month Trade"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7">
  <location ref="K34:L47" firstHeaderRow="1" firstDataRow="1" firstDataCol="1"/>
  <pivotFields count="16">
    <pivotField dataField="1" showAll="0"/>
    <pivotField showAll="0"/>
    <pivotField showAll="0">
      <items count="4">
        <item x="0"/>
        <item x="1"/>
        <item x="2"/>
        <item t="default"/>
      </items>
    </pivotField>
    <pivotField numFmtId="164" showAll="0"/>
    <pivotField showAll="0"/>
    <pivotField showAll="0"/>
    <pivotField showAll="0"/>
    <pivotField showAll="0"/>
    <pivotField showAll="0"/>
    <pivotField showAll="0"/>
    <pivotField showAll="0"/>
    <pivotField numFmtId="10" showAll="0"/>
    <pivotField showAll="0"/>
    <pivotField showAll="0"/>
    <pivotField showAll="0"/>
    <pivotField axis="axisRow" showAll="0" sortType="ascending">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Count of No. of Trades" fld="0" subtotal="count" baseField="15" baseItem="0"/>
  </dataFields>
  <formats count="2">
    <format dxfId="59">
      <pivotArea field="15" type="button" dataOnly="0" labelOnly="1" outline="0" axis="axisRow" fieldPosition="0"/>
    </format>
    <format dxfId="5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datePnl"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H10:I61" firstHeaderRow="1" firstDataRow="1" firstDataCol="1"/>
  <pivotFields count="16">
    <pivotField showAll="0"/>
    <pivotField showAll="0"/>
    <pivotField showAll="0"/>
    <pivotField axis="axisRow" numFmtId="164" showAll="0">
      <items count="80">
        <item m="1" x="74"/>
        <item m="1" x="65"/>
        <item m="1" x="76"/>
        <item m="1" x="60"/>
        <item m="1" x="51"/>
        <item m="1" x="63"/>
        <item m="1" x="77"/>
        <item m="1" x="61"/>
        <item m="1" x="73"/>
        <item m="1" x="56"/>
        <item m="1" x="58"/>
        <item m="1" x="55"/>
        <item m="1" x="67"/>
        <item m="1" x="50"/>
        <item m="1" x="62"/>
        <item m="1" x="75"/>
        <item m="1" x="66"/>
        <item m="1" x="53"/>
        <item m="1" x="72"/>
        <item m="1" x="69"/>
        <item m="1" x="52"/>
        <item m="1" x="64"/>
        <item m="1" x="59"/>
        <item m="1" x="68"/>
        <item m="1" x="71"/>
        <item m="1" x="54"/>
        <item m="1" x="78"/>
        <item m="1" x="57"/>
        <item m="1" x="70"/>
        <item n="11/23/2021" x="40"/>
        <item x="41"/>
        <item x="42"/>
        <item x="43"/>
        <item x="44"/>
        <item x="45"/>
        <item x="46"/>
        <item x="47"/>
        <item x="48"/>
        <item x="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pivotField showAll="0"/>
    <pivotField showAll="0"/>
    <pivotField dataField="1" showAll="0"/>
    <pivotField showAll="0"/>
    <pivotField showAll="0"/>
    <pivotField numFmtId="10" showAll="0"/>
    <pivotField showAll="0"/>
    <pivotField showAll="0"/>
    <pivotField showAll="0"/>
    <pivotField showAll="0" defaultSubtotal="0">
      <items count="12">
        <item x="0"/>
        <item x="1"/>
        <item x="2"/>
        <item x="3"/>
        <item x="4"/>
        <item x="5"/>
        <item x="6"/>
        <item x="7"/>
        <item x="8"/>
        <item x="9"/>
        <item x="10"/>
        <item x="11"/>
      </items>
    </pivotField>
  </pivotFields>
  <rowFields count="1">
    <field x="3"/>
  </rowFields>
  <rowItems count="51">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t="grand">
      <x/>
    </i>
  </rowItems>
  <colItems count="1">
    <i/>
  </colItems>
  <dataFields count="1">
    <dataField name="Sum of PnL Per Trade" fld="8" baseField="0" baseItem="0"/>
  </dataFields>
  <formats count="2">
    <format dxfId="61">
      <pivotArea field="3" type="button" dataOnly="0" labelOnly="1" outline="0" axis="axisRow" fieldPosition="0"/>
    </format>
    <format dxfId="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O3:P16" firstHeaderRow="1" firstDataRow="1" firstDataCol="1"/>
  <pivotFields count="16">
    <pivotField showAll="0"/>
    <pivotField showAll="0"/>
    <pivotField showAll="0"/>
    <pivotField numFmtId="164" showAll="0"/>
    <pivotField showAll="0"/>
    <pivotField showAll="0"/>
    <pivotField showAll="0"/>
    <pivotField showAll="0"/>
    <pivotField showAll="0"/>
    <pivotField showAll="0"/>
    <pivotField showAll="0"/>
    <pivotField numFmtId="10" showAll="0"/>
    <pivotField showAll="0"/>
    <pivotField showAll="0"/>
    <pivotField dataField="1"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Average of R/R" fld="14" subtotal="average" baseField="15" baseItem="0"/>
  </dataFields>
  <formats count="7">
    <format dxfId="68">
      <pivotArea collapsedLevelsAreSubtotals="1" fieldPosition="0">
        <references count="1">
          <reference field="15" count="1">
            <x v="0"/>
          </reference>
        </references>
      </pivotArea>
    </format>
    <format dxfId="67">
      <pivotArea dataOnly="0" labelOnly="1" outline="0" axis="axisValues" fieldPosition="0"/>
    </format>
    <format dxfId="66">
      <pivotArea collapsedLevelsAreSubtotals="1" fieldPosition="0">
        <references count="1">
          <reference field="15" count="1">
            <x v="1"/>
          </reference>
        </references>
      </pivotArea>
    </format>
    <format dxfId="65">
      <pivotArea collapsedLevelsAreSubtotals="1" fieldPosition="0">
        <references count="1">
          <reference field="15" count="10">
            <x v="2"/>
            <x v="3"/>
            <x v="4"/>
            <x v="5"/>
            <x v="6"/>
            <x v="7"/>
            <x v="8"/>
            <x v="9"/>
            <x v="10"/>
            <x v="11"/>
          </reference>
        </references>
      </pivotArea>
    </format>
    <format dxfId="64">
      <pivotArea grandRow="1" outline="0" collapsedLevelsAreSubtotals="1" fieldPosition="0"/>
    </format>
    <format dxfId="63">
      <pivotArea field="15" type="button" dataOnly="0" labelOnly="1" outline="0" axis="axisRow" fieldPosition="0"/>
    </format>
    <format dxfId="62">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Top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8">
  <location ref="U3:V10" firstHeaderRow="1" firstDataRow="1" firstDataCol="1" rowPageCount="1" colPageCount="1"/>
  <pivotFields count="16">
    <pivotField showAll="0"/>
    <pivotField axis="axisRow" showAll="0" measureFilter="1" sortType="descending">
      <items count="28">
        <item x="16"/>
        <item x="7"/>
        <item x="9"/>
        <item x="10"/>
        <item x="0"/>
        <item x="8"/>
        <item x="13"/>
        <item x="14"/>
        <item m="1" x="26"/>
        <item x="11"/>
        <item x="24"/>
        <item x="2"/>
        <item x="21"/>
        <item x="1"/>
        <item x="3"/>
        <item x="5"/>
        <item x="6"/>
        <item x="19"/>
        <item x="15"/>
        <item x="22"/>
        <item x="20"/>
        <item x="23"/>
        <item x="17"/>
        <item x="12"/>
        <item x="4"/>
        <item x="18"/>
        <item m="1" x="25"/>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axis="axisPage" multipleItemSelectionAllowed="1" showAll="0">
      <items count="13">
        <item x="0"/>
        <item x="1"/>
        <item x="2"/>
        <item x="3"/>
        <item x="4"/>
        <item x="5"/>
        <item x="6"/>
        <item x="7"/>
        <item x="8"/>
        <item x="9"/>
        <item x="10"/>
        <item x="11"/>
        <item t="default"/>
      </items>
    </pivotField>
  </pivotFields>
  <rowFields count="1">
    <field x="1"/>
  </rowFields>
  <rowItems count="7">
    <i>
      <x v="13"/>
    </i>
    <i>
      <x v="15"/>
    </i>
    <i>
      <x v="23"/>
    </i>
    <i>
      <x v="21"/>
    </i>
    <i>
      <x v="20"/>
    </i>
    <i>
      <x v="18"/>
    </i>
    <i t="grand">
      <x/>
    </i>
  </rowItems>
  <colItems count="1">
    <i/>
  </colItems>
  <pageFields count="1">
    <pageField fld="15" hier="-1"/>
  </pageFields>
  <dataFields count="1">
    <dataField name="Sum of PnL Per Trade" fld="8" baseField="0" baseItem="0"/>
  </dataFields>
  <formats count="3">
    <format dxfId="71">
      <pivotArea collapsedLevelsAreSubtotals="1" fieldPosition="0">
        <references count="1">
          <reference field="1" count="0"/>
        </references>
      </pivotArea>
    </format>
    <format dxfId="70">
      <pivotArea field="1" type="button" dataOnly="0" labelOnly="1" outline="0" axis="axisRow" fieldPosition="0"/>
    </format>
    <format dxfId="69">
      <pivotArea dataOnly="0" labelOnly="1" outline="0" axis="axisValues" fieldPosition="0"/>
    </format>
  </formats>
  <chartFormats count="2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13"/>
          </reference>
        </references>
      </pivotArea>
    </chartFormat>
    <chartFormat chart="1" format="2">
      <pivotArea type="data" outline="0" fieldPosition="0">
        <references count="2">
          <reference field="4294967294" count="1" selected="0">
            <x v="0"/>
          </reference>
          <reference field="1" count="1" selected="0">
            <x v="15"/>
          </reference>
        </references>
      </pivotArea>
    </chartFormat>
    <chartFormat chart="1" format="3">
      <pivotArea type="data" outline="0" fieldPosition="0">
        <references count="2">
          <reference field="4294967294" count="1" selected="0">
            <x v="0"/>
          </reference>
          <reference field="1" count="1" selected="0">
            <x v="23"/>
          </reference>
        </references>
      </pivotArea>
    </chartFormat>
    <chartFormat chart="1" format="4">
      <pivotArea type="data" outline="0" fieldPosition="0">
        <references count="2">
          <reference field="4294967294" count="1" selected="0">
            <x v="0"/>
          </reference>
          <reference field="1" count="1" selected="0">
            <x v="21"/>
          </reference>
        </references>
      </pivotArea>
    </chartFormat>
    <chartFormat chart="1" format="5">
      <pivotArea type="data" outline="0" fieldPosition="0">
        <references count="2">
          <reference field="4294967294" count="1" selected="0">
            <x v="0"/>
          </reference>
          <reference field="1" count="1" selected="0">
            <x v="20"/>
          </reference>
        </references>
      </pivotArea>
    </chartFormat>
    <chartFormat chart="1" format="6">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 count="1" selected="0">
            <x v="0"/>
          </reference>
        </references>
      </pivotArea>
    </chartFormat>
    <chartFormat chart="2" format="9">
      <pivotArea type="data" outline="0" fieldPosition="0">
        <references count="2">
          <reference field="4294967294" count="1" selected="0">
            <x v="0"/>
          </reference>
          <reference field="1" count="1" selected="0">
            <x v="13"/>
          </reference>
        </references>
      </pivotArea>
    </chartFormat>
    <chartFormat chart="2" format="10">
      <pivotArea type="data" outline="0" fieldPosition="0">
        <references count="2">
          <reference field="4294967294" count="1" selected="0">
            <x v="0"/>
          </reference>
          <reference field="1" count="1" selected="0">
            <x v="15"/>
          </reference>
        </references>
      </pivotArea>
    </chartFormat>
    <chartFormat chart="2" format="11">
      <pivotArea type="data" outline="0" fieldPosition="0">
        <references count="2">
          <reference field="4294967294" count="1" selected="0">
            <x v="0"/>
          </reference>
          <reference field="1" count="1" selected="0">
            <x v="23"/>
          </reference>
        </references>
      </pivotArea>
    </chartFormat>
    <chartFormat chart="2" format="12">
      <pivotArea type="data" outline="0" fieldPosition="0">
        <references count="2">
          <reference field="4294967294" count="1" selected="0">
            <x v="0"/>
          </reference>
          <reference field="1" count="1" selected="0">
            <x v="21"/>
          </reference>
        </references>
      </pivotArea>
    </chartFormat>
    <chartFormat chart="2" format="13">
      <pivotArea type="data" outline="0" fieldPosition="0">
        <references count="2">
          <reference field="4294967294" count="1" selected="0">
            <x v="0"/>
          </reference>
          <reference field="1" count="1" selected="0">
            <x v="20"/>
          </reference>
        </references>
      </pivotArea>
    </chartFormat>
    <chartFormat chart="21" format="14" series="1">
      <pivotArea type="data" outline="0" fieldPosition="0">
        <references count="1">
          <reference field="4294967294" count="1" selected="0">
            <x v="0"/>
          </reference>
        </references>
      </pivotArea>
    </chartFormat>
    <chartFormat chart="21" format="15">
      <pivotArea type="data" outline="0" fieldPosition="0">
        <references count="2">
          <reference field="4294967294" count="1" selected="0">
            <x v="0"/>
          </reference>
          <reference field="1" count="1" selected="0">
            <x v="0"/>
          </reference>
        </references>
      </pivotArea>
    </chartFormat>
    <chartFormat chart="21" format="16">
      <pivotArea type="data" outline="0" fieldPosition="0">
        <references count="2">
          <reference field="4294967294" count="1" selected="0">
            <x v="0"/>
          </reference>
          <reference field="1" count="1" selected="0">
            <x v="13"/>
          </reference>
        </references>
      </pivotArea>
    </chartFormat>
    <chartFormat chart="21" format="17">
      <pivotArea type="data" outline="0" fieldPosition="0">
        <references count="2">
          <reference field="4294967294" count="1" selected="0">
            <x v="0"/>
          </reference>
          <reference field="1" count="1" selected="0">
            <x v="15"/>
          </reference>
        </references>
      </pivotArea>
    </chartFormat>
    <chartFormat chart="21" format="18">
      <pivotArea type="data" outline="0" fieldPosition="0">
        <references count="2">
          <reference field="4294967294" count="1" selected="0">
            <x v="0"/>
          </reference>
          <reference field="1" count="1" selected="0">
            <x v="23"/>
          </reference>
        </references>
      </pivotArea>
    </chartFormat>
    <chartFormat chart="21" format="19">
      <pivotArea type="data" outline="0" fieldPosition="0">
        <references count="2">
          <reference field="4294967294" count="1" selected="0">
            <x v="0"/>
          </reference>
          <reference field="1" count="1" selected="0">
            <x v="21"/>
          </reference>
        </references>
      </pivotArea>
    </chartFormat>
    <chartFormat chart="21" format="20">
      <pivotArea type="data" outline="0" fieldPosition="0">
        <references count="2">
          <reference field="4294967294" count="1" selected="0">
            <x v="0"/>
          </reference>
          <reference field="1" count="1" selected="0">
            <x v="20"/>
          </reference>
        </references>
      </pivotArea>
    </chartFormat>
    <chartFormat chart="25" format="14" series="1">
      <pivotArea type="data" outline="0" fieldPosition="0">
        <references count="1">
          <reference field="4294967294" count="1" selected="0">
            <x v="0"/>
          </reference>
        </references>
      </pivotArea>
    </chartFormat>
    <chartFormat chart="25" format="15">
      <pivotArea type="data" outline="0" fieldPosition="0">
        <references count="2">
          <reference field="4294967294" count="1" selected="0">
            <x v="0"/>
          </reference>
          <reference field="1" count="1" selected="0">
            <x v="0"/>
          </reference>
        </references>
      </pivotArea>
    </chartFormat>
    <chartFormat chart="25" format="16">
      <pivotArea type="data" outline="0" fieldPosition="0">
        <references count="2">
          <reference field="4294967294" count="1" selected="0">
            <x v="0"/>
          </reference>
          <reference field="1" count="1" selected="0">
            <x v="13"/>
          </reference>
        </references>
      </pivotArea>
    </chartFormat>
    <chartFormat chart="25" format="17">
      <pivotArea type="data" outline="0" fieldPosition="0">
        <references count="2">
          <reference field="4294967294" count="1" selected="0">
            <x v="0"/>
          </reference>
          <reference field="1" count="1" selected="0">
            <x v="15"/>
          </reference>
        </references>
      </pivotArea>
    </chartFormat>
    <chartFormat chart="25" format="18">
      <pivotArea type="data" outline="0" fieldPosition="0">
        <references count="2">
          <reference field="4294967294" count="1" selected="0">
            <x v="0"/>
          </reference>
          <reference field="1" count="1" selected="0">
            <x v="23"/>
          </reference>
        </references>
      </pivotArea>
    </chartFormat>
    <chartFormat chart="25" format="19">
      <pivotArea type="data" outline="0" fieldPosition="0">
        <references count="2">
          <reference field="4294967294" count="1" selected="0">
            <x v="0"/>
          </reference>
          <reference field="1" count="1" selected="0">
            <x v="21"/>
          </reference>
        </references>
      </pivotArea>
    </chartFormat>
    <chartFormat chart="25" format="20">
      <pivotArea type="data" outline="0" fieldPosition="0">
        <references count="2">
          <reference field="4294967294" count="1" selected="0">
            <x v="0"/>
          </reference>
          <reference field="1" count="1" selected="0">
            <x v="20"/>
          </reference>
        </references>
      </pivotArea>
    </chartFormat>
    <chartFormat chart="25" format="21">
      <pivotArea type="data" outline="0" fieldPosition="0">
        <references count="2">
          <reference field="4294967294" count="1" selected="0">
            <x v="0"/>
          </reference>
          <reference field="1" count="1" selected="0">
            <x v="18"/>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PivotTable9"/>
    <pivotTable tabId="3" name="Top 5 most traded"/>
  </pivotTables>
  <data>
    <tabular pivotCacheId="1" showMissing="0" crossFilter="none">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ket_Cap" sourceName="Market Cap">
  <pivotTables>
    <pivotTable tabId="3" name="PivotTable17"/>
    <pivotTable tabId="3" name="month Trade"/>
  </pivotTables>
  <data>
    <tabular pivotCacheId="1" showMissing="0" crossFilter="none">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3" showCaption="0" style="SlicerStyleDark5 2" rowHeight="274320"/>
  <slicer name="Market Cap" cache="Slicer_Market_Cap" caption="Market Cap" showCaption="0" style="SlicerStyleDark5 2" rowHeight="241300"/>
</slicers>
</file>

<file path=xl/tables/table1.xml><?xml version="1.0" encoding="utf-8"?>
<table xmlns="http://schemas.openxmlformats.org/spreadsheetml/2006/main" id="1" name="Table1" displayName="Table1" ref="C2:O3" totalsRowShown="0" headerRowDxfId="104" dataDxfId="103">
  <tableColumns count="13">
    <tableColumn id="1" name="Average R/R" dataDxfId="102">
      <calculatedColumnFormula>AVERAGE(Table2[R/R])</calculatedColumnFormula>
    </tableColumn>
    <tableColumn id="2" name="Total trades" dataDxfId="101">
      <calculatedColumnFormula>COUNTA(Table2[No. of Trades])</calculatedColumnFormula>
    </tableColumn>
    <tableColumn id="3" name="Total wins" dataDxfId="100">
      <calculatedColumnFormula>COUNTIF(Table2[Win/Loss], "w")</calculatedColumnFormula>
    </tableColumn>
    <tableColumn id="4" name="Total Losses" dataDxfId="99">
      <calculatedColumnFormula>COUNTIF(Table2[Win/Loss], "l")</calculatedColumnFormula>
    </tableColumn>
    <tableColumn id="5" name="Winning %" dataDxfId="98">
      <calculatedColumnFormula>Table1[Total wins]/Table1[Total trades]</calculatedColumnFormula>
    </tableColumn>
    <tableColumn id="6" name="Total Gain" dataDxfId="97">
      <calculatedColumnFormula>SUM(Table2[PnL Per Trade])</calculatedColumnFormula>
    </tableColumn>
    <tableColumn id="7" name="Starting Balance" dataDxfId="96"/>
    <tableColumn id="8" name="Risk/Position(in %)" dataDxfId="95"/>
    <tableColumn id="9" name="Total % Gain" dataDxfId="94">
      <calculatedColumnFormula>Table1[Total Gain]/Table1[Starting Balance]</calculatedColumnFormula>
    </tableColumn>
    <tableColumn id="10" name="Max Drawdown" dataDxfId="93">
      <calculatedColumnFormula>MIN(Table2[Drawdown])</calculatedColumnFormula>
    </tableColumn>
    <tableColumn id="11" name="Max continuous win" dataDxfId="92">
      <calculatedColumnFormula array="1">MAX(FREQUENCY(IF(Table2[Win/Loss]="w",ROW(Table2[No. of Trades])),IF(Table2[Win/Loss]&lt;&gt;"w",ROW(Table2[Win/Loss]))))</calculatedColumnFormula>
    </tableColumn>
    <tableColumn id="12" name="Max Continuous Loss" dataDxfId="91">
      <calculatedColumnFormula array="1">MAX(FREQUENCY(IF(Table2[Win/Loss]="l",ROW(Table2[No. of Trades])),IF(Table2[Win/Loss]&lt;&gt;"l",ROW(Table2[Win/Loss]))))</calculatedColumnFormula>
    </tableColumn>
    <tableColumn id="13" name="Total duration (months)" dataDxfId="90">
      <calculatedColumnFormula array="1">DATEDIF($E$6, LOOKUP(2,1/(Table2[Date]&lt;&gt;""),Table2[Date]),"M")</calculatedColumnFormula>
    </tableColumn>
  </tableColumns>
  <tableStyleInfo showFirstColumn="0" showLastColumn="0" showRowStripes="1" showColumnStripes="0"/>
</table>
</file>

<file path=xl/tables/table2.xml><?xml version="1.0" encoding="utf-8"?>
<table xmlns="http://schemas.openxmlformats.org/spreadsheetml/2006/main" id="2" name="Table2" displayName="Table2" ref="B5:Q56" totalsRowShown="0" headerRowDxfId="89" dataDxfId="88">
  <tableColumns count="16">
    <tableColumn id="1" name="No. of Trades" dataDxfId="87"/>
    <tableColumn id="2" name="Stock Name" dataDxfId="86"/>
    <tableColumn id="3" name="Market Cap" dataDxfId="85"/>
    <tableColumn id="4" name="Date" dataDxfId="84"/>
    <tableColumn id="5" name="Entry" dataDxfId="83"/>
    <tableColumn id="6" name="Stoploss" dataDxfId="82"/>
    <tableColumn id="7" name="Target" dataDxfId="81">
      <calculatedColumnFormula>IF(Table2[[#This Row],[Entry]]&gt;0,Table2[[#This Row],[Entry]]+(0.1*Table2[[#This Row],[Entry]]),"")</calculatedColumnFormula>
    </tableColumn>
    <tableColumn id="8" name="Win/Loss" dataDxfId="80"/>
    <tableColumn id="9" name="PnL Per Trade" dataDxfId="79">
      <calculatedColumnFormula>IFERROR(IF(Table2[[#This Row],[Win/Loss]]="w",(ABS(Table2[[#This Row],[Target]]-Table2[[#This Row],[Entry]])*Table2[[#This Row],[No. of Lots]]),(Table2[[#This Row],[Stoploss]]-Table2[[#This Row],[Entry]])*Table2[[#This Row],[No. of Lots]]),"")</calculatedColumnFormula>
    </tableColumn>
    <tableColumn id="10" name="No. of Lots" dataDxfId="78">
      <calculatedColumnFormula>IFERROR(ROUND((Table1[Starting Balance]*Table1[Risk/Position(in %)])/ABS(Table2[[#This Row],[Entry]]-Table2[[#This Row],[Stoploss]]),0),"")</calculatedColumnFormula>
    </tableColumn>
    <tableColumn id="11" name="Account Balance" dataDxfId="77">
      <calculatedColumnFormula>IF(Table2[[#This Row],[Entry]]&gt;0,Table1[Starting Balance]+SUM($J$6:Table2[[#This Row],[PnL Per Trade]]),"")</calculatedColumnFormula>
    </tableColumn>
    <tableColumn id="12" name="%Gain/Loss" dataDxfId="76">
      <calculatedColumnFormula>IF(Table2[[#This Row],[Entry]]&gt;0,ROUND((SUM($J$6:Table2[[#This Row],[PnL Per Trade]])/Table1[Starting Balance]),4),"")</calculatedColumnFormula>
    </tableColumn>
    <tableColumn id="13" name="Drawdown" dataDxfId="75">
      <calculatedColumnFormula>IF(MAX(Table1[Starting Balance],$L$6:Table2[[#This Row],[Account Balance]])&gt;Table2[[#This Row],[Account Balance]], (Table2[[#This Row],[Account Balance]]-MAX(Table1[Starting Balance],$L$6:Table2[[#This Row],[Account Balance]]))/MAX(Table1[Starting Balance],$L$6:Table2[[#This Row],[Account Balance]]),"")</calculatedColumnFormula>
    </tableColumn>
    <tableColumn id="14" name="Type" dataDxfId="74">
      <calculatedColumnFormula>IF(Table2[[#This Row],[Entry]]&gt;0, IF(Table2[[#This Row],[Target]]&gt;Table2[[#This Row],[Entry]],"Long", "Short"),"")</calculatedColumnFormula>
    </tableColumn>
    <tableColumn id="15" name="R/R" dataDxfId="73">
      <calculatedColumnFormula>IFERROR(ROUND(ABS(Table2[[#This Row],[Target]]-Table2[[#This Row],[Entry]])/ABS(Table2[[#This Row],[Entry]]-Table2[[#This Row],[Stoploss]]),2),"")</calculatedColumnFormula>
    </tableColumn>
    <tableColumn id="16" name="Month" dataDxfId="72">
      <calculatedColumnFormula>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calculatedColumnFormula>
    </tableColumn>
  </tableColumns>
  <tableStyleInfo showFirstColumn="0" showLastColumn="0" showRowStripes="1" showColumnStripes="0"/>
</table>
</file>

<file path=xl/tables/table3.xml><?xml version="1.0" encoding="utf-8"?>
<table xmlns="http://schemas.openxmlformats.org/spreadsheetml/2006/main" id="3" name="Table3" displayName="Table3" ref="K18:L21" totalsRowShown="0" headerRowDxfId="27">
  <autoFilter ref="K18:L21"/>
  <tableColumns count="2">
    <tableColumn id="1" name="Column1" dataDxfId="26"/>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table" Target="../tables/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S441"/>
  <sheetViews>
    <sheetView showGridLines="0" topLeftCell="C1" workbookViewId="0">
      <selection activeCell="H3" sqref="H3"/>
    </sheetView>
  </sheetViews>
  <sheetFormatPr defaultRowHeight="21" customHeight="1" x14ac:dyDescent="0.25"/>
  <cols>
    <col min="1" max="1" width="6" style="16" customWidth="1"/>
    <col min="2" max="2" width="14.85546875" style="5" customWidth="1"/>
    <col min="3" max="3" width="14" style="5" customWidth="1"/>
    <col min="4" max="4" width="13.5703125" style="5" customWidth="1"/>
    <col min="5" max="5" width="20.85546875" style="5" customWidth="1"/>
    <col min="6" max="6" width="13.7109375" style="5" customWidth="1"/>
    <col min="7" max="7" width="12.7109375" style="5" customWidth="1"/>
    <col min="8" max="8" width="12.140625" style="5" customWidth="1"/>
    <col min="9" max="9" width="17.28515625" style="5" customWidth="1"/>
    <col min="10" max="10" width="20" style="5" customWidth="1"/>
    <col min="11" max="11" width="14.140625" style="5" customWidth="1"/>
    <col min="12" max="12" width="17.5703125" style="5" customWidth="1"/>
    <col min="13" max="13" width="21" style="5" customWidth="1"/>
    <col min="14" max="14" width="21.7109375" style="5" customWidth="1"/>
    <col min="15" max="15" width="15.5703125" style="5" customWidth="1"/>
    <col min="16" max="16" width="9.140625" style="5"/>
    <col min="17" max="18" width="9.140625" style="2"/>
    <col min="20" max="16384" width="9.140625" style="2"/>
  </cols>
  <sheetData>
    <row r="1" spans="1:19" customFormat="1" ht="32.1" customHeight="1" x14ac:dyDescent="0.25">
      <c r="A1" s="15"/>
      <c r="B1" s="1"/>
      <c r="C1" s="1"/>
      <c r="D1" s="1"/>
      <c r="E1" s="1"/>
      <c r="F1" s="1"/>
      <c r="G1" s="1"/>
      <c r="H1" s="1"/>
      <c r="I1" s="1"/>
      <c r="J1" s="1"/>
      <c r="K1" s="1"/>
      <c r="L1" s="1"/>
      <c r="M1" s="1"/>
      <c r="N1" s="1"/>
      <c r="O1" s="1"/>
      <c r="P1" s="1"/>
    </row>
    <row r="2" spans="1:19" ht="34.5" customHeight="1" x14ac:dyDescent="0.25">
      <c r="B2" s="4"/>
      <c r="C2" s="19" t="s">
        <v>0</v>
      </c>
      <c r="D2" s="19" t="s">
        <v>1</v>
      </c>
      <c r="E2" s="19" t="s">
        <v>2</v>
      </c>
      <c r="F2" s="19" t="s">
        <v>3</v>
      </c>
      <c r="G2" s="19" t="s">
        <v>4</v>
      </c>
      <c r="H2" s="19" t="s">
        <v>5</v>
      </c>
      <c r="I2" s="19" t="s">
        <v>6</v>
      </c>
      <c r="J2" s="19" t="s">
        <v>7</v>
      </c>
      <c r="K2" s="19" t="s">
        <v>8</v>
      </c>
      <c r="L2" s="19" t="s">
        <v>9</v>
      </c>
      <c r="M2" s="19" t="s">
        <v>11</v>
      </c>
      <c r="N2" s="19" t="s">
        <v>10</v>
      </c>
      <c r="O2" s="19" t="s">
        <v>30</v>
      </c>
      <c r="P2" s="4"/>
    </row>
    <row r="3" spans="1:19" customFormat="1" ht="21" customHeight="1" x14ac:dyDescent="0.25">
      <c r="A3" s="15"/>
      <c r="B3" s="1"/>
      <c r="C3" s="28">
        <f>AVERAGE(Table2[R/R])</f>
        <v>5.4835294117647067</v>
      </c>
      <c r="D3" s="4">
        <f>COUNTA(Table2[No. of Trades])</f>
        <v>51</v>
      </c>
      <c r="E3" s="4">
        <f>COUNTIF(Table2[Win/Loss], "w")</f>
        <v>25</v>
      </c>
      <c r="F3" s="4">
        <f>COUNTIF(Table2[Win/Loss], "l")</f>
        <v>26</v>
      </c>
      <c r="G3" s="20">
        <f>Table1[Total wins]/Table1[Total trades]</f>
        <v>0.49019607843137253</v>
      </c>
      <c r="H3" s="4">
        <f>SUM(Table2[PnL Per Trade])</f>
        <v>222775.10000000003</v>
      </c>
      <c r="I3" s="21">
        <v>500000</v>
      </c>
      <c r="J3" s="20">
        <v>5.0000000000000001E-3</v>
      </c>
      <c r="K3" s="20">
        <f>Table1[Total Gain]/Table1[Starting Balance]</f>
        <v>0.44555020000000006</v>
      </c>
      <c r="L3" s="20">
        <f>MIN(Table2[Drawdown])</f>
        <v>-2.7160401505134383E-2</v>
      </c>
      <c r="M3" s="4">
        <f t="array" ref="M3">MAX(FREQUENCY(IF(Table2[Win/Loss]="w",ROW(Table2[No. of Trades])),IF(Table2[Win/Loss]&lt;&gt;"w",ROW(Table2[Win/Loss]))))</f>
        <v>9</v>
      </c>
      <c r="N3" s="4">
        <f t="array" ref="N3">MAX(FREQUENCY(IF(Table2[Win/Loss]="l",ROW(Table2[No. of Trades])),IF(Table2[Win/Loss]&lt;&gt;"l",ROW(Table2[Win/Loss]))))</f>
        <v>8</v>
      </c>
      <c r="O3" s="4">
        <f t="array" ref="O3">DATEDIF($E$6, LOOKUP(2,1/(Table2[Date]&lt;&gt;""),Table2[Date]),"M")</f>
        <v>10</v>
      </c>
      <c r="P3" s="1"/>
    </row>
    <row r="4" spans="1:19" customFormat="1" ht="33" customHeight="1" x14ac:dyDescent="0.25">
      <c r="A4" s="12"/>
      <c r="B4" s="1"/>
      <c r="C4" s="1"/>
      <c r="D4" s="1"/>
      <c r="E4" s="1"/>
      <c r="F4" s="1"/>
      <c r="G4" s="1"/>
      <c r="H4" s="1"/>
      <c r="I4" s="1"/>
      <c r="J4" s="1"/>
      <c r="K4" s="1"/>
      <c r="L4" s="1"/>
      <c r="M4" s="1"/>
      <c r="N4" s="1"/>
      <c r="O4" s="1"/>
      <c r="P4" s="1"/>
    </row>
    <row r="5" spans="1:19" s="3" customFormat="1" ht="36" customHeight="1" x14ac:dyDescent="0.25">
      <c r="A5" s="13"/>
      <c r="B5" s="8" t="s">
        <v>12</v>
      </c>
      <c r="C5" s="8" t="s">
        <v>13</v>
      </c>
      <c r="D5" s="8" t="s">
        <v>49</v>
      </c>
      <c r="E5" s="29" t="s">
        <v>14</v>
      </c>
      <c r="F5" s="8" t="s">
        <v>15</v>
      </c>
      <c r="G5" s="8" t="s">
        <v>16</v>
      </c>
      <c r="H5" s="8" t="s">
        <v>17</v>
      </c>
      <c r="I5" s="8" t="s">
        <v>18</v>
      </c>
      <c r="J5" s="8" t="s">
        <v>19</v>
      </c>
      <c r="K5" s="8" t="s">
        <v>20</v>
      </c>
      <c r="L5" s="8" t="s">
        <v>21</v>
      </c>
      <c r="M5" s="8" t="s">
        <v>22</v>
      </c>
      <c r="N5" s="8" t="s">
        <v>23</v>
      </c>
      <c r="O5" s="8" t="s">
        <v>24</v>
      </c>
      <c r="P5" s="8" t="s">
        <v>25</v>
      </c>
      <c r="Q5" s="34" t="s">
        <v>68</v>
      </c>
      <c r="S5"/>
    </row>
    <row r="6" spans="1:19" s="4" customFormat="1" ht="21" customHeight="1" x14ac:dyDescent="0.25">
      <c r="A6" s="14"/>
      <c r="B6" s="5">
        <v>1</v>
      </c>
      <c r="C6" s="5" t="s">
        <v>28</v>
      </c>
      <c r="D6" s="5" t="s">
        <v>50</v>
      </c>
      <c r="E6" s="6">
        <v>44199</v>
      </c>
      <c r="F6" s="5">
        <v>146.35</v>
      </c>
      <c r="G6" s="5">
        <v>141.19999999999999</v>
      </c>
      <c r="H6" s="5">
        <f>IF(Table2[[#This Row],[Entry]]&gt;0,Table2[[#This Row],[Entry]]+(0.1*Table2[[#This Row],[Entry]]),"")</f>
        <v>160.98499999999999</v>
      </c>
      <c r="I6" s="5" t="s">
        <v>27</v>
      </c>
      <c r="J6" s="5">
        <f>IFERROR(IF(Table2[[#This Row],[Win/Loss]]="w",(ABS(Table2[[#This Row],[Target]]-Table2[[#This Row],[Entry]])*Table2[[#This Row],[No. of Lots]]),(Table2[[#This Row],[Stoploss]]-Table2[[#This Row],[Entry]])*Table2[[#This Row],[No. of Lots]]),"")</f>
        <v>7097.9749999999958</v>
      </c>
      <c r="K6" s="5">
        <f>IFERROR(ROUND((Table1[Starting Balance]*Table1[Risk/Position(in %)])/ABS(Table2[[#This Row],[Entry]]-Table2[[#This Row],[Stoploss]]),0),"")</f>
        <v>485</v>
      </c>
      <c r="L6" s="5">
        <f>IF(Table2[[#This Row],[Entry]]&gt;0,Table1[Starting Balance]+SUM($J$6:Table2[[#This Row],[PnL Per Trade]]),"")</f>
        <v>507097.97499999998</v>
      </c>
      <c r="M6" s="7">
        <f>IF(Table2[[#This Row],[Entry]]&gt;0,ROUND((SUM($J$6:Table2[[#This Row],[PnL Per Trade]])/Table1[Starting Balance]),4),"")</f>
        <v>1.4200000000000001E-2</v>
      </c>
      <c r="N6" s="7" t="str">
        <f>IF(MAX(Table1[Starting Balance],$L$6:Table2[[#This Row],[Account Balance]])&gt;Table2[[#This Row],[Account Balance]], (Table2[[#This Row],[Account Balance]]-MAX(Table1[Starting Balance],$L$6:Table2[[#This Row],[Account Balance]]))/MAX(Table1[Starting Balance],$L$6:Table2[[#This Row],[Account Balance]]),"")</f>
        <v/>
      </c>
      <c r="O6" s="5" t="str">
        <f>IF(Table2[[#This Row],[Entry]]&gt;0, IF(Table2[[#This Row],[Target]]&gt;Table2[[#This Row],[Entry]],"Long", "Short"),"")</f>
        <v>Long</v>
      </c>
      <c r="P6" s="5">
        <f>IFERROR(ROUND(ABS(Table2[[#This Row],[Target]]-Table2[[#This Row],[Entry]])/ABS(Table2[[#This Row],[Entry]]-Table2[[#This Row],[Stoploss]]),2),"")</f>
        <v>2.84</v>
      </c>
      <c r="Q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6"/>
    </row>
    <row r="7" spans="1:19" s="4" customFormat="1" ht="21" customHeight="1" x14ac:dyDescent="0.25">
      <c r="A7" s="14"/>
      <c r="B7" s="17">
        <v>2</v>
      </c>
      <c r="C7" s="9" t="s">
        <v>26</v>
      </c>
      <c r="D7" s="9" t="s">
        <v>50</v>
      </c>
      <c r="E7" s="10">
        <v>44203</v>
      </c>
      <c r="F7" s="9">
        <v>211.75</v>
      </c>
      <c r="G7" s="9">
        <v>209.05</v>
      </c>
      <c r="H7" s="9">
        <f>IF(Table2[[#This Row],[Entry]]&gt;0,Table2[[#This Row],[Entry]]+(0.1*Table2[[#This Row],[Entry]]),"")</f>
        <v>232.92500000000001</v>
      </c>
      <c r="I7" s="9" t="s">
        <v>27</v>
      </c>
      <c r="J7" s="9">
        <f>IFERROR(IF(Table2[[#This Row],[Win/Loss]]="w",(ABS(Table2[[#This Row],[Target]]-Table2[[#This Row],[Entry]])*Table2[[#This Row],[No. of Lots]]),(Table2[[#This Row],[Stoploss]]-Table2[[#This Row],[Entry]])*Table2[[#This Row],[No. of Lots]]),"")</f>
        <v>19608.05000000001</v>
      </c>
      <c r="K7" s="9">
        <f>IFERROR(ROUND((Table1[Starting Balance]*Table1[Risk/Position(in %)])/ABS(Table2[[#This Row],[Entry]]-Table2[[#This Row],[Stoploss]]),0),"")</f>
        <v>926</v>
      </c>
      <c r="L7" s="9">
        <f>IF(Table2[[#This Row],[Entry]]&gt;0,Table1[Starting Balance]+SUM($J$6:Table2[[#This Row],[PnL Per Trade]]),"")</f>
        <v>526706.02500000002</v>
      </c>
      <c r="M7" s="11">
        <f>IF(Table2[[#This Row],[Entry]]&gt;0,ROUND((SUM($J$6:Table2[[#This Row],[PnL Per Trade]])/Table1[Starting Balance]),4),"")</f>
        <v>5.3400000000000003E-2</v>
      </c>
      <c r="N7" s="11" t="str">
        <f>IF(MAX(Table1[Starting Balance],$L$6:Table2[[#This Row],[Account Balance]])&gt;Table2[[#This Row],[Account Balance]], (Table2[[#This Row],[Account Balance]]-MAX(Table1[Starting Balance],$L$6:Table2[[#This Row],[Account Balance]]))/MAX(Table1[Starting Balance],$L$6:Table2[[#This Row],[Account Balance]]),"")</f>
        <v/>
      </c>
      <c r="O7" s="9" t="str">
        <f>IF(Table2[[#This Row],[Entry]]&gt;0, IF(Table2[[#This Row],[Target]]&gt;Table2[[#This Row],[Entry]],"Long", "Short"),"")</f>
        <v>Long</v>
      </c>
      <c r="P7" s="9">
        <f>IFERROR(ROUND(ABS(Table2[[#This Row],[Target]]-Table2[[#This Row],[Entry]])/ABS(Table2[[#This Row],[Entry]]-Table2[[#This Row],[Stoploss]]),2),"")</f>
        <v>7.84</v>
      </c>
      <c r="Q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7"/>
    </row>
    <row r="8" spans="1:19" s="4" customFormat="1" ht="21" customHeight="1" x14ac:dyDescent="0.25">
      <c r="A8" s="14"/>
      <c r="B8" s="5">
        <v>3</v>
      </c>
      <c r="C8" s="5" t="s">
        <v>39</v>
      </c>
      <c r="D8" s="5" t="s">
        <v>50</v>
      </c>
      <c r="E8" s="6">
        <v>44203</v>
      </c>
      <c r="F8" s="5">
        <v>1001.25</v>
      </c>
      <c r="G8" s="5">
        <v>964.1</v>
      </c>
      <c r="H8" s="5">
        <f>IF(Table2[[#This Row],[Entry]]&gt;0,Table2[[#This Row],[Entry]]+(0.1*Table2[[#This Row],[Entry]]),"")</f>
        <v>1101.375</v>
      </c>
      <c r="I8" s="5" t="s">
        <v>27</v>
      </c>
      <c r="J8" s="5">
        <f>IFERROR(IF(Table2[[#This Row],[Win/Loss]]="w",(ABS(Table2[[#This Row],[Target]]-Table2[[#This Row],[Entry]])*Table2[[#This Row],[No. of Lots]]),(Table2[[#This Row],[Stoploss]]-Table2[[#This Row],[Entry]])*Table2[[#This Row],[No. of Lots]]),"")</f>
        <v>6708.375</v>
      </c>
      <c r="K8" s="5">
        <f>IFERROR(ROUND((Table1[Starting Balance]*Table1[Risk/Position(in %)])/ABS(Table2[[#This Row],[Entry]]-Table2[[#This Row],[Stoploss]]),0),"")</f>
        <v>67</v>
      </c>
      <c r="L8" s="5">
        <f>IF(Table2[[#This Row],[Entry]]&gt;0,Table1[Starting Balance]+SUM($J$6:Table2[[#This Row],[PnL Per Trade]]),"")</f>
        <v>533414.40000000002</v>
      </c>
      <c r="M8" s="7">
        <f>IF(Table2[[#This Row],[Entry]]&gt;0,ROUND((SUM($J$6:Table2[[#This Row],[PnL Per Trade]])/Table1[Starting Balance]),4),"")</f>
        <v>6.6799999999999998E-2</v>
      </c>
      <c r="N8" s="7" t="str">
        <f>IF(MAX(Table1[Starting Balance],$L$6:Table2[[#This Row],[Account Balance]])&gt;Table2[[#This Row],[Account Balance]], (Table2[[#This Row],[Account Balance]]-MAX(Table1[Starting Balance],$L$6:Table2[[#This Row],[Account Balance]]))/MAX(Table1[Starting Balance],$L$6:Table2[[#This Row],[Account Balance]]),"")</f>
        <v/>
      </c>
      <c r="O8" s="5" t="str">
        <f>IF(Table2[[#This Row],[Entry]]&gt;0, IF(Table2[[#This Row],[Target]]&gt;Table2[[#This Row],[Entry]],"Long", "Short"),"")</f>
        <v>Long</v>
      </c>
      <c r="P8" s="5">
        <f>IFERROR(ROUND(ABS(Table2[[#This Row],[Target]]-Table2[[#This Row],[Entry]])/ABS(Table2[[#This Row],[Entry]]-Table2[[#This Row],[Stoploss]]),2),"")</f>
        <v>2.7</v>
      </c>
      <c r="Q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8"/>
    </row>
    <row r="9" spans="1:19" s="4" customFormat="1" ht="21" customHeight="1" x14ac:dyDescent="0.25">
      <c r="A9" s="14"/>
      <c r="B9" s="17">
        <v>4</v>
      </c>
      <c r="C9" s="9" t="s">
        <v>26</v>
      </c>
      <c r="D9" s="9" t="s">
        <v>50</v>
      </c>
      <c r="E9" s="10">
        <v>44204</v>
      </c>
      <c r="F9" s="9">
        <v>211.25</v>
      </c>
      <c r="G9" s="9">
        <v>209.7</v>
      </c>
      <c r="H9" s="9">
        <f>IF(Table2[[#This Row],[Entry]]&gt;0,Table2[[#This Row],[Entry]]+(0.1*Table2[[#This Row],[Entry]]),"")</f>
        <v>232.375</v>
      </c>
      <c r="I9" s="9" t="s">
        <v>27</v>
      </c>
      <c r="J9" s="9">
        <f>IFERROR(IF(Table2[[#This Row],[Win/Loss]]="w",(ABS(Table2[[#This Row],[Target]]-Table2[[#This Row],[Entry]])*Table2[[#This Row],[No. of Lots]]),(Table2[[#This Row],[Stoploss]]-Table2[[#This Row],[Entry]])*Table2[[#This Row],[No. of Lots]]),"")</f>
        <v>34074.625</v>
      </c>
      <c r="K9" s="9">
        <f>IFERROR(ROUND((Table1[Starting Balance]*Table1[Risk/Position(in %)])/ABS(Table2[[#This Row],[Entry]]-Table2[[#This Row],[Stoploss]]),0),"")</f>
        <v>1613</v>
      </c>
      <c r="L9" s="9">
        <f>IF(Table2[[#This Row],[Entry]]&gt;0,Table1[Starting Balance]+SUM($J$6:Table2[[#This Row],[PnL Per Trade]]),"")</f>
        <v>567489.02500000002</v>
      </c>
      <c r="M9" s="11">
        <f>IF(Table2[[#This Row],[Entry]]&gt;0,ROUND((SUM($J$6:Table2[[#This Row],[PnL Per Trade]])/Table1[Starting Balance]),4),"")</f>
        <v>0.13500000000000001</v>
      </c>
      <c r="N9" s="11" t="str">
        <f>IF(MAX(Table1[Starting Balance],$L$6:Table2[[#This Row],[Account Balance]])&gt;Table2[[#This Row],[Account Balance]], (Table2[[#This Row],[Account Balance]]-MAX(Table1[Starting Balance],$L$6:Table2[[#This Row],[Account Balance]]))/MAX(Table1[Starting Balance],$L$6:Table2[[#This Row],[Account Balance]]),"")</f>
        <v/>
      </c>
      <c r="O9" s="9" t="str">
        <f>IF(Table2[[#This Row],[Entry]]&gt;0, IF(Table2[[#This Row],[Target]]&gt;Table2[[#This Row],[Entry]],"Long", "Short"),"")</f>
        <v>Long</v>
      </c>
      <c r="P9" s="9">
        <f>IFERROR(ROUND(ABS(Table2[[#This Row],[Target]]-Table2[[#This Row],[Entry]])/ABS(Table2[[#This Row],[Entry]]-Table2[[#This Row],[Stoploss]]),2),"")</f>
        <v>13.63</v>
      </c>
      <c r="Q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9"/>
    </row>
    <row r="10" spans="1:19" s="4" customFormat="1" ht="21" customHeight="1" x14ac:dyDescent="0.25">
      <c r="A10" s="14"/>
      <c r="B10" s="5">
        <v>5</v>
      </c>
      <c r="C10" s="5" t="s">
        <v>26</v>
      </c>
      <c r="D10" s="5" t="s">
        <v>50</v>
      </c>
      <c r="E10" s="6">
        <v>44205</v>
      </c>
      <c r="F10" s="5">
        <v>212.65</v>
      </c>
      <c r="G10" s="5">
        <v>209.7</v>
      </c>
      <c r="H10" s="5">
        <f>IF(Table2[[#This Row],[Entry]]&gt;0,Table2[[#This Row],[Entry]]+(0.1*Table2[[#This Row],[Entry]]),"")</f>
        <v>233.91500000000002</v>
      </c>
      <c r="I10" s="5" t="s">
        <v>27</v>
      </c>
      <c r="J10" s="5">
        <f>IFERROR(IF(Table2[[#This Row],[Win/Loss]]="w",(ABS(Table2[[#This Row],[Target]]-Table2[[#This Row],[Entry]])*Table2[[#This Row],[No. of Lots]]),(Table2[[#This Row],[Stoploss]]-Table2[[#This Row],[Entry]])*Table2[[#This Row],[No. of Lots]]),"")</f>
        <v>18011.455000000013</v>
      </c>
      <c r="K10" s="5">
        <f>IFERROR(ROUND((Table1[Starting Balance]*Table1[Risk/Position(in %)])/ABS(Table2[[#This Row],[Entry]]-Table2[[#This Row],[Stoploss]]),0),"")</f>
        <v>847</v>
      </c>
      <c r="L10" s="5">
        <f>IF(Table2[[#This Row],[Entry]]&gt;0,Table1[Starting Balance]+SUM($J$6:Table2[[#This Row],[PnL Per Trade]]),"")</f>
        <v>585500.48</v>
      </c>
      <c r="M10" s="7">
        <f>IF(Table2[[#This Row],[Entry]]&gt;0,ROUND((SUM($J$6:Table2[[#This Row],[PnL Per Trade]])/Table1[Starting Balance]),4),"")</f>
        <v>0.17100000000000001</v>
      </c>
      <c r="N10" s="7" t="str">
        <f>IF(MAX(Table1[Starting Balance],$L$6:Table2[[#This Row],[Account Balance]])&gt;Table2[[#This Row],[Account Balance]], (Table2[[#This Row],[Account Balance]]-MAX(Table1[Starting Balance],$L$6:Table2[[#This Row],[Account Balance]]))/MAX(Table1[Starting Balance],$L$6:Table2[[#This Row],[Account Balance]]),"")</f>
        <v/>
      </c>
      <c r="O10" s="5" t="str">
        <f>IF(Table2[[#This Row],[Entry]]&gt;0, IF(Table2[[#This Row],[Target]]&gt;Table2[[#This Row],[Entry]],"Long", "Short"),"")</f>
        <v>Long</v>
      </c>
      <c r="P10" s="5">
        <f>IFERROR(ROUND(ABS(Table2[[#This Row],[Target]]-Table2[[#This Row],[Entry]])/ABS(Table2[[#This Row],[Entry]]-Table2[[#This Row],[Stoploss]]),2),"")</f>
        <v>7.21</v>
      </c>
      <c r="Q1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10"/>
    </row>
    <row r="11" spans="1:19" s="4" customFormat="1" ht="21" customHeight="1" x14ac:dyDescent="0.25">
      <c r="A11" s="14"/>
      <c r="B11" s="17">
        <v>6</v>
      </c>
      <c r="C11" s="9" t="s">
        <v>40</v>
      </c>
      <c r="D11" s="9" t="s">
        <v>50</v>
      </c>
      <c r="E11" s="10">
        <v>44209</v>
      </c>
      <c r="F11" s="9">
        <v>1840.05</v>
      </c>
      <c r="G11" s="9">
        <v>1796.75</v>
      </c>
      <c r="H11" s="9">
        <f>IF(Table2[[#This Row],[Entry]]&gt;0,Table2[[#This Row],[Entry]]+(0.1*Table2[[#This Row],[Entry]]),"")</f>
        <v>2024.0549999999998</v>
      </c>
      <c r="I11" s="9" t="s">
        <v>27</v>
      </c>
      <c r="J11" s="9">
        <f>IFERROR(IF(Table2[[#This Row],[Win/Loss]]="w",(ABS(Table2[[#This Row],[Target]]-Table2[[#This Row],[Entry]])*Table2[[#This Row],[No. of Lots]]),(Table2[[#This Row],[Stoploss]]-Table2[[#This Row],[Entry]])*Table2[[#This Row],[No. of Lots]]),"")</f>
        <v>10672.289999999994</v>
      </c>
      <c r="K11" s="9">
        <f>IFERROR(ROUND((Table1[Starting Balance]*Table1[Risk/Position(in %)])/ABS(Table2[[#This Row],[Entry]]-Table2[[#This Row],[Stoploss]]),0),"")</f>
        <v>58</v>
      </c>
      <c r="L11" s="9">
        <f>IF(Table2[[#This Row],[Entry]]&gt;0,Table1[Starting Balance]+SUM($J$6:Table2[[#This Row],[PnL Per Trade]]),"")</f>
        <v>596172.77</v>
      </c>
      <c r="M11" s="11">
        <f>IF(Table2[[#This Row],[Entry]]&gt;0,ROUND((SUM($J$6:Table2[[#This Row],[PnL Per Trade]])/Table1[Starting Balance]),4),"")</f>
        <v>0.1923</v>
      </c>
      <c r="N11" s="11" t="str">
        <f>IF(MAX(Table1[Starting Balance],$L$6:Table2[[#This Row],[Account Balance]])&gt;Table2[[#This Row],[Account Balance]], (Table2[[#This Row],[Account Balance]]-MAX(Table1[Starting Balance],$L$6:Table2[[#This Row],[Account Balance]]))/MAX(Table1[Starting Balance],$L$6:Table2[[#This Row],[Account Balance]]),"")</f>
        <v/>
      </c>
      <c r="O11" s="9" t="str">
        <f>IF(Table2[[#This Row],[Entry]]&gt;0, IF(Table2[[#This Row],[Target]]&gt;Table2[[#This Row],[Entry]],"Long", "Short"),"")</f>
        <v>Long</v>
      </c>
      <c r="P11" s="9">
        <f>IFERROR(ROUND(ABS(Table2[[#This Row],[Target]]-Table2[[#This Row],[Entry]])/ABS(Table2[[#This Row],[Entry]]-Table2[[#This Row],[Stoploss]]),2),"")</f>
        <v>4.25</v>
      </c>
      <c r="Q1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11"/>
    </row>
    <row r="12" spans="1:19" s="4" customFormat="1" ht="21" customHeight="1" x14ac:dyDescent="0.25">
      <c r="A12" s="14"/>
      <c r="B12" s="5">
        <v>7</v>
      </c>
      <c r="C12" s="5" t="s">
        <v>41</v>
      </c>
      <c r="D12" s="5" t="s">
        <v>50</v>
      </c>
      <c r="E12" s="6">
        <v>44217</v>
      </c>
      <c r="F12" s="5">
        <v>301.95</v>
      </c>
      <c r="G12" s="5">
        <v>293.10000000000002</v>
      </c>
      <c r="H12" s="5">
        <f>IF(Table2[[#This Row],[Entry]]&gt;0,Table2[[#This Row],[Entry]]+(0.1*Table2[[#This Row],[Entry]]),"")</f>
        <v>332.14499999999998</v>
      </c>
      <c r="I12" s="5" t="s">
        <v>27</v>
      </c>
      <c r="J12" s="5">
        <f>IFERROR(IF(Table2[[#This Row],[Win/Loss]]="w",(ABS(Table2[[#This Row],[Target]]-Table2[[#This Row],[Entry]])*Table2[[#This Row],[No. of Lots]]),(Table2[[#This Row],[Stoploss]]-Table2[[#This Row],[Entry]])*Table2[[#This Row],[No. of Lots]]),"")</f>
        <v>8514.989999999998</v>
      </c>
      <c r="K12" s="5">
        <f>IFERROR(ROUND((Table1[Starting Balance]*Table1[Risk/Position(in %)])/ABS(Table2[[#This Row],[Entry]]-Table2[[#This Row],[Stoploss]]),0),"")</f>
        <v>282</v>
      </c>
      <c r="L12" s="5">
        <f>IF(Table2[[#This Row],[Entry]]&gt;0,Table1[Starting Balance]+SUM($J$6:Table2[[#This Row],[PnL Per Trade]]),"")</f>
        <v>604687.76</v>
      </c>
      <c r="M12" s="7">
        <f>IF(Table2[[#This Row],[Entry]]&gt;0,ROUND((SUM($J$6:Table2[[#This Row],[PnL Per Trade]])/Table1[Starting Balance]),4),"")</f>
        <v>0.2094</v>
      </c>
      <c r="N12" s="7" t="str">
        <f>IF(MAX(Table1[Starting Balance],$L$6:Table2[[#This Row],[Account Balance]])&gt;Table2[[#This Row],[Account Balance]], (Table2[[#This Row],[Account Balance]]-MAX(Table1[Starting Balance],$L$6:Table2[[#This Row],[Account Balance]]))/MAX(Table1[Starting Balance],$L$6:Table2[[#This Row],[Account Balance]]),"")</f>
        <v/>
      </c>
      <c r="O12" s="5" t="str">
        <f>IF(Table2[[#This Row],[Entry]]&gt;0, IF(Table2[[#This Row],[Target]]&gt;Table2[[#This Row],[Entry]],"Long", "Short"),"")</f>
        <v>Long</v>
      </c>
      <c r="P12" s="5">
        <f>IFERROR(ROUND(ABS(Table2[[#This Row],[Target]]-Table2[[#This Row],[Entry]])/ABS(Table2[[#This Row],[Entry]]-Table2[[#This Row],[Stoploss]]),2),"")</f>
        <v>3.41</v>
      </c>
      <c r="Q1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12"/>
    </row>
    <row r="13" spans="1:19" s="4" customFormat="1" ht="21" customHeight="1" x14ac:dyDescent="0.25">
      <c r="A13" s="14"/>
      <c r="B13" s="17">
        <v>8</v>
      </c>
      <c r="C13" s="9" t="s">
        <v>42</v>
      </c>
      <c r="D13" s="9" t="s">
        <v>50</v>
      </c>
      <c r="E13" s="10">
        <v>44228</v>
      </c>
      <c r="F13" s="9">
        <v>811.35</v>
      </c>
      <c r="G13" s="9">
        <v>783.05</v>
      </c>
      <c r="H13" s="9">
        <f>IF(Table2[[#This Row],[Entry]]&gt;0,Table2[[#This Row],[Entry]]+(0.1*Table2[[#This Row],[Entry]]),"")</f>
        <v>892.48500000000001</v>
      </c>
      <c r="I13" s="9" t="s">
        <v>27</v>
      </c>
      <c r="J13" s="9">
        <f>IFERROR(IF(Table2[[#This Row],[Win/Loss]]="w",(ABS(Table2[[#This Row],[Target]]-Table2[[#This Row],[Entry]])*Table2[[#This Row],[No. of Lots]]),(Table2[[#This Row],[Stoploss]]-Table2[[#This Row],[Entry]])*Table2[[#This Row],[No. of Lots]]),"")</f>
        <v>7139.8799999999992</v>
      </c>
      <c r="K13" s="9">
        <f>IFERROR(ROUND((Table1[Starting Balance]*Table1[Risk/Position(in %)])/ABS(Table2[[#This Row],[Entry]]-Table2[[#This Row],[Stoploss]]),0),"")</f>
        <v>88</v>
      </c>
      <c r="L13" s="9">
        <f>IF(Table2[[#This Row],[Entry]]&gt;0,Table1[Starting Balance]+SUM($J$6:Table2[[#This Row],[PnL Per Trade]]),"")</f>
        <v>611827.64</v>
      </c>
      <c r="M13" s="11">
        <f>IF(Table2[[#This Row],[Entry]]&gt;0,ROUND((SUM($J$6:Table2[[#This Row],[PnL Per Trade]])/Table1[Starting Balance]),4),"")</f>
        <v>0.22370000000000001</v>
      </c>
      <c r="N13" s="11" t="str">
        <f>IF(MAX(Table1[Starting Balance],$L$6:Table2[[#This Row],[Account Balance]])&gt;Table2[[#This Row],[Account Balance]], (Table2[[#This Row],[Account Balance]]-MAX(Table1[Starting Balance],$L$6:Table2[[#This Row],[Account Balance]]))/MAX(Table1[Starting Balance],$L$6:Table2[[#This Row],[Account Balance]]),"")</f>
        <v/>
      </c>
      <c r="O13" s="9" t="str">
        <f>IF(Table2[[#This Row],[Entry]]&gt;0, IF(Table2[[#This Row],[Target]]&gt;Table2[[#This Row],[Entry]],"Long", "Short"),"")</f>
        <v>Long</v>
      </c>
      <c r="P13" s="9">
        <f>IFERROR(ROUND(ABS(Table2[[#This Row],[Target]]-Table2[[#This Row],[Entry]])/ABS(Table2[[#This Row],[Entry]]-Table2[[#This Row],[Stoploss]]),2),"")</f>
        <v>2.87</v>
      </c>
      <c r="Q1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3"/>
    </row>
    <row r="14" spans="1:19" s="4" customFormat="1" ht="21" customHeight="1" x14ac:dyDescent="0.25">
      <c r="A14" s="14"/>
      <c r="B14" s="5">
        <v>9</v>
      </c>
      <c r="C14" s="5" t="s">
        <v>43</v>
      </c>
      <c r="D14" s="5" t="s">
        <v>50</v>
      </c>
      <c r="E14" s="6">
        <v>44229</v>
      </c>
      <c r="F14" s="5">
        <v>7403.45</v>
      </c>
      <c r="G14" s="5">
        <v>6974</v>
      </c>
      <c r="H14" s="5">
        <f>IF(Table2[[#This Row],[Entry]]&gt;0,Table2[[#This Row],[Entry]]+(0.1*Table2[[#This Row],[Entry]]),"")</f>
        <v>8143.7950000000001</v>
      </c>
      <c r="I14" s="5" t="s">
        <v>27</v>
      </c>
      <c r="J14" s="5">
        <f>IFERROR(IF(Table2[[#This Row],[Win/Loss]]="w",(ABS(Table2[[#This Row],[Target]]-Table2[[#This Row],[Entry]])*Table2[[#This Row],[No. of Lots]]),(Table2[[#This Row],[Stoploss]]-Table2[[#This Row],[Entry]])*Table2[[#This Row],[No. of Lots]]),"")</f>
        <v>4442.0700000000015</v>
      </c>
      <c r="K14" s="5">
        <f>IFERROR(ROUND((Table1[Starting Balance]*Table1[Risk/Position(in %)])/ABS(Table2[[#This Row],[Entry]]-Table2[[#This Row],[Stoploss]]),0),"")</f>
        <v>6</v>
      </c>
      <c r="L14" s="5">
        <f>IF(Table2[[#This Row],[Entry]]&gt;0,Table1[Starting Balance]+SUM($J$6:Table2[[#This Row],[PnL Per Trade]]),"")</f>
        <v>616269.71</v>
      </c>
      <c r="M14" s="7">
        <f>IF(Table2[[#This Row],[Entry]]&gt;0,ROUND((SUM($J$6:Table2[[#This Row],[PnL Per Trade]])/Table1[Starting Balance]),4),"")</f>
        <v>0.23250000000000001</v>
      </c>
      <c r="N14" s="7" t="str">
        <f>IF(MAX(Table1[Starting Balance],$L$6:Table2[[#This Row],[Account Balance]])&gt;Table2[[#This Row],[Account Balance]], (Table2[[#This Row],[Account Balance]]-MAX(Table1[Starting Balance],$L$6:Table2[[#This Row],[Account Balance]]))/MAX(Table1[Starting Balance],$L$6:Table2[[#This Row],[Account Balance]]),"")</f>
        <v/>
      </c>
      <c r="O14" s="5" t="str">
        <f>IF(Table2[[#This Row],[Entry]]&gt;0, IF(Table2[[#This Row],[Target]]&gt;Table2[[#This Row],[Entry]],"Long", "Short"),"")</f>
        <v>Long</v>
      </c>
      <c r="P14" s="5">
        <f>IFERROR(ROUND(ABS(Table2[[#This Row],[Target]]-Table2[[#This Row],[Entry]])/ABS(Table2[[#This Row],[Entry]]-Table2[[#This Row],[Stoploss]]),2),"")</f>
        <v>1.72</v>
      </c>
      <c r="Q1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4"/>
    </row>
    <row r="15" spans="1:19" s="4" customFormat="1" ht="21" customHeight="1" x14ac:dyDescent="0.25">
      <c r="A15" s="14"/>
      <c r="B15" s="17">
        <v>10</v>
      </c>
      <c r="C15" s="9" t="s">
        <v>44</v>
      </c>
      <c r="D15" s="9" t="s">
        <v>50</v>
      </c>
      <c r="E15" s="10">
        <v>44230</v>
      </c>
      <c r="F15" s="9">
        <v>3913.4</v>
      </c>
      <c r="G15" s="9">
        <v>3822.8</v>
      </c>
      <c r="H15" s="9">
        <f>IF(Table2[[#This Row],[Entry]]&gt;0,Table2[[#This Row],[Entry]]+(0.1*Table2[[#This Row],[Entry]]),"")</f>
        <v>4304.74</v>
      </c>
      <c r="I15" s="9" t="s">
        <v>29</v>
      </c>
      <c r="J15" s="9">
        <f>IFERROR(IF(Table2[[#This Row],[Win/Loss]]="w",(ABS(Table2[[#This Row],[Target]]-Table2[[#This Row],[Entry]])*Table2[[#This Row],[No. of Lots]]),(Table2[[#This Row],[Stoploss]]-Table2[[#This Row],[Entry]])*Table2[[#This Row],[No. of Lots]]),"")</f>
        <v>-2536.7999999999975</v>
      </c>
      <c r="K15" s="9">
        <f>IFERROR(ROUND((Table1[Starting Balance]*Table1[Risk/Position(in %)])/ABS(Table2[[#This Row],[Entry]]-Table2[[#This Row],[Stoploss]]),0),"")</f>
        <v>28</v>
      </c>
      <c r="L15" s="9">
        <f>IF(Table2[[#This Row],[Entry]]&gt;0,Table1[Starting Balance]+SUM($J$6:Table2[[#This Row],[PnL Per Trade]]),"")</f>
        <v>613732.91</v>
      </c>
      <c r="M15" s="11">
        <f>IF(Table2[[#This Row],[Entry]]&gt;0,ROUND((SUM($J$6:Table2[[#This Row],[PnL Per Trade]])/Table1[Starting Balance]),4),"")</f>
        <v>0.22750000000000001</v>
      </c>
      <c r="N15" s="11">
        <f>IF(MAX(Table1[Starting Balance],$L$6:Table2[[#This Row],[Account Balance]])&gt;Table2[[#This Row],[Account Balance]], (Table2[[#This Row],[Account Balance]]-MAX(Table1[Starting Balance],$L$6:Table2[[#This Row],[Account Balance]]))/MAX(Table1[Starting Balance],$L$6:Table2[[#This Row],[Account Balance]]),"")</f>
        <v>-4.1163794988397697E-3</v>
      </c>
      <c r="O15" s="9" t="str">
        <f>IF(Table2[[#This Row],[Entry]]&gt;0, IF(Table2[[#This Row],[Target]]&gt;Table2[[#This Row],[Entry]],"Long", "Short"),"")</f>
        <v>Long</v>
      </c>
      <c r="P15" s="9">
        <f>IFERROR(ROUND(ABS(Table2[[#This Row],[Target]]-Table2[[#This Row],[Entry]])/ABS(Table2[[#This Row],[Entry]]-Table2[[#This Row],[Stoploss]]),2),"")</f>
        <v>4.32</v>
      </c>
      <c r="Q1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5"/>
    </row>
    <row r="16" spans="1:19" s="4" customFormat="1" ht="21" customHeight="1" x14ac:dyDescent="0.25">
      <c r="A16" s="14"/>
      <c r="B16" s="5">
        <v>11</v>
      </c>
      <c r="C16" s="5" t="s">
        <v>42</v>
      </c>
      <c r="D16" s="5" t="s">
        <v>50</v>
      </c>
      <c r="E16" s="6">
        <v>44231</v>
      </c>
      <c r="F16" s="5">
        <v>806.05</v>
      </c>
      <c r="G16" s="5">
        <v>783.05</v>
      </c>
      <c r="H16" s="5">
        <f>IF(Table2[[#This Row],[Entry]]&gt;0,Table2[[#This Row],[Entry]]+(0.1*Table2[[#This Row],[Entry]]),"")</f>
        <v>886.65499999999997</v>
      </c>
      <c r="I16" s="5" t="s">
        <v>27</v>
      </c>
      <c r="J16" s="5">
        <f>IFERROR(IF(Table2[[#This Row],[Win/Loss]]="w",(ABS(Table2[[#This Row],[Target]]-Table2[[#This Row],[Entry]])*Table2[[#This Row],[No. of Lots]]),(Table2[[#This Row],[Stoploss]]-Table2[[#This Row],[Entry]])*Table2[[#This Row],[No. of Lots]]),"")</f>
        <v>8785.9450000000015</v>
      </c>
      <c r="K16" s="5">
        <f>IFERROR(ROUND((Table1[Starting Balance]*Table1[Risk/Position(in %)])/ABS(Table2[[#This Row],[Entry]]-Table2[[#This Row],[Stoploss]]),0),"")</f>
        <v>109</v>
      </c>
      <c r="L16" s="5">
        <f>IF(Table2[[#This Row],[Entry]]&gt;0,Table1[Starting Balance]+SUM($J$6:Table2[[#This Row],[PnL Per Trade]]),"")</f>
        <v>622518.85499999998</v>
      </c>
      <c r="M16" s="7">
        <f>IF(Table2[[#This Row],[Entry]]&gt;0,ROUND((SUM($J$6:Table2[[#This Row],[PnL Per Trade]])/Table1[Starting Balance]),4),"")</f>
        <v>0.245</v>
      </c>
      <c r="N16" s="7" t="str">
        <f>IF(MAX(Table1[Starting Balance],$L$6:Table2[[#This Row],[Account Balance]])&gt;Table2[[#This Row],[Account Balance]], (Table2[[#This Row],[Account Balance]]-MAX(Table1[Starting Balance],$L$6:Table2[[#This Row],[Account Balance]]))/MAX(Table1[Starting Balance],$L$6:Table2[[#This Row],[Account Balance]]),"")</f>
        <v/>
      </c>
      <c r="O16" s="5" t="str">
        <f>IF(Table2[[#This Row],[Entry]]&gt;0, IF(Table2[[#This Row],[Target]]&gt;Table2[[#This Row],[Entry]],"Long", "Short"),"")</f>
        <v>Long</v>
      </c>
      <c r="P16" s="5">
        <f>IFERROR(ROUND(ABS(Table2[[#This Row],[Target]]-Table2[[#This Row],[Entry]])/ABS(Table2[[#This Row],[Entry]]-Table2[[#This Row],[Stoploss]]),2),"")</f>
        <v>3.5</v>
      </c>
      <c r="Q1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6"/>
    </row>
    <row r="17" spans="1:19" s="4" customFormat="1" ht="21" customHeight="1" x14ac:dyDescent="0.25">
      <c r="A17" s="14"/>
      <c r="B17" s="17">
        <v>12</v>
      </c>
      <c r="C17" s="9" t="s">
        <v>44</v>
      </c>
      <c r="D17" s="9" t="s">
        <v>50</v>
      </c>
      <c r="E17" s="10">
        <v>44260</v>
      </c>
      <c r="F17" s="9">
        <v>3899.25</v>
      </c>
      <c r="G17" s="9">
        <v>3822.8</v>
      </c>
      <c r="H17" s="9">
        <f>IF(Table2[[#This Row],[Entry]]&gt;0,Table2[[#This Row],[Entry]]+(0.1*Table2[[#This Row],[Entry]]),"")</f>
        <v>4289.1750000000002</v>
      </c>
      <c r="I17" s="9" t="s">
        <v>29</v>
      </c>
      <c r="J17" s="9">
        <f>IFERROR(IF(Table2[[#This Row],[Win/Loss]]="w",(ABS(Table2[[#This Row],[Target]]-Table2[[#This Row],[Entry]])*Table2[[#This Row],[No. of Lots]]),(Table2[[#This Row],[Stoploss]]-Table2[[#This Row],[Entry]])*Table2[[#This Row],[No. of Lots]]),"")</f>
        <v>-2522.849999999994</v>
      </c>
      <c r="K17" s="9">
        <f>IFERROR(ROUND((Table1[Starting Balance]*Table1[Risk/Position(in %)])/ABS(Table2[[#This Row],[Entry]]-Table2[[#This Row],[Stoploss]]),0),"")</f>
        <v>33</v>
      </c>
      <c r="L17" s="9">
        <f>IF(Table2[[#This Row],[Entry]]&gt;0,Table1[Starting Balance]+SUM($J$6:Table2[[#This Row],[PnL Per Trade]]),"")</f>
        <v>619996.005</v>
      </c>
      <c r="M17" s="11">
        <f>IF(Table2[[#This Row],[Entry]]&gt;0,ROUND((SUM($J$6:Table2[[#This Row],[PnL Per Trade]])/Table1[Starting Balance]),4),"")</f>
        <v>0.24</v>
      </c>
      <c r="N17" s="11">
        <f>IF(MAX(Table1[Starting Balance],$L$6:Table2[[#This Row],[Account Balance]])&gt;Table2[[#This Row],[Account Balance]], (Table2[[#This Row],[Account Balance]]-MAX(Table1[Starting Balance],$L$6:Table2[[#This Row],[Account Balance]]))/MAX(Table1[Starting Balance],$L$6:Table2[[#This Row],[Account Balance]]),"")</f>
        <v>-4.052648333037201E-3</v>
      </c>
      <c r="O17" s="9" t="str">
        <f>IF(Table2[[#This Row],[Entry]]&gt;0, IF(Table2[[#This Row],[Target]]&gt;Table2[[#This Row],[Entry]],"Long", "Short"),"")</f>
        <v>Long</v>
      </c>
      <c r="P17" s="9">
        <f>IFERROR(ROUND(ABS(Table2[[#This Row],[Target]]-Table2[[#This Row],[Entry]])/ABS(Table2[[#This Row],[Entry]]-Table2[[#This Row],[Stoploss]]),2),"")</f>
        <v>5.0999999999999996</v>
      </c>
      <c r="Q1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17"/>
    </row>
    <row r="18" spans="1:19" s="4" customFormat="1" ht="21" customHeight="1" x14ac:dyDescent="0.25">
      <c r="A18" s="14"/>
      <c r="B18" s="5">
        <v>13</v>
      </c>
      <c r="C18" s="5" t="s">
        <v>42</v>
      </c>
      <c r="D18" s="5" t="s">
        <v>50</v>
      </c>
      <c r="E18" s="6">
        <v>44261</v>
      </c>
      <c r="F18" s="5">
        <v>812.1</v>
      </c>
      <c r="G18" s="5">
        <v>783.05</v>
      </c>
      <c r="H18" s="5">
        <f>IF(Table2[[#This Row],[Entry]]&gt;0,Table2[[#This Row],[Entry]]+(0.1*Table2[[#This Row],[Entry]]),"")</f>
        <v>893.31000000000006</v>
      </c>
      <c r="I18" s="5" t="s">
        <v>27</v>
      </c>
      <c r="J18" s="5">
        <f>IFERROR(IF(Table2[[#This Row],[Win/Loss]]="w",(ABS(Table2[[#This Row],[Target]]-Table2[[#This Row],[Entry]])*Table2[[#This Row],[No. of Lots]]),(Table2[[#This Row],[Stoploss]]-Table2[[#This Row],[Entry]])*Table2[[#This Row],[No. of Lots]]),"")</f>
        <v>6984.0600000000031</v>
      </c>
      <c r="K18" s="5">
        <f>IFERROR(ROUND((Table1[Starting Balance]*Table1[Risk/Position(in %)])/ABS(Table2[[#This Row],[Entry]]-Table2[[#This Row],[Stoploss]]),0),"")</f>
        <v>86</v>
      </c>
      <c r="L18" s="5">
        <f>IF(Table2[[#This Row],[Entry]]&gt;0,Table1[Starting Balance]+SUM($J$6:Table2[[#This Row],[PnL Per Trade]]),"")</f>
        <v>626980.06500000006</v>
      </c>
      <c r="M18" s="7">
        <f>IF(Table2[[#This Row],[Entry]]&gt;0,ROUND((SUM($J$6:Table2[[#This Row],[PnL Per Trade]])/Table1[Starting Balance]),4),"")</f>
        <v>0.254</v>
      </c>
      <c r="N18" s="7" t="str">
        <f>IF(MAX(Table1[Starting Balance],$L$6:Table2[[#This Row],[Account Balance]])&gt;Table2[[#This Row],[Account Balance]], (Table2[[#This Row],[Account Balance]]-MAX(Table1[Starting Balance],$L$6:Table2[[#This Row],[Account Balance]]))/MAX(Table1[Starting Balance],$L$6:Table2[[#This Row],[Account Balance]]),"")</f>
        <v/>
      </c>
      <c r="O18" s="5" t="str">
        <f>IF(Table2[[#This Row],[Entry]]&gt;0, IF(Table2[[#This Row],[Target]]&gt;Table2[[#This Row],[Entry]],"Long", "Short"),"")</f>
        <v>Long</v>
      </c>
      <c r="P18" s="5">
        <f>IFERROR(ROUND(ABS(Table2[[#This Row],[Target]]-Table2[[#This Row],[Entry]])/ABS(Table2[[#This Row],[Entry]]-Table2[[#This Row],[Stoploss]]),2),"")</f>
        <v>2.8</v>
      </c>
      <c r="Q1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18"/>
    </row>
    <row r="19" spans="1:19" s="4" customFormat="1" ht="21" customHeight="1" x14ac:dyDescent="0.25">
      <c r="A19" s="14"/>
      <c r="B19" s="17">
        <v>14</v>
      </c>
      <c r="C19" s="9" t="s">
        <v>44</v>
      </c>
      <c r="D19" s="9" t="s">
        <v>50</v>
      </c>
      <c r="E19" s="10">
        <v>44262</v>
      </c>
      <c r="F19" s="9">
        <v>3899.25</v>
      </c>
      <c r="G19" s="9">
        <v>3822.8</v>
      </c>
      <c r="H19" s="9">
        <f>IF(Table2[[#This Row],[Entry]]&gt;0,Table2[[#This Row],[Entry]]+(0.1*Table2[[#This Row],[Entry]]),"")</f>
        <v>4289.1750000000002</v>
      </c>
      <c r="I19" s="9" t="s">
        <v>29</v>
      </c>
      <c r="J19" s="9">
        <f>IFERROR(IF(Table2[[#This Row],[Win/Loss]]="w",(ABS(Table2[[#This Row],[Target]]-Table2[[#This Row],[Entry]])*Table2[[#This Row],[No. of Lots]]),(Table2[[#This Row],[Stoploss]]-Table2[[#This Row],[Entry]])*Table2[[#This Row],[No. of Lots]]),"")</f>
        <v>-2522.849999999994</v>
      </c>
      <c r="K19" s="9">
        <f>IFERROR(ROUND((Table1[Starting Balance]*Table1[Risk/Position(in %)])/ABS(Table2[[#This Row],[Entry]]-Table2[[#This Row],[Stoploss]]),0),"")</f>
        <v>33</v>
      </c>
      <c r="L19" s="9">
        <f>IF(Table2[[#This Row],[Entry]]&gt;0,Table1[Starting Balance]+SUM($J$6:Table2[[#This Row],[PnL Per Trade]]),"")</f>
        <v>624457.21500000008</v>
      </c>
      <c r="M19" s="11">
        <f>IF(Table2[[#This Row],[Entry]]&gt;0,ROUND((SUM($J$6:Table2[[#This Row],[PnL Per Trade]])/Table1[Starting Balance]),4),"")</f>
        <v>0.24890000000000001</v>
      </c>
      <c r="N19" s="11">
        <f>IF(MAX(Table1[Starting Balance],$L$6:Table2[[#This Row],[Account Balance]])&gt;Table2[[#This Row],[Account Balance]], (Table2[[#This Row],[Account Balance]]-MAX(Table1[Starting Balance],$L$6:Table2[[#This Row],[Account Balance]]))/MAX(Table1[Starting Balance],$L$6:Table2[[#This Row],[Account Balance]]),"")</f>
        <v>-4.0238121446492508E-3</v>
      </c>
      <c r="O19" s="9" t="str">
        <f>IF(Table2[[#This Row],[Entry]]&gt;0, IF(Table2[[#This Row],[Target]]&gt;Table2[[#This Row],[Entry]],"Long", "Short"),"")</f>
        <v>Long</v>
      </c>
      <c r="P19" s="9">
        <f>IFERROR(ROUND(ABS(Table2[[#This Row],[Target]]-Table2[[#This Row],[Entry]])/ABS(Table2[[#This Row],[Entry]]-Table2[[#This Row],[Stoploss]]),2),"")</f>
        <v>5.0999999999999996</v>
      </c>
      <c r="Q1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19"/>
    </row>
    <row r="20" spans="1:19" s="4" customFormat="1" ht="21" customHeight="1" x14ac:dyDescent="0.25">
      <c r="A20" s="14"/>
      <c r="B20" s="5">
        <v>15</v>
      </c>
      <c r="C20" s="5" t="s">
        <v>42</v>
      </c>
      <c r="D20" s="5" t="s">
        <v>50</v>
      </c>
      <c r="E20" s="6">
        <v>44263</v>
      </c>
      <c r="F20" s="5">
        <v>803.05</v>
      </c>
      <c r="G20" s="5">
        <v>783.05</v>
      </c>
      <c r="H20" s="5">
        <f>IF(Table2[[#This Row],[Entry]]&gt;0,Table2[[#This Row],[Entry]]+(0.1*Table2[[#This Row],[Entry]]),"")</f>
        <v>883.35500000000002</v>
      </c>
      <c r="I20" s="5" t="s">
        <v>27</v>
      </c>
      <c r="J20" s="5">
        <f>IFERROR(IF(Table2[[#This Row],[Win/Loss]]="w",(ABS(Table2[[#This Row],[Target]]-Table2[[#This Row],[Entry]])*Table2[[#This Row],[No. of Lots]]),(Table2[[#This Row],[Stoploss]]-Table2[[#This Row],[Entry]])*Table2[[#This Row],[No. of Lots]]),"")</f>
        <v>10038.125000000007</v>
      </c>
      <c r="K20" s="5">
        <f>IFERROR(ROUND((Table1[Starting Balance]*Table1[Risk/Position(in %)])/ABS(Table2[[#This Row],[Entry]]-Table2[[#This Row],[Stoploss]]),0),"")</f>
        <v>125</v>
      </c>
      <c r="L20" s="5">
        <f>IF(Table2[[#This Row],[Entry]]&gt;0,Table1[Starting Balance]+SUM($J$6:Table2[[#This Row],[PnL Per Trade]]),"")</f>
        <v>634495.34000000008</v>
      </c>
      <c r="M20" s="7">
        <f>IF(Table2[[#This Row],[Entry]]&gt;0,ROUND((SUM($J$6:Table2[[#This Row],[PnL Per Trade]])/Table1[Starting Balance]),4),"")</f>
        <v>0.26900000000000002</v>
      </c>
      <c r="N20" s="7" t="str">
        <f>IF(MAX(Table1[Starting Balance],$L$6:Table2[[#This Row],[Account Balance]])&gt;Table2[[#This Row],[Account Balance]], (Table2[[#This Row],[Account Balance]]-MAX(Table1[Starting Balance],$L$6:Table2[[#This Row],[Account Balance]]))/MAX(Table1[Starting Balance],$L$6:Table2[[#This Row],[Account Balance]]),"")</f>
        <v/>
      </c>
      <c r="O20" s="5" t="str">
        <f>IF(Table2[[#This Row],[Entry]]&gt;0, IF(Table2[[#This Row],[Target]]&gt;Table2[[#This Row],[Entry]],"Long", "Short"),"")</f>
        <v>Long</v>
      </c>
      <c r="P20" s="5">
        <f>IFERROR(ROUND(ABS(Table2[[#This Row],[Target]]-Table2[[#This Row],[Entry]])/ABS(Table2[[#This Row],[Entry]]-Table2[[#This Row],[Stoploss]]),2),"")</f>
        <v>4.0199999999999996</v>
      </c>
      <c r="Q2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20"/>
    </row>
    <row r="21" spans="1:19" s="4" customFormat="1" ht="21" customHeight="1" x14ac:dyDescent="0.25">
      <c r="A21" s="14"/>
      <c r="B21" s="17">
        <v>16</v>
      </c>
      <c r="C21" s="9" t="s">
        <v>42</v>
      </c>
      <c r="D21" s="9" t="s">
        <v>50</v>
      </c>
      <c r="E21" s="10">
        <v>44295</v>
      </c>
      <c r="F21" s="9">
        <v>827.85</v>
      </c>
      <c r="G21" s="9">
        <v>783.05</v>
      </c>
      <c r="H21" s="9">
        <f>IF(Table2[[#This Row],[Entry]]&gt;0,Table2[[#This Row],[Entry]]+(0.1*Table2[[#This Row],[Entry]]),"")</f>
        <v>910.63499999999999</v>
      </c>
      <c r="I21" s="9" t="s">
        <v>27</v>
      </c>
      <c r="J21" s="9">
        <f>IFERROR(IF(Table2[[#This Row],[Win/Loss]]="w",(ABS(Table2[[#This Row],[Target]]-Table2[[#This Row],[Entry]])*Table2[[#This Row],[No. of Lots]]),(Table2[[#This Row],[Stoploss]]-Table2[[#This Row],[Entry]])*Table2[[#This Row],[No. of Lots]]),"")</f>
        <v>4635.9599999999982</v>
      </c>
      <c r="K21" s="9">
        <f>IFERROR(ROUND((Table1[Starting Balance]*Table1[Risk/Position(in %)])/ABS(Table2[[#This Row],[Entry]]-Table2[[#This Row],[Stoploss]]),0),"")</f>
        <v>56</v>
      </c>
      <c r="L21" s="9">
        <f>IF(Table2[[#This Row],[Entry]]&gt;0,Table1[Starting Balance]+SUM($J$6:Table2[[#This Row],[PnL Per Trade]]),"")</f>
        <v>639131.30000000005</v>
      </c>
      <c r="M21" s="11">
        <f>IF(Table2[[#This Row],[Entry]]&gt;0,ROUND((SUM($J$6:Table2[[#This Row],[PnL Per Trade]])/Table1[Starting Balance]),4),"")</f>
        <v>0.27829999999999999</v>
      </c>
      <c r="N21" s="11" t="str">
        <f>IF(MAX(Table1[Starting Balance],$L$6:Table2[[#This Row],[Account Balance]])&gt;Table2[[#This Row],[Account Balance]], (Table2[[#This Row],[Account Balance]]-MAX(Table1[Starting Balance],$L$6:Table2[[#This Row],[Account Balance]]))/MAX(Table1[Starting Balance],$L$6:Table2[[#This Row],[Account Balance]]),"")</f>
        <v/>
      </c>
      <c r="O21" s="9" t="str">
        <f>IF(Table2[[#This Row],[Entry]]&gt;0, IF(Table2[[#This Row],[Target]]&gt;Table2[[#This Row],[Entry]],"Long", "Short"),"")</f>
        <v>Long</v>
      </c>
      <c r="P21" s="9">
        <f>IFERROR(ROUND(ABS(Table2[[#This Row],[Target]]-Table2[[#This Row],[Entry]])/ABS(Table2[[#This Row],[Entry]]-Table2[[#This Row],[Stoploss]]),2),"")</f>
        <v>1.85</v>
      </c>
      <c r="Q2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1"/>
    </row>
    <row r="22" spans="1:19" s="4" customFormat="1" ht="21" customHeight="1" x14ac:dyDescent="0.25">
      <c r="A22" s="14"/>
      <c r="B22" s="5">
        <v>17</v>
      </c>
      <c r="C22" s="5" t="s">
        <v>45</v>
      </c>
      <c r="D22" s="5" t="s">
        <v>50</v>
      </c>
      <c r="E22" s="6">
        <v>44296</v>
      </c>
      <c r="F22" s="5">
        <v>5042.7</v>
      </c>
      <c r="G22" s="5">
        <v>4950</v>
      </c>
      <c r="H22" s="5">
        <f>IF(Table2[[#This Row],[Entry]]&gt;0,Table2[[#This Row],[Entry]]+(0.1*Table2[[#This Row],[Entry]]),"")</f>
        <v>5546.9699999999993</v>
      </c>
      <c r="I22" s="5" t="s">
        <v>29</v>
      </c>
      <c r="J22" s="5">
        <f>IFERROR(IF(Table2[[#This Row],[Win/Loss]]="w",(ABS(Table2[[#This Row],[Target]]-Table2[[#This Row],[Entry]])*Table2[[#This Row],[No. of Lots]]),(Table2[[#This Row],[Stoploss]]-Table2[[#This Row],[Entry]])*Table2[[#This Row],[No. of Lots]]),"")</f>
        <v>-2502.8999999999951</v>
      </c>
      <c r="K22" s="5">
        <f>IFERROR(ROUND((Table1[Starting Balance]*Table1[Risk/Position(in %)])/ABS(Table2[[#This Row],[Entry]]-Table2[[#This Row],[Stoploss]]),0),"")</f>
        <v>27</v>
      </c>
      <c r="L22" s="5">
        <f>IF(Table2[[#This Row],[Entry]]&gt;0,Table1[Starting Balance]+SUM($J$6:Table2[[#This Row],[PnL Per Trade]]),"")</f>
        <v>636628.4</v>
      </c>
      <c r="M22" s="7">
        <f>IF(Table2[[#This Row],[Entry]]&gt;0,ROUND((SUM($J$6:Table2[[#This Row],[PnL Per Trade]])/Table1[Starting Balance]),4),"")</f>
        <v>0.27329999999999999</v>
      </c>
      <c r="N22" s="7">
        <f>IF(MAX(Table1[Starting Balance],$L$6:Table2[[#This Row],[Account Balance]])&gt;Table2[[#This Row],[Account Balance]], (Table2[[#This Row],[Account Balance]]-MAX(Table1[Starting Balance],$L$6:Table2[[#This Row],[Account Balance]]))/MAX(Table1[Starting Balance],$L$6:Table2[[#This Row],[Account Balance]]),"")</f>
        <v>-3.9160967394337018E-3</v>
      </c>
      <c r="O22" s="5" t="str">
        <f>IF(Table2[[#This Row],[Entry]]&gt;0, IF(Table2[[#This Row],[Target]]&gt;Table2[[#This Row],[Entry]],"Long", "Short"),"")</f>
        <v>Long</v>
      </c>
      <c r="P22" s="5">
        <f>IFERROR(ROUND(ABS(Table2[[#This Row],[Target]]-Table2[[#This Row],[Entry]])/ABS(Table2[[#This Row],[Entry]]-Table2[[#This Row],[Stoploss]]),2),"")</f>
        <v>5.44</v>
      </c>
      <c r="Q2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2"/>
    </row>
    <row r="23" spans="1:19" s="4" customFormat="1" ht="21" customHeight="1" x14ac:dyDescent="0.25">
      <c r="A23" s="14"/>
      <c r="B23" s="17">
        <v>18</v>
      </c>
      <c r="C23" s="9" t="s">
        <v>45</v>
      </c>
      <c r="D23" s="9" t="s">
        <v>50</v>
      </c>
      <c r="E23" s="10">
        <v>44297</v>
      </c>
      <c r="F23" s="9">
        <v>5034.6000000000004</v>
      </c>
      <c r="G23" s="9">
        <v>4950</v>
      </c>
      <c r="H23" s="9">
        <f>IF(Table2[[#This Row],[Entry]]&gt;0,Table2[[#This Row],[Entry]]+(0.1*Table2[[#This Row],[Entry]]),"")</f>
        <v>5538.06</v>
      </c>
      <c r="I23" s="9" t="s">
        <v>29</v>
      </c>
      <c r="J23" s="9">
        <f>IFERROR(IF(Table2[[#This Row],[Win/Loss]]="w",(ABS(Table2[[#This Row],[Target]]-Table2[[#This Row],[Entry]])*Table2[[#This Row],[No. of Lots]]),(Table2[[#This Row],[Stoploss]]-Table2[[#This Row],[Entry]])*Table2[[#This Row],[No. of Lots]]),"")</f>
        <v>-2538.0000000000109</v>
      </c>
      <c r="K23" s="9">
        <f>IFERROR(ROUND((Table1[Starting Balance]*Table1[Risk/Position(in %)])/ABS(Table2[[#This Row],[Entry]]-Table2[[#This Row],[Stoploss]]),0),"")</f>
        <v>30</v>
      </c>
      <c r="L23" s="9">
        <f>IF(Table2[[#This Row],[Entry]]&gt;0,Table1[Starting Balance]+SUM($J$6:Table2[[#This Row],[PnL Per Trade]]),"")</f>
        <v>634090.4</v>
      </c>
      <c r="M23" s="11">
        <f>IF(Table2[[#This Row],[Entry]]&gt;0,ROUND((SUM($J$6:Table2[[#This Row],[PnL Per Trade]])/Table1[Starting Balance]),4),"")</f>
        <v>0.26819999999999999</v>
      </c>
      <c r="N23" s="11">
        <f>IF(MAX(Table1[Starting Balance],$L$6:Table2[[#This Row],[Account Balance]])&gt;Table2[[#This Row],[Account Balance]], (Table2[[#This Row],[Account Balance]]-MAX(Table1[Starting Balance],$L$6:Table2[[#This Row],[Account Balance]]))/MAX(Table1[Starting Balance],$L$6:Table2[[#This Row],[Account Balance]]),"")</f>
        <v>-7.8871117718691333E-3</v>
      </c>
      <c r="O23" s="9" t="str">
        <f>IF(Table2[[#This Row],[Entry]]&gt;0, IF(Table2[[#This Row],[Target]]&gt;Table2[[#This Row],[Entry]],"Long", "Short"),"")</f>
        <v>Long</v>
      </c>
      <c r="P23" s="9">
        <f>IFERROR(ROUND(ABS(Table2[[#This Row],[Target]]-Table2[[#This Row],[Entry]])/ABS(Table2[[#This Row],[Entry]]-Table2[[#This Row],[Stoploss]]),2),"")</f>
        <v>5.95</v>
      </c>
      <c r="Q2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3"/>
    </row>
    <row r="24" spans="1:19" s="4" customFormat="1" ht="21" customHeight="1" x14ac:dyDescent="0.25">
      <c r="A24" s="14"/>
      <c r="B24" s="5">
        <v>19</v>
      </c>
      <c r="C24" s="5" t="s">
        <v>46</v>
      </c>
      <c r="D24" s="5" t="s">
        <v>50</v>
      </c>
      <c r="E24" s="6">
        <v>44298</v>
      </c>
      <c r="F24" s="5">
        <v>447.2</v>
      </c>
      <c r="G24" s="5">
        <v>435.7</v>
      </c>
      <c r="H24" s="5">
        <f>IF(Table2[[#This Row],[Entry]]&gt;0,Table2[[#This Row],[Entry]]+(0.1*Table2[[#This Row],[Entry]]),"")</f>
        <v>491.91999999999996</v>
      </c>
      <c r="I24" s="5" t="s">
        <v>29</v>
      </c>
      <c r="J24" s="5">
        <f>IFERROR(IF(Table2[[#This Row],[Win/Loss]]="w",(ABS(Table2[[#This Row],[Target]]-Table2[[#This Row],[Entry]])*Table2[[#This Row],[No. of Lots]]),(Table2[[#This Row],[Stoploss]]-Table2[[#This Row],[Entry]])*Table2[[#This Row],[No. of Lots]]),"")</f>
        <v>-2495.5</v>
      </c>
      <c r="K24" s="5">
        <f>IFERROR(ROUND((Table1[Starting Balance]*Table1[Risk/Position(in %)])/ABS(Table2[[#This Row],[Entry]]-Table2[[#This Row],[Stoploss]]),0),"")</f>
        <v>217</v>
      </c>
      <c r="L24" s="5">
        <f>IF(Table2[[#This Row],[Entry]]&gt;0,Table1[Starting Balance]+SUM($J$6:Table2[[#This Row],[PnL Per Trade]]),"")</f>
        <v>631594.9</v>
      </c>
      <c r="M24" s="7">
        <f>IF(Table2[[#This Row],[Entry]]&gt;0,ROUND((SUM($J$6:Table2[[#This Row],[PnL Per Trade]])/Table1[Starting Balance]),4),"")</f>
        <v>0.26319999999999999</v>
      </c>
      <c r="N24" s="7">
        <f>IF(MAX(Table1[Starting Balance],$L$6:Table2[[#This Row],[Account Balance]])&gt;Table2[[#This Row],[Account Balance]], (Table2[[#This Row],[Account Balance]]-MAX(Table1[Starting Balance],$L$6:Table2[[#This Row],[Account Balance]]))/MAX(Table1[Starting Balance],$L$6:Table2[[#This Row],[Account Balance]]),"")</f>
        <v>-1.1791630295684193E-2</v>
      </c>
      <c r="O24" s="5" t="str">
        <f>IF(Table2[[#This Row],[Entry]]&gt;0, IF(Table2[[#This Row],[Target]]&gt;Table2[[#This Row],[Entry]],"Long", "Short"),"")</f>
        <v>Long</v>
      </c>
      <c r="P24" s="5">
        <f>IFERROR(ROUND(ABS(Table2[[#This Row],[Target]]-Table2[[#This Row],[Entry]])/ABS(Table2[[#This Row],[Entry]]-Table2[[#This Row],[Stoploss]]),2),"")</f>
        <v>3.89</v>
      </c>
      <c r="Q2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4"/>
    </row>
    <row r="25" spans="1:19" s="4" customFormat="1" ht="21" customHeight="1" x14ac:dyDescent="0.25">
      <c r="A25" s="14"/>
      <c r="B25" s="17">
        <v>20</v>
      </c>
      <c r="C25" s="9" t="s">
        <v>47</v>
      </c>
      <c r="D25" s="9" t="s">
        <v>50</v>
      </c>
      <c r="E25" s="10">
        <v>44299</v>
      </c>
      <c r="F25" s="9">
        <v>916</v>
      </c>
      <c r="G25" s="9">
        <v>898.05</v>
      </c>
      <c r="H25" s="9">
        <f>IF(Table2[[#This Row],[Entry]]&gt;0,Table2[[#This Row],[Entry]]+(0.1*Table2[[#This Row],[Entry]]),"")</f>
        <v>1007.6</v>
      </c>
      <c r="I25" s="9" t="s">
        <v>29</v>
      </c>
      <c r="J25" s="9">
        <f>IFERROR(IF(Table2[[#This Row],[Win/Loss]]="w",(ABS(Table2[[#This Row],[Target]]-Table2[[#This Row],[Entry]])*Table2[[#This Row],[No. of Lots]]),(Table2[[#This Row],[Stoploss]]-Table2[[#This Row],[Entry]])*Table2[[#This Row],[No. of Lots]]),"")</f>
        <v>-2495.0500000000065</v>
      </c>
      <c r="K25" s="9">
        <f>IFERROR(ROUND((Table1[Starting Balance]*Table1[Risk/Position(in %)])/ABS(Table2[[#This Row],[Entry]]-Table2[[#This Row],[Stoploss]]),0),"")</f>
        <v>139</v>
      </c>
      <c r="L25" s="9">
        <f>IF(Table2[[#This Row],[Entry]]&gt;0,Table1[Starting Balance]+SUM($J$6:Table2[[#This Row],[PnL Per Trade]]),"")</f>
        <v>629099.85000000009</v>
      </c>
      <c r="M25" s="11">
        <f>IF(Table2[[#This Row],[Entry]]&gt;0,ROUND((SUM($J$6:Table2[[#This Row],[PnL Per Trade]])/Table1[Starting Balance]),4),"")</f>
        <v>0.25819999999999999</v>
      </c>
      <c r="N25" s="11">
        <f>IF(MAX(Table1[Starting Balance],$L$6:Table2[[#This Row],[Account Balance]])&gt;Table2[[#This Row],[Account Balance]], (Table2[[#This Row],[Account Balance]]-MAX(Table1[Starting Balance],$L$6:Table2[[#This Row],[Account Balance]]))/MAX(Table1[Starting Balance],$L$6:Table2[[#This Row],[Account Balance]]),"")</f>
        <v>-1.5695444738819633E-2</v>
      </c>
      <c r="O25" s="9" t="str">
        <f>IF(Table2[[#This Row],[Entry]]&gt;0, IF(Table2[[#This Row],[Target]]&gt;Table2[[#This Row],[Entry]],"Long", "Short"),"")</f>
        <v>Long</v>
      </c>
      <c r="P25" s="9">
        <f>IFERROR(ROUND(ABS(Table2[[#This Row],[Target]]-Table2[[#This Row],[Entry]])/ABS(Table2[[#This Row],[Entry]]-Table2[[#This Row],[Stoploss]]),2),"")</f>
        <v>5.0999999999999996</v>
      </c>
      <c r="Q2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5"/>
    </row>
    <row r="26" spans="1:19" s="4" customFormat="1" ht="21" customHeight="1" x14ac:dyDescent="0.25">
      <c r="A26" s="14"/>
      <c r="B26" s="5">
        <v>21</v>
      </c>
      <c r="C26" s="5" t="s">
        <v>43</v>
      </c>
      <c r="D26" s="5" t="s">
        <v>50</v>
      </c>
      <c r="E26" s="6">
        <v>44331</v>
      </c>
      <c r="F26" s="5">
        <v>7492.5</v>
      </c>
      <c r="G26" s="5">
        <v>7164.25</v>
      </c>
      <c r="H26" s="5">
        <f>IF(Table2[[#This Row],[Entry]]&gt;0,Table2[[#This Row],[Entry]]+(0.1*Table2[[#This Row],[Entry]]),"")</f>
        <v>8241.75</v>
      </c>
      <c r="I26" s="5" t="s">
        <v>27</v>
      </c>
      <c r="J26" s="5">
        <f>IFERROR(IF(Table2[[#This Row],[Win/Loss]]="w",(ABS(Table2[[#This Row],[Target]]-Table2[[#This Row],[Entry]])*Table2[[#This Row],[No. of Lots]]),(Table2[[#This Row],[Stoploss]]-Table2[[#This Row],[Entry]])*Table2[[#This Row],[No. of Lots]]),"")</f>
        <v>5994</v>
      </c>
      <c r="K26" s="5">
        <f>IFERROR(ROUND((Table1[Starting Balance]*Table1[Risk/Position(in %)])/ABS(Table2[[#This Row],[Entry]]-Table2[[#This Row],[Stoploss]]),0),"")</f>
        <v>8</v>
      </c>
      <c r="L26" s="5">
        <f>IF(Table2[[#This Row],[Entry]]&gt;0,Table1[Starting Balance]+SUM($J$6:Table2[[#This Row],[PnL Per Trade]]),"")</f>
        <v>635093.85000000009</v>
      </c>
      <c r="M26" s="7">
        <f>IF(Table2[[#This Row],[Entry]]&gt;0,ROUND((SUM($J$6:Table2[[#This Row],[PnL Per Trade]])/Table1[Starting Balance]),4),"")</f>
        <v>0.2702</v>
      </c>
      <c r="N26" s="7">
        <f>IF(MAX(Table1[Starting Balance],$L$6:Table2[[#This Row],[Account Balance]])&gt;Table2[[#This Row],[Account Balance]], (Table2[[#This Row],[Account Balance]]-MAX(Table1[Starting Balance],$L$6:Table2[[#This Row],[Account Balance]]))/MAX(Table1[Starting Balance],$L$6:Table2[[#This Row],[Account Balance]]),"")</f>
        <v>-6.3170900877487198E-3</v>
      </c>
      <c r="O26" s="5" t="str">
        <f>IF(Table2[[#This Row],[Entry]]&gt;0, IF(Table2[[#This Row],[Target]]&gt;Table2[[#This Row],[Entry]],"Long", "Short"),"")</f>
        <v>Long</v>
      </c>
      <c r="P26" s="5">
        <f>IFERROR(ROUND(ABS(Table2[[#This Row],[Target]]-Table2[[#This Row],[Entry]])/ABS(Table2[[#This Row],[Entry]]-Table2[[#This Row],[Stoploss]]),2),"")</f>
        <v>2.2799999999999998</v>
      </c>
      <c r="Q2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6"/>
    </row>
    <row r="27" spans="1:19" s="4" customFormat="1" ht="21" customHeight="1" x14ac:dyDescent="0.25">
      <c r="A27" s="14"/>
      <c r="B27" s="17">
        <v>22</v>
      </c>
      <c r="C27" s="9" t="s">
        <v>46</v>
      </c>
      <c r="D27" s="9" t="s">
        <v>50</v>
      </c>
      <c r="E27" s="10">
        <v>44332</v>
      </c>
      <c r="F27" s="9">
        <v>449.45</v>
      </c>
      <c r="G27" s="9">
        <v>435.7</v>
      </c>
      <c r="H27" s="9">
        <f>IF(Table2[[#This Row],[Entry]]&gt;0,Table2[[#This Row],[Entry]]+(0.1*Table2[[#This Row],[Entry]]),"")</f>
        <v>494.39499999999998</v>
      </c>
      <c r="I27" s="9" t="s">
        <v>29</v>
      </c>
      <c r="J27" s="9">
        <f>IFERROR(IF(Table2[[#This Row],[Win/Loss]]="w",(ABS(Table2[[#This Row],[Target]]-Table2[[#This Row],[Entry]])*Table2[[#This Row],[No. of Lots]]),(Table2[[#This Row],[Stoploss]]-Table2[[#This Row],[Entry]])*Table2[[#This Row],[No. of Lots]]),"")</f>
        <v>-2502.5</v>
      </c>
      <c r="K27" s="9">
        <f>IFERROR(ROUND((Table1[Starting Balance]*Table1[Risk/Position(in %)])/ABS(Table2[[#This Row],[Entry]]-Table2[[#This Row],[Stoploss]]),0),"")</f>
        <v>182</v>
      </c>
      <c r="L27" s="9">
        <f>IF(Table2[[#This Row],[Entry]]&gt;0,Table1[Starting Balance]+SUM($J$6:Table2[[#This Row],[PnL Per Trade]]),"")</f>
        <v>632591.35000000009</v>
      </c>
      <c r="M27" s="11">
        <f>IF(Table2[[#This Row],[Entry]]&gt;0,ROUND((SUM($J$6:Table2[[#This Row],[PnL Per Trade]])/Table1[Starting Balance]),4),"")</f>
        <v>0.26519999999999999</v>
      </c>
      <c r="N27" s="11">
        <f>IF(MAX(Table1[Starting Balance],$L$6:Table2[[#This Row],[Account Balance]])&gt;Table2[[#This Row],[Account Balance]], (Table2[[#This Row],[Account Balance]]-MAX(Table1[Starting Balance],$L$6:Table2[[#This Row],[Account Balance]]))/MAX(Table1[Starting Balance],$L$6:Table2[[#This Row],[Account Balance]]),"")</f>
        <v>-1.0232560977689487E-2</v>
      </c>
      <c r="O27" s="9" t="str">
        <f>IF(Table2[[#This Row],[Entry]]&gt;0, IF(Table2[[#This Row],[Target]]&gt;Table2[[#This Row],[Entry]],"Long", "Short"),"")</f>
        <v>Long</v>
      </c>
      <c r="P27" s="9">
        <f>IFERROR(ROUND(ABS(Table2[[#This Row],[Target]]-Table2[[#This Row],[Entry]])/ABS(Table2[[#This Row],[Entry]]-Table2[[#This Row],[Stoploss]]),2),"")</f>
        <v>3.27</v>
      </c>
      <c r="Q2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7"/>
    </row>
    <row r="28" spans="1:19" s="4" customFormat="1" ht="21" customHeight="1" x14ac:dyDescent="0.25">
      <c r="A28" s="14"/>
      <c r="B28" s="5">
        <v>23</v>
      </c>
      <c r="C28" s="5" t="s">
        <v>48</v>
      </c>
      <c r="D28" s="5" t="s">
        <v>50</v>
      </c>
      <c r="E28" s="6">
        <v>44333</v>
      </c>
      <c r="F28" s="5">
        <v>703.4</v>
      </c>
      <c r="G28" s="5">
        <v>699</v>
      </c>
      <c r="H28" s="5">
        <f>IF(Table2[[#This Row],[Entry]]&gt;0,Table2[[#This Row],[Entry]]+(0.1*Table2[[#This Row],[Entry]]),"")</f>
        <v>773.74</v>
      </c>
      <c r="I28" s="5" t="s">
        <v>29</v>
      </c>
      <c r="J28" s="5">
        <f>IFERROR(IF(Table2[[#This Row],[Win/Loss]]="w",(ABS(Table2[[#This Row],[Target]]-Table2[[#This Row],[Entry]])*Table2[[#This Row],[No. of Lots]]),(Table2[[#This Row],[Stoploss]]-Table2[[#This Row],[Entry]])*Table2[[#This Row],[No. of Lots]]),"")</f>
        <v>-2499.1999999999871</v>
      </c>
      <c r="K28" s="5">
        <f>IFERROR(ROUND((Table1[Starting Balance]*Table1[Risk/Position(in %)])/ABS(Table2[[#This Row],[Entry]]-Table2[[#This Row],[Stoploss]]),0),"")</f>
        <v>568</v>
      </c>
      <c r="L28" s="5">
        <f>IF(Table2[[#This Row],[Entry]]&gt;0,Table1[Starting Balance]+SUM($J$6:Table2[[#This Row],[PnL Per Trade]]),"")</f>
        <v>630092.15</v>
      </c>
      <c r="M28" s="7">
        <f>IF(Table2[[#This Row],[Entry]]&gt;0,ROUND((SUM($J$6:Table2[[#This Row],[PnL Per Trade]])/Table1[Starting Balance]),4),"")</f>
        <v>0.26019999999999999</v>
      </c>
      <c r="N28" s="7">
        <f>IF(MAX(Table1[Starting Balance],$L$6:Table2[[#This Row],[Account Balance]])&gt;Table2[[#This Row],[Account Balance]], (Table2[[#This Row],[Account Balance]]-MAX(Table1[Starting Balance],$L$6:Table2[[#This Row],[Account Balance]]))/MAX(Table1[Starting Balance],$L$6:Table2[[#This Row],[Account Balance]]),"")</f>
        <v>-1.4142868609313958E-2</v>
      </c>
      <c r="O28" s="5" t="str">
        <f>IF(Table2[[#This Row],[Entry]]&gt;0, IF(Table2[[#This Row],[Target]]&gt;Table2[[#This Row],[Entry]],"Long", "Short"),"")</f>
        <v>Long</v>
      </c>
      <c r="P28" s="5">
        <f>IFERROR(ROUND(ABS(Table2[[#This Row],[Target]]-Table2[[#This Row],[Entry]])/ABS(Table2[[#This Row],[Entry]]-Table2[[#This Row],[Stoploss]]),2),"")</f>
        <v>15.99</v>
      </c>
      <c r="Q2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8"/>
    </row>
    <row r="29" spans="1:19" s="4" customFormat="1" ht="21" customHeight="1" x14ac:dyDescent="0.25">
      <c r="A29" s="14"/>
      <c r="B29" s="17">
        <v>24</v>
      </c>
      <c r="C29" s="9" t="s">
        <v>44</v>
      </c>
      <c r="D29" s="9" t="s">
        <v>50</v>
      </c>
      <c r="E29" s="10">
        <v>44334</v>
      </c>
      <c r="F29" s="9">
        <v>3978.75</v>
      </c>
      <c r="G29" s="9">
        <v>3830.35</v>
      </c>
      <c r="H29" s="9">
        <f>IF(Table2[[#This Row],[Entry]]&gt;0,Table2[[#This Row],[Entry]]+(0.1*Table2[[#This Row],[Entry]]),"")</f>
        <v>4376.625</v>
      </c>
      <c r="I29" s="9" t="s">
        <v>29</v>
      </c>
      <c r="J29" s="9">
        <f>IFERROR(IF(Table2[[#This Row],[Win/Loss]]="w",(ABS(Table2[[#This Row],[Target]]-Table2[[#This Row],[Entry]])*Table2[[#This Row],[No. of Lots]]),(Table2[[#This Row],[Stoploss]]-Table2[[#This Row],[Entry]])*Table2[[#This Row],[No. of Lots]]),"")</f>
        <v>-2522.8000000000015</v>
      </c>
      <c r="K29" s="9">
        <f>IFERROR(ROUND((Table1[Starting Balance]*Table1[Risk/Position(in %)])/ABS(Table2[[#This Row],[Entry]]-Table2[[#This Row],[Stoploss]]),0),"")</f>
        <v>17</v>
      </c>
      <c r="L29" s="9">
        <f>IF(Table2[[#This Row],[Entry]]&gt;0,Table1[Starting Balance]+SUM($J$6:Table2[[#This Row],[PnL Per Trade]]),"")</f>
        <v>627569.35000000009</v>
      </c>
      <c r="M29" s="11">
        <f>IF(Table2[[#This Row],[Entry]]&gt;0,ROUND((SUM($J$6:Table2[[#This Row],[PnL Per Trade]])/Table1[Starting Balance]),4),"")</f>
        <v>0.25509999999999999</v>
      </c>
      <c r="N29" s="11">
        <f>IF(MAX(Table1[Starting Balance],$L$6:Table2[[#This Row],[Account Balance]])&gt;Table2[[#This Row],[Account Balance]], (Table2[[#This Row],[Account Balance]]-MAX(Table1[Starting Balance],$L$6:Table2[[#This Row],[Account Balance]]))/MAX(Table1[Starting Balance],$L$6:Table2[[#This Row],[Account Balance]]),"")</f>
        <v>-1.809010136101917E-2</v>
      </c>
      <c r="O29" s="9" t="str">
        <f>IF(Table2[[#This Row],[Entry]]&gt;0, IF(Table2[[#This Row],[Target]]&gt;Table2[[#This Row],[Entry]],"Long", "Short"),"")</f>
        <v>Long</v>
      </c>
      <c r="P29" s="9">
        <f>IFERROR(ROUND(ABS(Table2[[#This Row],[Target]]-Table2[[#This Row],[Entry]])/ABS(Table2[[#This Row],[Entry]]-Table2[[#This Row],[Stoploss]]),2),"")</f>
        <v>2.68</v>
      </c>
      <c r="Q2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9"/>
    </row>
    <row r="30" spans="1:19" s="4" customFormat="1" ht="21" customHeight="1" x14ac:dyDescent="0.25">
      <c r="A30" s="14"/>
      <c r="B30" s="5">
        <v>25</v>
      </c>
      <c r="C30" s="5" t="s">
        <v>48</v>
      </c>
      <c r="D30" s="5" t="s">
        <v>50</v>
      </c>
      <c r="E30" s="6">
        <v>44335</v>
      </c>
      <c r="F30" s="5">
        <v>703.6</v>
      </c>
      <c r="G30" s="5">
        <v>689.05</v>
      </c>
      <c r="H30" s="5">
        <f>IF(Table2[[#This Row],[Entry]]&gt;0,Table2[[#This Row],[Entry]]+(0.1*Table2[[#This Row],[Entry]]),"")</f>
        <v>773.96</v>
      </c>
      <c r="I30" s="5" t="s">
        <v>29</v>
      </c>
      <c r="J30" s="5">
        <f>IFERROR(IF(Table2[[#This Row],[Win/Loss]]="w",(ABS(Table2[[#This Row],[Target]]-Table2[[#This Row],[Entry]])*Table2[[#This Row],[No. of Lots]]),(Table2[[#This Row],[Stoploss]]-Table2[[#This Row],[Entry]])*Table2[[#This Row],[No. of Lots]]),"")</f>
        <v>-2502.6000000000117</v>
      </c>
      <c r="K30" s="5">
        <f>IFERROR(ROUND((Table1[Starting Balance]*Table1[Risk/Position(in %)])/ABS(Table2[[#This Row],[Entry]]-Table2[[#This Row],[Stoploss]]),0),"")</f>
        <v>172</v>
      </c>
      <c r="L30" s="5">
        <f>IF(Table2[[#This Row],[Entry]]&gt;0,Table1[Starting Balance]+SUM($J$6:Table2[[#This Row],[PnL Per Trade]]),"")</f>
        <v>625066.75</v>
      </c>
      <c r="M30" s="7">
        <f>IF(Table2[[#This Row],[Entry]]&gt;0,ROUND((SUM($J$6:Table2[[#This Row],[PnL Per Trade]])/Table1[Starting Balance]),4),"")</f>
        <v>0.25009999999999999</v>
      </c>
      <c r="N30" s="7">
        <f>IF(MAX(Table1[Starting Balance],$L$6:Table2[[#This Row],[Account Balance]])&gt;Table2[[#This Row],[Account Balance]], (Table2[[#This Row],[Account Balance]]-MAX(Table1[Starting Balance],$L$6:Table2[[#This Row],[Account Balance]]))/MAX(Table1[Starting Balance],$L$6:Table2[[#This Row],[Account Balance]]),"")</f>
        <v>-2.2005728713333311E-2</v>
      </c>
      <c r="O30" s="5" t="str">
        <f>IF(Table2[[#This Row],[Entry]]&gt;0, IF(Table2[[#This Row],[Target]]&gt;Table2[[#This Row],[Entry]],"Long", "Short"),"")</f>
        <v>Long</v>
      </c>
      <c r="P30" s="5">
        <f>IFERROR(ROUND(ABS(Table2[[#This Row],[Target]]-Table2[[#This Row],[Entry]])/ABS(Table2[[#This Row],[Entry]]-Table2[[#This Row],[Stoploss]]),2),"")</f>
        <v>4.84</v>
      </c>
      <c r="Q3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30"/>
    </row>
    <row r="31" spans="1:19" s="4" customFormat="1" ht="21" customHeight="1" x14ac:dyDescent="0.25">
      <c r="A31" s="14"/>
      <c r="B31" s="17">
        <v>26</v>
      </c>
      <c r="C31" s="9" t="s">
        <v>51</v>
      </c>
      <c r="D31" s="9" t="s">
        <v>52</v>
      </c>
      <c r="E31" s="10">
        <v>44352</v>
      </c>
      <c r="F31" s="9">
        <v>646</v>
      </c>
      <c r="G31" s="9">
        <v>640</v>
      </c>
      <c r="H31" s="9">
        <f>IF(Table2[[#This Row],[Entry]]&gt;0,Table2[[#This Row],[Entry]]+(0.1*Table2[[#This Row],[Entry]]),"")</f>
        <v>710.6</v>
      </c>
      <c r="I31" s="9" t="s">
        <v>27</v>
      </c>
      <c r="J31" s="9">
        <f>IFERROR(IF(Table2[[#This Row],[Win/Loss]]="w",(ABS(Table2[[#This Row],[Target]]-Table2[[#This Row],[Entry]])*Table2[[#This Row],[No. of Lots]]),(Table2[[#This Row],[Stoploss]]-Table2[[#This Row],[Entry]])*Table2[[#This Row],[No. of Lots]]),"")</f>
        <v>26938.200000000008</v>
      </c>
      <c r="K31" s="9">
        <f>IFERROR(ROUND((Table1[Starting Balance]*Table1[Risk/Position(in %)])/ABS(Table2[[#This Row],[Entry]]-Table2[[#This Row],[Stoploss]]),0),"")</f>
        <v>417</v>
      </c>
      <c r="L31" s="9">
        <f>IF(Table2[[#This Row],[Entry]]&gt;0,Table1[Starting Balance]+SUM($J$6:Table2[[#This Row],[PnL Per Trade]]),"")</f>
        <v>652004.95000000007</v>
      </c>
      <c r="M31" s="11">
        <f>IF(Table2[[#This Row],[Entry]]&gt;0,ROUND((SUM($J$6:Table2[[#This Row],[PnL Per Trade]])/Table1[Starting Balance]),4),"")</f>
        <v>0.30399999999999999</v>
      </c>
      <c r="N31" s="11" t="str">
        <f>IF(MAX(Table1[Starting Balance],$L$6:Table2[[#This Row],[Account Balance]])&gt;Table2[[#This Row],[Account Balance]], (Table2[[#This Row],[Account Balance]]-MAX(Table1[Starting Balance],$L$6:Table2[[#This Row],[Account Balance]]))/MAX(Table1[Starting Balance],$L$6:Table2[[#This Row],[Account Balance]]),"")</f>
        <v/>
      </c>
      <c r="O31" s="9" t="str">
        <f>IF(Table2[[#This Row],[Entry]]&gt;0, IF(Table2[[#This Row],[Target]]&gt;Table2[[#This Row],[Entry]],"Long", "Short"),"")</f>
        <v>Long</v>
      </c>
      <c r="P31" s="9">
        <f>IFERROR(ROUND(ABS(Table2[[#This Row],[Target]]-Table2[[#This Row],[Entry]])/ABS(Table2[[#This Row],[Entry]]-Table2[[#This Row],[Stoploss]]),2),"")</f>
        <v>10.77</v>
      </c>
      <c r="Q3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1"/>
    </row>
    <row r="32" spans="1:19" s="4" customFormat="1" ht="21" customHeight="1" x14ac:dyDescent="0.25">
      <c r="A32" s="14"/>
      <c r="B32" s="5">
        <v>27</v>
      </c>
      <c r="C32" s="5" t="s">
        <v>53</v>
      </c>
      <c r="D32" s="5" t="s">
        <v>52</v>
      </c>
      <c r="E32" s="6">
        <v>44353</v>
      </c>
      <c r="F32" s="5">
        <v>345</v>
      </c>
      <c r="G32" s="5">
        <v>328</v>
      </c>
      <c r="H32" s="5">
        <f>IF(Table2[[#This Row],[Entry]]&gt;0,Table2[[#This Row],[Entry]]+(0.1*Table2[[#This Row],[Entry]]),"")</f>
        <v>379.5</v>
      </c>
      <c r="I32" s="5" t="s">
        <v>27</v>
      </c>
      <c r="J32" s="5">
        <f>IFERROR(IF(Table2[[#This Row],[Win/Loss]]="w",(ABS(Table2[[#This Row],[Target]]-Table2[[#This Row],[Entry]])*Table2[[#This Row],[No. of Lots]]),(Table2[[#This Row],[Stoploss]]-Table2[[#This Row],[Entry]])*Table2[[#This Row],[No. of Lots]]),"")</f>
        <v>5071.5</v>
      </c>
      <c r="K32" s="5">
        <f>IFERROR(ROUND((Table1[Starting Balance]*Table1[Risk/Position(in %)])/ABS(Table2[[#This Row],[Entry]]-Table2[[#This Row],[Stoploss]]),0),"")</f>
        <v>147</v>
      </c>
      <c r="L32" s="5">
        <f>IF(Table2[[#This Row],[Entry]]&gt;0,Table1[Starting Balance]+SUM($J$6:Table2[[#This Row],[PnL Per Trade]]),"")</f>
        <v>657076.45000000007</v>
      </c>
      <c r="M32" s="7">
        <f>IF(Table2[[#This Row],[Entry]]&gt;0,ROUND((SUM($J$6:Table2[[#This Row],[PnL Per Trade]])/Table1[Starting Balance]),4),"")</f>
        <v>0.31419999999999998</v>
      </c>
      <c r="N32" s="7" t="str">
        <f>IF(MAX(Table1[Starting Balance],$L$6:Table2[[#This Row],[Account Balance]])&gt;Table2[[#This Row],[Account Balance]], (Table2[[#This Row],[Account Balance]]-MAX(Table1[Starting Balance],$L$6:Table2[[#This Row],[Account Balance]]))/MAX(Table1[Starting Balance],$L$6:Table2[[#This Row],[Account Balance]]),"")</f>
        <v/>
      </c>
      <c r="O32" s="5" t="str">
        <f>IF(Table2[[#This Row],[Entry]]&gt;0, IF(Table2[[#This Row],[Target]]&gt;Table2[[#This Row],[Entry]],"Long", "Short"),"")</f>
        <v>Long</v>
      </c>
      <c r="P32" s="5">
        <f>IFERROR(ROUND(ABS(Table2[[#This Row],[Target]]-Table2[[#This Row],[Entry]])/ABS(Table2[[#This Row],[Entry]]-Table2[[#This Row],[Stoploss]]),2),"")</f>
        <v>2.0299999999999998</v>
      </c>
      <c r="Q3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2"/>
    </row>
    <row r="33" spans="1:19" s="4" customFormat="1" ht="21" customHeight="1" x14ac:dyDescent="0.25">
      <c r="A33" s="14"/>
      <c r="B33" s="17">
        <v>28</v>
      </c>
      <c r="C33" s="9" t="s">
        <v>54</v>
      </c>
      <c r="D33" s="9" t="s">
        <v>52</v>
      </c>
      <c r="E33" s="10">
        <v>44354</v>
      </c>
      <c r="F33" s="9">
        <v>543</v>
      </c>
      <c r="G33" s="9">
        <v>537</v>
      </c>
      <c r="H33" s="9">
        <f>IF(Table2[[#This Row],[Entry]]&gt;0,Table2[[#This Row],[Entry]]+(0.1*Table2[[#This Row],[Entry]]),"")</f>
        <v>597.29999999999995</v>
      </c>
      <c r="I33" s="9" t="s">
        <v>29</v>
      </c>
      <c r="J33" s="9">
        <f>IFERROR(IF(Table2[[#This Row],[Win/Loss]]="w",(ABS(Table2[[#This Row],[Target]]-Table2[[#This Row],[Entry]])*Table2[[#This Row],[No. of Lots]]),(Table2[[#This Row],[Stoploss]]-Table2[[#This Row],[Entry]])*Table2[[#This Row],[No. of Lots]]),"")</f>
        <v>-2502</v>
      </c>
      <c r="K33" s="9">
        <f>IFERROR(ROUND((Table1[Starting Balance]*Table1[Risk/Position(in %)])/ABS(Table2[[#This Row],[Entry]]-Table2[[#This Row],[Stoploss]]),0),"")</f>
        <v>417</v>
      </c>
      <c r="L33" s="9">
        <f>IF(Table2[[#This Row],[Entry]]&gt;0,Table1[Starting Balance]+SUM($J$6:Table2[[#This Row],[PnL Per Trade]]),"")</f>
        <v>654574.45000000007</v>
      </c>
      <c r="M33" s="11">
        <f>IF(Table2[[#This Row],[Entry]]&gt;0,ROUND((SUM($J$6:Table2[[#This Row],[PnL Per Trade]])/Table1[Starting Balance]),4),"")</f>
        <v>0.30909999999999999</v>
      </c>
      <c r="N33" s="11">
        <f>IF(MAX(Table1[Starting Balance],$L$6:Table2[[#This Row],[Account Balance]])&gt;Table2[[#This Row],[Account Balance]], (Table2[[#This Row],[Account Balance]]-MAX(Table1[Starting Balance],$L$6:Table2[[#This Row],[Account Balance]]))/MAX(Table1[Starting Balance],$L$6:Table2[[#This Row],[Account Balance]]),"")</f>
        <v>-3.8077760966779431E-3</v>
      </c>
      <c r="O33" s="9" t="str">
        <f>IF(Table2[[#This Row],[Entry]]&gt;0, IF(Table2[[#This Row],[Target]]&gt;Table2[[#This Row],[Entry]],"Long", "Short"),"")</f>
        <v>Long</v>
      </c>
      <c r="P33" s="9">
        <f>IFERROR(ROUND(ABS(Table2[[#This Row],[Target]]-Table2[[#This Row],[Entry]])/ABS(Table2[[#This Row],[Entry]]-Table2[[#This Row],[Stoploss]]),2),"")</f>
        <v>9.0500000000000007</v>
      </c>
      <c r="Q3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3"/>
    </row>
    <row r="34" spans="1:19" s="4" customFormat="1" ht="21" customHeight="1" x14ac:dyDescent="0.25">
      <c r="A34" s="14"/>
      <c r="B34" s="5">
        <v>29</v>
      </c>
      <c r="C34" s="5" t="s">
        <v>55</v>
      </c>
      <c r="D34" s="5" t="s">
        <v>52</v>
      </c>
      <c r="E34" s="6">
        <v>44355</v>
      </c>
      <c r="F34" s="5">
        <v>2546</v>
      </c>
      <c r="G34" s="5">
        <v>2432</v>
      </c>
      <c r="H34" s="5">
        <f>IF(Table2[[#This Row],[Entry]]&gt;0,Table2[[#This Row],[Entry]]+(0.1*Table2[[#This Row],[Entry]]),"")</f>
        <v>2800.6</v>
      </c>
      <c r="I34" s="5" t="s">
        <v>29</v>
      </c>
      <c r="J34" s="5">
        <f>IFERROR(IF(Table2[[#This Row],[Win/Loss]]="w",(ABS(Table2[[#This Row],[Target]]-Table2[[#This Row],[Entry]])*Table2[[#This Row],[No. of Lots]]),(Table2[[#This Row],[Stoploss]]-Table2[[#This Row],[Entry]])*Table2[[#This Row],[No. of Lots]]),"")</f>
        <v>-2508</v>
      </c>
      <c r="K34" s="5">
        <f>IFERROR(ROUND((Table1[Starting Balance]*Table1[Risk/Position(in %)])/ABS(Table2[[#This Row],[Entry]]-Table2[[#This Row],[Stoploss]]),0),"")</f>
        <v>22</v>
      </c>
      <c r="L34" s="5">
        <f>IF(Table2[[#This Row],[Entry]]&gt;0,Table1[Starting Balance]+SUM($J$6:Table2[[#This Row],[PnL Per Trade]]),"")</f>
        <v>652066.45000000007</v>
      </c>
      <c r="M34" s="7">
        <f>IF(Table2[[#This Row],[Entry]]&gt;0,ROUND((SUM($J$6:Table2[[#This Row],[PnL Per Trade]])/Table1[Starting Balance]),4),"")</f>
        <v>0.30409999999999998</v>
      </c>
      <c r="N34" s="7">
        <f>IF(MAX(Table1[Starting Balance],$L$6:Table2[[#This Row],[Account Balance]])&gt;Table2[[#This Row],[Account Balance]], (Table2[[#This Row],[Account Balance]]-MAX(Table1[Starting Balance],$L$6:Table2[[#This Row],[Account Balance]]))/MAX(Table1[Starting Balance],$L$6:Table2[[#This Row],[Account Balance]]),"")</f>
        <v>-7.6246835509018764E-3</v>
      </c>
      <c r="O34" s="5" t="str">
        <f>IF(Table2[[#This Row],[Entry]]&gt;0, IF(Table2[[#This Row],[Target]]&gt;Table2[[#This Row],[Entry]],"Long", "Short"),"")</f>
        <v>Long</v>
      </c>
      <c r="P34" s="5">
        <f>IFERROR(ROUND(ABS(Table2[[#This Row],[Target]]-Table2[[#This Row],[Entry]])/ABS(Table2[[#This Row],[Entry]]-Table2[[#This Row],[Stoploss]]),2),"")</f>
        <v>2.23</v>
      </c>
      <c r="Q3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4"/>
    </row>
    <row r="35" spans="1:19" s="4" customFormat="1" ht="21" customHeight="1" x14ac:dyDescent="0.25">
      <c r="A35" s="14"/>
      <c r="B35" s="17">
        <v>30</v>
      </c>
      <c r="C35" s="9" t="s">
        <v>56</v>
      </c>
      <c r="D35" s="9" t="s">
        <v>50</v>
      </c>
      <c r="E35" s="10">
        <v>44356</v>
      </c>
      <c r="F35" s="9">
        <v>875</v>
      </c>
      <c r="G35" s="9">
        <v>853</v>
      </c>
      <c r="H35" s="9">
        <f>IF(Table2[[#This Row],[Entry]]&gt;0,Table2[[#This Row],[Entry]]+(0.1*Table2[[#This Row],[Entry]]),"")</f>
        <v>962.5</v>
      </c>
      <c r="I35" s="9" t="s">
        <v>27</v>
      </c>
      <c r="J35" s="9">
        <f>IFERROR(IF(Table2[[#This Row],[Win/Loss]]="w",(ABS(Table2[[#This Row],[Target]]-Table2[[#This Row],[Entry]])*Table2[[#This Row],[No. of Lots]]),(Table2[[#This Row],[Stoploss]]-Table2[[#This Row],[Entry]])*Table2[[#This Row],[No. of Lots]]),"")</f>
        <v>9975</v>
      </c>
      <c r="K35" s="9">
        <f>IFERROR(ROUND((Table1[Starting Balance]*Table1[Risk/Position(in %)])/ABS(Table2[[#This Row],[Entry]]-Table2[[#This Row],[Stoploss]]),0),"")</f>
        <v>114</v>
      </c>
      <c r="L35" s="9">
        <f>IF(Table2[[#This Row],[Entry]]&gt;0,Table1[Starting Balance]+SUM($J$6:Table2[[#This Row],[PnL Per Trade]]),"")</f>
        <v>662041.45000000007</v>
      </c>
      <c r="M35" s="11">
        <f>IF(Table2[[#This Row],[Entry]]&gt;0,ROUND((SUM($J$6:Table2[[#This Row],[PnL Per Trade]])/Table1[Starting Balance]),4),"")</f>
        <v>0.3241</v>
      </c>
      <c r="N35" s="11" t="str">
        <f>IF(MAX(Table1[Starting Balance],$L$6:Table2[[#This Row],[Account Balance]])&gt;Table2[[#This Row],[Account Balance]], (Table2[[#This Row],[Account Balance]]-MAX(Table1[Starting Balance],$L$6:Table2[[#This Row],[Account Balance]]))/MAX(Table1[Starting Balance],$L$6:Table2[[#This Row],[Account Balance]]),"")</f>
        <v/>
      </c>
      <c r="O35" s="9" t="str">
        <f>IF(Table2[[#This Row],[Entry]]&gt;0, IF(Table2[[#This Row],[Target]]&gt;Table2[[#This Row],[Entry]],"Long", "Short"),"")</f>
        <v>Long</v>
      </c>
      <c r="P35" s="9">
        <f>IFERROR(ROUND(ABS(Table2[[#This Row],[Target]]-Table2[[#This Row],[Entry]])/ABS(Table2[[#This Row],[Entry]]-Table2[[#This Row],[Stoploss]]),2),"")</f>
        <v>3.98</v>
      </c>
      <c r="Q3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5"/>
    </row>
    <row r="36" spans="1:19" s="4" customFormat="1" ht="21" customHeight="1" x14ac:dyDescent="0.25">
      <c r="A36" s="14"/>
      <c r="B36" s="5">
        <v>31</v>
      </c>
      <c r="C36" s="5" t="s">
        <v>57</v>
      </c>
      <c r="D36" s="5" t="s">
        <v>52</v>
      </c>
      <c r="E36" s="6">
        <v>44381</v>
      </c>
      <c r="F36" s="5">
        <v>114</v>
      </c>
      <c r="G36" s="5">
        <v>109</v>
      </c>
      <c r="H36" s="5">
        <f>IF(Table2[[#This Row],[Entry]]&gt;0,Table2[[#This Row],[Entry]]+(0.1*Table2[[#This Row],[Entry]]),"")</f>
        <v>125.4</v>
      </c>
      <c r="I36" s="5" t="s">
        <v>27</v>
      </c>
      <c r="J36" s="5">
        <f>IFERROR(IF(Table2[[#This Row],[Win/Loss]]="w",(ABS(Table2[[#This Row],[Target]]-Table2[[#This Row],[Entry]])*Table2[[#This Row],[No. of Lots]]),(Table2[[#This Row],[Stoploss]]-Table2[[#This Row],[Entry]])*Table2[[#This Row],[No. of Lots]]),"")</f>
        <v>5700.0000000000027</v>
      </c>
      <c r="K36" s="5">
        <f>IFERROR(ROUND((Table1[Starting Balance]*Table1[Risk/Position(in %)])/ABS(Table2[[#This Row],[Entry]]-Table2[[#This Row],[Stoploss]]),0),"")</f>
        <v>500</v>
      </c>
      <c r="L36" s="5">
        <f>IF(Table2[[#This Row],[Entry]]&gt;0,Table1[Starting Balance]+SUM($J$6:Table2[[#This Row],[PnL Per Trade]]),"")</f>
        <v>667741.45000000007</v>
      </c>
      <c r="M36" s="7">
        <f>IF(Table2[[#This Row],[Entry]]&gt;0,ROUND((SUM($J$6:Table2[[#This Row],[PnL Per Trade]])/Table1[Starting Balance]),4),"")</f>
        <v>0.33550000000000002</v>
      </c>
      <c r="N36" s="7" t="str">
        <f>IF(MAX(Table1[Starting Balance],$L$6:Table2[[#This Row],[Account Balance]])&gt;Table2[[#This Row],[Account Balance]], (Table2[[#This Row],[Account Balance]]-MAX(Table1[Starting Balance],$L$6:Table2[[#This Row],[Account Balance]]))/MAX(Table1[Starting Balance],$L$6:Table2[[#This Row],[Account Balance]]),"")</f>
        <v/>
      </c>
      <c r="O36" s="5" t="str">
        <f>IF(Table2[[#This Row],[Entry]]&gt;0, IF(Table2[[#This Row],[Target]]&gt;Table2[[#This Row],[Entry]],"Long", "Short"),"")</f>
        <v>Long</v>
      </c>
      <c r="P36" s="5">
        <f>IFERROR(ROUND(ABS(Table2[[#This Row],[Target]]-Table2[[#This Row],[Entry]])/ABS(Table2[[#This Row],[Entry]]-Table2[[#This Row],[Stoploss]]),2),"")</f>
        <v>2.2799999999999998</v>
      </c>
      <c r="Q3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Jul</v>
      </c>
      <c r="S36"/>
    </row>
    <row r="37" spans="1:19" s="4" customFormat="1" ht="21" customHeight="1" x14ac:dyDescent="0.25">
      <c r="A37" s="14"/>
      <c r="B37" s="17">
        <v>32</v>
      </c>
      <c r="C37" s="9" t="s">
        <v>58</v>
      </c>
      <c r="D37" s="9" t="s">
        <v>59</v>
      </c>
      <c r="E37" s="10">
        <v>44412</v>
      </c>
      <c r="F37" s="9">
        <v>1123</v>
      </c>
      <c r="G37" s="9">
        <v>1100</v>
      </c>
      <c r="H37" s="9">
        <f>IF(Table2[[#This Row],[Entry]]&gt;0,Table2[[#This Row],[Entry]]+(0.1*Table2[[#This Row],[Entry]]),"")</f>
        <v>1235.3</v>
      </c>
      <c r="I37" s="9" t="s">
        <v>27</v>
      </c>
      <c r="J37" s="9">
        <f>IFERROR(IF(Table2[[#This Row],[Win/Loss]]="w",(ABS(Table2[[#This Row],[Target]]-Table2[[#This Row],[Entry]])*Table2[[#This Row],[No. of Lots]]),(Table2[[#This Row],[Stoploss]]-Table2[[#This Row],[Entry]])*Table2[[#This Row],[No. of Lots]]),"")</f>
        <v>12240.699999999995</v>
      </c>
      <c r="K37" s="9">
        <f>IFERROR(ROUND((Table1[Starting Balance]*Table1[Risk/Position(in %)])/ABS(Table2[[#This Row],[Entry]]-Table2[[#This Row],[Stoploss]]),0),"")</f>
        <v>109</v>
      </c>
      <c r="L37" s="9">
        <f>IF(Table2[[#This Row],[Entry]]&gt;0,Table1[Starting Balance]+SUM($J$6:Table2[[#This Row],[PnL Per Trade]]),"")</f>
        <v>679982.15</v>
      </c>
      <c r="M37" s="11">
        <f>IF(Table2[[#This Row],[Entry]]&gt;0,ROUND((SUM($J$6:Table2[[#This Row],[PnL Per Trade]])/Table1[Starting Balance]),4),"")</f>
        <v>0.36</v>
      </c>
      <c r="N37" s="11" t="str">
        <f>IF(MAX(Table1[Starting Balance],$L$6:Table2[[#This Row],[Account Balance]])&gt;Table2[[#This Row],[Account Balance]], (Table2[[#This Row],[Account Balance]]-MAX(Table1[Starting Balance],$L$6:Table2[[#This Row],[Account Balance]]))/MAX(Table1[Starting Balance],$L$6:Table2[[#This Row],[Account Balance]]),"")</f>
        <v/>
      </c>
      <c r="O37" s="9" t="str">
        <f>IF(Table2[[#This Row],[Entry]]&gt;0, IF(Table2[[#This Row],[Target]]&gt;Table2[[#This Row],[Entry]],"Long", "Short"),"")</f>
        <v>Long</v>
      </c>
      <c r="P37" s="9">
        <f>IFERROR(ROUND(ABS(Table2[[#This Row],[Target]]-Table2[[#This Row],[Entry]])/ABS(Table2[[#This Row],[Entry]]-Table2[[#This Row],[Stoploss]]),2),"")</f>
        <v>4.88</v>
      </c>
      <c r="Q3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Aug</v>
      </c>
      <c r="S37"/>
    </row>
    <row r="38" spans="1:19" s="4" customFormat="1" ht="21" customHeight="1" x14ac:dyDescent="0.25">
      <c r="A38" s="14"/>
      <c r="B38" s="5">
        <v>33</v>
      </c>
      <c r="C38" s="5" t="s">
        <v>60</v>
      </c>
      <c r="D38" s="5" t="s">
        <v>61</v>
      </c>
      <c r="E38" s="6">
        <v>44413</v>
      </c>
      <c r="F38" s="5">
        <v>56</v>
      </c>
      <c r="G38" s="5">
        <v>54.5</v>
      </c>
      <c r="H38" s="5">
        <f>IF(Table2[[#This Row],[Entry]]&gt;0,Table2[[#This Row],[Entry]]+(0.1*Table2[[#This Row],[Entry]]),"")</f>
        <v>61.6</v>
      </c>
      <c r="I38" s="5" t="s">
        <v>29</v>
      </c>
      <c r="J38" s="5">
        <f>IFERROR(IF(Table2[[#This Row],[Win/Loss]]="w",(ABS(Table2[[#This Row],[Target]]-Table2[[#This Row],[Entry]])*Table2[[#This Row],[No. of Lots]]),(Table2[[#This Row],[Stoploss]]-Table2[[#This Row],[Entry]])*Table2[[#This Row],[No. of Lots]]),"")</f>
        <v>-2500.5</v>
      </c>
      <c r="K38" s="5">
        <f>IFERROR(ROUND((Table1[Starting Balance]*Table1[Risk/Position(in %)])/ABS(Table2[[#This Row],[Entry]]-Table2[[#This Row],[Stoploss]]),0),"")</f>
        <v>1667</v>
      </c>
      <c r="L38" s="5">
        <f>IF(Table2[[#This Row],[Entry]]&gt;0,Table1[Starting Balance]+SUM($J$6:Table2[[#This Row],[PnL Per Trade]]),"")</f>
        <v>677481.65</v>
      </c>
      <c r="M38" s="7">
        <f>IF(Table2[[#This Row],[Entry]]&gt;0,ROUND((SUM($J$6:Table2[[#This Row],[PnL Per Trade]])/Table1[Starting Balance]),4),"")</f>
        <v>0.35499999999999998</v>
      </c>
      <c r="N38" s="7">
        <f>IF(MAX(Table1[Starting Balance],$L$6:Table2[[#This Row],[Account Balance]])&gt;Table2[[#This Row],[Account Balance]], (Table2[[#This Row],[Account Balance]]-MAX(Table1[Starting Balance],$L$6:Table2[[#This Row],[Account Balance]]))/MAX(Table1[Starting Balance],$L$6:Table2[[#This Row],[Account Balance]]),"")</f>
        <v>-3.6773024115412441E-3</v>
      </c>
      <c r="O38" s="5" t="str">
        <f>IF(Table2[[#This Row],[Entry]]&gt;0, IF(Table2[[#This Row],[Target]]&gt;Table2[[#This Row],[Entry]],"Long", "Short"),"")</f>
        <v>Long</v>
      </c>
      <c r="P38" s="5">
        <f>IFERROR(ROUND(ABS(Table2[[#This Row],[Target]]-Table2[[#This Row],[Entry]])/ABS(Table2[[#This Row],[Entry]]-Table2[[#This Row],[Stoploss]]),2),"")</f>
        <v>3.73</v>
      </c>
      <c r="Q3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Aug</v>
      </c>
      <c r="S38"/>
    </row>
    <row r="39" spans="1:19" s="4" customFormat="1" ht="21" customHeight="1" x14ac:dyDescent="0.25">
      <c r="A39" s="14"/>
      <c r="B39" s="17">
        <v>34</v>
      </c>
      <c r="C39" s="9" t="s">
        <v>47</v>
      </c>
      <c r="D39" s="9" t="s">
        <v>50</v>
      </c>
      <c r="E39" s="10">
        <v>44414</v>
      </c>
      <c r="F39" s="9">
        <v>895</v>
      </c>
      <c r="G39" s="9">
        <v>888</v>
      </c>
      <c r="H39" s="9">
        <f>IF(Table2[[#This Row],[Entry]]&gt;0,Table2[[#This Row],[Entry]]+(0.1*Table2[[#This Row],[Entry]]),"")</f>
        <v>984.5</v>
      </c>
      <c r="I39" s="9" t="s">
        <v>29</v>
      </c>
      <c r="J39" s="9">
        <f>IFERROR(IF(Table2[[#This Row],[Win/Loss]]="w",(ABS(Table2[[#This Row],[Target]]-Table2[[#This Row],[Entry]])*Table2[[#This Row],[No. of Lots]]),(Table2[[#This Row],[Stoploss]]-Table2[[#This Row],[Entry]])*Table2[[#This Row],[No. of Lots]]),"")</f>
        <v>-2499</v>
      </c>
      <c r="K39" s="9">
        <f>IFERROR(ROUND((Table1[Starting Balance]*Table1[Risk/Position(in %)])/ABS(Table2[[#This Row],[Entry]]-Table2[[#This Row],[Stoploss]]),0),"")</f>
        <v>357</v>
      </c>
      <c r="L39" s="9">
        <f>IF(Table2[[#This Row],[Entry]]&gt;0,Table1[Starting Balance]+SUM($J$6:Table2[[#This Row],[PnL Per Trade]]),"")</f>
        <v>674982.65</v>
      </c>
      <c r="M39" s="11">
        <f>IF(Table2[[#This Row],[Entry]]&gt;0,ROUND((SUM($J$6:Table2[[#This Row],[PnL Per Trade]])/Table1[Starting Balance]),4),"")</f>
        <v>0.35</v>
      </c>
      <c r="N39" s="11">
        <f>IF(MAX(Table1[Starting Balance],$L$6:Table2[[#This Row],[Account Balance]])&gt;Table2[[#This Row],[Account Balance]], (Table2[[#This Row],[Account Balance]]-MAX(Table1[Starting Balance],$L$6:Table2[[#This Row],[Account Balance]]))/MAX(Table1[Starting Balance],$L$6:Table2[[#This Row],[Account Balance]]),"")</f>
        <v>-7.352398882823615E-3</v>
      </c>
      <c r="O39" s="9" t="str">
        <f>IF(Table2[[#This Row],[Entry]]&gt;0, IF(Table2[[#This Row],[Target]]&gt;Table2[[#This Row],[Entry]],"Long", "Short"),"")</f>
        <v>Long</v>
      </c>
      <c r="P39" s="9">
        <f>IFERROR(ROUND(ABS(Table2[[#This Row],[Target]]-Table2[[#This Row],[Entry]])/ABS(Table2[[#This Row],[Entry]]-Table2[[#This Row],[Stoploss]]),2),"")</f>
        <v>12.79</v>
      </c>
      <c r="Q3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Aug</v>
      </c>
      <c r="S39"/>
    </row>
    <row r="40" spans="1:19" s="4" customFormat="1" ht="21" customHeight="1" x14ac:dyDescent="0.25">
      <c r="A40" s="14"/>
      <c r="B40" s="5">
        <v>35</v>
      </c>
      <c r="C40" s="5" t="s">
        <v>62</v>
      </c>
      <c r="D40" s="5" t="s">
        <v>52</v>
      </c>
      <c r="E40" s="6">
        <v>44449</v>
      </c>
      <c r="F40" s="5">
        <v>23</v>
      </c>
      <c r="G40" s="5">
        <v>22.7</v>
      </c>
      <c r="H40" s="5">
        <f>IF(Table2[[#This Row],[Entry]]&gt;0,Table2[[#This Row],[Entry]]+(0.1*Table2[[#This Row],[Entry]]),"")</f>
        <v>25.3</v>
      </c>
      <c r="I40" s="5" t="s">
        <v>27</v>
      </c>
      <c r="J40" s="5">
        <f>IFERROR(IF(Table2[[#This Row],[Win/Loss]]="w",(ABS(Table2[[#This Row],[Target]]-Table2[[#This Row],[Entry]])*Table2[[#This Row],[No. of Lots]]),(Table2[[#This Row],[Stoploss]]-Table2[[#This Row],[Entry]])*Table2[[#This Row],[No. of Lots]]),"")</f>
        <v>19165.900000000005</v>
      </c>
      <c r="K40" s="5">
        <f>IFERROR(ROUND((Table1[Starting Balance]*Table1[Risk/Position(in %)])/ABS(Table2[[#This Row],[Entry]]-Table2[[#This Row],[Stoploss]]),0),"")</f>
        <v>8333</v>
      </c>
      <c r="L40" s="5">
        <f>IF(Table2[[#This Row],[Entry]]&gt;0,Table1[Starting Balance]+SUM($J$6:Table2[[#This Row],[PnL Per Trade]]),"")</f>
        <v>694148.55</v>
      </c>
      <c r="M40" s="7">
        <f>IF(Table2[[#This Row],[Entry]]&gt;0,ROUND((SUM($J$6:Table2[[#This Row],[PnL Per Trade]])/Table1[Starting Balance]),4),"")</f>
        <v>0.38829999999999998</v>
      </c>
      <c r="N40" s="7" t="str">
        <f>IF(MAX(Table1[Starting Balance],$L$6:Table2[[#This Row],[Account Balance]])&gt;Table2[[#This Row],[Account Balance]], (Table2[[#This Row],[Account Balance]]-MAX(Table1[Starting Balance],$L$6:Table2[[#This Row],[Account Balance]]))/MAX(Table1[Starting Balance],$L$6:Table2[[#This Row],[Account Balance]]),"")</f>
        <v/>
      </c>
      <c r="O40" s="5" t="str">
        <f>IF(Table2[[#This Row],[Entry]]&gt;0, IF(Table2[[#This Row],[Target]]&gt;Table2[[#This Row],[Entry]],"Long", "Short"),"")</f>
        <v>Long</v>
      </c>
      <c r="P40" s="5">
        <f>IFERROR(ROUND(ABS(Table2[[#This Row],[Target]]-Table2[[#This Row],[Entry]])/ABS(Table2[[#This Row],[Entry]]-Table2[[#This Row],[Stoploss]]),2),"")</f>
        <v>7.67</v>
      </c>
      <c r="Q4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Sep</v>
      </c>
      <c r="S40"/>
    </row>
    <row r="41" spans="1:19" s="4" customFormat="1" ht="21" customHeight="1" x14ac:dyDescent="0.25">
      <c r="A41" s="14"/>
      <c r="B41" s="17">
        <v>36</v>
      </c>
      <c r="C41" s="9" t="s">
        <v>63</v>
      </c>
      <c r="D41" s="9" t="s">
        <v>50</v>
      </c>
      <c r="E41" s="10">
        <v>44450</v>
      </c>
      <c r="F41" s="9">
        <v>1234</v>
      </c>
      <c r="G41" s="9">
        <v>1228</v>
      </c>
      <c r="H41" s="9">
        <f>IF(Table2[[#This Row],[Entry]]&gt;0,Table2[[#This Row],[Entry]]+(0.1*Table2[[#This Row],[Entry]]),"")</f>
        <v>1357.4</v>
      </c>
      <c r="I41" s="9" t="s">
        <v>29</v>
      </c>
      <c r="J41" s="9">
        <f>IFERROR(IF(Table2[[#This Row],[Win/Loss]]="w",(ABS(Table2[[#This Row],[Target]]-Table2[[#This Row],[Entry]])*Table2[[#This Row],[No. of Lots]]),(Table2[[#This Row],[Stoploss]]-Table2[[#This Row],[Entry]])*Table2[[#This Row],[No. of Lots]]),"")</f>
        <v>-2502</v>
      </c>
      <c r="K41" s="9">
        <f>IFERROR(ROUND((Table1[Starting Balance]*Table1[Risk/Position(in %)])/ABS(Table2[[#This Row],[Entry]]-Table2[[#This Row],[Stoploss]]),0),"")</f>
        <v>417</v>
      </c>
      <c r="L41" s="9">
        <f>IF(Table2[[#This Row],[Entry]]&gt;0,Table1[Starting Balance]+SUM($J$6:Table2[[#This Row],[PnL Per Trade]]),"")</f>
        <v>691646.55</v>
      </c>
      <c r="M41" s="11">
        <f>IF(Table2[[#This Row],[Entry]]&gt;0,ROUND((SUM($J$6:Table2[[#This Row],[PnL Per Trade]])/Table1[Starting Balance]),4),"")</f>
        <v>0.38329999999999997</v>
      </c>
      <c r="N41" s="11">
        <f>IF(MAX(Table1[Starting Balance],$L$6:Table2[[#This Row],[Account Balance]])&gt;Table2[[#This Row],[Account Balance]], (Table2[[#This Row],[Account Balance]]-MAX(Table1[Starting Balance],$L$6:Table2[[#This Row],[Account Balance]]))/MAX(Table1[Starting Balance],$L$6:Table2[[#This Row],[Account Balance]]),"")</f>
        <v>-3.6044157983186739E-3</v>
      </c>
      <c r="O41" s="9" t="str">
        <f>IF(Table2[[#This Row],[Entry]]&gt;0, IF(Table2[[#This Row],[Target]]&gt;Table2[[#This Row],[Entry]],"Long", "Short"),"")</f>
        <v>Long</v>
      </c>
      <c r="P41" s="9">
        <f>IFERROR(ROUND(ABS(Table2[[#This Row],[Target]]-Table2[[#This Row],[Entry]])/ABS(Table2[[#This Row],[Entry]]-Table2[[#This Row],[Stoploss]]),2),"")</f>
        <v>20.57</v>
      </c>
      <c r="Q4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Sep</v>
      </c>
      <c r="S41"/>
    </row>
    <row r="42" spans="1:19" s="4" customFormat="1" ht="21" customHeight="1" x14ac:dyDescent="0.25">
      <c r="A42" s="14"/>
      <c r="B42" s="5">
        <v>37</v>
      </c>
      <c r="C42" s="5" t="s">
        <v>64</v>
      </c>
      <c r="D42" s="5" t="s">
        <v>52</v>
      </c>
      <c r="E42" s="6">
        <v>44451</v>
      </c>
      <c r="F42" s="5">
        <v>432</v>
      </c>
      <c r="G42" s="5">
        <v>423</v>
      </c>
      <c r="H42" s="5">
        <f>IF(Table2[[#This Row],[Entry]]&gt;0,Table2[[#This Row],[Entry]]+(0.1*Table2[[#This Row],[Entry]]),"")</f>
        <v>475.2</v>
      </c>
      <c r="I42" s="5" t="s">
        <v>27</v>
      </c>
      <c r="J42" s="5">
        <f>IFERROR(IF(Table2[[#This Row],[Win/Loss]]="w",(ABS(Table2[[#This Row],[Target]]-Table2[[#This Row],[Entry]])*Table2[[#This Row],[No. of Lots]]),(Table2[[#This Row],[Stoploss]]-Table2[[#This Row],[Entry]])*Table2[[#This Row],[No. of Lots]]),"")</f>
        <v>12009.599999999997</v>
      </c>
      <c r="K42" s="5">
        <f>IFERROR(ROUND((Table1[Starting Balance]*Table1[Risk/Position(in %)])/ABS(Table2[[#This Row],[Entry]]-Table2[[#This Row],[Stoploss]]),0),"")</f>
        <v>278</v>
      </c>
      <c r="L42" s="5">
        <f>IF(Table2[[#This Row],[Entry]]&gt;0,Table1[Starting Balance]+SUM($J$6:Table2[[#This Row],[PnL Per Trade]]),"")</f>
        <v>703656.15</v>
      </c>
      <c r="M42" s="7">
        <f>IF(Table2[[#This Row],[Entry]]&gt;0,ROUND((SUM($J$6:Table2[[#This Row],[PnL Per Trade]])/Table1[Starting Balance]),4),"")</f>
        <v>0.4073</v>
      </c>
      <c r="N42" s="7" t="str">
        <f>IF(MAX(Table1[Starting Balance],$L$6:Table2[[#This Row],[Account Balance]])&gt;Table2[[#This Row],[Account Balance]], (Table2[[#This Row],[Account Balance]]-MAX(Table1[Starting Balance],$L$6:Table2[[#This Row],[Account Balance]]))/MAX(Table1[Starting Balance],$L$6:Table2[[#This Row],[Account Balance]]),"")</f>
        <v/>
      </c>
      <c r="O42" s="5" t="str">
        <f>IF(Table2[[#This Row],[Entry]]&gt;0, IF(Table2[[#This Row],[Target]]&gt;Table2[[#This Row],[Entry]],"Long", "Short"),"")</f>
        <v>Long</v>
      </c>
      <c r="P42" s="5">
        <f>IFERROR(ROUND(ABS(Table2[[#This Row],[Target]]-Table2[[#This Row],[Entry]])/ABS(Table2[[#This Row],[Entry]]-Table2[[#This Row],[Stoploss]]),2),"")</f>
        <v>4.8</v>
      </c>
      <c r="Q4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Sep</v>
      </c>
      <c r="S42"/>
    </row>
    <row r="43" spans="1:19" s="4" customFormat="1" ht="21" customHeight="1" x14ac:dyDescent="0.25">
      <c r="A43" s="14"/>
      <c r="B43" s="17">
        <v>38</v>
      </c>
      <c r="C43" s="9" t="s">
        <v>65</v>
      </c>
      <c r="D43" s="9" t="s">
        <v>59</v>
      </c>
      <c r="E43" s="10">
        <v>44482</v>
      </c>
      <c r="F43" s="9">
        <v>38</v>
      </c>
      <c r="G43" s="9">
        <v>37.5</v>
      </c>
      <c r="H43" s="9">
        <f>IF(Table2[[#This Row],[Entry]]&gt;0,Table2[[#This Row],[Entry]]+(0.1*Table2[[#This Row],[Entry]]),"")</f>
        <v>41.8</v>
      </c>
      <c r="I43" s="9" t="s">
        <v>27</v>
      </c>
      <c r="J43" s="9">
        <f>IFERROR(IF(Table2[[#This Row],[Win/Loss]]="w",(ABS(Table2[[#This Row],[Target]]-Table2[[#This Row],[Entry]])*Table2[[#This Row],[No. of Lots]]),(Table2[[#This Row],[Stoploss]]-Table2[[#This Row],[Entry]])*Table2[[#This Row],[No. of Lots]]),"")</f>
        <v>18999.999999999985</v>
      </c>
      <c r="K43" s="9">
        <f>IFERROR(ROUND((Table1[Starting Balance]*Table1[Risk/Position(in %)])/ABS(Table2[[#This Row],[Entry]]-Table2[[#This Row],[Stoploss]]),0),"")</f>
        <v>5000</v>
      </c>
      <c r="L43" s="9">
        <f>IF(Table2[[#This Row],[Entry]]&gt;0,Table1[Starting Balance]+SUM($J$6:Table2[[#This Row],[PnL Per Trade]]),"")</f>
        <v>722656.15</v>
      </c>
      <c r="M43" s="11">
        <f>IF(Table2[[#This Row],[Entry]]&gt;0,ROUND((SUM($J$6:Table2[[#This Row],[PnL Per Trade]])/Table1[Starting Balance]),4),"")</f>
        <v>0.44529999999999997</v>
      </c>
      <c r="N43" s="11" t="str">
        <f>IF(MAX(Table1[Starting Balance],$L$6:Table2[[#This Row],[Account Balance]])&gt;Table2[[#This Row],[Account Balance]], (Table2[[#This Row],[Account Balance]]-MAX(Table1[Starting Balance],$L$6:Table2[[#This Row],[Account Balance]]))/MAX(Table1[Starting Balance],$L$6:Table2[[#This Row],[Account Balance]]),"")</f>
        <v/>
      </c>
      <c r="O43" s="9" t="str">
        <f>IF(Table2[[#This Row],[Entry]]&gt;0, IF(Table2[[#This Row],[Target]]&gt;Table2[[#This Row],[Entry]],"Long", "Short"),"")</f>
        <v>Long</v>
      </c>
      <c r="P43" s="9">
        <f>IFERROR(ROUND(ABS(Table2[[#This Row],[Target]]-Table2[[#This Row],[Entry]])/ABS(Table2[[#This Row],[Entry]]-Table2[[#This Row],[Stoploss]]),2),"")</f>
        <v>7.6</v>
      </c>
      <c r="Q4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3"/>
    </row>
    <row r="44" spans="1:19" s="4" customFormat="1" ht="21" customHeight="1" x14ac:dyDescent="0.25">
      <c r="A44" s="14"/>
      <c r="B44" s="5">
        <v>39</v>
      </c>
      <c r="C44" s="5" t="s">
        <v>66</v>
      </c>
      <c r="D44" s="5" t="s">
        <v>59</v>
      </c>
      <c r="E44" s="6">
        <v>44483</v>
      </c>
      <c r="F44" s="5">
        <v>346</v>
      </c>
      <c r="G44" s="5">
        <v>335</v>
      </c>
      <c r="H44" s="5">
        <f>IF(Table2[[#This Row],[Entry]]&gt;0,Table2[[#This Row],[Entry]]+(0.1*Table2[[#This Row],[Entry]]),"")</f>
        <v>380.6</v>
      </c>
      <c r="I44" s="5" t="s">
        <v>29</v>
      </c>
      <c r="J44" s="5">
        <f>IFERROR(IF(Table2[[#This Row],[Win/Loss]]="w",(ABS(Table2[[#This Row],[Target]]-Table2[[#This Row],[Entry]])*Table2[[#This Row],[No. of Lots]]),(Table2[[#This Row],[Stoploss]]-Table2[[#This Row],[Entry]])*Table2[[#This Row],[No. of Lots]]),"")</f>
        <v>-2497</v>
      </c>
      <c r="K44" s="5">
        <f>IFERROR(ROUND((Table1[Starting Balance]*Table1[Risk/Position(in %)])/ABS(Table2[[#This Row],[Entry]]-Table2[[#This Row],[Stoploss]]),0),"")</f>
        <v>227</v>
      </c>
      <c r="L44" s="5">
        <f>IF(Table2[[#This Row],[Entry]]&gt;0,Table1[Starting Balance]+SUM($J$6:Table2[[#This Row],[PnL Per Trade]]),"")</f>
        <v>720159.15</v>
      </c>
      <c r="M44" s="7">
        <f>IF(Table2[[#This Row],[Entry]]&gt;0,ROUND((SUM($J$6:Table2[[#This Row],[PnL Per Trade]])/Table1[Starting Balance]),4),"")</f>
        <v>0.44030000000000002</v>
      </c>
      <c r="N44" s="7">
        <f>IF(MAX(Table1[Starting Balance],$L$6:Table2[[#This Row],[Account Balance]])&gt;Table2[[#This Row],[Account Balance]], (Table2[[#This Row],[Account Balance]]-MAX(Table1[Starting Balance],$L$6:Table2[[#This Row],[Account Balance]]))/MAX(Table1[Starting Balance],$L$6:Table2[[#This Row],[Account Balance]]),"")</f>
        <v>-3.4553085862481072E-3</v>
      </c>
      <c r="O44" s="5" t="str">
        <f>IF(Table2[[#This Row],[Entry]]&gt;0, IF(Table2[[#This Row],[Target]]&gt;Table2[[#This Row],[Entry]],"Long", "Short"),"")</f>
        <v>Long</v>
      </c>
      <c r="P44" s="5">
        <f>IFERROR(ROUND(ABS(Table2[[#This Row],[Target]]-Table2[[#This Row],[Entry]])/ABS(Table2[[#This Row],[Entry]]-Table2[[#This Row],[Stoploss]]),2),"")</f>
        <v>3.15</v>
      </c>
      <c r="Q4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4"/>
    </row>
    <row r="45" spans="1:19" s="4" customFormat="1" ht="21" customHeight="1" x14ac:dyDescent="0.25">
      <c r="A45" s="14"/>
      <c r="B45" s="17">
        <v>40</v>
      </c>
      <c r="C45" s="9" t="s">
        <v>65</v>
      </c>
      <c r="D45" s="9" t="s">
        <v>59</v>
      </c>
      <c r="E45" s="10">
        <v>44484</v>
      </c>
      <c r="F45" s="9">
        <v>45.95</v>
      </c>
      <c r="G45" s="9">
        <v>43</v>
      </c>
      <c r="H45" s="9">
        <f>IF(Table2[[#This Row],[Entry]]&gt;0,Table2[[#This Row],[Entry]]+(0.1*Table2[[#This Row],[Entry]]),"")</f>
        <v>50.545000000000002</v>
      </c>
      <c r="I45" s="9" t="s">
        <v>29</v>
      </c>
      <c r="J45" s="9">
        <f>IFERROR(IF(Table2[[#This Row],[Win/Loss]]="w",(ABS(Table2[[#This Row],[Target]]-Table2[[#This Row],[Entry]])*Table2[[#This Row],[No. of Lots]]),(Table2[[#This Row],[Stoploss]]-Table2[[#This Row],[Entry]])*Table2[[#This Row],[No. of Lots]]),"")</f>
        <v>-2498.6500000000024</v>
      </c>
      <c r="K45" s="9">
        <f>IFERROR(ROUND((Table1[Starting Balance]*Table1[Risk/Position(in %)])/ABS(Table2[[#This Row],[Entry]]-Table2[[#This Row],[Stoploss]]),0),"")</f>
        <v>847</v>
      </c>
      <c r="L45" s="9">
        <f>IF(Table2[[#This Row],[Entry]]&gt;0,Table1[Starting Balance]+SUM($J$6:Table2[[#This Row],[PnL Per Trade]]),"")</f>
        <v>717660.5</v>
      </c>
      <c r="M45" s="11">
        <f>IF(Table2[[#This Row],[Entry]]&gt;0,ROUND((SUM($J$6:Table2[[#This Row],[PnL Per Trade]])/Table1[Starting Balance]),4),"")</f>
        <v>0.43530000000000002</v>
      </c>
      <c r="N45" s="11">
        <f>IF(MAX(Table1[Starting Balance],$L$6:Table2[[#This Row],[Account Balance]])&gt;Table2[[#This Row],[Account Balance]], (Table2[[#This Row],[Account Balance]]-MAX(Table1[Starting Balance],$L$6:Table2[[#This Row],[Account Balance]]))/MAX(Table1[Starting Balance],$L$6:Table2[[#This Row],[Account Balance]]),"")</f>
        <v>-6.9129004160554406E-3</v>
      </c>
      <c r="O45" s="9" t="str">
        <f>IF(Table2[[#This Row],[Entry]]&gt;0, IF(Table2[[#This Row],[Target]]&gt;Table2[[#This Row],[Entry]],"Long", "Short"),"")</f>
        <v>Long</v>
      </c>
      <c r="P45" s="9">
        <f>IFERROR(ROUND(ABS(Table2[[#This Row],[Target]]-Table2[[#This Row],[Entry]])/ABS(Table2[[#This Row],[Entry]]-Table2[[#This Row],[Stoploss]]),2),"")</f>
        <v>1.56</v>
      </c>
      <c r="Q4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5"/>
    </row>
    <row r="46" spans="1:19" s="4" customFormat="1" ht="21" customHeight="1" x14ac:dyDescent="0.25">
      <c r="A46" s="14"/>
      <c r="B46" s="5">
        <v>41</v>
      </c>
      <c r="C46" s="5" t="s">
        <v>55</v>
      </c>
      <c r="D46" s="5" t="s">
        <v>52</v>
      </c>
      <c r="E46" s="6">
        <v>44485</v>
      </c>
      <c r="F46" s="5">
        <v>2345</v>
      </c>
      <c r="G46" s="5">
        <v>2312</v>
      </c>
      <c r="H46" s="5">
        <f>IF(Table2[[#This Row],[Entry]]&gt;0,Table2[[#This Row],[Entry]]+(0.1*Table2[[#This Row],[Entry]]),"")</f>
        <v>2579.5</v>
      </c>
      <c r="I46" s="5" t="s">
        <v>27</v>
      </c>
      <c r="J46" s="5">
        <f>IFERROR(IF(Table2[[#This Row],[Win/Loss]]="w",(ABS(Table2[[#This Row],[Target]]-Table2[[#This Row],[Entry]])*Table2[[#This Row],[No. of Lots]]),(Table2[[#This Row],[Stoploss]]-Table2[[#This Row],[Entry]])*Table2[[#This Row],[No. of Lots]]),"")</f>
        <v>17822</v>
      </c>
      <c r="K46" s="5">
        <f>IFERROR(ROUND((Table1[Starting Balance]*Table1[Risk/Position(in %)])/ABS(Table2[[#This Row],[Entry]]-Table2[[#This Row],[Stoploss]]),0),"")</f>
        <v>76</v>
      </c>
      <c r="L46" s="5">
        <f>IF(Table2[[#This Row],[Entry]]&gt;0,Table1[Starting Balance]+SUM($J$6:Table2[[#This Row],[PnL Per Trade]]),"")</f>
        <v>735482.5</v>
      </c>
      <c r="M46" s="7">
        <f>IF(Table2[[#This Row],[Entry]]&gt;0,ROUND((SUM($J$6:Table2[[#This Row],[PnL Per Trade]])/Table1[Starting Balance]),4),"")</f>
        <v>0.47099999999999997</v>
      </c>
      <c r="N46" s="7" t="str">
        <f>IF(MAX(Table1[Starting Balance],$L$6:Table2[[#This Row],[Account Balance]])&gt;Table2[[#This Row],[Account Balance]], (Table2[[#This Row],[Account Balance]]-MAX(Table1[Starting Balance],$L$6:Table2[[#This Row],[Account Balance]]))/MAX(Table1[Starting Balance],$L$6:Table2[[#This Row],[Account Balance]]),"")</f>
        <v/>
      </c>
      <c r="O46" s="5" t="str">
        <f>IF(Table2[[#This Row],[Entry]]&gt;0, IF(Table2[[#This Row],[Target]]&gt;Table2[[#This Row],[Entry]],"Long", "Short"),"")</f>
        <v>Long</v>
      </c>
      <c r="P46" s="5">
        <f>IFERROR(ROUND(ABS(Table2[[#This Row],[Target]]-Table2[[#This Row],[Entry]])/ABS(Table2[[#This Row],[Entry]]-Table2[[#This Row],[Stoploss]]),2),"")</f>
        <v>7.11</v>
      </c>
      <c r="Q4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6"/>
    </row>
    <row r="47" spans="1:19" s="4" customFormat="1" ht="21" customHeight="1" x14ac:dyDescent="0.25">
      <c r="A47" s="14"/>
      <c r="B47" s="17">
        <v>42</v>
      </c>
      <c r="C47" s="9" t="s">
        <v>56</v>
      </c>
      <c r="D47" s="9" t="s">
        <v>50</v>
      </c>
      <c r="E47" s="10">
        <v>44523</v>
      </c>
      <c r="F47" s="9">
        <v>767</v>
      </c>
      <c r="G47" s="9">
        <v>765</v>
      </c>
      <c r="H47" s="9">
        <f>IF(Table2[[#This Row],[Entry]]&gt;0,Table2[[#This Row],[Entry]]+(0.1*Table2[[#This Row],[Entry]]),"")</f>
        <v>843.7</v>
      </c>
      <c r="I47" s="9" t="s">
        <v>29</v>
      </c>
      <c r="J47" s="9">
        <f>IFERROR(IF(Table2[[#This Row],[Win/Loss]]="w",(ABS(Table2[[#This Row],[Target]]-Table2[[#This Row],[Entry]])*Table2[[#This Row],[No. of Lots]]),(Table2[[#This Row],[Stoploss]]-Table2[[#This Row],[Entry]])*Table2[[#This Row],[No. of Lots]]),"")</f>
        <v>-2500</v>
      </c>
      <c r="K47" s="9">
        <f>IFERROR(ROUND((Table1[Starting Balance]*Table1[Risk/Position(in %)])/ABS(Table2[[#This Row],[Entry]]-Table2[[#This Row],[Stoploss]]),0),"")</f>
        <v>1250</v>
      </c>
      <c r="L47" s="9">
        <f>IF(Table2[[#This Row],[Entry]]&gt;0,Table1[Starting Balance]+SUM($J$6:Table2[[#This Row],[PnL Per Trade]]),"")</f>
        <v>732982.5</v>
      </c>
      <c r="M47" s="11">
        <f>IF(Table2[[#This Row],[Entry]]&gt;0,ROUND((SUM($J$6:Table2[[#This Row],[PnL Per Trade]])/Table1[Starting Balance]),4),"")</f>
        <v>0.46600000000000003</v>
      </c>
      <c r="N47" s="11">
        <f>IF(MAX(Table1[Starting Balance],$L$6:Table2[[#This Row],[Account Balance]])&gt;Table2[[#This Row],[Account Balance]], (Table2[[#This Row],[Account Balance]]-MAX(Table1[Starting Balance],$L$6:Table2[[#This Row],[Account Balance]]))/MAX(Table1[Starting Balance],$L$6:Table2[[#This Row],[Account Balance]]),"")</f>
        <v>-3.3991291431135343E-3</v>
      </c>
      <c r="O47" s="9" t="str">
        <f>IF(Table2[[#This Row],[Entry]]&gt;0, IF(Table2[[#This Row],[Target]]&gt;Table2[[#This Row],[Entry]],"Long", "Short"),"")</f>
        <v>Long</v>
      </c>
      <c r="P47" s="9">
        <f>IFERROR(ROUND(ABS(Table2[[#This Row],[Target]]-Table2[[#This Row],[Entry]])/ABS(Table2[[#This Row],[Entry]]-Table2[[#This Row],[Stoploss]]),2),"")</f>
        <v>38.35</v>
      </c>
      <c r="Q4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47"/>
    </row>
    <row r="48" spans="1:19" s="4" customFormat="1" ht="21" customHeight="1" x14ac:dyDescent="0.25">
      <c r="A48" s="14"/>
      <c r="B48" s="5">
        <v>43</v>
      </c>
      <c r="C48" s="5" t="s">
        <v>57</v>
      </c>
      <c r="D48" s="5" t="s">
        <v>52</v>
      </c>
      <c r="E48" s="6">
        <v>44524</v>
      </c>
      <c r="F48" s="5">
        <v>123</v>
      </c>
      <c r="G48" s="5">
        <v>107</v>
      </c>
      <c r="H48" s="5">
        <f>IF(Table2[[#This Row],[Entry]]&gt;0,Table2[[#This Row],[Entry]]+(0.1*Table2[[#This Row],[Entry]]),"")</f>
        <v>135.30000000000001</v>
      </c>
      <c r="I48" s="5" t="s">
        <v>29</v>
      </c>
      <c r="J48" s="5">
        <f>IFERROR(IF(Table2[[#This Row],[Win/Loss]]="w",(ABS(Table2[[#This Row],[Target]]-Table2[[#This Row],[Entry]])*Table2[[#This Row],[No. of Lots]]),(Table2[[#This Row],[Stoploss]]-Table2[[#This Row],[Entry]])*Table2[[#This Row],[No. of Lots]]),"")</f>
        <v>-2496</v>
      </c>
      <c r="K48" s="5">
        <f>IFERROR(ROUND((Table1[Starting Balance]*Table1[Risk/Position(in %)])/ABS(Table2[[#This Row],[Entry]]-Table2[[#This Row],[Stoploss]]),0),"")</f>
        <v>156</v>
      </c>
      <c r="L48" s="5">
        <f>IF(Table2[[#This Row],[Entry]]&gt;0,Table1[Starting Balance]+SUM($J$6:Table2[[#This Row],[PnL Per Trade]]),"")</f>
        <v>730486.5</v>
      </c>
      <c r="M48" s="7">
        <f>IF(Table2[[#This Row],[Entry]]&gt;0,ROUND((SUM($J$6:Table2[[#This Row],[PnL Per Trade]])/Table1[Starting Balance]),4),"")</f>
        <v>0.46100000000000002</v>
      </c>
      <c r="N48" s="7">
        <f>IF(MAX(Table1[Starting Balance],$L$6:Table2[[#This Row],[Account Balance]])&gt;Table2[[#This Row],[Account Balance]], (Table2[[#This Row],[Account Balance]]-MAX(Table1[Starting Balance],$L$6:Table2[[#This Row],[Account Balance]]))/MAX(Table1[Starting Balance],$L$6:Table2[[#This Row],[Account Balance]]),"")</f>
        <v>-6.7928196795980873E-3</v>
      </c>
      <c r="O48" s="5" t="str">
        <f>IF(Table2[[#This Row],[Entry]]&gt;0, IF(Table2[[#This Row],[Target]]&gt;Table2[[#This Row],[Entry]],"Long", "Short"),"")</f>
        <v>Long</v>
      </c>
      <c r="P48" s="5">
        <f>IFERROR(ROUND(ABS(Table2[[#This Row],[Target]]-Table2[[#This Row],[Entry]])/ABS(Table2[[#This Row],[Entry]]-Table2[[#This Row],[Stoploss]]),2),"")</f>
        <v>0.77</v>
      </c>
      <c r="Q4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48"/>
    </row>
    <row r="49" spans="1:19" s="4" customFormat="1" ht="21" customHeight="1" x14ac:dyDescent="0.25">
      <c r="A49" s="14"/>
      <c r="B49" s="17">
        <v>44</v>
      </c>
      <c r="C49" s="9" t="s">
        <v>58</v>
      </c>
      <c r="D49" s="9" t="s">
        <v>59</v>
      </c>
      <c r="E49" s="10">
        <v>44525</v>
      </c>
      <c r="F49" s="9">
        <v>1424</v>
      </c>
      <c r="G49" s="9">
        <v>1324</v>
      </c>
      <c r="H49" s="9">
        <f>IF(Table2[[#This Row],[Entry]]&gt;0,Table2[[#This Row],[Entry]]+(0.1*Table2[[#This Row],[Entry]]),"")</f>
        <v>1566.4</v>
      </c>
      <c r="I49" s="9" t="s">
        <v>29</v>
      </c>
      <c r="J49" s="9">
        <f>IFERROR(IF(Table2[[#This Row],[Win/Loss]]="w",(ABS(Table2[[#This Row],[Target]]-Table2[[#This Row],[Entry]])*Table2[[#This Row],[No. of Lots]]),(Table2[[#This Row],[Stoploss]]-Table2[[#This Row],[Entry]])*Table2[[#This Row],[No. of Lots]]),"")</f>
        <v>-2500</v>
      </c>
      <c r="K49" s="9">
        <f>IFERROR(ROUND((Table1[Starting Balance]*Table1[Risk/Position(in %)])/ABS(Table2[[#This Row],[Entry]]-Table2[[#This Row],[Stoploss]]),0),"")</f>
        <v>25</v>
      </c>
      <c r="L49" s="9">
        <f>IF(Table2[[#This Row],[Entry]]&gt;0,Table1[Starting Balance]+SUM($J$6:Table2[[#This Row],[PnL Per Trade]]),"")</f>
        <v>727986.5</v>
      </c>
      <c r="M49" s="11">
        <f>IF(Table2[[#This Row],[Entry]]&gt;0,ROUND((SUM($J$6:Table2[[#This Row],[PnL Per Trade]])/Table1[Starting Balance]),4),"")</f>
        <v>0.45600000000000002</v>
      </c>
      <c r="N49" s="11">
        <f>IF(MAX(Table1[Starting Balance],$L$6:Table2[[#This Row],[Account Balance]])&gt;Table2[[#This Row],[Account Balance]], (Table2[[#This Row],[Account Balance]]-MAX(Table1[Starting Balance],$L$6:Table2[[#This Row],[Account Balance]]))/MAX(Table1[Starting Balance],$L$6:Table2[[#This Row],[Account Balance]]),"")</f>
        <v>-1.0191948822711622E-2</v>
      </c>
      <c r="O49" s="9" t="str">
        <f>IF(Table2[[#This Row],[Entry]]&gt;0, IF(Table2[[#This Row],[Target]]&gt;Table2[[#This Row],[Entry]],"Long", "Short"),"")</f>
        <v>Long</v>
      </c>
      <c r="P49" s="9">
        <f>IFERROR(ROUND(ABS(Table2[[#This Row],[Target]]-Table2[[#This Row],[Entry]])/ABS(Table2[[#This Row],[Entry]]-Table2[[#This Row],[Stoploss]]),2),"")</f>
        <v>1.42</v>
      </c>
      <c r="Q4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49"/>
    </row>
    <row r="50" spans="1:19" s="4" customFormat="1" ht="21" customHeight="1" x14ac:dyDescent="0.25">
      <c r="A50" s="14"/>
      <c r="B50" s="5">
        <v>45</v>
      </c>
      <c r="C50" s="5" t="s">
        <v>60</v>
      </c>
      <c r="D50" s="5" t="s">
        <v>61</v>
      </c>
      <c r="E50" s="6">
        <v>44526</v>
      </c>
      <c r="F50" s="5">
        <v>45</v>
      </c>
      <c r="G50" s="5">
        <v>41</v>
      </c>
      <c r="H50" s="5">
        <f>IF(Table2[[#This Row],[Entry]]&gt;0,Table2[[#This Row],[Entry]]+(0.1*Table2[[#This Row],[Entry]]),"")</f>
        <v>49.5</v>
      </c>
      <c r="I50" s="5" t="s">
        <v>29</v>
      </c>
      <c r="J50" s="5">
        <f>IFERROR(IF(Table2[[#This Row],[Win/Loss]]="w",(ABS(Table2[[#This Row],[Target]]-Table2[[#This Row],[Entry]])*Table2[[#This Row],[No. of Lots]]),(Table2[[#This Row],[Stoploss]]-Table2[[#This Row],[Entry]])*Table2[[#This Row],[No. of Lots]]),"")</f>
        <v>-2500</v>
      </c>
      <c r="K50" s="5">
        <f>IFERROR(ROUND((Table1[Starting Balance]*Table1[Risk/Position(in %)])/ABS(Table2[[#This Row],[Entry]]-Table2[[#This Row],[Stoploss]]),0),"")</f>
        <v>625</v>
      </c>
      <c r="L50" s="5">
        <f>IF(Table2[[#This Row],[Entry]]&gt;0,Table1[Starting Balance]+SUM($J$6:Table2[[#This Row],[PnL Per Trade]]),"")</f>
        <v>725486.5</v>
      </c>
      <c r="M50" s="7">
        <f>IF(Table2[[#This Row],[Entry]]&gt;0,ROUND((SUM($J$6:Table2[[#This Row],[PnL Per Trade]])/Table1[Starting Balance]),4),"")</f>
        <v>0.45100000000000001</v>
      </c>
      <c r="N50" s="7">
        <f>IF(MAX(Table1[Starting Balance],$L$6:Table2[[#This Row],[Account Balance]])&gt;Table2[[#This Row],[Account Balance]], (Table2[[#This Row],[Account Balance]]-MAX(Table1[Starting Balance],$L$6:Table2[[#This Row],[Account Balance]]))/MAX(Table1[Starting Balance],$L$6:Table2[[#This Row],[Account Balance]]),"")</f>
        <v>-1.3591077965825156E-2</v>
      </c>
      <c r="O50" s="5" t="str">
        <f>IF(Table2[[#This Row],[Entry]]&gt;0, IF(Table2[[#This Row],[Target]]&gt;Table2[[#This Row],[Entry]],"Long", "Short"),"")</f>
        <v>Long</v>
      </c>
      <c r="P50" s="5">
        <f>IFERROR(ROUND(ABS(Table2[[#This Row],[Target]]-Table2[[#This Row],[Entry]])/ABS(Table2[[#This Row],[Entry]]-Table2[[#This Row],[Stoploss]]),2),"")</f>
        <v>1.1299999999999999</v>
      </c>
      <c r="Q5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0"/>
    </row>
    <row r="51" spans="1:19" s="4" customFormat="1" ht="21" customHeight="1" x14ac:dyDescent="0.25">
      <c r="A51" s="14"/>
      <c r="B51" s="17">
        <v>46</v>
      </c>
      <c r="C51" s="9" t="s">
        <v>47</v>
      </c>
      <c r="D51" s="9" t="s">
        <v>50</v>
      </c>
      <c r="E51" s="10">
        <v>44527</v>
      </c>
      <c r="F51" s="9">
        <v>863</v>
      </c>
      <c r="G51" s="9">
        <v>823</v>
      </c>
      <c r="H51" s="9">
        <f>IF(Table2[[#This Row],[Entry]]&gt;0,Table2[[#This Row],[Entry]]+(0.1*Table2[[#This Row],[Entry]]),"")</f>
        <v>949.3</v>
      </c>
      <c r="I51" s="9" t="s">
        <v>29</v>
      </c>
      <c r="J51" s="9">
        <f>IFERROR(IF(Table2[[#This Row],[Win/Loss]]="w",(ABS(Table2[[#This Row],[Target]]-Table2[[#This Row],[Entry]])*Table2[[#This Row],[No. of Lots]]),(Table2[[#This Row],[Stoploss]]-Table2[[#This Row],[Entry]])*Table2[[#This Row],[No. of Lots]]),"")</f>
        <v>-2520</v>
      </c>
      <c r="K51" s="9">
        <f>IFERROR(ROUND((Table1[Starting Balance]*Table1[Risk/Position(in %)])/ABS(Table2[[#This Row],[Entry]]-Table2[[#This Row],[Stoploss]]),0),"")</f>
        <v>63</v>
      </c>
      <c r="L51" s="9">
        <f>IF(Table2[[#This Row],[Entry]]&gt;0,Table1[Starting Balance]+SUM($J$6:Table2[[#This Row],[PnL Per Trade]]),"")</f>
        <v>722966.5</v>
      </c>
      <c r="M51" s="11">
        <f>IF(Table2[[#This Row],[Entry]]&gt;0,ROUND((SUM($J$6:Table2[[#This Row],[PnL Per Trade]])/Table1[Starting Balance]),4),"")</f>
        <v>0.44590000000000002</v>
      </c>
      <c r="N51" s="11">
        <f>IF(MAX(Table1[Starting Balance],$L$6:Table2[[#This Row],[Account Balance]])&gt;Table2[[#This Row],[Account Balance]], (Table2[[#This Row],[Account Balance]]-MAX(Table1[Starting Balance],$L$6:Table2[[#This Row],[Account Balance]]))/MAX(Table1[Starting Balance],$L$6:Table2[[#This Row],[Account Balance]]),"")</f>
        <v>-1.7017400142083597E-2</v>
      </c>
      <c r="O51" s="9" t="str">
        <f>IF(Table2[[#This Row],[Entry]]&gt;0, IF(Table2[[#This Row],[Target]]&gt;Table2[[#This Row],[Entry]],"Long", "Short"),"")</f>
        <v>Long</v>
      </c>
      <c r="P51" s="9">
        <f>IFERROR(ROUND(ABS(Table2[[#This Row],[Target]]-Table2[[#This Row],[Entry]])/ABS(Table2[[#This Row],[Entry]]-Table2[[#This Row],[Stoploss]]),2),"")</f>
        <v>2.16</v>
      </c>
      <c r="Q5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1"/>
    </row>
    <row r="52" spans="1:19" s="4" customFormat="1" ht="21" customHeight="1" x14ac:dyDescent="0.25">
      <c r="A52" s="14"/>
      <c r="B52" s="5">
        <v>47</v>
      </c>
      <c r="C52" s="5" t="s">
        <v>62</v>
      </c>
      <c r="D52" s="5" t="s">
        <v>52</v>
      </c>
      <c r="E52" s="6">
        <v>44528</v>
      </c>
      <c r="F52" s="5">
        <v>21</v>
      </c>
      <c r="G52" s="5">
        <v>20</v>
      </c>
      <c r="H52" s="5">
        <f>IF(Table2[[#This Row],[Entry]]&gt;0,Table2[[#This Row],[Entry]]+(0.1*Table2[[#This Row],[Entry]]),"")</f>
        <v>23.1</v>
      </c>
      <c r="I52" s="5" t="s">
        <v>29</v>
      </c>
      <c r="J52" s="5">
        <f>IFERROR(IF(Table2[[#This Row],[Win/Loss]]="w",(ABS(Table2[[#This Row],[Target]]-Table2[[#This Row],[Entry]])*Table2[[#This Row],[No. of Lots]]),(Table2[[#This Row],[Stoploss]]-Table2[[#This Row],[Entry]])*Table2[[#This Row],[No. of Lots]]),"")</f>
        <v>-2500</v>
      </c>
      <c r="K52" s="5">
        <f>IFERROR(ROUND((Table1[Starting Balance]*Table1[Risk/Position(in %)])/ABS(Table2[[#This Row],[Entry]]-Table2[[#This Row],[Stoploss]]),0),"")</f>
        <v>2500</v>
      </c>
      <c r="L52" s="5">
        <f>IF(Table2[[#This Row],[Entry]]&gt;0,Table1[Starting Balance]+SUM($J$6:Table2[[#This Row],[PnL Per Trade]]),"")</f>
        <v>720466.5</v>
      </c>
      <c r="M52" s="7">
        <f>IF(Table2[[#This Row],[Entry]]&gt;0,ROUND((SUM($J$6:Table2[[#This Row],[PnL Per Trade]])/Table1[Starting Balance]),4),"")</f>
        <v>0.44090000000000001</v>
      </c>
      <c r="N52" s="7">
        <f>IF(MAX(Table1[Starting Balance],$L$6:Table2[[#This Row],[Account Balance]])&gt;Table2[[#This Row],[Account Balance]], (Table2[[#This Row],[Account Balance]]-MAX(Table1[Starting Balance],$L$6:Table2[[#This Row],[Account Balance]]))/MAX(Table1[Starting Balance],$L$6:Table2[[#This Row],[Account Balance]]),"")</f>
        <v>-2.0416529285197133E-2</v>
      </c>
      <c r="O52" s="5" t="str">
        <f>IF(Table2[[#This Row],[Entry]]&gt;0, IF(Table2[[#This Row],[Target]]&gt;Table2[[#This Row],[Entry]],"Long", "Short"),"")</f>
        <v>Long</v>
      </c>
      <c r="P52" s="5">
        <f>IFERROR(ROUND(ABS(Table2[[#This Row],[Target]]-Table2[[#This Row],[Entry]])/ABS(Table2[[#This Row],[Entry]]-Table2[[#This Row],[Stoploss]]),2),"")</f>
        <v>2.1</v>
      </c>
      <c r="Q5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2"/>
    </row>
    <row r="53" spans="1:19" s="4" customFormat="1" ht="21" customHeight="1" x14ac:dyDescent="0.25">
      <c r="A53" s="14"/>
      <c r="B53" s="17">
        <v>48</v>
      </c>
      <c r="C53" s="9" t="s">
        <v>63</v>
      </c>
      <c r="D53" s="9" t="s">
        <v>50</v>
      </c>
      <c r="E53" s="10">
        <v>44529</v>
      </c>
      <c r="F53" s="9">
        <v>1432</v>
      </c>
      <c r="G53" s="9">
        <v>1325</v>
      </c>
      <c r="H53" s="9">
        <f>IF(Table2[[#This Row],[Entry]]&gt;0,Table2[[#This Row],[Entry]]+(0.1*Table2[[#This Row],[Entry]]),"")</f>
        <v>1575.2</v>
      </c>
      <c r="I53" s="9" t="s">
        <v>29</v>
      </c>
      <c r="J53" s="9">
        <f>IFERROR(IF(Table2[[#This Row],[Win/Loss]]="w",(ABS(Table2[[#This Row],[Target]]-Table2[[#This Row],[Entry]])*Table2[[#This Row],[No. of Lots]]),(Table2[[#This Row],[Stoploss]]-Table2[[#This Row],[Entry]])*Table2[[#This Row],[No. of Lots]]),"")</f>
        <v>-2461</v>
      </c>
      <c r="K53" s="9">
        <f>IFERROR(ROUND((Table1[Starting Balance]*Table1[Risk/Position(in %)])/ABS(Table2[[#This Row],[Entry]]-Table2[[#This Row],[Stoploss]]),0),"")</f>
        <v>23</v>
      </c>
      <c r="L53" s="9">
        <f>IF(Table2[[#This Row],[Entry]]&gt;0,Table1[Starting Balance]+SUM($J$6:Table2[[#This Row],[PnL Per Trade]]),"")</f>
        <v>718005.5</v>
      </c>
      <c r="M53" s="11">
        <f>IF(Table2[[#This Row],[Entry]]&gt;0,ROUND((SUM($J$6:Table2[[#This Row],[PnL Per Trade]])/Table1[Starting Balance]),4),"")</f>
        <v>0.436</v>
      </c>
      <c r="N53" s="11">
        <f>IF(MAX(Table1[Starting Balance],$L$6:Table2[[#This Row],[Account Balance]])&gt;Table2[[#This Row],[Account Balance]], (Table2[[#This Row],[Account Balance]]-MAX(Table1[Starting Balance],$L$6:Table2[[#This Row],[Account Balance]]))/MAX(Table1[Starting Balance],$L$6:Table2[[#This Row],[Account Balance]]),"")</f>
        <v>-2.3762632013678096E-2</v>
      </c>
      <c r="O53" s="9" t="str">
        <f>IF(Table2[[#This Row],[Entry]]&gt;0, IF(Table2[[#This Row],[Target]]&gt;Table2[[#This Row],[Entry]],"Long", "Short"),"")</f>
        <v>Long</v>
      </c>
      <c r="P53" s="9">
        <f>IFERROR(ROUND(ABS(Table2[[#This Row],[Target]]-Table2[[#This Row],[Entry]])/ABS(Table2[[#This Row],[Entry]]-Table2[[#This Row],[Stoploss]]),2),"")</f>
        <v>1.34</v>
      </c>
      <c r="Q5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3"/>
    </row>
    <row r="54" spans="1:19" s="4" customFormat="1" ht="21" customHeight="1" x14ac:dyDescent="0.25">
      <c r="A54" s="14"/>
      <c r="B54" s="5">
        <v>49</v>
      </c>
      <c r="C54" s="5" t="s">
        <v>64</v>
      </c>
      <c r="D54" s="5" t="s">
        <v>52</v>
      </c>
      <c r="E54" s="6">
        <v>44530</v>
      </c>
      <c r="F54" s="5">
        <v>564</v>
      </c>
      <c r="G54" s="5">
        <v>543</v>
      </c>
      <c r="H54" s="5">
        <f>IF(Table2[[#This Row],[Entry]]&gt;0,Table2[[#This Row],[Entry]]+(0.1*Table2[[#This Row],[Entry]]),"")</f>
        <v>620.4</v>
      </c>
      <c r="I54" s="5" t="s">
        <v>29</v>
      </c>
      <c r="J54" s="5">
        <f>IFERROR(IF(Table2[[#This Row],[Win/Loss]]="w",(ABS(Table2[[#This Row],[Target]]-Table2[[#This Row],[Entry]])*Table2[[#This Row],[No. of Lots]]),(Table2[[#This Row],[Stoploss]]-Table2[[#This Row],[Entry]])*Table2[[#This Row],[No. of Lots]]),"")</f>
        <v>-2499</v>
      </c>
      <c r="K54" s="5">
        <f>IFERROR(ROUND((Table1[Starting Balance]*Table1[Risk/Position(in %)])/ABS(Table2[[#This Row],[Entry]]-Table2[[#This Row],[Stoploss]]),0),"")</f>
        <v>119</v>
      </c>
      <c r="L54" s="5">
        <f>IF(Table2[[#This Row],[Entry]]&gt;0,Table1[Starting Balance]+SUM($J$6:Table2[[#This Row],[PnL Per Trade]]),"")</f>
        <v>715506.5</v>
      </c>
      <c r="M54" s="7">
        <f>IF(Table2[[#This Row],[Entry]]&gt;0,ROUND((SUM($J$6:Table2[[#This Row],[PnL Per Trade]])/Table1[Starting Balance]),4),"")</f>
        <v>0.43099999999999999</v>
      </c>
      <c r="N54" s="7">
        <f>IF(MAX(Table1[Starting Balance],$L$6:Table2[[#This Row],[Account Balance]])&gt;Table2[[#This Row],[Account Balance]], (Table2[[#This Row],[Account Balance]]-MAX(Table1[Starting Balance],$L$6:Table2[[#This Row],[Account Balance]]))/MAX(Table1[Starting Balance],$L$6:Table2[[#This Row],[Account Balance]]),"")</f>
        <v>-2.7160401505134383E-2</v>
      </c>
      <c r="O54" s="5" t="str">
        <f>IF(Table2[[#This Row],[Entry]]&gt;0, IF(Table2[[#This Row],[Target]]&gt;Table2[[#This Row],[Entry]],"Long", "Short"),"")</f>
        <v>Long</v>
      </c>
      <c r="P54" s="5">
        <f>IFERROR(ROUND(ABS(Table2[[#This Row],[Target]]-Table2[[#This Row],[Entry]])/ABS(Table2[[#This Row],[Entry]]-Table2[[#This Row],[Stoploss]]),2),"")</f>
        <v>2.69</v>
      </c>
      <c r="Q5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4"/>
    </row>
    <row r="55" spans="1:19" s="4" customFormat="1" ht="21" customHeight="1" x14ac:dyDescent="0.25">
      <c r="A55" s="14"/>
      <c r="B55" s="17">
        <v>50</v>
      </c>
      <c r="C55" s="9" t="s">
        <v>65</v>
      </c>
      <c r="D55" s="9" t="s">
        <v>59</v>
      </c>
      <c r="E55" s="10">
        <v>44531</v>
      </c>
      <c r="F55" s="9">
        <v>36</v>
      </c>
      <c r="G55" s="9">
        <v>34</v>
      </c>
      <c r="H55" s="9">
        <f>IF(Table2[[#This Row],[Entry]]&gt;0,Table2[[#This Row],[Entry]]+(0.1*Table2[[#This Row],[Entry]]),"")</f>
        <v>39.6</v>
      </c>
      <c r="I55" s="9" t="s">
        <v>27</v>
      </c>
      <c r="J55" s="9">
        <f>IFERROR(IF(Table2[[#This Row],[Win/Loss]]="w",(ABS(Table2[[#This Row],[Target]]-Table2[[#This Row],[Entry]])*Table2[[#This Row],[No. of Lots]]),(Table2[[#This Row],[Stoploss]]-Table2[[#This Row],[Entry]])*Table2[[#This Row],[No. of Lots]]),"")</f>
        <v>4500.0000000000018</v>
      </c>
      <c r="K55" s="9">
        <f>IFERROR(ROUND((Table1[Starting Balance]*Table1[Risk/Position(in %)])/ABS(Table2[[#This Row],[Entry]]-Table2[[#This Row],[Stoploss]]),0),"")</f>
        <v>1250</v>
      </c>
      <c r="L55" s="9">
        <f>IF(Table2[[#This Row],[Entry]]&gt;0,Table1[Starting Balance]+SUM($J$6:Table2[[#This Row],[PnL Per Trade]]),"")</f>
        <v>720006.5</v>
      </c>
      <c r="M55" s="11">
        <f>IF(Table2[[#This Row],[Entry]]&gt;0,ROUND((SUM($J$6:Table2[[#This Row],[PnL Per Trade]])/Table1[Starting Balance]),4),"")</f>
        <v>0.44</v>
      </c>
      <c r="N55" s="11">
        <f>IF(MAX(Table1[Starting Balance],$L$6:Table2[[#This Row],[Account Balance]])&gt;Table2[[#This Row],[Account Balance]], (Table2[[#This Row],[Account Balance]]-MAX(Table1[Starting Balance],$L$6:Table2[[#This Row],[Account Balance]]))/MAX(Table1[Starting Balance],$L$6:Table2[[#This Row],[Account Balance]]),"")</f>
        <v>-2.1041969047530022E-2</v>
      </c>
      <c r="O55" s="9" t="str">
        <f>IF(Table2[[#This Row],[Entry]]&gt;0, IF(Table2[[#This Row],[Target]]&gt;Table2[[#This Row],[Entry]],"Long", "Short"),"")</f>
        <v>Long</v>
      </c>
      <c r="P55" s="9">
        <f>IFERROR(ROUND(ABS(Table2[[#This Row],[Target]]-Table2[[#This Row],[Entry]])/ABS(Table2[[#This Row],[Entry]]-Table2[[#This Row],[Stoploss]]),2),"")</f>
        <v>1.8</v>
      </c>
      <c r="Q5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Dec</v>
      </c>
      <c r="S55"/>
    </row>
    <row r="56" spans="1:19" s="4" customFormat="1" ht="21" customHeight="1" x14ac:dyDescent="0.25">
      <c r="A56" s="14"/>
      <c r="B56" s="5">
        <v>51</v>
      </c>
      <c r="C56" s="5" t="s">
        <v>66</v>
      </c>
      <c r="D56" s="5" t="s">
        <v>59</v>
      </c>
      <c r="E56" s="6">
        <v>44532</v>
      </c>
      <c r="F56" s="5">
        <v>254</v>
      </c>
      <c r="G56" s="5">
        <v>231</v>
      </c>
      <c r="H56" s="5">
        <f>IF(Table2[[#This Row],[Entry]]&gt;0,Table2[[#This Row],[Entry]]+(0.1*Table2[[#This Row],[Entry]]),"")</f>
        <v>279.39999999999998</v>
      </c>
      <c r="I56" s="5" t="s">
        <v>27</v>
      </c>
      <c r="J56" s="5">
        <f>IFERROR(IF(Table2[[#This Row],[Win/Loss]]="w",(ABS(Table2[[#This Row],[Target]]-Table2[[#This Row],[Entry]])*Table2[[#This Row],[No. of Lots]]),(Table2[[#This Row],[Stoploss]]-Table2[[#This Row],[Entry]])*Table2[[#This Row],[No. of Lots]]),"")</f>
        <v>2768.5999999999976</v>
      </c>
      <c r="K56" s="5">
        <f>IFERROR(ROUND((Table1[Starting Balance]*Table1[Risk/Position(in %)])/ABS(Table2[[#This Row],[Entry]]-Table2[[#This Row],[Stoploss]]),0),"")</f>
        <v>109</v>
      </c>
      <c r="L56" s="5">
        <f>IF(Table2[[#This Row],[Entry]]&gt;0,Table1[Starting Balance]+SUM($J$6:Table2[[#This Row],[PnL Per Trade]]),"")</f>
        <v>722775.10000000009</v>
      </c>
      <c r="M56" s="7">
        <f>IF(Table2[[#This Row],[Entry]]&gt;0,ROUND((SUM($J$6:Table2[[#This Row],[PnL Per Trade]])/Table1[Starting Balance]),4),"")</f>
        <v>0.4456</v>
      </c>
      <c r="N56" s="7">
        <f>IF(MAX(Table1[Starting Balance],$L$6:Table2[[#This Row],[Account Balance]])&gt;Table2[[#This Row],[Account Balance]], (Table2[[#This Row],[Account Balance]]-MAX(Table1[Starting Balance],$L$6:Table2[[#This Row],[Account Balance]]))/MAX(Table1[Starting Balance],$L$6:Table2[[#This Row],[Account Balance]]),"")</f>
        <v>-1.7277637469280245E-2</v>
      </c>
      <c r="O56" s="5" t="str">
        <f>IF(Table2[[#This Row],[Entry]]&gt;0, IF(Table2[[#This Row],[Target]]&gt;Table2[[#This Row],[Entry]],"Long", "Short"),"")</f>
        <v>Long</v>
      </c>
      <c r="P56" s="5">
        <f>IFERROR(ROUND(ABS(Table2[[#This Row],[Target]]-Table2[[#This Row],[Entry]])/ABS(Table2[[#This Row],[Entry]]-Table2[[#This Row],[Stoploss]]),2),"")</f>
        <v>1.1000000000000001</v>
      </c>
      <c r="Q5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Dec</v>
      </c>
      <c r="S56"/>
    </row>
    <row r="57" spans="1:19" s="4" customFormat="1" ht="21" customHeight="1" x14ac:dyDescent="0.25">
      <c r="A57" s="14"/>
      <c r="B57" s="17"/>
      <c r="C57" s="9"/>
      <c r="D57" s="9"/>
      <c r="E57" s="10"/>
      <c r="F57" s="9"/>
      <c r="G57" s="9"/>
      <c r="H57" s="9"/>
      <c r="I57" s="9"/>
      <c r="J57" s="9"/>
      <c r="K57" s="9"/>
      <c r="L57" s="9"/>
      <c r="M57" s="11"/>
      <c r="N57" s="11"/>
      <c r="O57" s="9"/>
      <c r="P57" s="9"/>
      <c r="Q57" s="9"/>
      <c r="S57"/>
    </row>
    <row r="58" spans="1:19" s="4" customFormat="1" ht="21" customHeight="1" x14ac:dyDescent="0.25">
      <c r="A58" s="14"/>
      <c r="B58" s="5"/>
      <c r="C58" s="5"/>
      <c r="D58" s="5"/>
      <c r="E58" s="6"/>
      <c r="F58" s="5"/>
      <c r="G58" s="5"/>
      <c r="H58" s="5"/>
      <c r="I58" s="5"/>
      <c r="J58" s="5"/>
      <c r="K58" s="5"/>
      <c r="L58" s="5"/>
      <c r="M58" s="7"/>
      <c r="N58" s="7"/>
      <c r="O58" s="5"/>
      <c r="P58" s="5"/>
      <c r="Q58" s="33"/>
      <c r="S58"/>
    </row>
    <row r="59" spans="1:19" s="4" customFormat="1" ht="21" customHeight="1" x14ac:dyDescent="0.25">
      <c r="A59" s="14"/>
      <c r="B59" s="17"/>
      <c r="C59" s="9"/>
      <c r="D59" s="9"/>
      <c r="E59" s="10"/>
      <c r="F59" s="9"/>
      <c r="G59" s="9"/>
      <c r="H59" s="9"/>
      <c r="I59" s="9"/>
      <c r="J59" s="9"/>
      <c r="K59" s="9"/>
      <c r="L59" s="9"/>
      <c r="M59" s="11"/>
      <c r="N59" s="11"/>
      <c r="O59" s="9"/>
      <c r="P59" s="9"/>
      <c r="Q59" s="9"/>
      <c r="S59"/>
    </row>
    <row r="60" spans="1:19" s="4" customFormat="1" ht="21" customHeight="1" x14ac:dyDescent="0.25">
      <c r="A60" s="14"/>
      <c r="B60" s="5"/>
      <c r="C60" s="5"/>
      <c r="D60" s="5"/>
      <c r="E60" s="6"/>
      <c r="F60" s="5"/>
      <c r="G60" s="5"/>
      <c r="H60" s="5"/>
      <c r="I60" s="5"/>
      <c r="J60" s="5"/>
      <c r="K60" s="5"/>
      <c r="L60" s="5"/>
      <c r="M60" s="7"/>
      <c r="N60" s="7"/>
      <c r="O60" s="5"/>
      <c r="P60" s="5"/>
      <c r="Q60" s="33"/>
      <c r="S60"/>
    </row>
    <row r="61" spans="1:19" s="4" customFormat="1" ht="21" customHeight="1" x14ac:dyDescent="0.25">
      <c r="A61" s="14"/>
      <c r="B61" s="17"/>
      <c r="C61" s="9"/>
      <c r="D61" s="9"/>
      <c r="E61" s="10"/>
      <c r="F61" s="9"/>
      <c r="G61" s="9"/>
      <c r="H61" s="9"/>
      <c r="I61" s="9"/>
      <c r="J61" s="9"/>
      <c r="K61" s="9"/>
      <c r="L61" s="9"/>
      <c r="M61" s="11"/>
      <c r="N61" s="11"/>
      <c r="O61" s="9"/>
      <c r="P61" s="9"/>
      <c r="Q61" s="9"/>
      <c r="S61"/>
    </row>
    <row r="62" spans="1:19" s="4" customFormat="1" ht="21" customHeight="1" x14ac:dyDescent="0.25">
      <c r="A62" s="14"/>
      <c r="B62" s="5"/>
      <c r="C62" s="5"/>
      <c r="D62" s="5"/>
      <c r="E62" s="6"/>
      <c r="F62" s="5"/>
      <c r="G62" s="5"/>
      <c r="H62" s="5"/>
      <c r="I62" s="5"/>
      <c r="J62" s="5"/>
      <c r="K62" s="5"/>
      <c r="L62" s="5"/>
      <c r="M62" s="7"/>
      <c r="N62" s="7"/>
      <c r="O62" s="5"/>
      <c r="P62" s="5"/>
      <c r="Q62" s="33"/>
      <c r="S62"/>
    </row>
    <row r="63" spans="1:19" s="4" customFormat="1" ht="21" customHeight="1" x14ac:dyDescent="0.25">
      <c r="A63" s="14"/>
      <c r="B63" s="17"/>
      <c r="C63" s="9"/>
      <c r="D63" s="9"/>
      <c r="E63" s="10"/>
      <c r="F63" s="9"/>
      <c r="G63" s="9"/>
      <c r="H63" s="9"/>
      <c r="I63" s="9"/>
      <c r="J63" s="9"/>
      <c r="K63" s="9"/>
      <c r="L63" s="9"/>
      <c r="M63" s="11"/>
      <c r="N63" s="11"/>
      <c r="O63" s="9"/>
      <c r="P63" s="9"/>
      <c r="Q63" s="9"/>
      <c r="S63"/>
    </row>
    <row r="64" spans="1:19" s="4" customFormat="1" ht="21" customHeight="1" x14ac:dyDescent="0.25">
      <c r="A64" s="14"/>
      <c r="B64" s="5"/>
      <c r="C64" s="5"/>
      <c r="D64" s="5"/>
      <c r="E64" s="6"/>
      <c r="F64" s="5"/>
      <c r="G64" s="5"/>
      <c r="H64" s="5"/>
      <c r="I64" s="5"/>
      <c r="J64" s="5"/>
      <c r="K64" s="5"/>
      <c r="L64" s="5"/>
      <c r="M64" s="7"/>
      <c r="N64" s="7"/>
      <c r="O64" s="5"/>
      <c r="P64" s="5"/>
      <c r="Q64" s="33"/>
      <c r="S64"/>
    </row>
    <row r="65" spans="1:19" s="4" customFormat="1" ht="21" customHeight="1" x14ac:dyDescent="0.25">
      <c r="A65" s="14"/>
      <c r="B65" s="17"/>
      <c r="C65" s="9"/>
      <c r="D65" s="9"/>
      <c r="E65" s="10"/>
      <c r="F65" s="9"/>
      <c r="G65" s="9"/>
      <c r="H65" s="9"/>
      <c r="I65" s="9"/>
      <c r="J65" s="9"/>
      <c r="K65" s="9"/>
      <c r="L65" s="9"/>
      <c r="M65" s="11"/>
      <c r="N65" s="11"/>
      <c r="O65" s="9"/>
      <c r="P65" s="9"/>
      <c r="Q65" s="9"/>
      <c r="S65"/>
    </row>
    <row r="66" spans="1:19" s="4" customFormat="1" ht="21" customHeight="1" x14ac:dyDescent="0.25">
      <c r="A66" s="14"/>
      <c r="B66" s="5"/>
      <c r="C66" s="5"/>
      <c r="D66" s="5"/>
      <c r="E66" s="6"/>
      <c r="F66" s="5"/>
      <c r="G66" s="5"/>
      <c r="H66" s="5"/>
      <c r="I66" s="5"/>
      <c r="J66" s="5"/>
      <c r="K66" s="5"/>
      <c r="L66" s="5"/>
      <c r="M66" s="7"/>
      <c r="N66" s="7"/>
      <c r="O66" s="5"/>
      <c r="P66" s="5"/>
      <c r="Q66" s="33"/>
      <c r="S66"/>
    </row>
    <row r="67" spans="1:19" s="4" customFormat="1" ht="21" customHeight="1" x14ac:dyDescent="0.25">
      <c r="A67" s="14"/>
      <c r="B67" s="17"/>
      <c r="C67" s="9"/>
      <c r="D67" s="9"/>
      <c r="E67" s="10"/>
      <c r="F67" s="9"/>
      <c r="G67" s="9"/>
      <c r="H67" s="9"/>
      <c r="I67" s="9"/>
      <c r="J67" s="9"/>
      <c r="K67" s="9"/>
      <c r="L67" s="9"/>
      <c r="M67" s="11"/>
      <c r="N67" s="11"/>
      <c r="O67" s="9"/>
      <c r="P67" s="9"/>
      <c r="Q67" s="9"/>
      <c r="S67"/>
    </row>
    <row r="68" spans="1:19" s="4" customFormat="1" ht="21" customHeight="1" x14ac:dyDescent="0.25">
      <c r="A68" s="14"/>
      <c r="B68" s="5"/>
      <c r="C68" s="5"/>
      <c r="D68" s="5"/>
      <c r="E68" s="6"/>
      <c r="F68" s="5"/>
      <c r="G68" s="5"/>
      <c r="H68" s="5"/>
      <c r="I68" s="5"/>
      <c r="J68" s="5"/>
      <c r="K68" s="5"/>
      <c r="L68" s="5"/>
      <c r="M68" s="7"/>
      <c r="N68" s="7"/>
      <c r="O68" s="5"/>
      <c r="P68" s="5"/>
      <c r="Q68" s="33"/>
      <c r="S68"/>
    </row>
    <row r="69" spans="1:19" s="4" customFormat="1" ht="21" customHeight="1" x14ac:dyDescent="0.25">
      <c r="A69" s="14"/>
      <c r="B69" s="17"/>
      <c r="C69" s="9"/>
      <c r="D69" s="9"/>
      <c r="E69" s="10"/>
      <c r="F69" s="9"/>
      <c r="G69" s="9"/>
      <c r="H69" s="9"/>
      <c r="I69" s="9"/>
      <c r="J69" s="9"/>
      <c r="K69" s="9"/>
      <c r="L69" s="9"/>
      <c r="M69" s="11"/>
      <c r="N69" s="11"/>
      <c r="O69" s="9"/>
      <c r="P69" s="9"/>
      <c r="Q69" s="9"/>
      <c r="S69"/>
    </row>
    <row r="70" spans="1:19" s="4" customFormat="1" ht="21" customHeight="1" x14ac:dyDescent="0.25">
      <c r="A70" s="14"/>
      <c r="B70" s="5"/>
      <c r="C70" s="5"/>
      <c r="D70" s="5"/>
      <c r="E70" s="6"/>
      <c r="F70" s="5"/>
      <c r="G70" s="5"/>
      <c r="H70" s="5"/>
      <c r="I70" s="5"/>
      <c r="J70" s="5"/>
      <c r="K70" s="5"/>
      <c r="L70" s="5"/>
      <c r="M70" s="7"/>
      <c r="N70" s="7"/>
      <c r="O70" s="5"/>
      <c r="P70" s="5"/>
      <c r="Q70" s="33"/>
      <c r="S70"/>
    </row>
    <row r="71" spans="1:19" s="4" customFormat="1" ht="21" customHeight="1" x14ac:dyDescent="0.25">
      <c r="A71" s="14"/>
      <c r="B71" s="17"/>
      <c r="C71" s="9"/>
      <c r="D71" s="9"/>
      <c r="E71" s="10"/>
      <c r="F71" s="9"/>
      <c r="G71" s="9"/>
      <c r="H71" s="9"/>
      <c r="I71" s="9"/>
      <c r="J71" s="9"/>
      <c r="K71" s="9"/>
      <c r="L71" s="9"/>
      <c r="M71" s="11"/>
      <c r="N71" s="11"/>
      <c r="O71" s="9"/>
      <c r="P71" s="9"/>
      <c r="Q71" s="9"/>
      <c r="S71"/>
    </row>
    <row r="72" spans="1:19" s="4" customFormat="1" ht="21" customHeight="1" x14ac:dyDescent="0.25">
      <c r="A72" s="14"/>
      <c r="B72" s="5"/>
      <c r="C72" s="5"/>
      <c r="D72" s="5"/>
      <c r="E72" s="6"/>
      <c r="F72" s="5"/>
      <c r="G72" s="5"/>
      <c r="H72" s="5"/>
      <c r="I72" s="5"/>
      <c r="J72" s="5"/>
      <c r="K72" s="5"/>
      <c r="L72" s="5"/>
      <c r="M72" s="7"/>
      <c r="N72" s="7"/>
      <c r="O72" s="5"/>
      <c r="P72" s="5"/>
      <c r="Q72" s="33"/>
      <c r="S72"/>
    </row>
    <row r="73" spans="1:19" s="4" customFormat="1" ht="21" customHeight="1" x14ac:dyDescent="0.25">
      <c r="A73" s="14"/>
      <c r="B73" s="17"/>
      <c r="C73" s="9"/>
      <c r="D73" s="9"/>
      <c r="E73" s="10"/>
      <c r="F73" s="9"/>
      <c r="G73" s="9"/>
      <c r="H73" s="9"/>
      <c r="I73" s="9"/>
      <c r="J73" s="9"/>
      <c r="K73" s="9"/>
      <c r="L73" s="9"/>
      <c r="M73" s="11"/>
      <c r="N73" s="11"/>
      <c r="O73" s="9"/>
      <c r="P73" s="9"/>
      <c r="Q73" s="9"/>
      <c r="S73"/>
    </row>
    <row r="74" spans="1:19" s="4" customFormat="1" ht="21" customHeight="1" x14ac:dyDescent="0.25">
      <c r="A74" s="14"/>
      <c r="B74" s="5"/>
      <c r="C74" s="5"/>
      <c r="D74" s="5"/>
      <c r="E74" s="6"/>
      <c r="F74" s="5"/>
      <c r="G74" s="5"/>
      <c r="H74" s="5"/>
      <c r="I74" s="5"/>
      <c r="J74" s="5"/>
      <c r="K74" s="5"/>
      <c r="L74" s="5"/>
      <c r="M74" s="7"/>
      <c r="N74" s="7"/>
      <c r="O74" s="5"/>
      <c r="P74" s="5"/>
      <c r="Q74" s="33"/>
      <c r="S74"/>
    </row>
    <row r="75" spans="1:19" s="4" customFormat="1" ht="21" customHeight="1" x14ac:dyDescent="0.25">
      <c r="A75" s="14"/>
      <c r="B75" s="17"/>
      <c r="C75" s="9"/>
      <c r="D75" s="9"/>
      <c r="E75" s="10"/>
      <c r="F75" s="9"/>
      <c r="G75" s="9"/>
      <c r="H75" s="9"/>
      <c r="I75" s="9"/>
      <c r="J75" s="9"/>
      <c r="K75" s="9"/>
      <c r="L75" s="9"/>
      <c r="M75" s="11"/>
      <c r="N75" s="11"/>
      <c r="O75" s="9"/>
      <c r="P75" s="9"/>
      <c r="Q75" s="9"/>
      <c r="S75"/>
    </row>
    <row r="76" spans="1:19" s="4" customFormat="1" ht="21" customHeight="1" x14ac:dyDescent="0.25">
      <c r="A76" s="14"/>
      <c r="B76" s="5"/>
      <c r="C76" s="5"/>
      <c r="D76" s="5"/>
      <c r="E76" s="6"/>
      <c r="F76" s="5"/>
      <c r="G76" s="5"/>
      <c r="H76" s="5"/>
      <c r="I76" s="5"/>
      <c r="J76" s="5"/>
      <c r="K76" s="5"/>
      <c r="L76" s="5"/>
      <c r="M76" s="7"/>
      <c r="N76" s="7"/>
      <c r="O76" s="5"/>
      <c r="P76" s="5"/>
      <c r="Q76" s="33"/>
      <c r="S76"/>
    </row>
    <row r="77" spans="1:19" s="4" customFormat="1" ht="21" customHeight="1" x14ac:dyDescent="0.25">
      <c r="A77" s="14"/>
      <c r="B77" s="17"/>
      <c r="C77" s="9"/>
      <c r="D77" s="9"/>
      <c r="E77" s="10"/>
      <c r="F77" s="9"/>
      <c r="G77" s="9"/>
      <c r="H77" s="9"/>
      <c r="I77" s="9"/>
      <c r="J77" s="9"/>
      <c r="K77" s="9"/>
      <c r="L77" s="9"/>
      <c r="M77" s="11"/>
      <c r="N77" s="11"/>
      <c r="O77" s="9"/>
      <c r="P77" s="9"/>
      <c r="Q77" s="9"/>
      <c r="S77"/>
    </row>
    <row r="78" spans="1:19" s="4" customFormat="1" ht="21" customHeight="1" x14ac:dyDescent="0.25">
      <c r="A78" s="14"/>
      <c r="B78" s="5"/>
      <c r="C78" s="5"/>
      <c r="D78" s="5"/>
      <c r="E78" s="6"/>
      <c r="F78" s="5"/>
      <c r="G78" s="5"/>
      <c r="H78" s="5"/>
      <c r="I78" s="5"/>
      <c r="J78" s="5"/>
      <c r="K78" s="5"/>
      <c r="L78" s="5"/>
      <c r="M78" s="7"/>
      <c r="N78" s="7"/>
      <c r="O78" s="5"/>
      <c r="P78" s="5"/>
      <c r="Q78" s="33"/>
      <c r="S78"/>
    </row>
    <row r="79" spans="1:19" s="4" customFormat="1" ht="21" customHeight="1" x14ac:dyDescent="0.25">
      <c r="A79" s="14"/>
      <c r="B79" s="17"/>
      <c r="C79" s="9"/>
      <c r="D79" s="9"/>
      <c r="E79" s="10"/>
      <c r="F79" s="9"/>
      <c r="G79" s="9"/>
      <c r="H79" s="9"/>
      <c r="I79" s="9"/>
      <c r="J79" s="9"/>
      <c r="K79" s="9"/>
      <c r="L79" s="9"/>
      <c r="M79" s="11"/>
      <c r="N79" s="11"/>
      <c r="O79" s="9"/>
      <c r="P79" s="9"/>
      <c r="Q79" s="9"/>
      <c r="S79"/>
    </row>
    <row r="80" spans="1:19" s="4" customFormat="1" ht="21" customHeight="1" x14ac:dyDescent="0.25">
      <c r="A80" s="14"/>
      <c r="B80" s="5"/>
      <c r="C80" s="5"/>
      <c r="D80" s="5"/>
      <c r="E80" s="6"/>
      <c r="F80" s="5"/>
      <c r="G80" s="5"/>
      <c r="H80" s="5"/>
      <c r="I80" s="5"/>
      <c r="J80" s="5"/>
      <c r="K80" s="5"/>
      <c r="L80" s="5"/>
      <c r="M80" s="7"/>
      <c r="N80" s="7"/>
      <c r="O80" s="5"/>
      <c r="P80" s="5"/>
      <c r="Q80" s="33"/>
      <c r="S80"/>
    </row>
    <row r="81" spans="1:19" s="4" customFormat="1" ht="21" customHeight="1" x14ac:dyDescent="0.25">
      <c r="A81" s="14"/>
      <c r="B81" s="17"/>
      <c r="C81" s="9"/>
      <c r="D81" s="9"/>
      <c r="E81" s="10"/>
      <c r="F81" s="9"/>
      <c r="G81" s="9"/>
      <c r="H81" s="9"/>
      <c r="I81" s="9"/>
      <c r="J81" s="9"/>
      <c r="K81" s="9"/>
      <c r="L81" s="9"/>
      <c r="M81" s="11"/>
      <c r="N81" s="11"/>
      <c r="O81" s="9"/>
      <c r="P81" s="9"/>
      <c r="Q81" s="9"/>
      <c r="S81"/>
    </row>
    <row r="82" spans="1:19" s="4" customFormat="1" ht="21" customHeight="1" x14ac:dyDescent="0.25">
      <c r="A82" s="14"/>
      <c r="B82" s="5"/>
      <c r="C82" s="5"/>
      <c r="D82" s="5"/>
      <c r="E82" s="6"/>
      <c r="F82" s="5"/>
      <c r="G82" s="5"/>
      <c r="H82" s="5"/>
      <c r="I82" s="5"/>
      <c r="J82" s="5"/>
      <c r="K82" s="5"/>
      <c r="L82" s="5"/>
      <c r="M82" s="7"/>
      <c r="N82" s="7"/>
      <c r="O82" s="5"/>
      <c r="P82" s="5"/>
      <c r="Q82" s="33"/>
      <c r="S82"/>
    </row>
    <row r="83" spans="1:19" s="4" customFormat="1" ht="21" customHeight="1" x14ac:dyDescent="0.25">
      <c r="A83" s="14"/>
      <c r="B83" s="17"/>
      <c r="C83" s="9"/>
      <c r="D83" s="9"/>
      <c r="E83" s="10"/>
      <c r="F83" s="9"/>
      <c r="G83" s="9"/>
      <c r="H83" s="9"/>
      <c r="I83" s="9"/>
      <c r="J83" s="9"/>
      <c r="K83" s="9"/>
      <c r="L83" s="9"/>
      <c r="M83" s="11"/>
      <c r="N83" s="11"/>
      <c r="O83" s="9"/>
      <c r="P83" s="9"/>
      <c r="Q83" s="9"/>
      <c r="S83"/>
    </row>
    <row r="84" spans="1:19" s="4" customFormat="1" ht="21" customHeight="1" x14ac:dyDescent="0.25">
      <c r="A84" s="14"/>
      <c r="B84" s="5"/>
      <c r="C84" s="5"/>
      <c r="D84" s="5"/>
      <c r="E84" s="6"/>
      <c r="F84" s="5"/>
      <c r="G84" s="5"/>
      <c r="H84" s="5"/>
      <c r="I84" s="5"/>
      <c r="J84" s="5"/>
      <c r="K84" s="5"/>
      <c r="L84" s="5"/>
      <c r="M84" s="7"/>
      <c r="N84" s="7"/>
      <c r="O84" s="5"/>
      <c r="P84" s="5"/>
      <c r="Q84" s="33"/>
      <c r="S84"/>
    </row>
    <row r="85" spans="1:19" s="4" customFormat="1" ht="21" customHeight="1" x14ac:dyDescent="0.25">
      <c r="A85" s="14"/>
      <c r="B85" s="17"/>
      <c r="C85" s="9"/>
      <c r="D85" s="9"/>
      <c r="E85" s="10"/>
      <c r="F85" s="9"/>
      <c r="G85" s="9"/>
      <c r="H85" s="9"/>
      <c r="I85" s="9"/>
      <c r="J85" s="9"/>
      <c r="K85" s="9"/>
      <c r="L85" s="9"/>
      <c r="M85" s="11"/>
      <c r="N85" s="11"/>
      <c r="O85" s="9"/>
      <c r="P85" s="9"/>
      <c r="Q85" s="9"/>
      <c r="S85"/>
    </row>
    <row r="86" spans="1:19" s="4" customFormat="1" ht="21" customHeight="1" x14ac:dyDescent="0.25">
      <c r="A86" s="14"/>
      <c r="B86" s="5"/>
      <c r="C86" s="5"/>
      <c r="D86" s="5"/>
      <c r="E86" s="6"/>
      <c r="F86" s="5"/>
      <c r="G86" s="5"/>
      <c r="H86" s="5"/>
      <c r="I86" s="5"/>
      <c r="J86" s="5"/>
      <c r="K86" s="5"/>
      <c r="L86" s="5"/>
      <c r="M86" s="7"/>
      <c r="N86" s="7"/>
      <c r="O86" s="5"/>
      <c r="P86" s="5"/>
      <c r="Q86" s="33"/>
      <c r="S86"/>
    </row>
    <row r="87" spans="1:19" s="4" customFormat="1" ht="21" customHeight="1" x14ac:dyDescent="0.25">
      <c r="A87" s="14"/>
      <c r="B87" s="17"/>
      <c r="C87" s="9"/>
      <c r="D87" s="9"/>
      <c r="E87" s="10"/>
      <c r="F87" s="9"/>
      <c r="G87" s="9"/>
      <c r="H87" s="9"/>
      <c r="I87" s="9"/>
      <c r="J87" s="9"/>
      <c r="K87" s="9"/>
      <c r="L87" s="9"/>
      <c r="M87" s="11"/>
      <c r="N87" s="11"/>
      <c r="O87" s="9"/>
      <c r="P87" s="9"/>
      <c r="Q87" s="9"/>
      <c r="S87"/>
    </row>
    <row r="88" spans="1:19" s="4" customFormat="1" ht="21" customHeight="1" x14ac:dyDescent="0.25">
      <c r="A88" s="14"/>
      <c r="B88" s="5"/>
      <c r="C88" s="5"/>
      <c r="D88" s="5"/>
      <c r="E88" s="6"/>
      <c r="F88" s="5"/>
      <c r="G88" s="5"/>
      <c r="H88" s="5"/>
      <c r="I88" s="5"/>
      <c r="J88" s="5"/>
      <c r="K88" s="5"/>
      <c r="L88" s="5"/>
      <c r="M88" s="7"/>
      <c r="N88" s="7"/>
      <c r="O88" s="5"/>
      <c r="P88" s="5"/>
      <c r="Q88" s="33"/>
      <c r="S88"/>
    </row>
    <row r="89" spans="1:19" s="4" customFormat="1" ht="21" customHeight="1" x14ac:dyDescent="0.25">
      <c r="A89" s="14"/>
      <c r="B89" s="17"/>
      <c r="C89" s="9"/>
      <c r="D89" s="9"/>
      <c r="E89" s="10"/>
      <c r="F89" s="9"/>
      <c r="G89" s="9"/>
      <c r="H89" s="9"/>
      <c r="I89" s="9"/>
      <c r="J89" s="9"/>
      <c r="K89" s="9"/>
      <c r="L89" s="9"/>
      <c r="M89" s="11"/>
      <c r="N89" s="11"/>
      <c r="O89" s="9"/>
      <c r="P89" s="9"/>
      <c r="Q89" s="9"/>
      <c r="S89"/>
    </row>
    <row r="90" spans="1:19" s="4" customFormat="1" ht="21" customHeight="1" x14ac:dyDescent="0.25">
      <c r="A90" s="14"/>
      <c r="B90" s="5"/>
      <c r="C90" s="5"/>
      <c r="D90" s="5"/>
      <c r="E90" s="6"/>
      <c r="F90" s="5"/>
      <c r="G90" s="5"/>
      <c r="H90" s="5"/>
      <c r="I90" s="5"/>
      <c r="J90" s="5"/>
      <c r="K90" s="5"/>
      <c r="L90" s="5"/>
      <c r="M90" s="7"/>
      <c r="N90" s="7"/>
      <c r="O90" s="5"/>
      <c r="P90" s="5"/>
      <c r="Q90" s="33"/>
      <c r="S90"/>
    </row>
    <row r="91" spans="1:19" s="4" customFormat="1" ht="21" customHeight="1" x14ac:dyDescent="0.25">
      <c r="A91" s="14"/>
      <c r="B91" s="17"/>
      <c r="C91" s="9"/>
      <c r="D91" s="9"/>
      <c r="E91" s="10"/>
      <c r="F91" s="9"/>
      <c r="G91" s="9"/>
      <c r="H91" s="9"/>
      <c r="I91" s="9"/>
      <c r="J91" s="9"/>
      <c r="K91" s="9"/>
      <c r="L91" s="9"/>
      <c r="M91" s="11"/>
      <c r="N91" s="11"/>
      <c r="O91" s="9"/>
      <c r="P91" s="9"/>
      <c r="Q91" s="9"/>
      <c r="S91"/>
    </row>
    <row r="92" spans="1:19" s="4" customFormat="1" ht="21" customHeight="1" x14ac:dyDescent="0.25">
      <c r="A92" s="14"/>
      <c r="B92" s="5"/>
      <c r="C92" s="5"/>
      <c r="D92" s="5"/>
      <c r="E92" s="6"/>
      <c r="F92" s="5"/>
      <c r="G92" s="5"/>
      <c r="H92" s="5"/>
      <c r="I92" s="5"/>
      <c r="J92" s="5"/>
      <c r="K92" s="5"/>
      <c r="L92" s="5"/>
      <c r="M92" s="7"/>
      <c r="N92" s="7"/>
      <c r="O92" s="5"/>
      <c r="P92" s="5"/>
      <c r="Q92" s="33"/>
      <c r="S92"/>
    </row>
    <row r="93" spans="1:19" s="4" customFormat="1" ht="21" customHeight="1" x14ac:dyDescent="0.25">
      <c r="A93" s="14"/>
      <c r="B93" s="17"/>
      <c r="C93" s="9"/>
      <c r="D93" s="9"/>
      <c r="E93" s="10"/>
      <c r="F93" s="9"/>
      <c r="G93" s="9"/>
      <c r="H93" s="9"/>
      <c r="I93" s="9"/>
      <c r="J93" s="9"/>
      <c r="K93" s="9"/>
      <c r="L93" s="9"/>
      <c r="M93" s="11"/>
      <c r="N93" s="11"/>
      <c r="O93" s="9"/>
      <c r="P93" s="9"/>
      <c r="Q93" s="9"/>
      <c r="S93"/>
    </row>
    <row r="94" spans="1:19" s="4" customFormat="1" ht="21" customHeight="1" x14ac:dyDescent="0.25">
      <c r="A94" s="14"/>
      <c r="B94" s="5"/>
      <c r="C94" s="5"/>
      <c r="D94" s="5"/>
      <c r="E94" s="6"/>
      <c r="F94" s="5"/>
      <c r="G94" s="5"/>
      <c r="H94" s="5"/>
      <c r="I94" s="5"/>
      <c r="J94" s="5"/>
      <c r="K94" s="5"/>
      <c r="L94" s="5"/>
      <c r="M94" s="7"/>
      <c r="N94" s="7"/>
      <c r="O94" s="5"/>
      <c r="P94" s="5"/>
      <c r="Q94" s="33"/>
      <c r="S94"/>
    </row>
    <row r="95" spans="1:19" s="4" customFormat="1" ht="21" customHeight="1" x14ac:dyDescent="0.25">
      <c r="A95" s="14"/>
      <c r="B95" s="17"/>
      <c r="C95" s="9"/>
      <c r="D95" s="9"/>
      <c r="E95" s="10"/>
      <c r="F95" s="9"/>
      <c r="G95" s="9"/>
      <c r="H95" s="9"/>
      <c r="I95" s="9"/>
      <c r="J95" s="9"/>
      <c r="K95" s="9"/>
      <c r="L95" s="9"/>
      <c r="M95" s="11"/>
      <c r="N95" s="11"/>
      <c r="O95" s="9"/>
      <c r="P95" s="9"/>
      <c r="Q95" s="9"/>
      <c r="S95"/>
    </row>
    <row r="96" spans="1:19" s="4" customFormat="1" ht="21" customHeight="1" x14ac:dyDescent="0.25">
      <c r="A96" s="14"/>
      <c r="B96" s="5"/>
      <c r="C96" s="5"/>
      <c r="D96" s="5"/>
      <c r="E96" s="6"/>
      <c r="F96" s="5"/>
      <c r="G96" s="5"/>
      <c r="H96" s="5"/>
      <c r="I96" s="5"/>
      <c r="J96" s="5"/>
      <c r="K96" s="5"/>
      <c r="L96" s="5"/>
      <c r="M96" s="7"/>
      <c r="N96" s="7"/>
      <c r="O96" s="5"/>
      <c r="P96" s="5"/>
      <c r="Q96" s="33"/>
      <c r="S96"/>
    </row>
    <row r="97" spans="1:19" s="4" customFormat="1" ht="21" customHeight="1" x14ac:dyDescent="0.25">
      <c r="A97" s="14"/>
      <c r="B97" s="17"/>
      <c r="C97" s="9"/>
      <c r="D97" s="9"/>
      <c r="E97" s="10"/>
      <c r="F97" s="9"/>
      <c r="G97" s="9"/>
      <c r="H97" s="9"/>
      <c r="I97" s="9"/>
      <c r="J97" s="9"/>
      <c r="K97" s="9"/>
      <c r="L97" s="9"/>
      <c r="M97" s="11"/>
      <c r="N97" s="11"/>
      <c r="O97" s="9"/>
      <c r="P97" s="9"/>
      <c r="Q97" s="9"/>
      <c r="S97"/>
    </row>
    <row r="98" spans="1:19" s="4" customFormat="1" ht="21" customHeight="1" x14ac:dyDescent="0.25">
      <c r="A98" s="14"/>
      <c r="B98" s="5"/>
      <c r="C98" s="5"/>
      <c r="D98" s="5"/>
      <c r="E98" s="6"/>
      <c r="F98" s="5"/>
      <c r="G98" s="5"/>
      <c r="H98" s="5"/>
      <c r="I98" s="5"/>
      <c r="J98" s="5"/>
      <c r="K98" s="5"/>
      <c r="L98" s="5"/>
      <c r="M98" s="7"/>
      <c r="N98" s="7"/>
      <c r="O98" s="5"/>
      <c r="P98" s="5"/>
      <c r="Q98" s="33"/>
      <c r="S98"/>
    </row>
    <row r="99" spans="1:19" s="4" customFormat="1" ht="21" customHeight="1" x14ac:dyDescent="0.25">
      <c r="A99" s="14"/>
      <c r="B99" s="17"/>
      <c r="C99" s="9"/>
      <c r="D99" s="9"/>
      <c r="E99" s="10"/>
      <c r="F99" s="9"/>
      <c r="G99" s="9"/>
      <c r="H99" s="9"/>
      <c r="I99" s="9"/>
      <c r="J99" s="9"/>
      <c r="K99" s="9"/>
      <c r="L99" s="9"/>
      <c r="M99" s="11"/>
      <c r="N99" s="11"/>
      <c r="O99" s="9"/>
      <c r="P99" s="9"/>
      <c r="Q99" s="9"/>
      <c r="S99"/>
    </row>
    <row r="100" spans="1:19" s="4" customFormat="1" ht="21" customHeight="1" x14ac:dyDescent="0.25">
      <c r="A100" s="14"/>
      <c r="B100" s="5"/>
      <c r="C100" s="5"/>
      <c r="D100" s="5"/>
      <c r="E100" s="6"/>
      <c r="F100" s="5"/>
      <c r="G100" s="5"/>
      <c r="H100" s="5"/>
      <c r="I100" s="5"/>
      <c r="J100" s="5"/>
      <c r="K100" s="5"/>
      <c r="L100" s="5"/>
      <c r="M100" s="7"/>
      <c r="N100" s="7"/>
      <c r="O100" s="5"/>
      <c r="P100" s="5"/>
      <c r="Q100" s="33"/>
      <c r="S100"/>
    </row>
    <row r="101" spans="1:19" s="4" customFormat="1" ht="21" customHeight="1" x14ac:dyDescent="0.25">
      <c r="A101" s="14"/>
      <c r="B101" s="17"/>
      <c r="C101" s="9"/>
      <c r="D101" s="9"/>
      <c r="E101" s="10"/>
      <c r="F101" s="9"/>
      <c r="G101" s="9"/>
      <c r="H101" s="9"/>
      <c r="I101" s="9"/>
      <c r="J101" s="9"/>
      <c r="K101" s="9"/>
      <c r="L101" s="9"/>
      <c r="M101" s="11"/>
      <c r="N101" s="11"/>
      <c r="O101" s="9"/>
      <c r="P101" s="9"/>
      <c r="Q101" s="9"/>
      <c r="S101"/>
    </row>
    <row r="102" spans="1:19" s="4" customFormat="1" ht="21" customHeight="1" x14ac:dyDescent="0.25">
      <c r="A102" s="14"/>
      <c r="B102" s="5"/>
      <c r="C102" s="5"/>
      <c r="D102" s="5"/>
      <c r="E102" s="6"/>
      <c r="F102" s="5"/>
      <c r="G102" s="5"/>
      <c r="H102" s="5"/>
      <c r="I102" s="5"/>
      <c r="J102" s="5"/>
      <c r="K102" s="5"/>
      <c r="L102" s="5"/>
      <c r="M102" s="7"/>
      <c r="N102" s="7"/>
      <c r="O102" s="5"/>
      <c r="P102" s="5"/>
      <c r="Q102" s="33"/>
      <c r="S102"/>
    </row>
    <row r="103" spans="1:19" s="4" customFormat="1" ht="21" customHeight="1" x14ac:dyDescent="0.25">
      <c r="A103" s="14"/>
      <c r="B103" s="17"/>
      <c r="C103" s="9"/>
      <c r="D103" s="9"/>
      <c r="E103" s="10"/>
      <c r="F103" s="9"/>
      <c r="G103" s="9"/>
      <c r="H103" s="9"/>
      <c r="I103" s="9"/>
      <c r="J103" s="9"/>
      <c r="K103" s="9"/>
      <c r="L103" s="9"/>
      <c r="M103" s="11"/>
      <c r="N103" s="11"/>
      <c r="O103" s="9"/>
      <c r="P103" s="9"/>
      <c r="Q103" s="9"/>
      <c r="S103"/>
    </row>
    <row r="104" spans="1:19" s="4" customFormat="1" ht="21" customHeight="1" x14ac:dyDescent="0.25">
      <c r="A104" s="14"/>
      <c r="B104" s="5"/>
      <c r="C104" s="5"/>
      <c r="D104" s="5"/>
      <c r="E104" s="6"/>
      <c r="F104" s="5"/>
      <c r="G104" s="5"/>
      <c r="H104" s="5"/>
      <c r="I104" s="5"/>
      <c r="J104" s="5"/>
      <c r="K104" s="5"/>
      <c r="L104" s="5"/>
      <c r="M104" s="7"/>
      <c r="N104" s="7"/>
      <c r="O104" s="5"/>
      <c r="P104" s="5"/>
      <c r="Q104" s="33"/>
      <c r="S104"/>
    </row>
    <row r="105" spans="1:19" s="4" customFormat="1" ht="21" customHeight="1" x14ac:dyDescent="0.25">
      <c r="A105" s="14"/>
      <c r="B105" s="17"/>
      <c r="C105" s="9"/>
      <c r="D105" s="9"/>
      <c r="E105" s="10"/>
      <c r="F105" s="9"/>
      <c r="G105" s="9"/>
      <c r="H105" s="9"/>
      <c r="I105" s="9"/>
      <c r="J105" s="9"/>
      <c r="K105" s="9"/>
      <c r="L105" s="9"/>
      <c r="M105" s="11"/>
      <c r="N105" s="11"/>
      <c r="O105" s="9"/>
      <c r="P105" s="9"/>
      <c r="Q105" s="9"/>
      <c r="S105"/>
    </row>
    <row r="106" spans="1:19" s="4" customFormat="1" ht="21" customHeight="1" x14ac:dyDescent="0.25">
      <c r="A106" s="14"/>
      <c r="B106" s="5"/>
      <c r="C106" s="5"/>
      <c r="D106" s="5"/>
      <c r="E106" s="6"/>
      <c r="F106" s="5"/>
      <c r="G106" s="5"/>
      <c r="H106" s="5"/>
      <c r="I106" s="5"/>
      <c r="J106" s="5"/>
      <c r="K106" s="5"/>
      <c r="L106" s="5"/>
      <c r="M106" s="7"/>
      <c r="N106" s="7"/>
      <c r="O106" s="5"/>
      <c r="P106" s="5"/>
      <c r="Q106" s="33"/>
      <c r="S106"/>
    </row>
    <row r="107" spans="1:19" s="4" customFormat="1" ht="21" customHeight="1" x14ac:dyDescent="0.25">
      <c r="A107" s="14"/>
      <c r="B107" s="17"/>
      <c r="C107" s="9"/>
      <c r="D107" s="9"/>
      <c r="E107" s="10"/>
      <c r="F107" s="9"/>
      <c r="G107" s="9"/>
      <c r="H107" s="9"/>
      <c r="I107" s="9"/>
      <c r="J107" s="9"/>
      <c r="K107" s="9"/>
      <c r="L107" s="9"/>
      <c r="M107" s="11"/>
      <c r="N107" s="11"/>
      <c r="O107" s="9"/>
      <c r="P107" s="9"/>
      <c r="Q107" s="9"/>
      <c r="S107"/>
    </row>
    <row r="108" spans="1:19" s="4" customFormat="1" ht="21" customHeight="1" x14ac:dyDescent="0.25">
      <c r="A108" s="14"/>
      <c r="B108" s="5"/>
      <c r="C108" s="5"/>
      <c r="D108" s="5"/>
      <c r="E108" s="6"/>
      <c r="F108" s="5"/>
      <c r="G108" s="5"/>
      <c r="H108" s="5"/>
      <c r="I108" s="5"/>
      <c r="J108" s="5"/>
      <c r="K108" s="5"/>
      <c r="L108" s="5"/>
      <c r="M108" s="7"/>
      <c r="N108" s="7"/>
      <c r="O108" s="5"/>
      <c r="P108" s="5"/>
      <c r="Q108" s="33"/>
      <c r="S108"/>
    </row>
    <row r="109" spans="1:19" s="4" customFormat="1" ht="21" customHeight="1" x14ac:dyDescent="0.25">
      <c r="A109" s="14"/>
      <c r="B109" s="17"/>
      <c r="C109" s="9"/>
      <c r="D109" s="9"/>
      <c r="E109" s="10"/>
      <c r="F109" s="9"/>
      <c r="G109" s="9"/>
      <c r="H109" s="9"/>
      <c r="I109" s="9"/>
      <c r="J109" s="9"/>
      <c r="K109" s="9"/>
      <c r="L109" s="9"/>
      <c r="M109" s="11"/>
      <c r="N109" s="11"/>
      <c r="O109" s="9"/>
      <c r="P109" s="9"/>
      <c r="Q109" s="9"/>
      <c r="S109"/>
    </row>
    <row r="110" spans="1:19" s="4" customFormat="1" ht="21" customHeight="1" x14ac:dyDescent="0.25">
      <c r="A110" s="14"/>
      <c r="B110" s="5"/>
      <c r="C110" s="5"/>
      <c r="D110" s="5"/>
      <c r="E110" s="6"/>
      <c r="F110" s="5"/>
      <c r="G110" s="5"/>
      <c r="H110" s="5"/>
      <c r="I110" s="5"/>
      <c r="J110" s="5"/>
      <c r="K110" s="5"/>
      <c r="L110" s="5"/>
      <c r="M110" s="7"/>
      <c r="N110" s="7"/>
      <c r="O110" s="5"/>
      <c r="P110" s="5"/>
      <c r="Q110" s="33"/>
      <c r="S110"/>
    </row>
    <row r="111" spans="1:19" s="4" customFormat="1" ht="21" customHeight="1" x14ac:dyDescent="0.25">
      <c r="A111" s="14"/>
      <c r="B111" s="17"/>
      <c r="C111" s="9"/>
      <c r="D111" s="9"/>
      <c r="E111" s="10"/>
      <c r="F111" s="9"/>
      <c r="G111" s="9"/>
      <c r="H111" s="9"/>
      <c r="I111" s="9"/>
      <c r="J111" s="9"/>
      <c r="K111" s="9"/>
      <c r="L111" s="9"/>
      <c r="M111" s="11"/>
      <c r="N111" s="11"/>
      <c r="O111" s="9"/>
      <c r="P111" s="9"/>
      <c r="Q111" s="9"/>
      <c r="S111"/>
    </row>
    <row r="112" spans="1:19" s="4" customFormat="1" ht="21" customHeight="1" x14ac:dyDescent="0.25">
      <c r="A112" s="14"/>
      <c r="B112" s="5"/>
      <c r="C112" s="5"/>
      <c r="D112" s="5"/>
      <c r="E112" s="6"/>
      <c r="F112" s="5"/>
      <c r="G112" s="5"/>
      <c r="H112" s="5"/>
      <c r="I112" s="5"/>
      <c r="J112" s="5"/>
      <c r="K112" s="5"/>
      <c r="L112" s="5"/>
      <c r="M112" s="7"/>
      <c r="N112" s="7"/>
      <c r="O112" s="5"/>
      <c r="P112" s="5"/>
      <c r="Q112" s="33"/>
      <c r="S112"/>
    </row>
    <row r="113" spans="1:19" s="4" customFormat="1" ht="21" customHeight="1" x14ac:dyDescent="0.25">
      <c r="A113" s="14"/>
      <c r="B113" s="17"/>
      <c r="C113" s="9"/>
      <c r="D113" s="9"/>
      <c r="E113" s="10"/>
      <c r="F113" s="9"/>
      <c r="G113" s="9"/>
      <c r="H113" s="9"/>
      <c r="I113" s="9"/>
      <c r="J113" s="9"/>
      <c r="K113" s="9"/>
      <c r="L113" s="9"/>
      <c r="M113" s="11"/>
      <c r="N113" s="11"/>
      <c r="O113" s="9"/>
      <c r="P113" s="9"/>
      <c r="Q113" s="9"/>
      <c r="S113"/>
    </row>
    <row r="114" spans="1:19" s="4" customFormat="1" ht="21" customHeight="1" x14ac:dyDescent="0.25">
      <c r="A114" s="14"/>
      <c r="B114" s="5"/>
      <c r="C114" s="5"/>
      <c r="D114" s="5"/>
      <c r="E114" s="6"/>
      <c r="F114" s="5"/>
      <c r="G114" s="5"/>
      <c r="H114" s="5"/>
      <c r="I114" s="5"/>
      <c r="J114" s="5"/>
      <c r="K114" s="5"/>
      <c r="L114" s="5"/>
      <c r="M114" s="7"/>
      <c r="N114" s="7"/>
      <c r="O114" s="5"/>
      <c r="P114" s="5"/>
      <c r="Q114" s="33"/>
      <c r="S114"/>
    </row>
    <row r="115" spans="1:19" s="4" customFormat="1" ht="21" customHeight="1" x14ac:dyDescent="0.25">
      <c r="A115" s="14"/>
      <c r="B115" s="17"/>
      <c r="C115" s="9"/>
      <c r="D115" s="9"/>
      <c r="E115" s="10"/>
      <c r="F115" s="9"/>
      <c r="G115" s="9"/>
      <c r="H115" s="9"/>
      <c r="I115" s="9"/>
      <c r="J115" s="9"/>
      <c r="K115" s="9"/>
      <c r="L115" s="9"/>
      <c r="M115" s="11"/>
      <c r="N115" s="11"/>
      <c r="O115" s="9"/>
      <c r="P115" s="9"/>
      <c r="Q115" s="9"/>
      <c r="S115"/>
    </row>
    <row r="116" spans="1:19" s="4" customFormat="1" ht="21" customHeight="1" x14ac:dyDescent="0.25">
      <c r="A116" s="14"/>
      <c r="B116" s="5"/>
      <c r="C116" s="5"/>
      <c r="D116" s="5"/>
      <c r="E116" s="6"/>
      <c r="F116" s="5"/>
      <c r="G116" s="5"/>
      <c r="H116" s="5"/>
      <c r="I116" s="5"/>
      <c r="J116" s="5"/>
      <c r="K116" s="5"/>
      <c r="L116" s="5"/>
      <c r="M116" s="7"/>
      <c r="N116" s="7"/>
      <c r="O116" s="5"/>
      <c r="P116" s="5"/>
      <c r="Q116" s="33"/>
      <c r="S116"/>
    </row>
    <row r="117" spans="1:19" s="4" customFormat="1" ht="21" customHeight="1" x14ac:dyDescent="0.25">
      <c r="A117" s="14"/>
      <c r="B117" s="17"/>
      <c r="C117" s="9"/>
      <c r="D117" s="9"/>
      <c r="E117" s="10"/>
      <c r="F117" s="9"/>
      <c r="G117" s="9"/>
      <c r="H117" s="9"/>
      <c r="I117" s="9"/>
      <c r="J117" s="9"/>
      <c r="K117" s="9"/>
      <c r="L117" s="9"/>
      <c r="M117" s="11"/>
      <c r="N117" s="11"/>
      <c r="O117" s="9"/>
      <c r="P117" s="9"/>
      <c r="Q117" s="9"/>
      <c r="S117"/>
    </row>
    <row r="118" spans="1:19" s="4" customFormat="1" ht="21" customHeight="1" x14ac:dyDescent="0.25">
      <c r="A118" s="14"/>
      <c r="B118" s="5"/>
      <c r="C118" s="5"/>
      <c r="D118" s="5"/>
      <c r="E118" s="6"/>
      <c r="F118" s="5"/>
      <c r="G118" s="5"/>
      <c r="H118" s="5"/>
      <c r="I118" s="5"/>
      <c r="J118" s="5"/>
      <c r="K118" s="5"/>
      <c r="L118" s="5"/>
      <c r="M118" s="7"/>
      <c r="N118" s="7"/>
      <c r="O118" s="5"/>
      <c r="P118" s="5"/>
      <c r="Q118" s="33"/>
      <c r="S118"/>
    </row>
    <row r="119" spans="1:19" s="4" customFormat="1" ht="21" customHeight="1" x14ac:dyDescent="0.25">
      <c r="A119" s="14"/>
      <c r="B119" s="17"/>
      <c r="C119" s="9"/>
      <c r="D119" s="9"/>
      <c r="E119" s="10"/>
      <c r="F119" s="9"/>
      <c r="G119" s="9"/>
      <c r="H119" s="9"/>
      <c r="I119" s="9"/>
      <c r="J119" s="9"/>
      <c r="K119" s="9"/>
      <c r="L119" s="9"/>
      <c r="M119" s="11"/>
      <c r="N119" s="11"/>
      <c r="O119" s="9"/>
      <c r="P119" s="9"/>
      <c r="Q119" s="9"/>
      <c r="S119"/>
    </row>
    <row r="120" spans="1:19" s="4" customFormat="1" ht="21" customHeight="1" x14ac:dyDescent="0.25">
      <c r="A120" s="14"/>
      <c r="B120" s="5"/>
      <c r="C120" s="5"/>
      <c r="D120" s="5"/>
      <c r="E120" s="6"/>
      <c r="F120" s="5"/>
      <c r="G120" s="5"/>
      <c r="H120" s="5"/>
      <c r="I120" s="5"/>
      <c r="J120" s="5"/>
      <c r="K120" s="5"/>
      <c r="L120" s="5"/>
      <c r="M120" s="7"/>
      <c r="N120" s="7"/>
      <c r="O120" s="5"/>
      <c r="P120" s="5"/>
      <c r="S120"/>
    </row>
    <row r="121" spans="1:19" ht="21" customHeight="1" x14ac:dyDescent="0.25">
      <c r="A121" s="18"/>
    </row>
    <row r="122" spans="1:19" ht="21" customHeight="1" x14ac:dyDescent="0.25">
      <c r="A122" s="18"/>
    </row>
    <row r="123" spans="1:19" ht="21" customHeight="1" x14ac:dyDescent="0.25">
      <c r="A123" s="18"/>
    </row>
    <row r="124" spans="1:19" ht="21" customHeight="1" x14ac:dyDescent="0.25">
      <c r="A124" s="18"/>
    </row>
    <row r="125" spans="1:19" ht="21" customHeight="1" x14ac:dyDescent="0.25">
      <c r="A125" s="18"/>
    </row>
    <row r="126" spans="1:19" ht="21" customHeight="1" x14ac:dyDescent="0.25">
      <c r="A126" s="18"/>
    </row>
    <row r="127" spans="1:19" ht="21" customHeight="1" x14ac:dyDescent="0.25">
      <c r="A127" s="18"/>
    </row>
    <row r="128" spans="1:19" ht="21" customHeight="1" x14ac:dyDescent="0.25">
      <c r="A128" s="18"/>
    </row>
    <row r="129" spans="1:1" ht="21" customHeight="1" x14ac:dyDescent="0.25">
      <c r="A129" s="18"/>
    </row>
    <row r="130" spans="1:1" ht="21" customHeight="1" x14ac:dyDescent="0.25">
      <c r="A130" s="18"/>
    </row>
    <row r="131" spans="1:1" ht="21" customHeight="1" x14ac:dyDescent="0.25">
      <c r="A131" s="18"/>
    </row>
    <row r="132" spans="1:1" ht="21" customHeight="1" x14ac:dyDescent="0.25">
      <c r="A132" s="18"/>
    </row>
    <row r="133" spans="1:1" ht="21" customHeight="1" x14ac:dyDescent="0.25">
      <c r="A133" s="18"/>
    </row>
    <row r="134" spans="1:1" ht="21" customHeight="1" x14ac:dyDescent="0.25">
      <c r="A134" s="18"/>
    </row>
    <row r="135" spans="1:1" ht="21" customHeight="1" x14ac:dyDescent="0.25">
      <c r="A135" s="18"/>
    </row>
    <row r="136" spans="1:1" ht="21" customHeight="1" x14ac:dyDescent="0.25">
      <c r="A136" s="18"/>
    </row>
    <row r="137" spans="1:1" ht="21" customHeight="1" x14ac:dyDescent="0.25">
      <c r="A137" s="18"/>
    </row>
    <row r="138" spans="1:1" ht="21" customHeight="1" x14ac:dyDescent="0.25">
      <c r="A138" s="18"/>
    </row>
    <row r="139" spans="1:1" ht="21" customHeight="1" x14ac:dyDescent="0.25">
      <c r="A139" s="18"/>
    </row>
    <row r="140" spans="1:1" ht="21" customHeight="1" x14ac:dyDescent="0.25">
      <c r="A140" s="18"/>
    </row>
    <row r="141" spans="1:1" ht="21" customHeight="1" x14ac:dyDescent="0.25">
      <c r="A141" s="18"/>
    </row>
    <row r="142" spans="1:1" ht="21" customHeight="1" x14ac:dyDescent="0.25">
      <c r="A142" s="18"/>
    </row>
    <row r="143" spans="1:1" ht="21" customHeight="1" x14ac:dyDescent="0.25">
      <c r="A143" s="18"/>
    </row>
    <row r="144" spans="1:1" ht="21" customHeight="1" x14ac:dyDescent="0.25">
      <c r="A144" s="18"/>
    </row>
    <row r="145" spans="1:1" ht="21" customHeight="1" x14ac:dyDescent="0.25">
      <c r="A145" s="18"/>
    </row>
    <row r="146" spans="1:1" ht="21" customHeight="1" x14ac:dyDescent="0.25">
      <c r="A146" s="18"/>
    </row>
    <row r="147" spans="1:1" ht="21" customHeight="1" x14ac:dyDescent="0.25">
      <c r="A147" s="18"/>
    </row>
    <row r="148" spans="1:1" ht="21" customHeight="1" x14ac:dyDescent="0.25">
      <c r="A148" s="18"/>
    </row>
    <row r="149" spans="1:1" ht="21" customHeight="1" x14ac:dyDescent="0.25">
      <c r="A149" s="18"/>
    </row>
    <row r="150" spans="1:1" ht="21" customHeight="1" x14ac:dyDescent="0.25">
      <c r="A150" s="18"/>
    </row>
    <row r="151" spans="1:1" ht="21" customHeight="1" x14ac:dyDescent="0.25">
      <c r="A151" s="18"/>
    </row>
    <row r="152" spans="1:1" ht="21" customHeight="1" x14ac:dyDescent="0.25">
      <c r="A152" s="18"/>
    </row>
    <row r="153" spans="1:1" ht="21" customHeight="1" x14ac:dyDescent="0.25">
      <c r="A153" s="18"/>
    </row>
    <row r="154" spans="1:1" ht="21" customHeight="1" x14ac:dyDescent="0.25">
      <c r="A154" s="18"/>
    </row>
    <row r="155" spans="1:1" ht="21" customHeight="1" x14ac:dyDescent="0.25">
      <c r="A155" s="18"/>
    </row>
    <row r="156" spans="1:1" ht="21" customHeight="1" x14ac:dyDescent="0.25">
      <c r="A156" s="18"/>
    </row>
    <row r="157" spans="1:1" ht="21" customHeight="1" x14ac:dyDescent="0.25">
      <c r="A157" s="18"/>
    </row>
    <row r="158" spans="1:1" ht="21" customHeight="1" x14ac:dyDescent="0.25">
      <c r="A158" s="18"/>
    </row>
    <row r="159" spans="1:1" ht="21" customHeight="1" x14ac:dyDescent="0.25">
      <c r="A159" s="18"/>
    </row>
    <row r="160" spans="1:1" ht="21" customHeight="1" x14ac:dyDescent="0.25">
      <c r="A160" s="18"/>
    </row>
    <row r="161" spans="1:1" ht="21" customHeight="1" x14ac:dyDescent="0.25">
      <c r="A161" s="18"/>
    </row>
    <row r="162" spans="1:1" ht="21" customHeight="1" x14ac:dyDescent="0.25">
      <c r="A162" s="18"/>
    </row>
    <row r="163" spans="1:1" ht="21" customHeight="1" x14ac:dyDescent="0.25">
      <c r="A163" s="18"/>
    </row>
    <row r="164" spans="1:1" ht="21" customHeight="1" x14ac:dyDescent="0.25">
      <c r="A164" s="18"/>
    </row>
    <row r="165" spans="1:1" ht="21" customHeight="1" x14ac:dyDescent="0.25">
      <c r="A165" s="18"/>
    </row>
    <row r="166" spans="1:1" ht="21" customHeight="1" x14ac:dyDescent="0.25">
      <c r="A166" s="18"/>
    </row>
    <row r="167" spans="1:1" ht="21" customHeight="1" x14ac:dyDescent="0.25">
      <c r="A167" s="18"/>
    </row>
    <row r="168" spans="1:1" ht="21" customHeight="1" x14ac:dyDescent="0.25">
      <c r="A168" s="18"/>
    </row>
    <row r="169" spans="1:1" ht="21" customHeight="1" x14ac:dyDescent="0.25">
      <c r="A169" s="18"/>
    </row>
    <row r="170" spans="1:1" ht="21" customHeight="1" x14ac:dyDescent="0.25">
      <c r="A170" s="18"/>
    </row>
    <row r="171" spans="1:1" ht="21" customHeight="1" x14ac:dyDescent="0.25">
      <c r="A171" s="18"/>
    </row>
    <row r="172" spans="1:1" ht="21" customHeight="1" x14ac:dyDescent="0.25">
      <c r="A172" s="18"/>
    </row>
    <row r="173" spans="1:1" ht="21" customHeight="1" x14ac:dyDescent="0.25">
      <c r="A173" s="18"/>
    </row>
    <row r="174" spans="1:1" ht="21" customHeight="1" x14ac:dyDescent="0.25">
      <c r="A174" s="18"/>
    </row>
    <row r="175" spans="1:1" ht="21" customHeight="1" x14ac:dyDescent="0.25">
      <c r="A175" s="18"/>
    </row>
    <row r="176" spans="1:1" ht="21" customHeight="1" x14ac:dyDescent="0.25">
      <c r="A176" s="18"/>
    </row>
    <row r="177" spans="1:1" ht="21" customHeight="1" x14ac:dyDescent="0.25">
      <c r="A177" s="18"/>
    </row>
    <row r="178" spans="1:1" ht="21" customHeight="1" x14ac:dyDescent="0.25">
      <c r="A178" s="18"/>
    </row>
    <row r="179" spans="1:1" ht="21" customHeight="1" x14ac:dyDescent="0.25">
      <c r="A179" s="18"/>
    </row>
    <row r="180" spans="1:1" ht="21" customHeight="1" x14ac:dyDescent="0.25">
      <c r="A180" s="18"/>
    </row>
    <row r="181" spans="1:1" ht="21" customHeight="1" x14ac:dyDescent="0.25">
      <c r="A181" s="18"/>
    </row>
    <row r="182" spans="1:1" ht="21" customHeight="1" x14ac:dyDescent="0.25">
      <c r="A182" s="18"/>
    </row>
    <row r="183" spans="1:1" ht="21" customHeight="1" x14ac:dyDescent="0.25">
      <c r="A183" s="18"/>
    </row>
    <row r="184" spans="1:1" ht="21" customHeight="1" x14ac:dyDescent="0.25">
      <c r="A184" s="18"/>
    </row>
    <row r="185" spans="1:1" ht="21" customHeight="1" x14ac:dyDescent="0.25">
      <c r="A185" s="18"/>
    </row>
    <row r="186" spans="1:1" ht="21" customHeight="1" x14ac:dyDescent="0.25">
      <c r="A186" s="18"/>
    </row>
    <row r="187" spans="1:1" ht="21" customHeight="1" x14ac:dyDescent="0.25">
      <c r="A187" s="18"/>
    </row>
    <row r="188" spans="1:1" ht="21" customHeight="1" x14ac:dyDescent="0.25">
      <c r="A188" s="18"/>
    </row>
    <row r="189" spans="1:1" ht="21" customHeight="1" x14ac:dyDescent="0.25">
      <c r="A189" s="18"/>
    </row>
    <row r="190" spans="1:1" ht="21" customHeight="1" x14ac:dyDescent="0.25">
      <c r="A190" s="18"/>
    </row>
    <row r="191" spans="1:1" ht="21" customHeight="1" x14ac:dyDescent="0.25">
      <c r="A191" s="18"/>
    </row>
    <row r="192" spans="1:1" ht="21" customHeight="1" x14ac:dyDescent="0.25">
      <c r="A192" s="18"/>
    </row>
    <row r="193" spans="1:1" ht="21" customHeight="1" x14ac:dyDescent="0.25">
      <c r="A193" s="18"/>
    </row>
    <row r="194" spans="1:1" ht="21" customHeight="1" x14ac:dyDescent="0.25">
      <c r="A194" s="18"/>
    </row>
    <row r="195" spans="1:1" ht="21" customHeight="1" x14ac:dyDescent="0.25">
      <c r="A195" s="18"/>
    </row>
    <row r="196" spans="1:1" ht="21" customHeight="1" x14ac:dyDescent="0.25">
      <c r="A196" s="18"/>
    </row>
    <row r="197" spans="1:1" ht="21" customHeight="1" x14ac:dyDescent="0.25">
      <c r="A197" s="18"/>
    </row>
    <row r="198" spans="1:1" ht="21" customHeight="1" x14ac:dyDescent="0.25">
      <c r="A198" s="18"/>
    </row>
    <row r="199" spans="1:1" ht="21" customHeight="1" x14ac:dyDescent="0.25">
      <c r="A199" s="18"/>
    </row>
    <row r="200" spans="1:1" ht="21" customHeight="1" x14ac:dyDescent="0.25">
      <c r="A200" s="18"/>
    </row>
    <row r="201" spans="1:1" ht="21" customHeight="1" x14ac:dyDescent="0.25">
      <c r="A201" s="18"/>
    </row>
    <row r="202" spans="1:1" ht="21" customHeight="1" x14ac:dyDescent="0.25">
      <c r="A202" s="18"/>
    </row>
    <row r="203" spans="1:1" ht="21" customHeight="1" x14ac:dyDescent="0.25">
      <c r="A203" s="18"/>
    </row>
    <row r="204" spans="1:1" ht="21" customHeight="1" x14ac:dyDescent="0.25">
      <c r="A204" s="18"/>
    </row>
    <row r="205" spans="1:1" ht="21" customHeight="1" x14ac:dyDescent="0.25">
      <c r="A205" s="18"/>
    </row>
    <row r="206" spans="1:1" ht="21" customHeight="1" x14ac:dyDescent="0.25">
      <c r="A206" s="18"/>
    </row>
    <row r="207" spans="1:1" ht="21" customHeight="1" x14ac:dyDescent="0.25">
      <c r="A207" s="18"/>
    </row>
    <row r="208" spans="1:1" ht="21" customHeight="1" x14ac:dyDescent="0.25">
      <c r="A208" s="18"/>
    </row>
    <row r="209" spans="1:1" ht="21" customHeight="1" x14ac:dyDescent="0.25">
      <c r="A209" s="18"/>
    </row>
    <row r="210" spans="1:1" ht="21" customHeight="1" x14ac:dyDescent="0.25">
      <c r="A210" s="18"/>
    </row>
    <row r="211" spans="1:1" ht="21" customHeight="1" x14ac:dyDescent="0.25">
      <c r="A211" s="18"/>
    </row>
    <row r="212" spans="1:1" ht="21" customHeight="1" x14ac:dyDescent="0.25">
      <c r="A212" s="18"/>
    </row>
    <row r="213" spans="1:1" ht="21" customHeight="1" x14ac:dyDescent="0.25">
      <c r="A213" s="18"/>
    </row>
    <row r="214" spans="1:1" ht="21" customHeight="1" x14ac:dyDescent="0.25">
      <c r="A214" s="18"/>
    </row>
    <row r="215" spans="1:1" ht="21" customHeight="1" x14ac:dyDescent="0.25">
      <c r="A215" s="18"/>
    </row>
    <row r="216" spans="1:1" ht="21" customHeight="1" x14ac:dyDescent="0.25">
      <c r="A216" s="18"/>
    </row>
    <row r="217" spans="1:1" ht="21" customHeight="1" x14ac:dyDescent="0.25">
      <c r="A217" s="18"/>
    </row>
    <row r="218" spans="1:1" ht="21" customHeight="1" x14ac:dyDescent="0.25">
      <c r="A218" s="18"/>
    </row>
    <row r="219" spans="1:1" ht="21" customHeight="1" x14ac:dyDescent="0.25">
      <c r="A219" s="18"/>
    </row>
    <row r="220" spans="1:1" ht="21" customHeight="1" x14ac:dyDescent="0.25">
      <c r="A220" s="18"/>
    </row>
    <row r="221" spans="1:1" ht="21" customHeight="1" x14ac:dyDescent="0.25">
      <c r="A221" s="18"/>
    </row>
    <row r="222" spans="1:1" ht="21" customHeight="1" x14ac:dyDescent="0.25">
      <c r="A222" s="18"/>
    </row>
    <row r="223" spans="1:1" ht="21" customHeight="1" x14ac:dyDescent="0.25">
      <c r="A223" s="18"/>
    </row>
    <row r="224" spans="1:1" ht="21" customHeight="1" x14ac:dyDescent="0.25">
      <c r="A224" s="18"/>
    </row>
    <row r="225" spans="1:1" ht="21" customHeight="1" x14ac:dyDescent="0.25">
      <c r="A225" s="18"/>
    </row>
    <row r="226" spans="1:1" ht="21" customHeight="1" x14ac:dyDescent="0.25">
      <c r="A226" s="18"/>
    </row>
    <row r="227" spans="1:1" ht="21" customHeight="1" x14ac:dyDescent="0.25">
      <c r="A227" s="18"/>
    </row>
    <row r="228" spans="1:1" ht="21" customHeight="1" x14ac:dyDescent="0.25">
      <c r="A228" s="18"/>
    </row>
    <row r="229" spans="1:1" ht="21" customHeight="1" x14ac:dyDescent="0.25">
      <c r="A229" s="18"/>
    </row>
    <row r="230" spans="1:1" ht="21" customHeight="1" x14ac:dyDescent="0.25">
      <c r="A230" s="18"/>
    </row>
    <row r="231" spans="1:1" ht="21" customHeight="1" x14ac:dyDescent="0.25">
      <c r="A231" s="18"/>
    </row>
    <row r="232" spans="1:1" ht="21" customHeight="1" x14ac:dyDescent="0.25">
      <c r="A232" s="18"/>
    </row>
    <row r="233" spans="1:1" ht="21" customHeight="1" x14ac:dyDescent="0.25">
      <c r="A233" s="18"/>
    </row>
    <row r="234" spans="1:1" ht="21" customHeight="1" x14ac:dyDescent="0.25">
      <c r="A234" s="18"/>
    </row>
    <row r="235" spans="1:1" ht="21" customHeight="1" x14ac:dyDescent="0.25">
      <c r="A235" s="18"/>
    </row>
    <row r="236" spans="1:1" ht="21" customHeight="1" x14ac:dyDescent="0.25">
      <c r="A236" s="18"/>
    </row>
    <row r="237" spans="1:1" ht="21" customHeight="1" x14ac:dyDescent="0.25">
      <c r="A237" s="18"/>
    </row>
    <row r="238" spans="1:1" ht="21" customHeight="1" x14ac:dyDescent="0.25">
      <c r="A238" s="18"/>
    </row>
    <row r="239" spans="1:1" ht="21" customHeight="1" x14ac:dyDescent="0.25">
      <c r="A239" s="18"/>
    </row>
    <row r="240" spans="1:1" ht="21" customHeight="1" x14ac:dyDescent="0.25">
      <c r="A240" s="18"/>
    </row>
    <row r="241" spans="1:1" ht="21" customHeight="1" x14ac:dyDescent="0.25">
      <c r="A241" s="18"/>
    </row>
    <row r="242" spans="1:1" ht="21" customHeight="1" x14ac:dyDescent="0.25">
      <c r="A242" s="18"/>
    </row>
    <row r="243" spans="1:1" ht="21" customHeight="1" x14ac:dyDescent="0.25">
      <c r="A243" s="18"/>
    </row>
    <row r="244" spans="1:1" ht="21" customHeight="1" x14ac:dyDescent="0.25">
      <c r="A244" s="18"/>
    </row>
    <row r="245" spans="1:1" ht="21" customHeight="1" x14ac:dyDescent="0.25">
      <c r="A245" s="18"/>
    </row>
    <row r="246" spans="1:1" ht="21" customHeight="1" x14ac:dyDescent="0.25">
      <c r="A246" s="18"/>
    </row>
    <row r="247" spans="1:1" ht="21" customHeight="1" x14ac:dyDescent="0.25">
      <c r="A247" s="18"/>
    </row>
    <row r="248" spans="1:1" ht="21" customHeight="1" x14ac:dyDescent="0.25">
      <c r="A248" s="18"/>
    </row>
    <row r="249" spans="1:1" ht="21" customHeight="1" x14ac:dyDescent="0.25">
      <c r="A249" s="18"/>
    </row>
    <row r="250" spans="1:1" ht="21" customHeight="1" x14ac:dyDescent="0.25">
      <c r="A250" s="18"/>
    </row>
    <row r="251" spans="1:1" ht="21" customHeight="1" x14ac:dyDescent="0.25">
      <c r="A251" s="18"/>
    </row>
    <row r="252" spans="1:1" ht="21" customHeight="1" x14ac:dyDescent="0.25">
      <c r="A252" s="18"/>
    </row>
    <row r="253" spans="1:1" ht="21" customHeight="1" x14ac:dyDescent="0.25">
      <c r="A253" s="18"/>
    </row>
    <row r="254" spans="1:1" ht="21" customHeight="1" x14ac:dyDescent="0.25">
      <c r="A254" s="18"/>
    </row>
    <row r="255" spans="1:1" ht="21" customHeight="1" x14ac:dyDescent="0.25">
      <c r="A255" s="18"/>
    </row>
    <row r="256" spans="1:1" ht="21" customHeight="1" x14ac:dyDescent="0.25">
      <c r="A256" s="18"/>
    </row>
    <row r="257" spans="1:1" ht="21" customHeight="1" x14ac:dyDescent="0.25">
      <c r="A257" s="18"/>
    </row>
    <row r="258" spans="1:1" ht="21" customHeight="1" x14ac:dyDescent="0.25">
      <c r="A258" s="18"/>
    </row>
    <row r="259" spans="1:1" ht="21" customHeight="1" x14ac:dyDescent="0.25">
      <c r="A259" s="18"/>
    </row>
    <row r="260" spans="1:1" ht="21" customHeight="1" x14ac:dyDescent="0.25">
      <c r="A260" s="18"/>
    </row>
    <row r="261" spans="1:1" ht="21" customHeight="1" x14ac:dyDescent="0.25">
      <c r="A261" s="18"/>
    </row>
    <row r="262" spans="1:1" ht="21" customHeight="1" x14ac:dyDescent="0.25">
      <c r="A262" s="18"/>
    </row>
    <row r="263" spans="1:1" ht="21" customHeight="1" x14ac:dyDescent="0.25">
      <c r="A263" s="18"/>
    </row>
    <row r="264" spans="1:1" ht="21" customHeight="1" x14ac:dyDescent="0.25">
      <c r="A264" s="18"/>
    </row>
    <row r="265" spans="1:1" ht="21" customHeight="1" x14ac:dyDescent="0.25">
      <c r="A265" s="18"/>
    </row>
    <row r="266" spans="1:1" ht="21" customHeight="1" x14ac:dyDescent="0.25">
      <c r="A266" s="18"/>
    </row>
    <row r="267" spans="1:1" ht="21" customHeight="1" x14ac:dyDescent="0.25">
      <c r="A267" s="18"/>
    </row>
    <row r="268" spans="1:1" ht="21" customHeight="1" x14ac:dyDescent="0.25">
      <c r="A268" s="18"/>
    </row>
    <row r="269" spans="1:1" ht="21" customHeight="1" x14ac:dyDescent="0.25">
      <c r="A269" s="18"/>
    </row>
    <row r="270" spans="1:1" ht="21" customHeight="1" x14ac:dyDescent="0.25">
      <c r="A270" s="18"/>
    </row>
    <row r="271" spans="1:1" ht="21" customHeight="1" x14ac:dyDescent="0.25">
      <c r="A271" s="18"/>
    </row>
    <row r="272" spans="1:1" ht="21" customHeight="1" x14ac:dyDescent="0.25">
      <c r="A272" s="18"/>
    </row>
    <row r="273" spans="1:1" ht="21" customHeight="1" x14ac:dyDescent="0.25">
      <c r="A273" s="18"/>
    </row>
    <row r="274" spans="1:1" ht="21" customHeight="1" x14ac:dyDescent="0.25">
      <c r="A274" s="18"/>
    </row>
    <row r="275" spans="1:1" ht="21" customHeight="1" x14ac:dyDescent="0.25">
      <c r="A275" s="18"/>
    </row>
    <row r="276" spans="1:1" ht="21" customHeight="1" x14ac:dyDescent="0.25">
      <c r="A276" s="18"/>
    </row>
    <row r="277" spans="1:1" ht="21" customHeight="1" x14ac:dyDescent="0.25">
      <c r="A277" s="18"/>
    </row>
    <row r="278" spans="1:1" ht="21" customHeight="1" x14ac:dyDescent="0.25">
      <c r="A278" s="18"/>
    </row>
    <row r="279" spans="1:1" ht="21" customHeight="1" x14ac:dyDescent="0.25">
      <c r="A279" s="18"/>
    </row>
    <row r="280" spans="1:1" ht="21" customHeight="1" x14ac:dyDescent="0.25">
      <c r="A280" s="18"/>
    </row>
    <row r="281" spans="1:1" ht="21" customHeight="1" x14ac:dyDescent="0.25">
      <c r="A281" s="18"/>
    </row>
    <row r="282" spans="1:1" ht="21" customHeight="1" x14ac:dyDescent="0.25">
      <c r="A282" s="18"/>
    </row>
    <row r="283" spans="1:1" ht="21" customHeight="1" x14ac:dyDescent="0.25">
      <c r="A283" s="18"/>
    </row>
    <row r="284" spans="1:1" ht="21" customHeight="1" x14ac:dyDescent="0.25">
      <c r="A284" s="18"/>
    </row>
    <row r="285" spans="1:1" ht="21" customHeight="1" x14ac:dyDescent="0.25">
      <c r="A285" s="18"/>
    </row>
    <row r="286" spans="1:1" ht="21" customHeight="1" x14ac:dyDescent="0.25">
      <c r="A286" s="18"/>
    </row>
    <row r="287" spans="1:1" ht="21" customHeight="1" x14ac:dyDescent="0.25">
      <c r="A287" s="18"/>
    </row>
    <row r="288" spans="1:1" ht="21" customHeight="1" x14ac:dyDescent="0.25">
      <c r="A288" s="18"/>
    </row>
    <row r="289" spans="1:1" ht="21" customHeight="1" x14ac:dyDescent="0.25">
      <c r="A289" s="18"/>
    </row>
    <row r="290" spans="1:1" ht="21" customHeight="1" x14ac:dyDescent="0.25">
      <c r="A290" s="18"/>
    </row>
    <row r="291" spans="1:1" ht="21" customHeight="1" x14ac:dyDescent="0.25">
      <c r="A291" s="18"/>
    </row>
    <row r="292" spans="1:1" ht="21" customHeight="1" x14ac:dyDescent="0.25">
      <c r="A292" s="18"/>
    </row>
    <row r="293" spans="1:1" ht="21" customHeight="1" x14ac:dyDescent="0.25">
      <c r="A293" s="18"/>
    </row>
    <row r="294" spans="1:1" ht="21" customHeight="1" x14ac:dyDescent="0.25">
      <c r="A294" s="18"/>
    </row>
    <row r="295" spans="1:1" ht="21" customHeight="1" x14ac:dyDescent="0.25">
      <c r="A295" s="18"/>
    </row>
    <row r="296" spans="1:1" ht="21" customHeight="1" x14ac:dyDescent="0.25">
      <c r="A296" s="18"/>
    </row>
    <row r="297" spans="1:1" ht="21" customHeight="1" x14ac:dyDescent="0.25">
      <c r="A297" s="18"/>
    </row>
    <row r="298" spans="1:1" ht="21" customHeight="1" x14ac:dyDescent="0.25">
      <c r="A298" s="18"/>
    </row>
    <row r="299" spans="1:1" ht="21" customHeight="1" x14ac:dyDescent="0.25">
      <c r="A299" s="18"/>
    </row>
    <row r="300" spans="1:1" ht="21" customHeight="1" x14ac:dyDescent="0.25">
      <c r="A300" s="18"/>
    </row>
    <row r="301" spans="1:1" ht="21" customHeight="1" x14ac:dyDescent="0.25">
      <c r="A301" s="18"/>
    </row>
    <row r="302" spans="1:1" ht="21" customHeight="1" x14ac:dyDescent="0.25">
      <c r="A302" s="18"/>
    </row>
    <row r="303" spans="1:1" ht="21" customHeight="1" x14ac:dyDescent="0.25">
      <c r="A303" s="18"/>
    </row>
    <row r="304" spans="1:1" ht="21" customHeight="1" x14ac:dyDescent="0.25">
      <c r="A304" s="18"/>
    </row>
    <row r="305" spans="1:1" ht="21" customHeight="1" x14ac:dyDescent="0.25">
      <c r="A305" s="18"/>
    </row>
    <row r="306" spans="1:1" ht="21" customHeight="1" x14ac:dyDescent="0.25">
      <c r="A306" s="18"/>
    </row>
    <row r="307" spans="1:1" ht="21" customHeight="1" x14ac:dyDescent="0.25">
      <c r="A307" s="18"/>
    </row>
    <row r="308" spans="1:1" ht="21" customHeight="1" x14ac:dyDescent="0.25">
      <c r="A308" s="18"/>
    </row>
    <row r="309" spans="1:1" ht="21" customHeight="1" x14ac:dyDescent="0.25">
      <c r="A309" s="18"/>
    </row>
    <row r="310" spans="1:1" ht="21" customHeight="1" x14ac:dyDescent="0.25">
      <c r="A310" s="18"/>
    </row>
    <row r="311" spans="1:1" ht="21" customHeight="1" x14ac:dyDescent="0.25">
      <c r="A311" s="18"/>
    </row>
    <row r="312" spans="1:1" ht="21" customHeight="1" x14ac:dyDescent="0.25">
      <c r="A312" s="18"/>
    </row>
    <row r="313" spans="1:1" ht="21" customHeight="1" x14ac:dyDescent="0.25">
      <c r="A313" s="18"/>
    </row>
    <row r="314" spans="1:1" ht="21" customHeight="1" x14ac:dyDescent="0.25">
      <c r="A314" s="18"/>
    </row>
    <row r="315" spans="1:1" ht="21" customHeight="1" x14ac:dyDescent="0.25">
      <c r="A315" s="18"/>
    </row>
    <row r="316" spans="1:1" ht="21" customHeight="1" x14ac:dyDescent="0.25">
      <c r="A316" s="18"/>
    </row>
    <row r="317" spans="1:1" ht="21" customHeight="1" x14ac:dyDescent="0.25">
      <c r="A317" s="18"/>
    </row>
    <row r="318" spans="1:1" ht="21" customHeight="1" x14ac:dyDescent="0.25">
      <c r="A318" s="18"/>
    </row>
    <row r="319" spans="1:1" ht="21" customHeight="1" x14ac:dyDescent="0.25">
      <c r="A319" s="18"/>
    </row>
    <row r="320" spans="1:1" ht="21" customHeight="1" x14ac:dyDescent="0.25">
      <c r="A320" s="18"/>
    </row>
    <row r="321" spans="1:1" ht="21" customHeight="1" x14ac:dyDescent="0.25">
      <c r="A321" s="18"/>
    </row>
    <row r="322" spans="1:1" ht="21" customHeight="1" x14ac:dyDescent="0.25">
      <c r="A322" s="18"/>
    </row>
    <row r="323" spans="1:1" ht="21" customHeight="1" x14ac:dyDescent="0.25">
      <c r="A323" s="18"/>
    </row>
    <row r="324" spans="1:1" ht="21" customHeight="1" x14ac:dyDescent="0.25">
      <c r="A324" s="18"/>
    </row>
    <row r="325" spans="1:1" ht="21" customHeight="1" x14ac:dyDescent="0.25">
      <c r="A325" s="18"/>
    </row>
    <row r="326" spans="1:1" ht="21" customHeight="1" x14ac:dyDescent="0.25">
      <c r="A326" s="18"/>
    </row>
    <row r="327" spans="1:1" ht="21" customHeight="1" x14ac:dyDescent="0.25">
      <c r="A327" s="18"/>
    </row>
    <row r="328" spans="1:1" ht="21" customHeight="1" x14ac:dyDescent="0.25">
      <c r="A328" s="18"/>
    </row>
    <row r="329" spans="1:1" ht="21" customHeight="1" x14ac:dyDescent="0.25">
      <c r="A329" s="18"/>
    </row>
    <row r="330" spans="1:1" ht="21" customHeight="1" x14ac:dyDescent="0.25">
      <c r="A330" s="18"/>
    </row>
    <row r="331" spans="1:1" ht="21" customHeight="1" x14ac:dyDescent="0.25">
      <c r="A331" s="18"/>
    </row>
    <row r="332" spans="1:1" ht="21" customHeight="1" x14ac:dyDescent="0.25">
      <c r="A332" s="18"/>
    </row>
    <row r="333" spans="1:1" ht="21" customHeight="1" x14ac:dyDescent="0.25">
      <c r="A333" s="18"/>
    </row>
    <row r="334" spans="1:1" ht="21" customHeight="1" x14ac:dyDescent="0.25">
      <c r="A334" s="18"/>
    </row>
    <row r="335" spans="1:1" ht="21" customHeight="1" x14ac:dyDescent="0.25">
      <c r="A335" s="18"/>
    </row>
    <row r="336" spans="1:1" ht="21" customHeight="1" x14ac:dyDescent="0.25">
      <c r="A336" s="18"/>
    </row>
    <row r="337" spans="1:1" ht="21" customHeight="1" x14ac:dyDescent="0.25">
      <c r="A337" s="18"/>
    </row>
    <row r="338" spans="1:1" ht="21" customHeight="1" x14ac:dyDescent="0.25">
      <c r="A338" s="18"/>
    </row>
    <row r="339" spans="1:1" ht="21" customHeight="1" x14ac:dyDescent="0.25">
      <c r="A339" s="18"/>
    </row>
    <row r="340" spans="1:1" ht="21" customHeight="1" x14ac:dyDescent="0.25">
      <c r="A340" s="18"/>
    </row>
    <row r="341" spans="1:1" ht="21" customHeight="1" x14ac:dyDescent="0.25">
      <c r="A341" s="18"/>
    </row>
    <row r="342" spans="1:1" ht="21" customHeight="1" x14ac:dyDescent="0.25">
      <c r="A342" s="18"/>
    </row>
    <row r="343" spans="1:1" ht="21" customHeight="1" x14ac:dyDescent="0.25">
      <c r="A343" s="18"/>
    </row>
    <row r="344" spans="1:1" ht="21" customHeight="1" x14ac:dyDescent="0.25">
      <c r="A344" s="18"/>
    </row>
    <row r="345" spans="1:1" ht="21" customHeight="1" x14ac:dyDescent="0.25">
      <c r="A345" s="18"/>
    </row>
    <row r="346" spans="1:1" ht="21" customHeight="1" x14ac:dyDescent="0.25">
      <c r="A346" s="18"/>
    </row>
    <row r="347" spans="1:1" ht="21" customHeight="1" x14ac:dyDescent="0.25">
      <c r="A347" s="18"/>
    </row>
    <row r="348" spans="1:1" ht="21" customHeight="1" x14ac:dyDescent="0.25">
      <c r="A348" s="18"/>
    </row>
    <row r="349" spans="1:1" ht="21" customHeight="1" x14ac:dyDescent="0.25">
      <c r="A349" s="18"/>
    </row>
    <row r="350" spans="1:1" ht="21" customHeight="1" x14ac:dyDescent="0.25">
      <c r="A350" s="18"/>
    </row>
    <row r="351" spans="1:1" ht="21" customHeight="1" x14ac:dyDescent="0.25">
      <c r="A351" s="18"/>
    </row>
    <row r="352" spans="1:1" ht="21" customHeight="1" x14ac:dyDescent="0.25">
      <c r="A352" s="18"/>
    </row>
    <row r="353" spans="1:1" ht="21" customHeight="1" x14ac:dyDescent="0.25">
      <c r="A353" s="18"/>
    </row>
    <row r="354" spans="1:1" ht="21" customHeight="1" x14ac:dyDescent="0.25">
      <c r="A354" s="18"/>
    </row>
    <row r="355" spans="1:1" ht="21" customHeight="1" x14ac:dyDescent="0.25">
      <c r="A355" s="18"/>
    </row>
    <row r="356" spans="1:1" ht="21" customHeight="1" x14ac:dyDescent="0.25">
      <c r="A356" s="18"/>
    </row>
    <row r="357" spans="1:1" ht="21" customHeight="1" x14ac:dyDescent="0.25">
      <c r="A357" s="18"/>
    </row>
    <row r="358" spans="1:1" ht="21" customHeight="1" x14ac:dyDescent="0.25">
      <c r="A358" s="18"/>
    </row>
    <row r="359" spans="1:1" ht="21" customHeight="1" x14ac:dyDescent="0.25">
      <c r="A359" s="18"/>
    </row>
    <row r="360" spans="1:1" ht="21" customHeight="1" x14ac:dyDescent="0.25">
      <c r="A360" s="18"/>
    </row>
    <row r="361" spans="1:1" ht="21" customHeight="1" x14ac:dyDescent="0.25">
      <c r="A361" s="18"/>
    </row>
    <row r="362" spans="1:1" ht="21" customHeight="1" x14ac:dyDescent="0.25">
      <c r="A362" s="18"/>
    </row>
    <row r="363" spans="1:1" ht="21" customHeight="1" x14ac:dyDescent="0.25">
      <c r="A363" s="18"/>
    </row>
    <row r="364" spans="1:1" ht="21" customHeight="1" x14ac:dyDescent="0.25">
      <c r="A364" s="18"/>
    </row>
    <row r="365" spans="1:1" ht="21" customHeight="1" x14ac:dyDescent="0.25">
      <c r="A365" s="18"/>
    </row>
    <row r="366" spans="1:1" ht="21" customHeight="1" x14ac:dyDescent="0.25">
      <c r="A366" s="18"/>
    </row>
    <row r="367" spans="1:1" ht="21" customHeight="1" x14ac:dyDescent="0.25">
      <c r="A367" s="18"/>
    </row>
    <row r="368" spans="1:1" ht="21" customHeight="1" x14ac:dyDescent="0.25">
      <c r="A368" s="18"/>
    </row>
    <row r="369" spans="1:1" ht="21" customHeight="1" x14ac:dyDescent="0.25">
      <c r="A369" s="18"/>
    </row>
    <row r="370" spans="1:1" ht="21" customHeight="1" x14ac:dyDescent="0.25">
      <c r="A370" s="18"/>
    </row>
    <row r="371" spans="1:1" ht="21" customHeight="1" x14ac:dyDescent="0.25">
      <c r="A371" s="18"/>
    </row>
    <row r="372" spans="1:1" ht="21" customHeight="1" x14ac:dyDescent="0.25">
      <c r="A372" s="18"/>
    </row>
    <row r="373" spans="1:1" ht="21" customHeight="1" x14ac:dyDescent="0.25">
      <c r="A373" s="18"/>
    </row>
    <row r="374" spans="1:1" ht="21" customHeight="1" x14ac:dyDescent="0.25">
      <c r="A374" s="18"/>
    </row>
    <row r="375" spans="1:1" ht="21" customHeight="1" x14ac:dyDescent="0.25">
      <c r="A375" s="18"/>
    </row>
    <row r="376" spans="1:1" ht="21" customHeight="1" x14ac:dyDescent="0.25">
      <c r="A376" s="18"/>
    </row>
    <row r="377" spans="1:1" ht="21" customHeight="1" x14ac:dyDescent="0.25">
      <c r="A377" s="18"/>
    </row>
    <row r="378" spans="1:1" ht="21" customHeight="1" x14ac:dyDescent="0.25">
      <c r="A378" s="18"/>
    </row>
    <row r="379" spans="1:1" ht="21" customHeight="1" x14ac:dyDescent="0.25">
      <c r="A379" s="18"/>
    </row>
    <row r="380" spans="1:1" ht="21" customHeight="1" x14ac:dyDescent="0.25">
      <c r="A380" s="18"/>
    </row>
    <row r="381" spans="1:1" ht="21" customHeight="1" x14ac:dyDescent="0.25">
      <c r="A381" s="18"/>
    </row>
    <row r="382" spans="1:1" ht="21" customHeight="1" x14ac:dyDescent="0.25">
      <c r="A382" s="18"/>
    </row>
    <row r="383" spans="1:1" ht="21" customHeight="1" x14ac:dyDescent="0.25">
      <c r="A383" s="18"/>
    </row>
    <row r="384" spans="1:1" ht="21" customHeight="1" x14ac:dyDescent="0.25">
      <c r="A384" s="18"/>
    </row>
    <row r="385" spans="1:1" ht="21" customHeight="1" x14ac:dyDescent="0.25">
      <c r="A385" s="18"/>
    </row>
    <row r="386" spans="1:1" ht="21" customHeight="1" x14ac:dyDescent="0.25">
      <c r="A386" s="18"/>
    </row>
    <row r="387" spans="1:1" ht="21" customHeight="1" x14ac:dyDescent="0.25">
      <c r="A387" s="18"/>
    </row>
    <row r="388" spans="1:1" ht="21" customHeight="1" x14ac:dyDescent="0.25">
      <c r="A388" s="18"/>
    </row>
    <row r="389" spans="1:1" ht="21" customHeight="1" x14ac:dyDescent="0.25">
      <c r="A389" s="18"/>
    </row>
    <row r="390" spans="1:1" ht="21" customHeight="1" x14ac:dyDescent="0.25">
      <c r="A390" s="18"/>
    </row>
    <row r="391" spans="1:1" ht="21" customHeight="1" x14ac:dyDescent="0.25">
      <c r="A391" s="18"/>
    </row>
    <row r="392" spans="1:1" ht="21" customHeight="1" x14ac:dyDescent="0.25">
      <c r="A392" s="18"/>
    </row>
    <row r="393" spans="1:1" ht="21" customHeight="1" x14ac:dyDescent="0.25">
      <c r="A393" s="18"/>
    </row>
    <row r="394" spans="1:1" ht="21" customHeight="1" x14ac:dyDescent="0.25">
      <c r="A394" s="18"/>
    </row>
    <row r="395" spans="1:1" ht="21" customHeight="1" x14ac:dyDescent="0.25">
      <c r="A395" s="18"/>
    </row>
    <row r="396" spans="1:1" ht="21" customHeight="1" x14ac:dyDescent="0.25">
      <c r="A396" s="18"/>
    </row>
    <row r="397" spans="1:1" ht="21" customHeight="1" x14ac:dyDescent="0.25">
      <c r="A397" s="18"/>
    </row>
    <row r="398" spans="1:1" ht="21" customHeight="1" x14ac:dyDescent="0.25">
      <c r="A398" s="18"/>
    </row>
    <row r="399" spans="1:1" ht="21" customHeight="1" x14ac:dyDescent="0.25">
      <c r="A399" s="18"/>
    </row>
    <row r="400" spans="1:1" ht="21" customHeight="1" x14ac:dyDescent="0.25">
      <c r="A400" s="18"/>
    </row>
    <row r="401" spans="1:1" ht="21" customHeight="1" x14ac:dyDescent="0.25">
      <c r="A401" s="18"/>
    </row>
    <row r="402" spans="1:1" ht="21" customHeight="1" x14ac:dyDescent="0.25">
      <c r="A402" s="18"/>
    </row>
    <row r="403" spans="1:1" ht="21" customHeight="1" x14ac:dyDescent="0.25">
      <c r="A403" s="18"/>
    </row>
    <row r="404" spans="1:1" ht="21" customHeight="1" x14ac:dyDescent="0.25">
      <c r="A404" s="18"/>
    </row>
    <row r="405" spans="1:1" ht="21" customHeight="1" x14ac:dyDescent="0.25">
      <c r="A405" s="18"/>
    </row>
    <row r="406" spans="1:1" ht="21" customHeight="1" x14ac:dyDescent="0.25">
      <c r="A406" s="18"/>
    </row>
    <row r="407" spans="1:1" ht="21" customHeight="1" x14ac:dyDescent="0.25">
      <c r="A407" s="18"/>
    </row>
    <row r="408" spans="1:1" ht="21" customHeight="1" x14ac:dyDescent="0.25">
      <c r="A408" s="18"/>
    </row>
    <row r="409" spans="1:1" ht="21" customHeight="1" x14ac:dyDescent="0.25">
      <c r="A409" s="18"/>
    </row>
    <row r="410" spans="1:1" ht="21" customHeight="1" x14ac:dyDescent="0.25">
      <c r="A410" s="18"/>
    </row>
    <row r="411" spans="1:1" ht="21" customHeight="1" x14ac:dyDescent="0.25">
      <c r="A411" s="18"/>
    </row>
    <row r="412" spans="1:1" ht="21" customHeight="1" x14ac:dyDescent="0.25">
      <c r="A412" s="18"/>
    </row>
    <row r="413" spans="1:1" ht="21" customHeight="1" x14ac:dyDescent="0.25">
      <c r="A413" s="18"/>
    </row>
    <row r="414" spans="1:1" ht="21" customHeight="1" x14ac:dyDescent="0.25">
      <c r="A414" s="18"/>
    </row>
    <row r="415" spans="1:1" ht="21" customHeight="1" x14ac:dyDescent="0.25">
      <c r="A415" s="18"/>
    </row>
    <row r="416" spans="1:1" ht="21" customHeight="1" x14ac:dyDescent="0.25">
      <c r="A416" s="18"/>
    </row>
    <row r="417" spans="1:1" ht="21" customHeight="1" x14ac:dyDescent="0.25">
      <c r="A417" s="18"/>
    </row>
    <row r="418" spans="1:1" ht="21" customHeight="1" x14ac:dyDescent="0.25">
      <c r="A418" s="18"/>
    </row>
    <row r="419" spans="1:1" ht="21" customHeight="1" x14ac:dyDescent="0.25">
      <c r="A419" s="18"/>
    </row>
    <row r="420" spans="1:1" ht="21" customHeight="1" x14ac:dyDescent="0.25">
      <c r="A420" s="18"/>
    </row>
    <row r="421" spans="1:1" ht="21" customHeight="1" x14ac:dyDescent="0.25">
      <c r="A421" s="18"/>
    </row>
    <row r="422" spans="1:1" ht="21" customHeight="1" x14ac:dyDescent="0.25">
      <c r="A422" s="18"/>
    </row>
    <row r="423" spans="1:1" ht="21" customHeight="1" x14ac:dyDescent="0.25">
      <c r="A423" s="18"/>
    </row>
    <row r="424" spans="1:1" ht="21" customHeight="1" x14ac:dyDescent="0.25">
      <c r="A424" s="18"/>
    </row>
    <row r="425" spans="1:1" ht="21" customHeight="1" x14ac:dyDescent="0.25">
      <c r="A425" s="18"/>
    </row>
    <row r="426" spans="1:1" ht="21" customHeight="1" x14ac:dyDescent="0.25">
      <c r="A426" s="18"/>
    </row>
    <row r="427" spans="1:1" ht="21" customHeight="1" x14ac:dyDescent="0.25">
      <c r="A427" s="18"/>
    </row>
    <row r="428" spans="1:1" ht="21" customHeight="1" x14ac:dyDescent="0.25">
      <c r="A428" s="18"/>
    </row>
    <row r="429" spans="1:1" ht="21" customHeight="1" x14ac:dyDescent="0.25">
      <c r="A429" s="18"/>
    </row>
    <row r="430" spans="1:1" ht="21" customHeight="1" x14ac:dyDescent="0.25">
      <c r="A430" s="18"/>
    </row>
    <row r="431" spans="1:1" ht="21" customHeight="1" x14ac:dyDescent="0.25">
      <c r="A431" s="18"/>
    </row>
    <row r="432" spans="1:1" ht="21" customHeight="1" x14ac:dyDescent="0.25">
      <c r="A432" s="18"/>
    </row>
    <row r="433" spans="1:1" ht="21" customHeight="1" x14ac:dyDescent="0.25">
      <c r="A433" s="18"/>
    </row>
    <row r="434" spans="1:1" ht="21" customHeight="1" x14ac:dyDescent="0.25">
      <c r="A434" s="18"/>
    </row>
    <row r="435" spans="1:1" ht="21" customHeight="1" x14ac:dyDescent="0.25">
      <c r="A435" s="18"/>
    </row>
    <row r="436" spans="1:1" ht="21" customHeight="1" x14ac:dyDescent="0.25">
      <c r="A436" s="18"/>
    </row>
    <row r="437" spans="1:1" ht="21" customHeight="1" x14ac:dyDescent="0.25">
      <c r="A437" s="18"/>
    </row>
    <row r="438" spans="1:1" ht="21" customHeight="1" x14ac:dyDescent="0.25">
      <c r="A438" s="18"/>
    </row>
    <row r="439" spans="1:1" ht="21" customHeight="1" x14ac:dyDescent="0.25">
      <c r="A439" s="18"/>
    </row>
    <row r="440" spans="1:1" ht="21" customHeight="1" x14ac:dyDescent="0.25">
      <c r="A440" s="18"/>
    </row>
    <row r="441" spans="1:1" ht="21" customHeight="1" x14ac:dyDescent="0.25">
      <c r="A441" s="18"/>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X78"/>
  <sheetViews>
    <sheetView topLeftCell="H31" zoomScaleNormal="100" workbookViewId="0">
      <selection activeCell="K34" sqref="K34"/>
    </sheetView>
  </sheetViews>
  <sheetFormatPr defaultRowHeight="15" x14ac:dyDescent="0.25"/>
  <cols>
    <col min="2" max="2" width="16.7109375" customWidth="1"/>
    <col min="4" max="4" width="13.140625" customWidth="1"/>
    <col min="5" max="5" width="19.7109375" customWidth="1"/>
    <col min="6" max="6" width="19.85546875" customWidth="1"/>
    <col min="7" max="7" width="3.7109375" customWidth="1"/>
    <col min="8" max="8" width="18" customWidth="1"/>
    <col min="9" max="9" width="19.85546875" bestFit="1" customWidth="1"/>
    <col min="11" max="11" width="13.140625" customWidth="1"/>
    <col min="12" max="12" width="21" customWidth="1"/>
    <col min="13" max="13" width="20.85546875" customWidth="1"/>
    <col min="14" max="14" width="13.140625" customWidth="1"/>
    <col min="15" max="15" width="26" customWidth="1"/>
    <col min="16" max="16" width="26.7109375" customWidth="1"/>
    <col min="17" max="17" width="16.7109375" customWidth="1"/>
    <col min="18" max="18" width="22.140625" customWidth="1"/>
    <col min="19" max="19" width="19.85546875" customWidth="1"/>
    <col min="20" max="20" width="16.28515625" customWidth="1"/>
    <col min="21" max="21" width="8" customWidth="1"/>
    <col min="22" max="22" width="9" customWidth="1"/>
    <col min="23" max="23" width="11.28515625" customWidth="1"/>
    <col min="24" max="24" width="7.7109375" customWidth="1"/>
    <col min="25" max="25" width="8" customWidth="1"/>
    <col min="26" max="26" width="5" customWidth="1"/>
    <col min="27" max="27" width="7" customWidth="1"/>
    <col min="28" max="28" width="8" customWidth="1"/>
    <col min="29" max="29" width="9" customWidth="1"/>
    <col min="30" max="30" width="6.7109375" customWidth="1"/>
    <col min="31" max="31" width="7" customWidth="1"/>
    <col min="32" max="32" width="11.28515625" customWidth="1"/>
    <col min="33" max="33" width="6" customWidth="1"/>
    <col min="34" max="34" width="5.7109375" customWidth="1"/>
    <col min="35" max="35" width="12.42578125" customWidth="1"/>
    <col min="36" max="36" width="7.7109375" customWidth="1"/>
    <col min="37" max="37" width="9" customWidth="1"/>
    <col min="38" max="38" width="5.7109375" customWidth="1"/>
    <col min="39" max="39" width="7" customWidth="1"/>
    <col min="40" max="40" width="10.7109375" bestFit="1" customWidth="1"/>
    <col min="41" max="41" width="11.28515625" bestFit="1" customWidth="1"/>
    <col min="42" max="48" width="10" bestFit="1" customWidth="1"/>
    <col min="49" max="49" width="9" customWidth="1"/>
    <col min="50" max="51" width="10" bestFit="1" customWidth="1"/>
    <col min="52" max="62" width="9" customWidth="1"/>
    <col min="63" max="63" width="11.28515625" bestFit="1" customWidth="1"/>
  </cols>
  <sheetData>
    <row r="1" spans="2:24" x14ac:dyDescent="0.25">
      <c r="D1" s="37" t="s">
        <v>68</v>
      </c>
      <c r="E1" t="s">
        <v>100</v>
      </c>
      <c r="U1" s="37" t="s">
        <v>68</v>
      </c>
      <c r="V1" t="s">
        <v>100</v>
      </c>
    </row>
    <row r="2" spans="2:24" x14ac:dyDescent="0.25">
      <c r="B2" s="23" t="s">
        <v>31</v>
      </c>
    </row>
    <row r="3" spans="2:24" x14ac:dyDescent="0.25">
      <c r="B3" s="24">
        <v>500000</v>
      </c>
      <c r="D3" s="23" t="s">
        <v>36</v>
      </c>
      <c r="E3" s="23" t="s">
        <v>35</v>
      </c>
      <c r="F3" s="23" t="s">
        <v>38</v>
      </c>
      <c r="H3" s="31" t="s">
        <v>67</v>
      </c>
      <c r="K3" s="35" t="s">
        <v>36</v>
      </c>
      <c r="L3" s="35" t="s">
        <v>38</v>
      </c>
      <c r="M3" s="35" t="s">
        <v>81</v>
      </c>
      <c r="O3" s="35" t="s">
        <v>36</v>
      </c>
      <c r="P3" s="44" t="s">
        <v>91</v>
      </c>
      <c r="R3" s="35" t="s">
        <v>36</v>
      </c>
      <c r="S3" s="35" t="s">
        <v>38</v>
      </c>
      <c r="U3" s="35" t="s">
        <v>36</v>
      </c>
      <c r="V3" s="35" t="s">
        <v>38</v>
      </c>
    </row>
    <row r="4" spans="2:24" x14ac:dyDescent="0.25">
      <c r="D4" s="27" t="s">
        <v>42</v>
      </c>
      <c r="E4" s="26">
        <v>1</v>
      </c>
      <c r="F4" s="41">
        <v>37583.970000000008</v>
      </c>
      <c r="H4" t="str">
        <f>IFERROR(D4,"-")</f>
        <v>M&amp;M</v>
      </c>
      <c r="I4">
        <f>IFERROR(F4,"-")</f>
        <v>37583.970000000008</v>
      </c>
      <c r="K4" s="27" t="s">
        <v>69</v>
      </c>
      <c r="L4" s="36">
        <v>104687.76000000001</v>
      </c>
      <c r="M4" s="26">
        <v>104687.76000000001</v>
      </c>
      <c r="O4" s="27" t="s">
        <v>69</v>
      </c>
      <c r="P4" s="41">
        <v>5.9828571428571422</v>
      </c>
      <c r="R4" s="27" t="s">
        <v>44</v>
      </c>
      <c r="S4" s="41">
        <v>-10105.299999999987</v>
      </c>
      <c r="U4" s="27" t="s">
        <v>26</v>
      </c>
      <c r="V4" s="41">
        <v>71694.130000000019</v>
      </c>
      <c r="X4" s="26"/>
    </row>
    <row r="5" spans="2:24" x14ac:dyDescent="0.25">
      <c r="B5" s="23" t="s">
        <v>32</v>
      </c>
      <c r="D5" s="27" t="s">
        <v>44</v>
      </c>
      <c r="E5" s="26">
        <v>2</v>
      </c>
      <c r="F5" s="41">
        <v>-10105.299999999987</v>
      </c>
      <c r="H5" t="str">
        <f>IFERROR(D5,"-")</f>
        <v>Bajaj Auto</v>
      </c>
      <c r="I5">
        <f t="shared" ref="I5:I8" si="0">IFERROR(F5,"-")</f>
        <v>-10105.299999999987</v>
      </c>
      <c r="K5" s="27" t="s">
        <v>70</v>
      </c>
      <c r="L5" s="36">
        <v>17831.095000000005</v>
      </c>
      <c r="M5" s="26">
        <v>17831.095000000005</v>
      </c>
      <c r="O5" s="27" t="s">
        <v>70</v>
      </c>
      <c r="P5" s="41">
        <v>3.1025</v>
      </c>
      <c r="R5" s="27" t="s">
        <v>47</v>
      </c>
      <c r="S5" s="41">
        <v>-7514.0500000000065</v>
      </c>
      <c r="U5" s="27" t="s">
        <v>42</v>
      </c>
      <c r="V5" s="41">
        <v>37583.970000000008</v>
      </c>
    </row>
    <row r="6" spans="2:24" x14ac:dyDescent="0.25">
      <c r="B6" s="25">
        <v>5.0000000000000001E-3</v>
      </c>
      <c r="D6" s="27" t="s">
        <v>65</v>
      </c>
      <c r="E6" s="26">
        <v>3</v>
      </c>
      <c r="F6" s="41">
        <v>21001.349999999984</v>
      </c>
      <c r="H6" t="str">
        <f t="shared" ref="H6:H8" si="1">IFERROR(D6,"-")</f>
        <v>Spice jet</v>
      </c>
      <c r="I6">
        <f t="shared" si="0"/>
        <v>21001.349999999984</v>
      </c>
      <c r="K6" s="27" t="s">
        <v>71</v>
      </c>
      <c r="L6" s="36">
        <v>11976.485000000022</v>
      </c>
      <c r="M6" s="26">
        <v>11976.485000000022</v>
      </c>
      <c r="O6" s="27" t="s">
        <v>71</v>
      </c>
      <c r="P6" s="41">
        <v>4.2549999999999999</v>
      </c>
      <c r="R6" s="27" t="s">
        <v>45</v>
      </c>
      <c r="S6" s="41">
        <v>-5040.900000000006</v>
      </c>
      <c r="U6" s="27" t="s">
        <v>51</v>
      </c>
      <c r="V6" s="41">
        <v>26938.200000000008</v>
      </c>
    </row>
    <row r="7" spans="2:24" x14ac:dyDescent="0.25">
      <c r="D7" s="27" t="s">
        <v>26</v>
      </c>
      <c r="E7" s="26">
        <v>3</v>
      </c>
      <c r="F7" s="41">
        <v>71694.130000000019</v>
      </c>
      <c r="H7" t="str">
        <f t="shared" si="1"/>
        <v>ITC</v>
      </c>
      <c r="I7">
        <f t="shared" si="0"/>
        <v>71694.130000000019</v>
      </c>
      <c r="K7" s="27" t="s">
        <v>72</v>
      </c>
      <c r="L7" s="36">
        <v>-5395.4900000000143</v>
      </c>
      <c r="M7" s="26">
        <v>-5395.4900000000143</v>
      </c>
      <c r="O7" s="27" t="s">
        <v>72</v>
      </c>
      <c r="P7" s="41">
        <v>4.4460000000000006</v>
      </c>
      <c r="R7" s="27" t="s">
        <v>48</v>
      </c>
      <c r="S7" s="41">
        <v>-5001.7999999999993</v>
      </c>
      <c r="U7" s="27" t="s">
        <v>65</v>
      </c>
      <c r="V7" s="41">
        <v>21001.349999999984</v>
      </c>
    </row>
    <row r="8" spans="2:24" x14ac:dyDescent="0.25">
      <c r="B8" s="23" t="s">
        <v>33</v>
      </c>
      <c r="D8" s="27" t="s">
        <v>47</v>
      </c>
      <c r="E8" s="26">
        <v>3</v>
      </c>
      <c r="F8" s="41">
        <v>-7514.0500000000065</v>
      </c>
      <c r="H8" t="str">
        <f t="shared" si="1"/>
        <v>Cipla</v>
      </c>
      <c r="I8">
        <f t="shared" si="0"/>
        <v>-7514.0500000000065</v>
      </c>
      <c r="K8" s="27" t="s">
        <v>73</v>
      </c>
      <c r="L8" s="36">
        <v>-4033.1000000000004</v>
      </c>
      <c r="M8" s="26">
        <v>-4033.1000000000004</v>
      </c>
      <c r="O8" s="27" t="s">
        <v>73</v>
      </c>
      <c r="P8" s="41">
        <v>5.8119999999999994</v>
      </c>
      <c r="R8" s="27" t="s">
        <v>60</v>
      </c>
      <c r="S8" s="41">
        <v>-5000.5</v>
      </c>
      <c r="U8" s="27" t="s">
        <v>62</v>
      </c>
      <c r="V8" s="41">
        <v>16665.900000000005</v>
      </c>
    </row>
    <row r="9" spans="2:24" x14ac:dyDescent="0.25">
      <c r="B9" s="30">
        <v>222775.10000000003</v>
      </c>
      <c r="D9" s="27" t="s">
        <v>58</v>
      </c>
      <c r="E9" s="26">
        <v>4</v>
      </c>
      <c r="F9" s="41">
        <v>9740.6999999999953</v>
      </c>
      <c r="K9" s="27" t="s">
        <v>74</v>
      </c>
      <c r="L9" s="36">
        <v>36974.700000000012</v>
      </c>
      <c r="M9" s="26">
        <v>36974.700000000012</v>
      </c>
      <c r="O9" s="27" t="s">
        <v>74</v>
      </c>
      <c r="P9" s="41">
        <v>5.6120000000000001</v>
      </c>
      <c r="R9" s="27" t="s">
        <v>46</v>
      </c>
      <c r="S9" s="41">
        <v>-4998</v>
      </c>
      <c r="U9" s="27" t="s">
        <v>55</v>
      </c>
      <c r="V9" s="41">
        <v>15314</v>
      </c>
    </row>
    <row r="10" spans="2:24" x14ac:dyDescent="0.25">
      <c r="D10" s="27" t="s">
        <v>45</v>
      </c>
      <c r="E10" s="26">
        <v>4</v>
      </c>
      <c r="F10" s="41">
        <v>-5040.900000000006</v>
      </c>
      <c r="H10" s="35" t="s">
        <v>36</v>
      </c>
      <c r="I10" s="35" t="s">
        <v>38</v>
      </c>
      <c r="K10" s="27" t="s">
        <v>75</v>
      </c>
      <c r="L10" s="36">
        <v>5700.0000000000027</v>
      </c>
      <c r="M10" s="26">
        <v>5700.0000000000027</v>
      </c>
      <c r="O10" s="27" t="s">
        <v>75</v>
      </c>
      <c r="P10" s="41">
        <v>2.2799999999999998</v>
      </c>
      <c r="R10" s="27" t="s">
        <v>63</v>
      </c>
      <c r="S10" s="41">
        <v>-4963</v>
      </c>
      <c r="U10" s="27" t="s">
        <v>37</v>
      </c>
      <c r="V10" s="26">
        <v>189197.55000000002</v>
      </c>
    </row>
    <row r="11" spans="2:24" x14ac:dyDescent="0.25">
      <c r="B11" s="23" t="s">
        <v>34</v>
      </c>
      <c r="D11" s="27" t="s">
        <v>62</v>
      </c>
      <c r="E11" s="26">
        <v>4</v>
      </c>
      <c r="F11" s="41">
        <v>16665.900000000005</v>
      </c>
      <c r="H11" s="32" t="s">
        <v>80</v>
      </c>
      <c r="I11" s="26">
        <v>-2500</v>
      </c>
      <c r="K11" s="27" t="s">
        <v>76</v>
      </c>
      <c r="L11" s="36">
        <v>7241.1999999999953</v>
      </c>
      <c r="M11" s="26">
        <v>7241.1999999999953</v>
      </c>
      <c r="O11" s="27" t="s">
        <v>76</v>
      </c>
      <c r="P11" s="41">
        <v>7.1333333333333329</v>
      </c>
      <c r="R11" s="27" t="s">
        <v>54</v>
      </c>
      <c r="S11" s="41">
        <v>-2502</v>
      </c>
    </row>
    <row r="12" spans="2:24" x14ac:dyDescent="0.25">
      <c r="B12" s="26">
        <v>51</v>
      </c>
      <c r="D12" s="27" t="s">
        <v>46</v>
      </c>
      <c r="E12" s="26">
        <v>4</v>
      </c>
      <c r="F12" s="41">
        <v>-4998</v>
      </c>
      <c r="H12" s="32">
        <v>44524</v>
      </c>
      <c r="I12" s="26">
        <v>-2496</v>
      </c>
      <c r="K12" s="27" t="s">
        <v>77</v>
      </c>
      <c r="L12" s="36">
        <v>28673.5</v>
      </c>
      <c r="M12" s="26">
        <v>28673.5</v>
      </c>
      <c r="O12" s="27" t="s">
        <v>77</v>
      </c>
      <c r="P12" s="41">
        <v>11.013333333333334</v>
      </c>
      <c r="R12" s="27" t="s">
        <v>66</v>
      </c>
      <c r="S12" s="41">
        <v>271.59999999999764</v>
      </c>
    </row>
    <row r="13" spans="2:24" x14ac:dyDescent="0.25">
      <c r="D13" s="27" t="s">
        <v>57</v>
      </c>
      <c r="E13" s="26">
        <v>4</v>
      </c>
      <c r="F13" s="41">
        <v>3204.0000000000027</v>
      </c>
      <c r="H13" s="32">
        <v>44525</v>
      </c>
      <c r="I13" s="26">
        <v>-2500</v>
      </c>
      <c r="K13" s="27" t="s">
        <v>78</v>
      </c>
      <c r="L13" s="36">
        <v>31826.349999999984</v>
      </c>
      <c r="M13" s="26">
        <v>31826.349999999984</v>
      </c>
      <c r="O13" s="27" t="s">
        <v>78</v>
      </c>
      <c r="P13" s="41">
        <v>4.8550000000000004</v>
      </c>
      <c r="R13" s="27" t="s">
        <v>57</v>
      </c>
      <c r="S13" s="41">
        <v>3204.0000000000027</v>
      </c>
      <c r="U13" s="27"/>
    </row>
    <row r="14" spans="2:24" x14ac:dyDescent="0.25">
      <c r="D14" s="27" t="s">
        <v>64</v>
      </c>
      <c r="E14" s="26">
        <v>4</v>
      </c>
      <c r="F14" s="41">
        <v>9510.5999999999967</v>
      </c>
      <c r="H14" s="32">
        <v>44526</v>
      </c>
      <c r="I14" s="26">
        <v>-2500</v>
      </c>
      <c r="K14" s="27" t="s">
        <v>90</v>
      </c>
      <c r="L14" s="36">
        <v>-19976</v>
      </c>
      <c r="M14" s="26">
        <v>-19976</v>
      </c>
      <c r="O14" s="27" t="s">
        <v>90</v>
      </c>
      <c r="P14" s="41">
        <v>6.2450000000000019</v>
      </c>
      <c r="R14" s="27" t="s">
        <v>53</v>
      </c>
      <c r="S14" s="41">
        <v>5071.5</v>
      </c>
      <c r="U14" s="27"/>
    </row>
    <row r="15" spans="2:24" x14ac:dyDescent="0.25">
      <c r="D15" s="27" t="s">
        <v>60</v>
      </c>
      <c r="E15" s="26">
        <v>4</v>
      </c>
      <c r="F15" s="41">
        <v>-5000.5</v>
      </c>
      <c r="H15" s="32">
        <v>44527</v>
      </c>
      <c r="I15" s="26">
        <v>-2520</v>
      </c>
      <c r="K15" s="27" t="s">
        <v>79</v>
      </c>
      <c r="L15" s="36">
        <v>7268.5999999999995</v>
      </c>
      <c r="M15" s="26">
        <v>7268.5999999999995</v>
      </c>
      <c r="O15" s="27" t="s">
        <v>79</v>
      </c>
      <c r="P15" s="41">
        <v>1.4500000000000002</v>
      </c>
      <c r="R15" s="27" t="s">
        <v>39</v>
      </c>
      <c r="S15" s="41">
        <v>6708.375</v>
      </c>
      <c r="U15" s="27"/>
    </row>
    <row r="16" spans="2:24" x14ac:dyDescent="0.25">
      <c r="D16" s="27" t="s">
        <v>43</v>
      </c>
      <c r="E16" s="26">
        <v>4</v>
      </c>
      <c r="F16" s="41">
        <v>10436.070000000002</v>
      </c>
      <c r="H16" s="32">
        <v>44528</v>
      </c>
      <c r="I16" s="26">
        <v>-2500</v>
      </c>
      <c r="K16" s="27" t="s">
        <v>37</v>
      </c>
      <c r="L16" s="36">
        <v>222775.09999999998</v>
      </c>
      <c r="M16" s="26">
        <v>222775.09999999998</v>
      </c>
      <c r="O16" s="27" t="s">
        <v>37</v>
      </c>
      <c r="P16" s="41">
        <v>5.4835294117647067</v>
      </c>
      <c r="R16" s="27" t="s">
        <v>28</v>
      </c>
      <c r="S16" s="41">
        <v>7097.9749999999958</v>
      </c>
      <c r="U16" s="27"/>
    </row>
    <row r="17" spans="4:21" x14ac:dyDescent="0.25">
      <c r="D17" s="27" t="s">
        <v>63</v>
      </c>
      <c r="E17" s="26">
        <v>4</v>
      </c>
      <c r="F17" s="41">
        <v>-4963</v>
      </c>
      <c r="H17" s="32">
        <v>44529</v>
      </c>
      <c r="I17" s="26">
        <v>-2461</v>
      </c>
      <c r="R17" s="27" t="s">
        <v>56</v>
      </c>
      <c r="S17" s="41">
        <v>7475</v>
      </c>
      <c r="U17" s="27"/>
    </row>
    <row r="18" spans="4:21" x14ac:dyDescent="0.25">
      <c r="D18" s="27" t="s">
        <v>55</v>
      </c>
      <c r="E18" s="26">
        <v>4</v>
      </c>
      <c r="F18" s="41">
        <v>15314</v>
      </c>
      <c r="H18" s="32">
        <v>44530</v>
      </c>
      <c r="I18" s="26">
        <v>-2499</v>
      </c>
      <c r="K18" s="35" t="s">
        <v>85</v>
      </c>
      <c r="L18" s="35" t="s">
        <v>86</v>
      </c>
      <c r="O18" s="39" t="s">
        <v>82</v>
      </c>
      <c r="P18" s="42">
        <f>ROUND(MAX(P4:P15),2)</f>
        <v>11.01</v>
      </c>
      <c r="R18" s="27" t="s">
        <v>41</v>
      </c>
      <c r="S18" s="41">
        <v>8514.989999999998</v>
      </c>
      <c r="U18" s="27"/>
    </row>
    <row r="19" spans="4:21" x14ac:dyDescent="0.25">
      <c r="D19" s="27" t="s">
        <v>56</v>
      </c>
      <c r="E19" s="26">
        <v>4</v>
      </c>
      <c r="F19" s="41">
        <v>7475</v>
      </c>
      <c r="H19" s="32">
        <v>44531</v>
      </c>
      <c r="I19" s="26">
        <v>4500.0000000000018</v>
      </c>
      <c r="K19" s="27" t="s">
        <v>82</v>
      </c>
      <c r="L19">
        <f>ROUND(MAX(M4:M15),2)</f>
        <v>104687.76</v>
      </c>
      <c r="O19" s="40" t="s">
        <v>83</v>
      </c>
      <c r="P19" s="43">
        <f>ROUND(AVERAGE(P4:P15),2)</f>
        <v>5.18</v>
      </c>
      <c r="R19" s="27" t="s">
        <v>64</v>
      </c>
      <c r="S19" s="41">
        <v>9510.5999999999967</v>
      </c>
      <c r="U19" s="27"/>
    </row>
    <row r="20" spans="4:21" x14ac:dyDescent="0.25">
      <c r="D20" s="27" t="s">
        <v>66</v>
      </c>
      <c r="E20" s="26">
        <v>4</v>
      </c>
      <c r="F20" s="41">
        <v>271.59999999999764</v>
      </c>
      <c r="H20" s="32">
        <v>44532</v>
      </c>
      <c r="I20" s="26">
        <v>2768.5999999999976</v>
      </c>
      <c r="K20" s="27" t="s">
        <v>83</v>
      </c>
      <c r="L20">
        <f>ROUND(AVERAGE(M4:M15),2)</f>
        <v>18564.59</v>
      </c>
      <c r="O20" s="39" t="s">
        <v>84</v>
      </c>
      <c r="P20" s="42">
        <f>ROUND(MIN(P4:P15),2)</f>
        <v>1.45</v>
      </c>
      <c r="R20" s="27" t="s">
        <v>58</v>
      </c>
      <c r="S20" s="41">
        <v>9740.6999999999953</v>
      </c>
      <c r="U20" s="27"/>
    </row>
    <row r="21" spans="4:21" x14ac:dyDescent="0.25">
      <c r="D21" s="27" t="s">
        <v>48</v>
      </c>
      <c r="E21" s="26">
        <v>4</v>
      </c>
      <c r="F21" s="41">
        <v>-5001.7999999999993</v>
      </c>
      <c r="H21" s="32">
        <v>44199</v>
      </c>
      <c r="I21" s="26">
        <v>7097.9749999999958</v>
      </c>
      <c r="K21" s="27" t="s">
        <v>84</v>
      </c>
      <c r="L21">
        <f>ROUND(MIN(M4:M15),2)</f>
        <v>-19976</v>
      </c>
      <c r="R21" s="27" t="s">
        <v>43</v>
      </c>
      <c r="S21" s="41">
        <v>10436.070000000002</v>
      </c>
      <c r="U21" s="27"/>
    </row>
    <row r="22" spans="4:21" x14ac:dyDescent="0.25">
      <c r="D22" s="27" t="s">
        <v>40</v>
      </c>
      <c r="E22" s="26">
        <v>5</v>
      </c>
      <c r="F22" s="41">
        <v>10672.289999999994</v>
      </c>
      <c r="H22" s="32">
        <v>44203</v>
      </c>
      <c r="I22" s="26">
        <v>26316.42500000001</v>
      </c>
      <c r="K22" s="32"/>
      <c r="O22" s="35" t="s">
        <v>36</v>
      </c>
      <c r="P22" s="35" t="s">
        <v>38</v>
      </c>
      <c r="R22" s="27" t="s">
        <v>40</v>
      </c>
      <c r="S22" s="41">
        <v>10672.289999999994</v>
      </c>
      <c r="U22" s="27"/>
    </row>
    <row r="23" spans="4:21" x14ac:dyDescent="0.25">
      <c r="D23" s="27" t="s">
        <v>39</v>
      </c>
      <c r="E23" s="26">
        <v>5</v>
      </c>
      <c r="F23" s="41">
        <v>6708.375</v>
      </c>
      <c r="H23" s="32">
        <v>44204</v>
      </c>
      <c r="I23" s="26">
        <v>34074.625</v>
      </c>
      <c r="K23" s="35" t="s">
        <v>36</v>
      </c>
      <c r="O23" s="27" t="s">
        <v>50</v>
      </c>
      <c r="P23" s="26">
        <v>122559.75000000006</v>
      </c>
      <c r="R23" s="27" t="s">
        <v>55</v>
      </c>
      <c r="S23" s="41">
        <v>15314</v>
      </c>
      <c r="U23" s="27"/>
    </row>
    <row r="24" spans="4:21" x14ac:dyDescent="0.25">
      <c r="D24" s="27" t="s">
        <v>41</v>
      </c>
      <c r="E24" s="26">
        <v>5</v>
      </c>
      <c r="F24" s="41">
        <v>8514.989999999998</v>
      </c>
      <c r="H24" s="32">
        <v>44205</v>
      </c>
      <c r="I24" s="26">
        <v>18011.455000000013</v>
      </c>
      <c r="K24" s="27">
        <v>25</v>
      </c>
      <c r="L24" s="25">
        <f>K24/SUM(K24:K25)</f>
        <v>0.49019607843137253</v>
      </c>
      <c r="M24" t="s">
        <v>88</v>
      </c>
      <c r="O24" s="27" t="s">
        <v>52</v>
      </c>
      <c r="P24" s="26">
        <v>74202.200000000012</v>
      </c>
      <c r="R24" s="27" t="s">
        <v>62</v>
      </c>
      <c r="S24" s="41">
        <v>16665.900000000005</v>
      </c>
      <c r="U24" s="27"/>
    </row>
    <row r="25" spans="4:21" x14ac:dyDescent="0.25">
      <c r="D25" s="27" t="s">
        <v>53</v>
      </c>
      <c r="E25" s="26">
        <v>5</v>
      </c>
      <c r="F25" s="41">
        <v>5071.5</v>
      </c>
      <c r="H25" s="32">
        <v>44209</v>
      </c>
      <c r="I25" s="26">
        <v>10672.289999999994</v>
      </c>
      <c r="K25" s="38">
        <v>26</v>
      </c>
      <c r="L25" s="25">
        <f>K25/SUM(K24:K25)</f>
        <v>0.50980392156862742</v>
      </c>
      <c r="M25" t="s">
        <v>87</v>
      </c>
      <c r="O25" s="27" t="s">
        <v>59</v>
      </c>
      <c r="P25" s="26">
        <v>26013.14999999998</v>
      </c>
      <c r="R25" s="27" t="s">
        <v>65</v>
      </c>
      <c r="S25" s="41">
        <v>21001.349999999984</v>
      </c>
      <c r="U25" s="27"/>
    </row>
    <row r="26" spans="4:21" x14ac:dyDescent="0.25">
      <c r="D26" s="27" t="s">
        <v>28</v>
      </c>
      <c r="E26" s="26">
        <v>5</v>
      </c>
      <c r="F26" s="41">
        <v>7097.9749999999958</v>
      </c>
      <c r="H26" s="32">
        <v>44217</v>
      </c>
      <c r="I26" s="26">
        <v>8514.989999999998</v>
      </c>
      <c r="K26" s="27" t="s">
        <v>37</v>
      </c>
      <c r="O26" s="27" t="s">
        <v>37</v>
      </c>
      <c r="P26" s="26">
        <v>222775.10000000003</v>
      </c>
      <c r="R26" s="27" t="s">
        <v>51</v>
      </c>
      <c r="S26" s="41">
        <v>26938.200000000008</v>
      </c>
      <c r="U26" s="27"/>
    </row>
    <row r="27" spans="4:21" x14ac:dyDescent="0.25">
      <c r="D27" s="27" t="s">
        <v>54</v>
      </c>
      <c r="E27" s="26">
        <v>5</v>
      </c>
      <c r="F27" s="41">
        <v>-2502</v>
      </c>
      <c r="H27" s="32">
        <v>44228</v>
      </c>
      <c r="I27" s="26">
        <v>7139.8799999999992</v>
      </c>
      <c r="R27" s="27" t="s">
        <v>42</v>
      </c>
      <c r="S27" s="41">
        <v>37583.970000000008</v>
      </c>
      <c r="U27" s="27"/>
    </row>
    <row r="28" spans="4:21" x14ac:dyDescent="0.25">
      <c r="D28" s="27" t="s">
        <v>51</v>
      </c>
      <c r="E28" s="26">
        <v>5</v>
      </c>
      <c r="F28" s="41">
        <v>26938.200000000008</v>
      </c>
      <c r="H28" s="32">
        <v>44229</v>
      </c>
      <c r="I28" s="26">
        <v>4442.0700000000015</v>
      </c>
      <c r="K28" s="35" t="s">
        <v>36</v>
      </c>
      <c r="L28" s="35" t="s">
        <v>89</v>
      </c>
      <c r="O28" s="35" t="s">
        <v>92</v>
      </c>
      <c r="P28" s="35" t="s">
        <v>93</v>
      </c>
      <c r="R28" s="27" t="s">
        <v>26</v>
      </c>
      <c r="S28" s="41">
        <v>71694.130000000019</v>
      </c>
      <c r="U28" s="27"/>
    </row>
    <row r="29" spans="4:21" x14ac:dyDescent="0.25">
      <c r="D29" s="27" t="s">
        <v>37</v>
      </c>
      <c r="E29" s="26"/>
      <c r="F29" s="41">
        <v>222775.10000000003</v>
      </c>
      <c r="H29" s="32">
        <v>44230</v>
      </c>
      <c r="I29" s="26">
        <v>-2536.7999999999975</v>
      </c>
      <c r="K29" s="27" t="s">
        <v>27</v>
      </c>
      <c r="L29" s="26">
        <v>25</v>
      </c>
      <c r="M29" s="25">
        <f>L29/GETPIVOTDATA("Win/Loss",$K$28)</f>
        <v>0.49019607843137253</v>
      </c>
      <c r="O29" s="26">
        <v>9</v>
      </c>
      <c r="P29" s="26">
        <v>8</v>
      </c>
      <c r="R29" s="27" t="s">
        <v>37</v>
      </c>
      <c r="S29" s="26">
        <v>222775.09999999998</v>
      </c>
      <c r="U29" s="27"/>
    </row>
    <row r="30" spans="4:21" x14ac:dyDescent="0.25">
      <c r="H30" s="32">
        <v>44231</v>
      </c>
      <c r="I30" s="26">
        <v>8785.9450000000015</v>
      </c>
      <c r="K30" s="27" t="s">
        <v>29</v>
      </c>
      <c r="L30" s="26">
        <v>26</v>
      </c>
      <c r="M30" s="25">
        <f>L30/GETPIVOTDATA("Win/Loss",$K$28)</f>
        <v>0.50980392156862742</v>
      </c>
      <c r="O30" s="25">
        <f>O29/L29</f>
        <v>0.36</v>
      </c>
      <c r="P30" s="25">
        <f>P29/L30</f>
        <v>0.30769230769230771</v>
      </c>
      <c r="U30" s="27"/>
    </row>
    <row r="31" spans="4:21" x14ac:dyDescent="0.25">
      <c r="H31" s="32">
        <v>44260</v>
      </c>
      <c r="I31" s="26">
        <v>-2522.849999999994</v>
      </c>
      <c r="K31" s="27" t="s">
        <v>37</v>
      </c>
      <c r="L31" s="26">
        <v>51</v>
      </c>
      <c r="U31" s="27"/>
    </row>
    <row r="32" spans="4:21" x14ac:dyDescent="0.25">
      <c r="H32" s="32">
        <v>44261</v>
      </c>
      <c r="I32" s="26">
        <v>6984.0600000000031</v>
      </c>
      <c r="U32" s="27"/>
    </row>
    <row r="33" spans="8:23" x14ac:dyDescent="0.25">
      <c r="H33" s="32">
        <v>44262</v>
      </c>
      <c r="I33" s="26">
        <v>-2522.849999999994</v>
      </c>
      <c r="U33" s="27"/>
    </row>
    <row r="34" spans="8:23" x14ac:dyDescent="0.25">
      <c r="H34" s="32">
        <v>44263</v>
      </c>
      <c r="I34" s="26">
        <v>10038.125000000007</v>
      </c>
      <c r="K34" s="35" t="s">
        <v>36</v>
      </c>
      <c r="L34" s="35" t="s">
        <v>94</v>
      </c>
      <c r="N34" s="35" t="s">
        <v>94</v>
      </c>
      <c r="O34" s="35" t="s">
        <v>95</v>
      </c>
      <c r="P34" s="35"/>
      <c r="Q34" s="35"/>
      <c r="S34" s="37" t="s">
        <v>38</v>
      </c>
      <c r="T34" s="37" t="s">
        <v>95</v>
      </c>
    </row>
    <row r="35" spans="8:23" x14ac:dyDescent="0.25">
      <c r="H35" s="32">
        <v>44295</v>
      </c>
      <c r="I35" s="26">
        <v>4635.9599999999982</v>
      </c>
      <c r="K35" s="27" t="s">
        <v>69</v>
      </c>
      <c r="L35" s="26">
        <v>7</v>
      </c>
      <c r="N35" s="35" t="s">
        <v>36</v>
      </c>
      <c r="O35" s="35" t="s">
        <v>29</v>
      </c>
      <c r="P35" s="35" t="s">
        <v>27</v>
      </c>
      <c r="Q35" s="35" t="s">
        <v>37</v>
      </c>
      <c r="S35" s="37" t="s">
        <v>36</v>
      </c>
      <c r="T35" t="s">
        <v>50</v>
      </c>
      <c r="U35" t="s">
        <v>52</v>
      </c>
      <c r="V35" t="s">
        <v>59</v>
      </c>
      <c r="W35" t="s">
        <v>37</v>
      </c>
    </row>
    <row r="36" spans="8:23" x14ac:dyDescent="0.25">
      <c r="H36" s="32">
        <v>44296</v>
      </c>
      <c r="I36" s="26">
        <v>-2502.8999999999951</v>
      </c>
      <c r="K36" s="27" t="s">
        <v>70</v>
      </c>
      <c r="L36" s="26">
        <v>4</v>
      </c>
      <c r="N36" s="27" t="s">
        <v>69</v>
      </c>
      <c r="O36" s="26"/>
      <c r="P36" s="26">
        <v>7</v>
      </c>
      <c r="Q36" s="26">
        <v>7</v>
      </c>
      <c r="S36" s="27" t="s">
        <v>69</v>
      </c>
      <c r="T36" s="26">
        <v>104687.76000000001</v>
      </c>
      <c r="U36" s="26"/>
      <c r="V36" s="26"/>
      <c r="W36" s="26">
        <v>104687.76000000001</v>
      </c>
    </row>
    <row r="37" spans="8:23" x14ac:dyDescent="0.25">
      <c r="H37" s="32">
        <v>44297</v>
      </c>
      <c r="I37" s="26">
        <v>-2538.0000000000109</v>
      </c>
      <c r="K37" s="27" t="s">
        <v>71</v>
      </c>
      <c r="L37" s="26">
        <v>4</v>
      </c>
      <c r="N37" s="27" t="s">
        <v>70</v>
      </c>
      <c r="O37" s="26">
        <v>1</v>
      </c>
      <c r="P37" s="26">
        <v>3</v>
      </c>
      <c r="Q37" s="26">
        <v>4</v>
      </c>
      <c r="S37" s="27" t="s">
        <v>70</v>
      </c>
      <c r="T37" s="26">
        <v>17831.095000000005</v>
      </c>
      <c r="U37" s="26"/>
      <c r="V37" s="26"/>
      <c r="W37" s="26">
        <v>17831.095000000005</v>
      </c>
    </row>
    <row r="38" spans="8:23" x14ac:dyDescent="0.25">
      <c r="H38" s="32">
        <v>44298</v>
      </c>
      <c r="I38" s="26">
        <v>-2495.5</v>
      </c>
      <c r="K38" s="27" t="s">
        <v>72</v>
      </c>
      <c r="L38" s="26">
        <v>5</v>
      </c>
      <c r="N38" s="27" t="s">
        <v>71</v>
      </c>
      <c r="O38" s="26">
        <v>2</v>
      </c>
      <c r="P38" s="26">
        <v>2</v>
      </c>
      <c r="Q38" s="26">
        <v>4</v>
      </c>
      <c r="S38" s="27" t="s">
        <v>71</v>
      </c>
      <c r="T38" s="26">
        <v>11976.485000000022</v>
      </c>
      <c r="U38" s="26"/>
      <c r="V38" s="26"/>
      <c r="W38" s="26">
        <v>11976.485000000022</v>
      </c>
    </row>
    <row r="39" spans="8:23" x14ac:dyDescent="0.25">
      <c r="H39" s="32">
        <v>44299</v>
      </c>
      <c r="I39" s="26">
        <v>-2495.0500000000065</v>
      </c>
      <c r="K39" s="27" t="s">
        <v>73</v>
      </c>
      <c r="L39" s="26">
        <v>5</v>
      </c>
      <c r="N39" s="27" t="s">
        <v>72</v>
      </c>
      <c r="O39" s="26">
        <v>4</v>
      </c>
      <c r="P39" s="26">
        <v>1</v>
      </c>
      <c r="Q39" s="26">
        <v>5</v>
      </c>
      <c r="S39" s="27" t="s">
        <v>72</v>
      </c>
      <c r="T39" s="26">
        <v>-5395.4900000000143</v>
      </c>
      <c r="U39" s="26"/>
      <c r="V39" s="26"/>
      <c r="W39" s="26">
        <v>-5395.4900000000143</v>
      </c>
    </row>
    <row r="40" spans="8:23" x14ac:dyDescent="0.25">
      <c r="H40" s="32">
        <v>44331</v>
      </c>
      <c r="I40" s="26">
        <v>5994</v>
      </c>
      <c r="K40" s="27" t="s">
        <v>74</v>
      </c>
      <c r="L40" s="26">
        <v>5</v>
      </c>
      <c r="N40" s="27" t="s">
        <v>73</v>
      </c>
      <c r="O40" s="26">
        <v>4</v>
      </c>
      <c r="P40" s="26">
        <v>1</v>
      </c>
      <c r="Q40" s="26">
        <v>5</v>
      </c>
      <c r="S40" s="27" t="s">
        <v>73</v>
      </c>
      <c r="T40" s="26">
        <v>-4033.1000000000004</v>
      </c>
      <c r="U40" s="26"/>
      <c r="V40" s="26"/>
      <c r="W40" s="26">
        <v>-4033.1000000000004</v>
      </c>
    </row>
    <row r="41" spans="8:23" x14ac:dyDescent="0.25">
      <c r="H41" s="32">
        <v>44332</v>
      </c>
      <c r="I41" s="26">
        <v>-2502.5</v>
      </c>
      <c r="K41" s="27" t="s">
        <v>75</v>
      </c>
      <c r="L41" s="26">
        <v>1</v>
      </c>
      <c r="N41" s="27" t="s">
        <v>74</v>
      </c>
      <c r="O41" s="26">
        <v>2</v>
      </c>
      <c r="P41" s="26">
        <v>3</v>
      </c>
      <c r="Q41" s="26">
        <v>5</v>
      </c>
      <c r="S41" s="27" t="s">
        <v>74</v>
      </c>
      <c r="T41" s="26">
        <v>9975</v>
      </c>
      <c r="U41" s="26">
        <v>26999.700000000008</v>
      </c>
      <c r="V41" s="26"/>
      <c r="W41" s="26">
        <v>36974.700000000012</v>
      </c>
    </row>
    <row r="42" spans="8:23" x14ac:dyDescent="0.25">
      <c r="H42" s="32">
        <v>44333</v>
      </c>
      <c r="I42" s="26">
        <v>-2499.1999999999871</v>
      </c>
      <c r="K42" s="27" t="s">
        <v>76</v>
      </c>
      <c r="L42" s="26">
        <v>3</v>
      </c>
      <c r="N42" s="27" t="s">
        <v>75</v>
      </c>
      <c r="O42" s="26"/>
      <c r="P42" s="26">
        <v>1</v>
      </c>
      <c r="Q42" s="26">
        <v>1</v>
      </c>
      <c r="S42" s="27" t="s">
        <v>75</v>
      </c>
      <c r="T42" s="26"/>
      <c r="U42" s="26">
        <v>5700.0000000000027</v>
      </c>
      <c r="V42" s="26"/>
      <c r="W42" s="26">
        <v>5700.0000000000027</v>
      </c>
    </row>
    <row r="43" spans="8:23" x14ac:dyDescent="0.25">
      <c r="H43" s="32">
        <v>44334</v>
      </c>
      <c r="I43" s="26">
        <v>-2522.8000000000015</v>
      </c>
      <c r="K43" s="27" t="s">
        <v>77</v>
      </c>
      <c r="L43" s="26">
        <v>3</v>
      </c>
      <c r="N43" s="27" t="s">
        <v>76</v>
      </c>
      <c r="O43" s="26">
        <v>2</v>
      </c>
      <c r="P43" s="26">
        <v>1</v>
      </c>
      <c r="Q43" s="26">
        <v>3</v>
      </c>
      <c r="S43" s="27" t="s">
        <v>76</v>
      </c>
      <c r="T43" s="26">
        <v>-2499</v>
      </c>
      <c r="U43" s="26"/>
      <c r="V43" s="26">
        <v>9740.1999999999953</v>
      </c>
      <c r="W43" s="26">
        <v>7241.1999999999953</v>
      </c>
    </row>
    <row r="44" spans="8:23" x14ac:dyDescent="0.25">
      <c r="H44" s="32">
        <v>44335</v>
      </c>
      <c r="I44" s="26">
        <v>-2502.6000000000117</v>
      </c>
      <c r="K44" s="27" t="s">
        <v>78</v>
      </c>
      <c r="L44" s="26">
        <v>4</v>
      </c>
      <c r="N44" s="27" t="s">
        <v>77</v>
      </c>
      <c r="O44" s="26">
        <v>1</v>
      </c>
      <c r="P44" s="26">
        <v>2</v>
      </c>
      <c r="Q44" s="26">
        <v>3</v>
      </c>
      <c r="S44" s="27" t="s">
        <v>77</v>
      </c>
      <c r="T44" s="26">
        <v>-2502</v>
      </c>
      <c r="U44" s="26">
        <v>31175.5</v>
      </c>
      <c r="V44" s="26"/>
      <c r="W44" s="26">
        <v>28673.5</v>
      </c>
    </row>
    <row r="45" spans="8:23" x14ac:dyDescent="0.25">
      <c r="H45" s="32">
        <v>44352</v>
      </c>
      <c r="I45" s="26">
        <v>26938.200000000008</v>
      </c>
      <c r="K45" s="27" t="s">
        <v>90</v>
      </c>
      <c r="L45" s="26">
        <v>8</v>
      </c>
      <c r="N45" s="27" t="s">
        <v>78</v>
      </c>
      <c r="O45" s="26">
        <v>2</v>
      </c>
      <c r="P45" s="26">
        <v>2</v>
      </c>
      <c r="Q45" s="26">
        <v>4</v>
      </c>
      <c r="S45" s="27" t="s">
        <v>78</v>
      </c>
      <c r="T45" s="26"/>
      <c r="U45" s="26">
        <v>17822</v>
      </c>
      <c r="V45" s="26">
        <v>14004.349999999984</v>
      </c>
      <c r="W45" s="26">
        <v>31826.349999999984</v>
      </c>
    </row>
    <row r="46" spans="8:23" x14ac:dyDescent="0.25">
      <c r="H46" s="32">
        <v>44353</v>
      </c>
      <c r="I46" s="26">
        <v>5071.5</v>
      </c>
      <c r="K46" s="27" t="s">
        <v>79</v>
      </c>
      <c r="L46" s="26">
        <v>2</v>
      </c>
      <c r="N46" s="27" t="s">
        <v>90</v>
      </c>
      <c r="O46" s="26">
        <v>8</v>
      </c>
      <c r="P46" s="26"/>
      <c r="Q46" s="26">
        <v>8</v>
      </c>
      <c r="S46" s="27" t="s">
        <v>90</v>
      </c>
      <c r="T46" s="26">
        <v>-7481</v>
      </c>
      <c r="U46" s="26">
        <v>-7495</v>
      </c>
      <c r="V46" s="26">
        <v>-5000</v>
      </c>
      <c r="W46" s="26">
        <v>-19976</v>
      </c>
    </row>
    <row r="47" spans="8:23" x14ac:dyDescent="0.25">
      <c r="H47" s="32">
        <v>44354</v>
      </c>
      <c r="I47" s="26">
        <v>-2502</v>
      </c>
      <c r="K47" s="27" t="s">
        <v>37</v>
      </c>
      <c r="L47" s="26">
        <v>51</v>
      </c>
      <c r="N47" s="27" t="s">
        <v>79</v>
      </c>
      <c r="O47" s="26"/>
      <c r="P47" s="26">
        <v>2</v>
      </c>
      <c r="Q47" s="26">
        <v>2</v>
      </c>
      <c r="S47" s="27" t="s">
        <v>79</v>
      </c>
      <c r="T47" s="26"/>
      <c r="U47" s="26"/>
      <c r="V47" s="26">
        <v>7268.5999999999995</v>
      </c>
      <c r="W47" s="26">
        <v>7268.5999999999995</v>
      </c>
    </row>
    <row r="48" spans="8:23" x14ac:dyDescent="0.25">
      <c r="H48" s="32">
        <v>44355</v>
      </c>
      <c r="I48" s="26">
        <v>-2508</v>
      </c>
      <c r="K48" s="27" t="s">
        <v>96</v>
      </c>
      <c r="L48">
        <f>ROUND(AVERAGE(L35:L46),0)</f>
        <v>4</v>
      </c>
      <c r="N48" s="27" t="s">
        <v>37</v>
      </c>
      <c r="O48" s="26">
        <v>26</v>
      </c>
      <c r="P48" s="26">
        <v>25</v>
      </c>
      <c r="Q48" s="26">
        <v>51</v>
      </c>
      <c r="S48" s="27" t="s">
        <v>37</v>
      </c>
      <c r="T48" s="26">
        <v>122559.75</v>
      </c>
      <c r="U48" s="26">
        <v>74202.200000000012</v>
      </c>
      <c r="V48" s="26">
        <v>26013.14999999998</v>
      </c>
      <c r="W48" s="26">
        <v>222775.09999999998</v>
      </c>
    </row>
    <row r="49" spans="8:19" x14ac:dyDescent="0.25">
      <c r="H49" s="32">
        <v>44356</v>
      </c>
      <c r="I49" s="26">
        <v>9975</v>
      </c>
      <c r="K49" s="27" t="s">
        <v>97</v>
      </c>
      <c r="L49">
        <f>MAX(L35:L46)</f>
        <v>8</v>
      </c>
    </row>
    <row r="50" spans="8:19" x14ac:dyDescent="0.25">
      <c r="H50" s="32">
        <v>44381</v>
      </c>
      <c r="I50" s="26">
        <v>5700.0000000000027</v>
      </c>
      <c r="K50" s="27" t="s">
        <v>98</v>
      </c>
      <c r="L50">
        <f>MIN(L35:L46)</f>
        <v>1</v>
      </c>
      <c r="N50" s="37" t="s">
        <v>36</v>
      </c>
      <c r="O50" t="s">
        <v>38</v>
      </c>
      <c r="Q50" s="35" t="s">
        <v>33</v>
      </c>
      <c r="R50" s="35" t="s">
        <v>31</v>
      </c>
      <c r="S50" s="35" t="s">
        <v>99</v>
      </c>
    </row>
    <row r="51" spans="8:19" x14ac:dyDescent="0.25">
      <c r="H51" s="32">
        <v>44412</v>
      </c>
      <c r="I51" s="26">
        <v>12240.699999999995</v>
      </c>
      <c r="N51" s="27" t="s">
        <v>69</v>
      </c>
      <c r="O51" s="26">
        <v>104687.76000000001</v>
      </c>
      <c r="Q51" s="26">
        <v>222775.10000000003</v>
      </c>
      <c r="R51" s="26">
        <v>500000</v>
      </c>
      <c r="S51">
        <f>ROUND(SUM($Q$51, $R$51),1)</f>
        <v>722775.1</v>
      </c>
    </row>
    <row r="52" spans="8:19" x14ac:dyDescent="0.25">
      <c r="H52" s="32">
        <v>44413</v>
      </c>
      <c r="I52" s="26">
        <v>-2500.5</v>
      </c>
      <c r="N52" s="27" t="s">
        <v>70</v>
      </c>
      <c r="O52" s="26">
        <v>17831.095000000005</v>
      </c>
    </row>
    <row r="53" spans="8:19" x14ac:dyDescent="0.25">
      <c r="H53" s="32">
        <v>44414</v>
      </c>
      <c r="I53" s="26">
        <v>-2499</v>
      </c>
      <c r="N53" s="27" t="s">
        <v>71</v>
      </c>
      <c r="O53" s="26">
        <v>11976.485000000022</v>
      </c>
    </row>
    <row r="54" spans="8:19" x14ac:dyDescent="0.25">
      <c r="H54" s="32">
        <v>44449</v>
      </c>
      <c r="I54" s="26">
        <v>19165.900000000005</v>
      </c>
      <c r="N54" s="27" t="s">
        <v>72</v>
      </c>
      <c r="O54" s="26">
        <v>-5395.4900000000143</v>
      </c>
    </row>
    <row r="55" spans="8:19" x14ac:dyDescent="0.25">
      <c r="H55" s="32">
        <v>44450</v>
      </c>
      <c r="I55" s="26">
        <v>-2502</v>
      </c>
      <c r="N55" s="27" t="s">
        <v>73</v>
      </c>
      <c r="O55" s="26">
        <v>-4033.1000000000004</v>
      </c>
    </row>
    <row r="56" spans="8:19" x14ac:dyDescent="0.25">
      <c r="H56" s="32">
        <v>44451</v>
      </c>
      <c r="I56" s="26">
        <v>12009.599999999997</v>
      </c>
      <c r="N56" s="27" t="s">
        <v>74</v>
      </c>
      <c r="O56" s="26">
        <v>36974.700000000012</v>
      </c>
    </row>
    <row r="57" spans="8:19" x14ac:dyDescent="0.25">
      <c r="H57" s="32">
        <v>44482</v>
      </c>
      <c r="I57" s="26">
        <v>18999.999999999985</v>
      </c>
      <c r="N57" s="27" t="s">
        <v>75</v>
      </c>
      <c r="O57" s="26">
        <v>5700.0000000000027</v>
      </c>
    </row>
    <row r="58" spans="8:19" x14ac:dyDescent="0.25">
      <c r="H58" s="32">
        <v>44483</v>
      </c>
      <c r="I58" s="26">
        <v>-2497</v>
      </c>
      <c r="N58" s="27" t="s">
        <v>76</v>
      </c>
      <c r="O58" s="26">
        <v>7241.1999999999953</v>
      </c>
    </row>
    <row r="59" spans="8:19" x14ac:dyDescent="0.25">
      <c r="H59" s="32">
        <v>44484</v>
      </c>
      <c r="I59" s="26">
        <v>-2498.6500000000024</v>
      </c>
      <c r="N59" s="27" t="s">
        <v>77</v>
      </c>
      <c r="O59" s="26">
        <v>28673.5</v>
      </c>
    </row>
    <row r="60" spans="8:19" x14ac:dyDescent="0.25">
      <c r="H60" s="32">
        <v>44485</v>
      </c>
      <c r="I60" s="26">
        <v>17822</v>
      </c>
      <c r="N60" s="27" t="s">
        <v>78</v>
      </c>
      <c r="O60" s="26">
        <v>31826.349999999984</v>
      </c>
    </row>
    <row r="61" spans="8:19" x14ac:dyDescent="0.25">
      <c r="H61" s="32" t="s">
        <v>37</v>
      </c>
      <c r="I61" s="26">
        <v>222775.1</v>
      </c>
      <c r="N61" s="27" t="s">
        <v>90</v>
      </c>
      <c r="O61" s="26">
        <v>-19976</v>
      </c>
    </row>
    <row r="62" spans="8:19" x14ac:dyDescent="0.25">
      <c r="N62" s="27" t="s">
        <v>79</v>
      </c>
      <c r="O62" s="26">
        <v>7268.5999999999995</v>
      </c>
    </row>
    <row r="63" spans="8:19" x14ac:dyDescent="0.25">
      <c r="N63" s="27" t="s">
        <v>37</v>
      </c>
      <c r="O63" s="26">
        <v>222775.09999999998</v>
      </c>
    </row>
    <row r="65" spans="15:16" x14ac:dyDescent="0.25">
      <c r="O65" s="45" t="s">
        <v>36</v>
      </c>
      <c r="P65" t="s">
        <v>21</v>
      </c>
    </row>
    <row r="66" spans="15:16" x14ac:dyDescent="0.25">
      <c r="O66" s="27" t="s">
        <v>69</v>
      </c>
      <c r="P66" s="24">
        <f>$B$3+SUM($O$51:O51)</f>
        <v>604687.76</v>
      </c>
    </row>
    <row r="67" spans="15:16" x14ac:dyDescent="0.25">
      <c r="O67" s="27" t="s">
        <v>70</v>
      </c>
      <c r="P67" s="24">
        <f>$B$3+SUM($O$51:O52)</f>
        <v>622518.85499999998</v>
      </c>
    </row>
    <row r="68" spans="15:16" x14ac:dyDescent="0.25">
      <c r="O68" s="27" t="s">
        <v>71</v>
      </c>
      <c r="P68" s="24">
        <f>$B$3+SUM($O$51:O53)</f>
        <v>634495.34000000008</v>
      </c>
    </row>
    <row r="69" spans="15:16" x14ac:dyDescent="0.25">
      <c r="O69" s="27" t="s">
        <v>72</v>
      </c>
      <c r="P69" s="24">
        <f>$B$3+SUM($O$51:O54)</f>
        <v>629099.85</v>
      </c>
    </row>
    <row r="70" spans="15:16" x14ac:dyDescent="0.25">
      <c r="O70" s="27" t="s">
        <v>73</v>
      </c>
      <c r="P70" s="24">
        <f>$B$3+SUM($O$51:O55)</f>
        <v>625066.75</v>
      </c>
    </row>
    <row r="71" spans="15:16" x14ac:dyDescent="0.25">
      <c r="O71" s="27" t="s">
        <v>74</v>
      </c>
      <c r="P71" s="24">
        <f>$B$3+SUM($O$51:O56)</f>
        <v>662041.44999999995</v>
      </c>
    </row>
    <row r="72" spans="15:16" x14ac:dyDescent="0.25">
      <c r="O72" s="27" t="s">
        <v>75</v>
      </c>
      <c r="P72" s="24">
        <f>$B$3+SUM($O$51:O57)</f>
        <v>667741.44999999995</v>
      </c>
    </row>
    <row r="73" spans="15:16" x14ac:dyDescent="0.25">
      <c r="O73" s="27" t="s">
        <v>76</v>
      </c>
      <c r="P73" s="24">
        <f>$B$3+SUM($O$51:O58)</f>
        <v>674982.65</v>
      </c>
    </row>
    <row r="74" spans="15:16" x14ac:dyDescent="0.25">
      <c r="O74" s="27" t="s">
        <v>77</v>
      </c>
      <c r="P74" s="24">
        <f>$B$3+SUM($O$51:O59)</f>
        <v>703656.15</v>
      </c>
    </row>
    <row r="75" spans="15:16" x14ac:dyDescent="0.25">
      <c r="O75" s="27" t="s">
        <v>78</v>
      </c>
      <c r="P75" s="24">
        <f>$B$3+SUM($O$51:O60)</f>
        <v>735482.5</v>
      </c>
    </row>
    <row r="76" spans="15:16" x14ac:dyDescent="0.25">
      <c r="O76" s="27" t="s">
        <v>90</v>
      </c>
      <c r="P76" s="24">
        <f>$B$3+SUM($O$51:O61)</f>
        <v>715506.5</v>
      </c>
    </row>
    <row r="77" spans="15:16" x14ac:dyDescent="0.25">
      <c r="O77" s="27" t="s">
        <v>79</v>
      </c>
      <c r="P77" s="24">
        <f>$B$3+SUM($O$51:O62)</f>
        <v>722775.1</v>
      </c>
    </row>
    <row r="78" spans="15:16" x14ac:dyDescent="0.25">
      <c r="P78" s="24"/>
    </row>
  </sheetData>
  <pageMargins left="0.7" right="0.7" top="0.75" bottom="0.75" header="0.3" footer="0.3"/>
  <pageSetup orientation="portrait"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
  <sheetViews>
    <sheetView showGridLines="0" showRowColHeaders="0" tabSelected="1" zoomScale="70" zoomScaleNormal="70" workbookViewId="0">
      <selection activeCell="I43" sqref="I43"/>
    </sheetView>
  </sheetViews>
  <sheetFormatPr defaultRowHeight="15" x14ac:dyDescent="0.25"/>
  <cols>
    <col min="1" max="16384" width="9.140625" style="2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Pivottables</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2022-05-28T05:22:36Z</dcterms:created>
  <dcterms:modified xsi:type="dcterms:W3CDTF">2022-06-07T04:03:36Z</dcterms:modified>
</cp:coreProperties>
</file>