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69\Desktop\excel-business-intelligence-forecasting-git\excel\"/>
    </mc:Choice>
  </mc:AlternateContent>
  <xr:revisionPtr revIDLastSave="0" documentId="13_ncr:1_{42BD3BB5-9201-4FB7-B4AE-944F43735C08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00_README" sheetId="1" r:id="rId1"/>
    <sheet name="02_FORMULA_LAB" sheetId="2" r:id="rId2"/>
    <sheet name="Model_QA" sheetId="4" r:id="rId3"/>
    <sheet name="03_ADVANCED_FORMULAS" sheetId="3" r:id="rId4"/>
  </sheets>
  <definedNames>
    <definedName name="Discounted_Rate">'02_FORMULA_LAB'!$AF$5</definedName>
    <definedName name="Fee_Rate">'02_FORMULA_LAB'!$F$2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Transactions_af34c521-27b8-4e0c-8caf-84b4b91308f5" name="fact_Transactions" connection="Query - fact_Transactions"/>
          <x15:modelTable id="dim_Date_c945ee2d-a762-4c51-96b8-e2e3ab9ccd18" name="dim_Date" connection="Query - dim_Date"/>
          <x15:modelTable id="dim_Product_a11ad3dd-1a4b-448a-af92-669cb526de14" name="dim_Product" connection="Query - dim_Product"/>
          <x15:modelTable id="dim_Customer_58657691-17f4-4455-b189-fa7138c48076" name="dim_Customer" connection="Query - dim_Customer"/>
          <x15:modelTable id="dim_Country_38e3e068-f1c8-4492-bd16-08f50e9de15e" name="dim_Country" connection="Query - dim_Country"/>
        </x15:modelTables>
        <x15:modelRelationships>
          <x15:modelRelationship fromTable="fact_Transactions" fromColumn="TransactionDate" toTable="dim_Date" toColumn="Date"/>
          <x15:modelRelationship fromTable="fact_Transactions" fromColumn="Customer ID" toTable="dim_Customer" toColumn="Customer ID"/>
          <x15:modelRelationship fromTable="fact_Transactions" fromColumn="Country" toTable="dim_Country" toColumn="Country"/>
          <x15:modelRelationship fromTable="fact_Transactions" fromColumn="StockCode" toTable="dim_Product" toColumn="StockCode"/>
        </x15:modelRelationships>
      </x15:dataModel>
    </ext>
  </extLst>
</workbook>
</file>

<file path=xl/calcChain.xml><?xml version="1.0" encoding="utf-8"?>
<calcChain xmlns="http://schemas.openxmlformats.org/spreadsheetml/2006/main">
  <c r="P18" i="3" l="1"/>
  <c r="O18" i="3"/>
  <c r="O15" i="3"/>
  <c r="O14" i="3"/>
  <c r="O13" i="3"/>
  <c r="T8" i="3"/>
  <c r="T6" i="3"/>
  <c r="R15" i="3"/>
  <c r="Q15" i="3"/>
  <c r="R9" i="3"/>
  <c r="Q9" i="3"/>
  <c r="Q8" i="3"/>
  <c r="Q7" i="3"/>
  <c r="R2" i="3"/>
  <c r="O3" i="3"/>
  <c r="O6" i="3"/>
  <c r="O4" i="3"/>
  <c r="O2" i="3"/>
  <c r="E14" i="3"/>
  <c r="E13" i="3"/>
  <c r="E12" i="3"/>
  <c r="E11" i="3"/>
  <c r="E10" i="3"/>
  <c r="G3" i="3"/>
  <c r="G4" i="3"/>
  <c r="G5" i="3"/>
  <c r="G2" i="3"/>
  <c r="F3" i="3"/>
  <c r="F4" i="3"/>
  <c r="F5" i="3"/>
  <c r="F2" i="3"/>
  <c r="E3" i="3"/>
  <c r="E4" i="3"/>
  <c r="E5" i="3"/>
  <c r="E2" i="3"/>
  <c r="C3" i="3"/>
  <c r="C4" i="3"/>
  <c r="C5" i="3"/>
  <c r="C2" i="3"/>
  <c r="AD5" i="2"/>
  <c r="AD6" i="2"/>
  <c r="AD7" i="2"/>
  <c r="AC5" i="2"/>
  <c r="AC6" i="2"/>
  <c r="AC7" i="2"/>
  <c r="E3" i="2"/>
  <c r="E4" i="2"/>
  <c r="E2" i="2"/>
  <c r="C12" i="2"/>
  <c r="B12" i="2"/>
  <c r="B10" i="2"/>
  <c r="H13" i="2"/>
  <c r="I13" i="2"/>
  <c r="J13" i="2"/>
  <c r="I12" i="2"/>
  <c r="J12" i="2"/>
  <c r="J11" i="2"/>
  <c r="I11" i="2"/>
  <c r="H11" i="2"/>
  <c r="H12" i="2"/>
  <c r="H4" i="2"/>
  <c r="I4" i="2"/>
  <c r="J4" i="2"/>
  <c r="K4" i="2"/>
  <c r="L4" i="2"/>
  <c r="H5" i="2"/>
  <c r="I5" i="2"/>
  <c r="J5" i="2"/>
  <c r="K5" i="2"/>
  <c r="L5" i="2"/>
  <c r="H6" i="2"/>
  <c r="I6" i="2"/>
  <c r="J6" i="2"/>
  <c r="K6" i="2"/>
  <c r="L6" i="2"/>
  <c r="H7" i="2"/>
  <c r="I7" i="2"/>
  <c r="J7" i="2"/>
  <c r="K7" i="2"/>
  <c r="L7" i="2"/>
  <c r="I3" i="2"/>
  <c r="J3" i="2"/>
  <c r="K3" i="2"/>
  <c r="L3" i="2"/>
  <c r="H3" i="2"/>
  <c r="D3" i="2"/>
  <c r="D4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23109C-386E-4D2F-AB5C-7A17B842A514}" name="Query - dim_Country" description="Connection to the 'dim_Country' query in the workbook." type="100" refreshedVersion="8" minRefreshableVersion="5">
    <extLst>
      <ext xmlns:x15="http://schemas.microsoft.com/office/spreadsheetml/2010/11/main" uri="{DE250136-89BD-433C-8126-D09CA5730AF9}">
        <x15:connection id="d26c0ab7-e831-4dc7-82ac-cea790ae97e7"/>
      </ext>
    </extLst>
  </connection>
  <connection id="2" xr16:uid="{74F18BFA-55BD-4E5D-A8A4-4B313F46A738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9f4491b4-3837-41f1-aabb-59a7a2b757f8"/>
      </ext>
    </extLst>
  </connection>
  <connection id="3" xr16:uid="{994EAFB0-CA50-4433-A31C-9A04ADDC9721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ef4c8ea-f207-4c76-b4f0-745c4a4177ae"/>
      </ext>
    </extLst>
  </connection>
  <connection id="4" xr16:uid="{4D57E472-6AA7-4A86-BA7F-7FFC01DB387B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494db8af-c290-4703-a511-e75d3721c6fa"/>
      </ext>
    </extLst>
  </connection>
  <connection id="5" xr16:uid="{C5A59DC1-20F6-4575-8F05-B24F716495E2}" name="Query - fact_Transactions" description="Connection to the 'fact_Transactions' query in the workbook." type="100" refreshedVersion="8" minRefreshableVersion="5">
    <extLst>
      <ext xmlns:x15="http://schemas.microsoft.com/office/spreadsheetml/2010/11/main" uri="{DE250136-89BD-433C-8126-D09CA5730AF9}">
        <x15:connection id="47394198-be30-49cb-b640-18681b9813cb"/>
      </ext>
    </extLst>
  </connection>
  <connection id="6" xr16:uid="{A3E82387-6632-4E2A-8FB0-21B9C8AF7C9C}" keepAlive="1" name="Query - qa_AnalysisStatus" description="Connection to the 'qa_AnalysisStatus' query in the workbook." type="5" refreshedVersion="0" background="1">
    <dbPr connection="Provider=Microsoft.Mashup.OleDb.1;Data Source=$Workbook$;Location=qa_AnalysisStatus;Extended Properties=&quot;&quot;" command="SELECT * FROM [qa_AnalysisStatus]"/>
  </connection>
  <connection id="7" xr16:uid="{D962823C-0EBA-4E3F-89E8-2F2B03145E87}" keepAlive="1" name="Query - qa_RowCount" description="Connection to the 'qa_RowCount' query in the workbook." type="5" refreshedVersion="0" background="1">
    <dbPr connection="Provider=Microsoft.Mashup.OleDb.1;Data Source=$Workbook$;Location=qa_RowCount;Extended Properties=&quot;&quot;" command="SELECT * FROM [qa_RowCount]"/>
  </connection>
  <connection id="8" xr16:uid="{18527371-5DDB-4AD6-A236-40CD58A6F9A8}" keepAlive="1" name="Query - qa_StockCodes" description="Connection to the 'qa_StockCodes' query in the workbook." type="5" refreshedVersion="0" background="1">
    <dbPr connection="Provider=Microsoft.Mashup.OleDb.1;Data Source=$Workbook$;Location=qa_StockCodes;Extended Properties=&quot;&quot;" command="SELECT * FROM [qa_StockCodes]"/>
  </connection>
  <connection id="9" xr16:uid="{01A93971-3D2F-46E0-BA89-B5C5DC19D333}" keepAlive="1" name="Query - qa_TransactionTypes" description="Connection to the 'qa_TransactionTypes' query in the workbook." type="5" refreshedVersion="0" background="1">
    <dbPr connection="Provider=Microsoft.Mashup.OleDb.1;Data Source=$Workbook$;Location=qa_TransactionTypes;Extended Properties=&quot;&quot;" command="SELECT * FROM [qa_TransactionTypes]"/>
  </connection>
  <connection id="10" xr16:uid="{5ECA99DB-044E-4466-9A8D-1FEA162127D8}" keepAlive="1" name="Query - src_2009_2010" description="Connection to the 'src_2009_2010' query in the workbook." type="5" refreshedVersion="0" background="1">
    <dbPr connection="Provider=Microsoft.Mashup.OleDb.1;Data Source=$Workbook$;Location=src_2009_2010;Extended Properties=&quot;&quot;" command="SELECT * FROM [src_2009_2010]"/>
  </connection>
  <connection id="11" xr16:uid="{27C991EA-BECD-4D06-BAAC-CEDDA0BDA50A}" keepAlive="1" name="Query - src_2010_2011" description="Connection to the 'src_2010_2011' query in the workbook." type="5" refreshedVersion="0" background="1">
    <dbPr connection="Provider=Microsoft.Mashup.OleDb.1;Data Source=$Workbook$;Location=src_2010_2011;Extended Properties=&quot;&quot;" command="SELECT * FROM [src_2010_2011]"/>
  </connection>
  <connection id="12" xr16:uid="{10A556DD-5766-4FC4-9D5D-9788839EAE6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<sst xmlns="http://schemas.openxmlformats.org/spreadsheetml/2006/main" count="170" uniqueCount="125">
  <si>
    <t>NEXORA COMMERCE</t>
  </si>
  <si>
    <t>Business Intelligence &amp; Forecasting Platform</t>
  </si>
  <si>
    <t>PURPOSE</t>
  </si>
  <si>
    <t>End-to-end Excel analytics platform for business performance analysis, customer analytics, forecasting, scenario modeling, optimization, and executive reporting.</t>
  </si>
  <si>
    <t>DATA SOURCE</t>
  </si>
  <si>
    <t>UCI Machine Learning Repository — Online Retail II</t>
  </si>
  <si>
    <t>PROJECT WORKFLOW</t>
  </si>
  <si>
    <t>Raw Data</t>
  </si>
  <si>
    <t>Power Query</t>
  </si>
  <si>
    <t>Data Model</t>
  </si>
  <si>
    <t>Business Analytics</t>
  </si>
  <si>
    <t>Forecasting &amp; Optimization</t>
  </si>
  <si>
    <t>Executive Dashboard</t>
  </si>
  <si>
    <t xml:space="preserve">Product </t>
  </si>
  <si>
    <t>Price</t>
  </si>
  <si>
    <t xml:space="preserve">Quantity </t>
  </si>
  <si>
    <t xml:space="preserve">Revenue </t>
  </si>
  <si>
    <t>Laptop Stand</t>
  </si>
  <si>
    <t>Keyboard</t>
  </si>
  <si>
    <t>Mouse</t>
  </si>
  <si>
    <t>Fee Rate</t>
  </si>
  <si>
    <t>Tansaction Fee</t>
  </si>
  <si>
    <t xml:space="preserve">Product Price </t>
  </si>
  <si>
    <t>Order ID</t>
  </si>
  <si>
    <t>Status</t>
  </si>
  <si>
    <t>Processing</t>
  </si>
  <si>
    <t>Priority</t>
  </si>
  <si>
    <t>Low</t>
  </si>
  <si>
    <t>Medium</t>
  </si>
  <si>
    <t>High</t>
  </si>
  <si>
    <t>Critical</t>
  </si>
  <si>
    <t>Order Priority</t>
  </si>
  <si>
    <t>Jan</t>
  </si>
  <si>
    <t>Feb</t>
  </si>
  <si>
    <t>Mar</t>
  </si>
  <si>
    <t>Apr</t>
  </si>
  <si>
    <t>France</t>
  </si>
  <si>
    <t>Germany</t>
  </si>
  <si>
    <t>UK</t>
  </si>
  <si>
    <t>Product</t>
  </si>
  <si>
    <t>Quantity</t>
  </si>
  <si>
    <t>Headphones</t>
  </si>
  <si>
    <t>Webcam</t>
  </si>
  <si>
    <t>USB Hub</t>
  </si>
  <si>
    <t>Revenue</t>
  </si>
  <si>
    <t>Final Revenue</t>
  </si>
  <si>
    <t>Discounted Rate</t>
  </si>
  <si>
    <t xml:space="preserve">Performance </t>
  </si>
  <si>
    <t>Laptop</t>
  </si>
  <si>
    <t>Monitor</t>
  </si>
  <si>
    <t>Units Sold</t>
  </si>
  <si>
    <t>Business Rating</t>
  </si>
  <si>
    <t>Priority Status</t>
  </si>
  <si>
    <t>Revenue Tier</t>
  </si>
  <si>
    <t>Country</t>
  </si>
  <si>
    <t xml:space="preserve">Category </t>
  </si>
  <si>
    <t>Canada</t>
  </si>
  <si>
    <t>Electronics</t>
  </si>
  <si>
    <t>Furniture</t>
  </si>
  <si>
    <t>Product ID</t>
  </si>
  <si>
    <t xml:space="preserve">Product Name </t>
  </si>
  <si>
    <t>Category</t>
  </si>
  <si>
    <t>P101</t>
  </si>
  <si>
    <t>Office</t>
  </si>
  <si>
    <t>P102</t>
  </si>
  <si>
    <t>P103</t>
  </si>
  <si>
    <t>P104</t>
  </si>
  <si>
    <t>Desk Lamp</t>
  </si>
  <si>
    <t>Home</t>
  </si>
  <si>
    <t>P105</t>
  </si>
  <si>
    <t xml:space="preserve">Search Product ID </t>
  </si>
  <si>
    <t>=VLOOKUP(</t>
  </si>
  <si>
    <t>Raw Customer Name</t>
  </si>
  <si>
    <t>Clean Customer Name</t>
  </si>
  <si>
    <t xml:space="preserve"> Samara Pires</t>
  </si>
  <si>
    <t>CAN-2026-45821</t>
  </si>
  <si>
    <t>CANADA-WEST-2026</t>
  </si>
  <si>
    <t>Samara</t>
  </si>
  <si>
    <t>Pires</t>
  </si>
  <si>
    <t>Desk</t>
  </si>
  <si>
    <t xml:space="preserve"> </t>
  </si>
  <si>
    <t>Row Labels</t>
  </si>
  <si>
    <t>Australia</t>
  </si>
  <si>
    <t>Austria</t>
  </si>
  <si>
    <t>Bahrain</t>
  </si>
  <si>
    <t>Belgium</t>
  </si>
  <si>
    <t>Bermuda</t>
  </si>
  <si>
    <t>Brazil</t>
  </si>
  <si>
    <t>Channel Islands</t>
  </si>
  <si>
    <t>Cyprus</t>
  </si>
  <si>
    <t>Czech Republic</t>
  </si>
  <si>
    <t>Denmark</t>
  </si>
  <si>
    <t>European Community</t>
  </si>
  <si>
    <t>Finland</t>
  </si>
  <si>
    <t>Greece</t>
  </si>
  <si>
    <t>Hong Kong</t>
  </si>
  <si>
    <t>Iceland</t>
  </si>
  <si>
    <t>Ireland</t>
  </si>
  <si>
    <t>Israel</t>
  </si>
  <si>
    <t>Italy</t>
  </si>
  <si>
    <t>Japan</t>
  </si>
  <si>
    <t>Korea</t>
  </si>
  <si>
    <t>Lebanon</t>
  </si>
  <si>
    <t>Lithuania</t>
  </si>
  <si>
    <t>Malta</t>
  </si>
  <si>
    <t>Netherlands</t>
  </si>
  <si>
    <t>Nigeria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</si>
  <si>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</si>
  <si>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</si>
  <si>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</si>
  <si>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</si>
  <si>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</si>
  <si>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</si>
  <si>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</si>
  <si>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</si>
  <si>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</si>
  <si>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Thailand</t>
  </si>
  <si>
    <t>United Arab Emirates</t>
  </si>
  <si>
    <t>United Kingdom</t>
  </si>
  <si>
    <t>Unspecified</t>
  </si>
  <si>
    <t>USA</t>
  </si>
  <si>
    <t>West Indies</t>
  </si>
  <si>
    <t>Grand Total</t>
  </si>
  <si>
    <t>Sum of 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</si>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</sst>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.0,,&quot;M&quot;"/>
    <numFmt numFmtId="165" formatCode="0.0,&quot;K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9" fontId="0" fillId="0" borderId="0" xfId="0" applyNumberFormat="1"/>
    <xf numFmtId="10" fontId="0" fillId="0" borderId="0" xfId="0" applyNumberFormat="1"/>
    <xf numFmtId="44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Continuous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Continuous"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5"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ara Pires" refreshedDate="46270.094481018517" createdVersion="5" refreshedVersion="8" minRefreshableVersion="3" recordCount="0" supportSubquery="1" supportAdvancedDrill="1" xr:uid="{448C0723-EA9E-41D8-8495-9B62E37FDA5E}">
  <cacheSource type="external" connectionId="12"/>
  <cacheFields count="3">
    <cacheField name="[dim_Country].[Country].[Country]" caption="Country" numFmtId="0" level="1">
      <sharedItems count="43">
        <s v="Australia"/>
        <s v="Austria"/>
        <s v="Bahrain"/>
        <s v="Belgium"/>
        <s v="Bermuda"/>
        <s v="Brazil"/>
        <s v="Canada"/>
        <s v="Channel Islands"/>
        <s v="Cyprus"/>
        <s v="Czech Republic"/>
        <s v="Denmark"/>
        <s v="European Community"/>
        <s v="Finland"/>
        <s v="France"/>
        <s v="Germany"/>
        <s v="Greece"/>
        <s v="Hong Kong"/>
        <s v="Iceland"/>
        <s v="Ireland"/>
        <s v="Israel"/>
        <s v="Italy"/>
        <s v="Japan"/>
        <s v="Korea"/>
        <s v="Lebanon"/>
        <s v="Lithuania"/>
        <s v="Malta"/>
        <s v="Netherlands"/>
        <s v="Nigeria"/>
        <s v="Norway"/>
        <s v="Poland"/>
        <s v="Portugal"/>
        <s v="RSA"/>
        <s v="Saudi Arabia"/>
        <s v="Singapore"/>
        <s v="Spain"/>
        <s v="Sweden"/>
        <s v="Switzerland"/>
        <s v="Thailand"/>
        <s v="United Arab Emirates"/>
        <s v="United Kingdom"/>
        <s v="Unspecified"/>
        <s v="USA"/>
        <s v="West Indies"/>
      </sharedItems>
    </cacheField>
    <cacheField name="[Measures].[Sum of Revenue]" caption="Sum of Revenue" numFmtId="0" hierarchy="42" level="32767"/>
    <cacheField name="[dim_Date].[Year].[Year]" caption="Year" numFmtId="0" hierarchy="3" level="1">
      <sharedItems containsSemiMixedTypes="0" containsString="0" containsNumber="1" containsInteger="1" minValue="2009" maxValue="2011" count="3">
        <n v="2009"/>
        <n v="2010"/>
        <n v="2011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09]"/>
            <x15:cachedUniqueName index="1" name="[dim_Date].[Year].&amp;[2010]"/>
            <x15:cachedUniqueName index="2" name="[dim_Date].[Year].&amp;[2011]"/>
          </x15:cachedUniqueNames>
        </ext>
      </extLst>
    </cacheField>
  </cacheFields>
  <cacheHierarchies count="43">
    <cacheHierarchy uniqueName="[dim_Country].[Country]" caption="Country" attribute="1" defaultMemberUniqueName="[dim_Country].[Country].[All]" allUniqueName="[dim_Country].[Country].[All]" dimensionUniqueName="[dim_Country]" displayFolder="" count="2" memberValueDatatype="130" unbalanced="0">
      <fieldsUsage count="2">
        <fieldUsage x="-1"/>
        <fieldUsage x="0"/>
      </fieldsUsage>
    </cacheHierarchy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Number]" caption="MonthNumber" attribute="1" time="1" defaultMemberUniqueName="[dim_Date].[MonthNumber].[All]" allUniqueName="[dim_Date].[MonthNumber].[All]" dimensionUniqueName="[dim_Date]" displayFolder="" count="0" memberValueDatatype="20" unbalanced="0"/>
    <cacheHierarchy uniqueName="[dim_Date].[MonthName]" caption="MonthName" attribute="1" time="1" defaultMemberUniqueName="[dim_Date].[MonthName].[All]" allUniqueName="[dim_Date].[MonthName].[All]" dimensionUniqueName="[dim_Date]" displayFolder="" count="0" memberValueDatatype="13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Name]" caption="DayName" attribute="1" time="1" defaultMemberUniqueName="[dim_Date].[DayName].[All]" allUniqueName="[dim_Date].[DayName].[All]" dimensionUniqueName="[dim_Date]" displayFolder="" count="0" memberValueDatatype="130" unbalanced="0"/>
    <cacheHierarchy uniqueName="[dim_Date].[YearMonth]" caption="YearMonth" attribute="1" time="1" defaultMemberUniqueName="[dim_Date].[YearMonth].[All]" allUniqueName="[dim_Date].[YearMonth].[All]" dimensionUniqueName="[dim_Date]" displayFolder="" count="0" memberValueDatatype="130" unbalanced="0"/>
    <cacheHierarchy uniqueName="[dim_Product].[StockCode]" caption="StockCode" attribute="1" defaultMemberUniqueName="[dim_Product].[StockCode].[All]" allUniqueName="[dim_Product].[StockCode].[All]" dimensionUniqueName="[dim_Product]" displayFolder="" count="0" memberValueDatatype="130" unbalanced="0"/>
    <cacheHierarchy uniqueName="[dim_Product].[Description]" caption="Description" attribute="1" defaultMemberUniqueName="[dim_Product].[Description].[All]" allUniqueName="[dim_Product].[Description].[All]" dimensionUniqueName="[dim_Product]" displayFolder="" count="0" memberValueDatatype="130" unbalanced="0"/>
    <cacheHierarchy uniqueName="[dim_Product].[DescriptionCount]" caption="DescriptionCount" attribute="1" defaultMemberUniqueName="[dim_Product].[DescriptionCount].[All]" allUniqueName="[dim_Product].[DescriptionCount].[All]" dimensionUniqueName="[dim_Product]" displayFolder="" count="0" memberValueDatatype="130" unbalanced="0"/>
    <cacheHierarchy uniqueName="[dim_Product].[RecordType]" caption="RecordType" attribute="1" defaultMemberUniqueName="[dim_Product].[RecordType].[All]" allUniqueName="[dim_Product].[RecordType].[All]" dimensionUniqueName="[dim_Product]" displayFolder="" count="0" memberValueDatatype="130" unbalanced="0"/>
    <cacheHierarchy uniqueName="[fact_Transactions].[Invoice]" caption="Invoice" attribute="1" defaultMemberUniqueName="[fact_Transactions].[Invoice].[All]" allUniqueName="[fact_Transactions].[Invoice].[All]" dimensionUniqueName="[fact_Transactions]" displayFolder="" count="0" memberValueDatatype="130" unbalanced="0"/>
    <cacheHierarchy uniqueName="[fact_Transactions].[StockCode]" caption="StockCode" attribute="1" defaultMemberUniqueName="[fact_Transactions].[StockCode].[All]" allUniqueName="[fact_Transactions].[StockCode].[All]" dimensionUniqueName="[fact_Transactions]" displayFolder="" count="0" memberValueDatatype="130" unbalanced="0"/>
    <cacheHierarchy uniqueName="[fact_Transactions].[Description]" caption="Description" attribute="1" defaultMemberUniqueName="[fact_Transactions].[Description].[All]" allUniqueName="[fact_Transactions].[Description].[All]" dimensionUniqueName="[fact_Transactions]" displayFolder="" count="0" memberValueDatatype="130" unbalanced="0"/>
    <cacheHierarchy uniqueName="[fact_Transactions].[Quantity]" caption="Quantity" attribute="1" defaultMemberUniqueName="[fact_Transactions].[Quantity].[All]" allUniqueName="[fact_Transactions].[Quantity].[All]" dimensionUniqueName="[fact_Transactions]" displayFolder="" count="0" memberValueDatatype="20" unbalanced="0"/>
    <cacheHierarchy uniqueName="[fact_Transactions].[InvoiceDate]" caption="InvoiceDate" attribute="1" time="1" defaultMemberUniqueName="[fact_Transactions].[InvoiceDate].[All]" allUniqueName="[fact_Transactions].[InvoiceDate].[All]" dimensionUniqueName="[fact_Transactions]" displayFolder="" count="0" memberValueDatatype="7" unbalanced="0"/>
    <cacheHierarchy uniqueName="[fact_Transactions].[Price]" caption="Price" attribute="1" defaultMemberUniqueName="[fact_Transactions].[Price].[All]" allUniqueName="[fact_Transactions].[Price].[All]" dimensionUniqueName="[fact_Transactions]" displayFolder="" count="0" memberValueDatatype="5" unbalanced="0"/>
    <cacheHierarchy uniqueName="[fact_Transactions].[Customer ID]" caption="Customer ID" attribute="1" defaultMemberUniqueName="[fact_Transactions].[Customer ID].[All]" allUniqueName="[fact_Transactions].[Customer ID].[All]" dimensionUniqueName="[fact_Transactions]" displayFolder="" count="0" memberValueDatatype="130" unbalanced="0"/>
    <cacheHierarchy uniqueName="[fact_Transactions].[Country]" caption="Country" attribute="1" defaultMemberUniqueName="[fact_Transactions].[Country].[All]" allUniqueName="[fact_Transactions].[Country].[All]" dimensionUniqueName="[fact_Transactions]" displayFolder="" count="0" memberValueDatatype="130" unbalanced="0"/>
    <cacheHierarchy uniqueName="[fact_Transactions].[InvoiceType]" caption="InvoiceType" attribute="1" defaultMemberUniqueName="[fact_Transactions].[InvoiceType].[All]" allUniqueName="[fact_Transactions].[InvoiceType].[All]" dimensionUniqueName="[fact_Transactions]" displayFolder="" count="0" memberValueDatatype="130" unbalanced="0"/>
    <cacheHierarchy uniqueName="[fact_Transactions].[QuantityType]" caption="QuantityType" attribute="1" defaultMemberUniqueName="[fact_Transactions].[QuantityType].[All]" allUniqueName="[fact_Transactions].[QuantityType].[All]" dimensionUniqueName="[fact_Transactions]" displayFolder="" count="0" memberValueDatatype="130" unbalanced="0"/>
    <cacheHierarchy uniqueName="[fact_Transactions].[RecordType]" caption="RecordType" attribute="1" defaultMemberUniqueName="[fact_Transactions].[RecordType].[All]" allUniqueName="[fact_Transactions].[RecordType].[All]" dimensionUniqueName="[fact_Transactions]" displayFolder="" count="0" memberValueDatatype="130" unbalanced="0"/>
    <cacheHierarchy uniqueName="[fact_Transactions].[AnalysisStatus]" caption="AnalysisStatus" attribute="1" defaultMemberUniqueName="[fact_Transactions].[AnalysisStatus].[All]" allUniqueName="[fact_Transactions].[AnalysisStatus].[All]" dimensionUniqueName="[fact_Transactions]" displayFolder="" count="0" memberValueDatatype="130" unbalanced="0"/>
    <cacheHierarchy uniqueName="[fact_Transactions].[Revenue]" caption="Revenue" attribute="1" defaultMemberUniqueName="[fact_Transactions].[Revenue].[All]" allUniqueName="[fact_Transactions].[Revenue].[All]" dimensionUniqueName="[fact_Transactions]" displayFolder="" count="0" memberValueDatatype="5" unbalanced="0"/>
    <cacheHierarchy uniqueName="[fact_Transactions].[Year]" caption="Year" attribute="1" defaultMemberUniqueName="[fact_Transactions].[Year].[All]" allUniqueName="[fact_Transactions].[Year].[All]" dimensionUniqueName="[fact_Transactions]" displayFolder="" count="0" memberValueDatatype="20" unbalanced="0"/>
    <cacheHierarchy uniqueName="[fact_Transactions].[Quarter]" caption="Quarter" attribute="1" defaultMemberUniqueName="[fact_Transactions].[Quarter].[All]" allUniqueName="[fact_Transactions].[Quarter].[All]" dimensionUniqueName="[fact_Transactions]" displayFolder="" count="0" memberValueDatatype="20" unbalanced="0"/>
    <cacheHierarchy uniqueName="[fact_Transactions].[Month]" caption="Month" attribute="1" defaultMemberUniqueName="[fact_Transactions].[Month].[All]" allUniqueName="[fact_Transactions].[Month].[All]" dimensionUniqueName="[fact_Transactions]" displayFolder="" count="0" memberValueDatatype="20" unbalanced="0"/>
    <cacheHierarchy uniqueName="[fact_Transactions].[Month Name]" caption="Month Name" attribute="1" defaultMemberUniqueName="[fact_Transactions].[Month Name].[All]" allUniqueName="[fact_Transactions].[Month Name].[All]" dimensionUniqueName="[fact_Transactions]" displayFolder="" count="0" memberValueDatatype="130" unbalanced="0"/>
    <cacheHierarchy uniqueName="[fact_Transactions].[Day Name]" caption="Day Name" attribute="1" defaultMemberUniqueName="[fact_Transactions].[Day Name].[All]" allUniqueName="[fact_Transactions].[Day Name].[All]" dimensionUniqueName="[fact_Transactions]" displayFolder="" count="0" memberValueDatatype="130" unbalanced="0"/>
    <cacheHierarchy uniqueName="[fact_Transactions].[Hour]" caption="Hour" attribute="1" defaultMemberUniqueName="[fact_Transactions].[Hour].[All]" allUniqueName="[fact_Transactions].[Hour].[All]" dimensionUniqueName="[fact_Transactions]" displayFolder="" count="0" memberValueDatatype="20" unbalanced="0"/>
    <cacheHierarchy uniqueName="[fact_Transactions].[YearMonth]" caption="YearMonth" attribute="1" defaultMemberUniqueName="[fact_Transactions].[YearMonth].[All]" allUniqueName="[fact_Transactions].[YearMonth].[All]" dimensionUniqueName="[fact_Transactions]" displayFolder="" count="0" memberValueDatatype="130" unbalanced="0"/>
    <cacheHierarchy uniqueName="[fact_Transactions].[TransactionDate]" caption="TransactionDate" attribute="1" time="1" defaultMemberUniqueName="[fact_Transactions].[TransactionDate].[All]" allUniqueName="[fact_Transactions].[TransactionDate].[All]" dimensionUniqueName="[fact_Transactions]" displayFolder="" count="0" memberValueDatatype="7" unbalanced="0"/>
    <cacheHierarchy uniqueName="[fact_Transactions].[RevenueType]" caption="RevenueType" attribute="1" defaultMemberUniqueName="[fact_Transactions].[RevenueType].[All]" allUniqueName="[fact_Transactions].[RevenueType].[All]" dimensionUniqueName="[fact_Transactions]" displayFolder="" count="0" memberValueDatatype="130" unbalanced="0"/>
    <cacheHierarchy uniqueName="[Measures].[__XL_Count fact_Transactions]" caption="__XL_Count fact_Transactions" measure="1" displayFolder="" measureGroup="fact_Transactions" count="0" hidden="1"/>
    <cacheHierarchy uniqueName="[Measures].[__XL_Count dim_Date]" caption="__XL_Count dim_Date" measure="1" displayFolder="" measureGroup="dim_Date" count="0" hidden="1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Country]" caption="__XL_Count dim_Country" measure="1" displayFolder="" measureGroup="dim_Country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fact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name="dim_Country" uniqueName="[dim_Country]" caption="dim_Country"/>
    <dimension name="dim_Customer" uniqueName="[dim_Customer]" caption="dim_Customer"/>
    <dimension name="dim_Date" uniqueName="[dim_Date]" caption="dim_Date"/>
    <dimension name="dim_Product" uniqueName="[dim_Product]" caption="dim_Product"/>
    <dimension name="fact_Transactions" uniqueName="[fact_Transactions]" caption="fact_Transactions"/>
    <dimension measure="1" name="Measures" uniqueName="[Measures]" caption="Measures"/>
  </dimensions>
  <measureGroups count="5">
    <measureGroup name="dim_Country" caption="dim_Country"/>
    <measureGroup name="dim_Customer" caption="dim_Customer"/>
    <measureGroup name="dim_Date" caption="dim_Date"/>
    <measureGroup name="dim_Product" caption="dim_Product"/>
    <measureGroup name="fact_Transactions" caption="fact_Transaction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8064C-23A6-4407-BAF9-AA3DDF7ABB52}" name="PivotTable1" cacheId="17" applyNumberFormats="0" applyBorderFormats="0" applyFontFormats="0" applyPatternFormats="0" applyAlignmentFormats="0" applyWidthHeightFormats="1" dataCaption="Values" tag="97da1fd5-2e8b-47ce-9864-4bacda2cf0b5" updatedVersion="8" minRefreshableVersion="3" useAutoFormatting="1" itemPrintTitles="1" createdVersion="5" indent="0" outline="1" outlineData="1" multipleFieldFilters="0">
  <location ref="B3:F48" firstHeaderRow="1" firstDataRow="2" firstDataCol="1"/>
  <pivotFields count="3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1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ountry]"/>
        <x15:activeTabTopLevelEntity name="[fact_Transaction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A7F9A-CA77-4078-B1EF-5A165DFAB677}" name="Table1" displayName="Table1" ref="Z4:AD7" totalsRowShown="0" headerRowDxfId="4">
  <autoFilter ref="Z4:AD7" xr:uid="{F59A7F9A-CA77-4078-B1EF-5A165DFAB677}"/>
  <tableColumns count="5">
    <tableColumn id="1" xr3:uid="{1C6F2C38-6A3A-444F-81A5-F9564500F101}" name="Product"/>
    <tableColumn id="2" xr3:uid="{62BB994E-8FB3-478C-AE7D-100526B88A27}" name="Price"/>
    <tableColumn id="3" xr3:uid="{7AB321F0-A0B1-480A-B65D-83E1CB15327B}" name="Quantity"/>
    <tableColumn id="4" xr3:uid="{742E0FD4-00B4-465D-9794-3A34FDC1D097}" name="Revenue" dataDxfId="3">
      <calculatedColumnFormula>Table1[[#This Row],[Price]]*Table1[[#This Row],[Quantity]]</calculatedColumnFormula>
    </tableColumn>
    <tableColumn id="5" xr3:uid="{21726BC3-7D16-4442-9BB5-6F3A6AF32302}" name="Final Revenue" dataDxfId="2">
      <calculatedColumnFormula>Table1[[#This Row],[Revenue]]*(1-Discounted_Rate)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selection activeCell="K6" sqref="K6"/>
    </sheetView>
  </sheetViews>
  <sheetFormatPr defaultRowHeight="14.5" x14ac:dyDescent="0.35"/>
  <cols>
    <col min="1" max="1" width="28.6328125" customWidth="1"/>
    <col min="2" max="4" width="18.6328125" customWidth="1"/>
  </cols>
  <sheetData>
    <row r="1" spans="1:4" ht="30" customHeight="1" x14ac:dyDescent="0.35">
      <c r="A1" s="8" t="s">
        <v>0</v>
      </c>
    </row>
    <row r="2" spans="1:4" ht="22" customHeight="1" x14ac:dyDescent="0.35">
      <c r="A2" s="12" t="s">
        <v>1</v>
      </c>
      <c r="B2" s="13"/>
      <c r="C2" s="13"/>
      <c r="D2" s="13"/>
    </row>
    <row r="3" spans="1:4" x14ac:dyDescent="0.35">
      <c r="A3" s="9"/>
    </row>
    <row r="4" spans="1:4" x14ac:dyDescent="0.35">
      <c r="A4" s="10" t="s">
        <v>2</v>
      </c>
      <c r="B4" s="7"/>
      <c r="C4" s="7"/>
      <c r="D4" s="7"/>
    </row>
    <row r="5" spans="1:4" ht="87" x14ac:dyDescent="0.35">
      <c r="A5" s="11" t="s">
        <v>3</v>
      </c>
    </row>
    <row r="6" spans="1:4" x14ac:dyDescent="0.35">
      <c r="A6" s="9"/>
    </row>
    <row r="7" spans="1:4" x14ac:dyDescent="0.35">
      <c r="A7" s="10" t="s">
        <v>4</v>
      </c>
      <c r="B7" s="7"/>
      <c r="C7" s="7"/>
      <c r="D7" s="7"/>
    </row>
    <row r="8" spans="1:4" x14ac:dyDescent="0.35">
      <c r="A8" s="9" t="s">
        <v>5</v>
      </c>
    </row>
    <row r="9" spans="1:4" x14ac:dyDescent="0.35">
      <c r="A9" s="9"/>
    </row>
    <row r="10" spans="1:4" x14ac:dyDescent="0.35">
      <c r="A10" s="10" t="s">
        <v>6</v>
      </c>
      <c r="B10" s="7"/>
      <c r="C10" s="7"/>
      <c r="D10" s="7"/>
    </row>
    <row r="11" spans="1:4" x14ac:dyDescent="0.35">
      <c r="A11" s="14" t="s">
        <v>7</v>
      </c>
    </row>
    <row r="12" spans="1:4" x14ac:dyDescent="0.35">
      <c r="A12" s="14" t="s">
        <v>8</v>
      </c>
    </row>
    <row r="13" spans="1:4" x14ac:dyDescent="0.35">
      <c r="A13" s="14" t="s">
        <v>9</v>
      </c>
    </row>
    <row r="14" spans="1:4" x14ac:dyDescent="0.35">
      <c r="A14" s="14" t="s">
        <v>10</v>
      </c>
    </row>
    <row r="15" spans="1:4" x14ac:dyDescent="0.35">
      <c r="A15" s="14" t="s">
        <v>11</v>
      </c>
    </row>
    <row r="16" spans="1:4" x14ac:dyDescent="0.35">
      <c r="A16" s="1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7079-A29D-4C0A-B1A8-E36C46F01438}">
  <dimension ref="A1:AF18"/>
  <sheetViews>
    <sheetView topLeftCell="V1" workbookViewId="0">
      <selection activeCell="AB15" sqref="AB15"/>
    </sheetView>
  </sheetViews>
  <sheetFormatPr defaultRowHeight="14.5" x14ac:dyDescent="0.35"/>
  <cols>
    <col min="1" max="1" width="10.7265625" bestFit="1" customWidth="1"/>
    <col min="2" max="2" width="10.08984375" bestFit="1" customWidth="1"/>
    <col min="5" max="5" width="15.453125" customWidth="1"/>
    <col min="6" max="6" width="14.81640625" customWidth="1"/>
    <col min="7" max="7" width="12.90625" customWidth="1"/>
    <col min="17" max="17" width="13.6328125" customWidth="1"/>
    <col min="20" max="20" width="15.36328125" customWidth="1"/>
    <col min="26" max="26" width="15" customWidth="1"/>
    <col min="27" max="27" width="9.7265625" customWidth="1"/>
    <col min="28" max="28" width="13" customWidth="1"/>
    <col min="29" max="29" width="14.6328125" customWidth="1"/>
    <col min="30" max="30" width="19.26953125" customWidth="1"/>
    <col min="32" max="32" width="16.36328125" customWidth="1"/>
  </cols>
  <sheetData>
    <row r="1" spans="1:32" x14ac:dyDescent="0.35">
      <c r="A1" t="s">
        <v>13</v>
      </c>
      <c r="B1" t="s">
        <v>14</v>
      </c>
      <c r="C1" t="s">
        <v>15</v>
      </c>
      <c r="D1" t="s">
        <v>16</v>
      </c>
      <c r="E1" t="s">
        <v>21</v>
      </c>
      <c r="F1" t="s">
        <v>20</v>
      </c>
    </row>
    <row r="2" spans="1:32" x14ac:dyDescent="0.35">
      <c r="A2" t="s">
        <v>17</v>
      </c>
      <c r="B2">
        <v>50</v>
      </c>
      <c r="C2">
        <v>3</v>
      </c>
      <c r="D2">
        <f>B2*C2</f>
        <v>150</v>
      </c>
      <c r="E2">
        <f>D2*Fee_Rate</f>
        <v>7.5</v>
      </c>
      <c r="F2" s="1">
        <v>0.05</v>
      </c>
      <c r="H2">
        <v>1</v>
      </c>
      <c r="I2">
        <v>2</v>
      </c>
      <c r="J2">
        <v>3</v>
      </c>
      <c r="K2">
        <v>4</v>
      </c>
      <c r="L2">
        <v>5</v>
      </c>
    </row>
    <row r="3" spans="1:32" x14ac:dyDescent="0.35">
      <c r="A3" t="s">
        <v>18</v>
      </c>
      <c r="B3">
        <v>80</v>
      </c>
      <c r="C3">
        <v>2</v>
      </c>
      <c r="D3">
        <f t="shared" ref="D3:D4" si="0">B3*C3</f>
        <v>160</v>
      </c>
      <c r="E3">
        <f>D3*Fee_Rate</f>
        <v>8</v>
      </c>
      <c r="G3">
        <v>1</v>
      </c>
      <c r="H3">
        <f>$G3*H$2</f>
        <v>1</v>
      </c>
      <c r="I3">
        <f t="shared" ref="I3:L7" si="1">$G3*I$2</f>
        <v>2</v>
      </c>
      <c r="J3">
        <f t="shared" si="1"/>
        <v>3</v>
      </c>
      <c r="K3">
        <f t="shared" si="1"/>
        <v>4</v>
      </c>
      <c r="L3">
        <f t="shared" si="1"/>
        <v>5</v>
      </c>
    </row>
    <row r="4" spans="1:32" x14ac:dyDescent="0.35">
      <c r="A4" t="s">
        <v>19</v>
      </c>
      <c r="B4">
        <v>25</v>
      </c>
      <c r="C4">
        <v>5</v>
      </c>
      <c r="D4">
        <f t="shared" si="0"/>
        <v>125</v>
      </c>
      <c r="E4">
        <f>D4*Fee_Rate</f>
        <v>6.25</v>
      </c>
      <c r="G4">
        <v>2</v>
      </c>
      <c r="H4">
        <f t="shared" ref="H4:H7" si="2">$G4*H$2</f>
        <v>2</v>
      </c>
      <c r="I4">
        <f t="shared" si="1"/>
        <v>4</v>
      </c>
      <c r="J4">
        <f t="shared" si="1"/>
        <v>6</v>
      </c>
      <c r="K4">
        <f t="shared" si="1"/>
        <v>8</v>
      </c>
      <c r="L4">
        <f t="shared" si="1"/>
        <v>10</v>
      </c>
      <c r="R4" t="s">
        <v>32</v>
      </c>
      <c r="S4" t="s">
        <v>33</v>
      </c>
      <c r="T4" t="s">
        <v>34</v>
      </c>
      <c r="U4" t="s">
        <v>35</v>
      </c>
      <c r="W4" t="s">
        <v>32</v>
      </c>
      <c r="Z4" s="18" t="s">
        <v>39</v>
      </c>
      <c r="AA4" s="18" t="s">
        <v>14</v>
      </c>
      <c r="AB4" s="18" t="s">
        <v>40</v>
      </c>
      <c r="AC4" s="18" t="s">
        <v>44</v>
      </c>
      <c r="AD4" s="18" t="s">
        <v>45</v>
      </c>
      <c r="AF4" s="18" t="s">
        <v>46</v>
      </c>
    </row>
    <row r="5" spans="1:32" x14ac:dyDescent="0.35">
      <c r="G5">
        <v>3</v>
      </c>
      <c r="H5">
        <f t="shared" si="2"/>
        <v>3</v>
      </c>
      <c r="I5">
        <f t="shared" si="1"/>
        <v>6</v>
      </c>
      <c r="J5">
        <f t="shared" si="1"/>
        <v>9</v>
      </c>
      <c r="K5">
        <f t="shared" si="1"/>
        <v>12</v>
      </c>
      <c r="L5">
        <f t="shared" si="1"/>
        <v>15</v>
      </c>
      <c r="W5" t="s">
        <v>33</v>
      </c>
      <c r="Z5" t="s">
        <v>41</v>
      </c>
      <c r="AA5">
        <v>80</v>
      </c>
      <c r="AB5">
        <v>4</v>
      </c>
      <c r="AC5">
        <f>Table1[[#This Row],[Price]]*Table1[[#This Row],[Quantity]]</f>
        <v>320</v>
      </c>
      <c r="AD5">
        <f>Table1[[#This Row],[Revenue]]*(1-Discounted_Rate)</f>
        <v>288</v>
      </c>
      <c r="AF5" s="1">
        <v>0.1</v>
      </c>
    </row>
    <row r="6" spans="1:32" x14ac:dyDescent="0.35">
      <c r="G6">
        <v>4</v>
      </c>
      <c r="H6">
        <f t="shared" si="2"/>
        <v>4</v>
      </c>
      <c r="I6">
        <f t="shared" si="1"/>
        <v>8</v>
      </c>
      <c r="J6">
        <f t="shared" si="1"/>
        <v>12</v>
      </c>
      <c r="K6">
        <f t="shared" si="1"/>
        <v>16</v>
      </c>
      <c r="L6">
        <f t="shared" si="1"/>
        <v>20</v>
      </c>
      <c r="W6" t="s">
        <v>34</v>
      </c>
      <c r="Z6" t="s">
        <v>42</v>
      </c>
      <c r="AA6">
        <v>120</v>
      </c>
      <c r="AB6">
        <v>2</v>
      </c>
      <c r="AC6">
        <f>Table1[[#This Row],[Price]]*Table1[[#This Row],[Quantity]]</f>
        <v>240</v>
      </c>
      <c r="AD6">
        <f>Table1[[#This Row],[Revenue]]*(1-Discounted_Rate)</f>
        <v>216</v>
      </c>
    </row>
    <row r="7" spans="1:32" x14ac:dyDescent="0.35">
      <c r="E7">
        <v>100</v>
      </c>
      <c r="G7">
        <v>5</v>
      </c>
      <c r="H7">
        <f t="shared" si="2"/>
        <v>5</v>
      </c>
      <c r="I7">
        <f t="shared" si="1"/>
        <v>10</v>
      </c>
      <c r="J7">
        <f t="shared" si="1"/>
        <v>15</v>
      </c>
      <c r="K7">
        <f t="shared" si="1"/>
        <v>20</v>
      </c>
      <c r="L7">
        <f t="shared" si="1"/>
        <v>25</v>
      </c>
      <c r="O7" t="s">
        <v>26</v>
      </c>
      <c r="Q7" s="16" t="s">
        <v>31</v>
      </c>
      <c r="W7" t="s">
        <v>35</v>
      </c>
      <c r="Z7" t="s">
        <v>43</v>
      </c>
      <c r="AA7">
        <v>40</v>
      </c>
      <c r="AB7">
        <v>6</v>
      </c>
      <c r="AC7">
        <f>Table1[[#This Row],[Price]]*Table1[[#This Row],[Quantity]]</f>
        <v>240</v>
      </c>
      <c r="AD7">
        <f>Table1[[#This Row],[Revenue]]*(1-Discounted_Rate)</f>
        <v>216</v>
      </c>
    </row>
    <row r="8" spans="1:32" x14ac:dyDescent="0.35">
      <c r="O8" t="s">
        <v>27</v>
      </c>
      <c r="T8" t="s">
        <v>38</v>
      </c>
    </row>
    <row r="9" spans="1:32" x14ac:dyDescent="0.35">
      <c r="O9" t="s">
        <v>28</v>
      </c>
      <c r="T9" t="s">
        <v>38</v>
      </c>
    </row>
    <row r="10" spans="1:32" x14ac:dyDescent="0.35">
      <c r="A10" s="2">
        <v>0.25</v>
      </c>
      <c r="B10">
        <f>A10*100</f>
        <v>25</v>
      </c>
      <c r="E10">
        <v>7.5</v>
      </c>
      <c r="G10" t="s">
        <v>22</v>
      </c>
      <c r="H10" s="1">
        <v>0.1</v>
      </c>
      <c r="I10" s="1">
        <v>0.2</v>
      </c>
      <c r="J10" s="1">
        <v>0.3</v>
      </c>
      <c r="O10" t="s">
        <v>29</v>
      </c>
      <c r="T10" t="s">
        <v>36</v>
      </c>
    </row>
    <row r="11" spans="1:32" x14ac:dyDescent="0.35">
      <c r="A11" s="3">
        <v>1250.5</v>
      </c>
      <c r="G11">
        <v>100</v>
      </c>
      <c r="H11">
        <f>$G11*(1-H$10)</f>
        <v>90</v>
      </c>
      <c r="I11">
        <f>$G11*(1-I$10)</f>
        <v>80</v>
      </c>
      <c r="J11">
        <f>$G11*(1-J$10)</f>
        <v>70</v>
      </c>
      <c r="O11" t="s">
        <v>30</v>
      </c>
      <c r="T11" t="s">
        <v>38</v>
      </c>
    </row>
    <row r="12" spans="1:32" x14ac:dyDescent="0.35">
      <c r="A12" s="4">
        <v>45800</v>
      </c>
      <c r="B12" s="4">
        <f>A12+7</f>
        <v>45807</v>
      </c>
      <c r="C12">
        <f>B12-A12</f>
        <v>7</v>
      </c>
      <c r="G12">
        <v>200</v>
      </c>
      <c r="H12">
        <f>G12*(1-H$10)</f>
        <v>180</v>
      </c>
      <c r="I12">
        <f>$G12*(1-I$10)</f>
        <v>160</v>
      </c>
      <c r="J12">
        <f>$G12*(1-J$10)</f>
        <v>140</v>
      </c>
      <c r="T12" t="s">
        <v>37</v>
      </c>
    </row>
    <row r="13" spans="1:32" x14ac:dyDescent="0.35">
      <c r="G13">
        <v>300</v>
      </c>
      <c r="H13">
        <f>G13*(1-H$10)</f>
        <v>270</v>
      </c>
      <c r="I13">
        <f>$G13*(1-I$10)</f>
        <v>240</v>
      </c>
      <c r="J13">
        <f>$G13*(1-J$10)</f>
        <v>210</v>
      </c>
    </row>
    <row r="14" spans="1:32" x14ac:dyDescent="0.35">
      <c r="A14" s="5">
        <v>1250000</v>
      </c>
    </row>
    <row r="15" spans="1:32" x14ac:dyDescent="0.35">
      <c r="A15" s="6">
        <v>425600</v>
      </c>
    </row>
    <row r="17" spans="6:7" x14ac:dyDescent="0.35">
      <c r="F17" s="16" t="s">
        <v>23</v>
      </c>
      <c r="G17" s="16" t="s">
        <v>24</v>
      </c>
    </row>
    <row r="18" spans="6:7" x14ac:dyDescent="0.35">
      <c r="F18" s="15">
        <v>10001</v>
      </c>
      <c r="G18" t="s">
        <v>25</v>
      </c>
    </row>
  </sheetData>
  <conditionalFormatting sqref="Z4:AD7">
    <cfRule type="expression" dxfId="1" priority="1">
      <formula>$AB5&gt;=4</formula>
    </cfRule>
    <cfRule type="expression" dxfId="0" priority="2">
      <formula>$AB6&gt;=4</formula>
    </cfRule>
    <cfRule type="expression" priority="3">
      <formula>$AB6&gt;=4</formula>
    </cfRule>
    <cfRule type="expression" priority="4">
      <formula>$AB$4:$AB$7&gt;4</formula>
    </cfRule>
    <cfRule type="expression" priority="5">
      <formula>"Quantity&gt;4"</formula>
    </cfRule>
  </conditionalFormatting>
  <dataValidations count="2">
    <dataValidation type="list" allowBlank="1" showInputMessage="1" showErrorMessage="1" promptTitle="Order Status" prompt="Select a status from the dropdown list." sqref="G18" xr:uid="{0799981A-581B-4D3F-B7C6-07D2800B20B7}">
      <formula1>"Pending,Processing,Shipped,Cancelled"</formula1>
    </dataValidation>
    <dataValidation type="list" allowBlank="1" showInputMessage="1" showErrorMessage="1" sqref="Q8" xr:uid="{50F2235D-32F2-4677-8E33-5A1F7CAAE3C3}">
      <formula1>$O$8:$O$11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6CF6-EE2B-4D35-B0BA-C5348191347A}">
  <dimension ref="B3:F48"/>
  <sheetViews>
    <sheetView tabSelected="1" workbookViewId="0">
      <selection activeCell="B3" sqref="B3"/>
    </sheetView>
  </sheetViews>
  <sheetFormatPr defaultRowHeight="14.5" x14ac:dyDescent="0.35"/>
  <cols>
    <col min="2" max="2" width="19.1796875" bestFit="1" customWidth="1"/>
    <col min="3" max="3" width="15.26953125" bestFit="1" customWidth="1"/>
    <col min="4" max="6" width="11.81640625" bestFit="1" customWidth="1"/>
  </cols>
  <sheetData>
    <row r="3" spans="2:6" x14ac:dyDescent="0.35">
      <c r="B3" s="23" t="s">
        <v>123</v>
      </c>
      <c r="C3" s="23" t="s">
        <v>124</v>
      </c>
    </row>
    <row r="4" spans="2:6" x14ac:dyDescent="0.35">
      <c r="B4" s="23" t="s">
        <v>81</v>
      </c>
      <c r="C4">
        <v>2009</v>
      </c>
      <c r="D4">
        <v>2010</v>
      </c>
      <c r="E4">
        <v>2011</v>
      </c>
      <c r="F4" t="s">
        <v>122</v>
      </c>
    </row>
    <row r="5" spans="2:6" x14ac:dyDescent="0.35">
      <c r="B5" s="15" t="s">
        <v>82</v>
      </c>
      <c r="C5" s="24">
        <v>50.249999999999993</v>
      </c>
      <c r="D5" s="24">
        <v>31006.65000000002</v>
      </c>
      <c r="E5" s="24">
        <v>136072.1700000008</v>
      </c>
      <c r="F5" s="24">
        <v>167129.06999999992</v>
      </c>
    </row>
    <row r="6" spans="2:6" x14ac:dyDescent="0.35">
      <c r="B6" s="15" t="s">
        <v>83</v>
      </c>
      <c r="C6" s="24">
        <v>1998.34</v>
      </c>
      <c r="D6" s="24">
        <v>11281.980000000027</v>
      </c>
      <c r="E6" s="24">
        <v>9897.2800000000298</v>
      </c>
      <c r="F6" s="24">
        <v>23177.600000000013</v>
      </c>
    </row>
    <row r="7" spans="2:6" x14ac:dyDescent="0.35">
      <c r="B7" s="15" t="s">
        <v>84</v>
      </c>
      <c r="C7" s="24"/>
      <c r="D7" s="24">
        <v>2518.8900000000008</v>
      </c>
      <c r="E7" s="24">
        <v>342.65999999999997</v>
      </c>
      <c r="F7" s="24">
        <v>2861.5500000000015</v>
      </c>
    </row>
    <row r="8" spans="2:6" x14ac:dyDescent="0.35">
      <c r="B8" s="15" t="s">
        <v>85</v>
      </c>
      <c r="C8" s="24">
        <v>447.6</v>
      </c>
      <c r="D8" s="24">
        <v>24025.840000000073</v>
      </c>
      <c r="E8" s="24">
        <v>39101.049999999886</v>
      </c>
      <c r="F8" s="24">
        <v>63574.490000000005</v>
      </c>
    </row>
    <row r="9" spans="2:6" x14ac:dyDescent="0.35">
      <c r="B9" s="15" t="s">
        <v>86</v>
      </c>
      <c r="C9" s="24"/>
      <c r="D9" s="24">
        <v>1253.1400000000001</v>
      </c>
      <c r="E9" s="24"/>
      <c r="F9" s="24">
        <v>1253.1400000000001</v>
      </c>
    </row>
    <row r="10" spans="2:6" x14ac:dyDescent="0.35">
      <c r="B10" s="15" t="s">
        <v>87</v>
      </c>
      <c r="C10" s="24"/>
      <c r="D10" s="24">
        <v>268.27</v>
      </c>
      <c r="E10" s="24">
        <v>1143.5999999999999</v>
      </c>
      <c r="F10" s="24">
        <v>1411.8700000000001</v>
      </c>
    </row>
    <row r="11" spans="2:6" x14ac:dyDescent="0.35">
      <c r="B11" s="15" t="s">
        <v>56</v>
      </c>
      <c r="C11" s="24"/>
      <c r="D11" s="24">
        <v>1216.6600000000008</v>
      </c>
      <c r="E11" s="24">
        <v>3666.3799999999978</v>
      </c>
      <c r="F11" s="24">
        <v>4883.0399999999972</v>
      </c>
    </row>
    <row r="12" spans="2:6" x14ac:dyDescent="0.35">
      <c r="B12" s="15" t="s">
        <v>88</v>
      </c>
      <c r="C12" s="24">
        <v>945.38000000000022</v>
      </c>
      <c r="D12" s="24">
        <v>20785.470000000008</v>
      </c>
      <c r="E12" s="24">
        <v>19722.759999999987</v>
      </c>
      <c r="F12" s="24">
        <v>41453.609999999979</v>
      </c>
    </row>
    <row r="13" spans="2:6" x14ac:dyDescent="0.35">
      <c r="B13" s="15" t="s">
        <v>89</v>
      </c>
      <c r="C13" s="24">
        <v>3425.0799999999995</v>
      </c>
      <c r="D13" s="24">
        <v>9382.1900000000187</v>
      </c>
      <c r="E13" s="24">
        <v>11355.470000000008</v>
      </c>
      <c r="F13" s="24">
        <v>24162.739999999994</v>
      </c>
    </row>
    <row r="14" spans="2:6" x14ac:dyDescent="0.35">
      <c r="B14" s="15" t="s">
        <v>90</v>
      </c>
      <c r="C14" s="24"/>
      <c r="D14" s="24"/>
      <c r="E14" s="24">
        <v>707.72</v>
      </c>
      <c r="F14" s="24">
        <v>707.72</v>
      </c>
    </row>
    <row r="15" spans="2:6" x14ac:dyDescent="0.35">
      <c r="B15" s="15" t="s">
        <v>91</v>
      </c>
      <c r="C15" s="24">
        <v>1384.46</v>
      </c>
      <c r="D15" s="24">
        <v>46869.989999999969</v>
      </c>
      <c r="E15" s="24">
        <v>17486.640000000025</v>
      </c>
      <c r="F15" s="24">
        <v>65741.089999999967</v>
      </c>
    </row>
    <row r="16" spans="2:6" x14ac:dyDescent="0.35">
      <c r="B16" s="15" t="s">
        <v>92</v>
      </c>
      <c r="C16" s="24"/>
      <c r="D16" s="24"/>
      <c r="E16" s="24">
        <v>1291.7500000000005</v>
      </c>
      <c r="F16" s="24">
        <v>1291.7499999999998</v>
      </c>
    </row>
    <row r="17" spans="2:6" x14ac:dyDescent="0.35">
      <c r="B17" s="15" t="s">
        <v>93</v>
      </c>
      <c r="C17" s="24">
        <v>549.08000000000004</v>
      </c>
      <c r="D17" s="24">
        <v>7531.4299999999985</v>
      </c>
      <c r="E17" s="24">
        <v>21433.940000000031</v>
      </c>
      <c r="F17" s="24">
        <v>29514.450000000004</v>
      </c>
    </row>
    <row r="18" spans="2:6" x14ac:dyDescent="0.35">
      <c r="B18" s="15" t="s">
        <v>36</v>
      </c>
      <c r="C18" s="24">
        <v>5555.0399999999954</v>
      </c>
      <c r="D18" s="24">
        <v>134790.21999999936</v>
      </c>
      <c r="E18" s="24">
        <v>187846.54000000193</v>
      </c>
      <c r="F18" s="24">
        <v>328191.79999999993</v>
      </c>
    </row>
    <row r="19" spans="2:6" x14ac:dyDescent="0.35">
      <c r="B19" s="15" t="s">
        <v>37</v>
      </c>
      <c r="C19" s="24">
        <v>9782.6200000000154</v>
      </c>
      <c r="D19" s="24">
        <v>201070.57100000107</v>
      </c>
      <c r="E19" s="24">
        <v>207135.37000000113</v>
      </c>
      <c r="F19" s="24">
        <v>417988.56100000098</v>
      </c>
    </row>
    <row r="20" spans="2:6" x14ac:dyDescent="0.35">
      <c r="B20" s="15" t="s">
        <v>94</v>
      </c>
      <c r="C20" s="24">
        <v>610.95000000000005</v>
      </c>
      <c r="D20" s="24">
        <v>13674.020000000006</v>
      </c>
      <c r="E20" s="24">
        <v>4710.5199999999977</v>
      </c>
      <c r="F20" s="24">
        <v>18995.490000000005</v>
      </c>
    </row>
    <row r="21" spans="2:6" x14ac:dyDescent="0.35">
      <c r="B21" s="15" t="s">
        <v>95</v>
      </c>
      <c r="C21" s="24"/>
      <c r="D21" s="24">
        <v>3922.2599999999989</v>
      </c>
      <c r="E21" s="24">
        <v>10117.040000000032</v>
      </c>
      <c r="F21" s="24">
        <v>14039.300000000001</v>
      </c>
    </row>
    <row r="22" spans="2:6" x14ac:dyDescent="0.35">
      <c r="B22" s="15" t="s">
        <v>96</v>
      </c>
      <c r="C22" s="24"/>
      <c r="D22" s="24">
        <v>2035.1100000000001</v>
      </c>
      <c r="E22" s="24">
        <v>3598.2099999999969</v>
      </c>
      <c r="F22" s="24">
        <v>5633.3200000000006</v>
      </c>
    </row>
    <row r="23" spans="2:6" x14ac:dyDescent="0.35">
      <c r="B23" s="15" t="s">
        <v>97</v>
      </c>
      <c r="C23" s="24">
        <v>19127.939999999981</v>
      </c>
      <c r="D23" s="24">
        <v>342144.7400000018</v>
      </c>
      <c r="E23" s="24">
        <v>254246.8699999993</v>
      </c>
      <c r="F23" s="24">
        <v>615519.5499999997</v>
      </c>
    </row>
    <row r="24" spans="2:6" x14ac:dyDescent="0.35">
      <c r="B24" s="15" t="s">
        <v>98</v>
      </c>
      <c r="C24" s="24"/>
      <c r="D24" s="24">
        <v>2971.9599999999996</v>
      </c>
      <c r="E24" s="24">
        <v>8135.2599999999966</v>
      </c>
      <c r="F24" s="24">
        <v>11107.21999999999</v>
      </c>
    </row>
    <row r="25" spans="2:6" x14ac:dyDescent="0.35">
      <c r="B25" s="15" t="s">
        <v>99</v>
      </c>
      <c r="C25" s="24">
        <v>398.2</v>
      </c>
      <c r="D25" s="24">
        <v>14185.140000000027</v>
      </c>
      <c r="E25" s="24">
        <v>16096.010000000015</v>
      </c>
      <c r="F25" s="24">
        <v>30679.350000000071</v>
      </c>
    </row>
    <row r="26" spans="2:6" x14ac:dyDescent="0.35">
      <c r="B26" s="15" t="s">
        <v>100</v>
      </c>
      <c r="C26" s="24">
        <v>-208.75</v>
      </c>
      <c r="D26" s="24">
        <v>16349.779999999992</v>
      </c>
      <c r="E26" s="24">
        <v>27635.549999999985</v>
      </c>
      <c r="F26" s="24">
        <v>43776.579999999944</v>
      </c>
    </row>
    <row r="27" spans="2:6" x14ac:dyDescent="0.35">
      <c r="B27" s="15" t="s">
        <v>101</v>
      </c>
      <c r="C27" s="24"/>
      <c r="D27" s="24">
        <v>949.82000000000062</v>
      </c>
      <c r="E27" s="24"/>
      <c r="F27" s="24">
        <v>949.82000000000028</v>
      </c>
    </row>
    <row r="28" spans="2:6" x14ac:dyDescent="0.35">
      <c r="B28" s="15" t="s">
        <v>102</v>
      </c>
      <c r="C28" s="24"/>
      <c r="D28" s="24">
        <v>172.02999999999997</v>
      </c>
      <c r="E28" s="24">
        <v>1693.8799999999999</v>
      </c>
      <c r="F28" s="24">
        <v>1865.91</v>
      </c>
    </row>
    <row r="29" spans="2:6" x14ac:dyDescent="0.35">
      <c r="B29" s="15" t="s">
        <v>103</v>
      </c>
      <c r="C29" s="24"/>
      <c r="D29" s="24">
        <v>6553.7400000000034</v>
      </c>
      <c r="E29" s="24"/>
      <c r="F29" s="24">
        <v>6553.7400000000016</v>
      </c>
    </row>
    <row r="30" spans="2:6" x14ac:dyDescent="0.35">
      <c r="B30" s="15" t="s">
        <v>104</v>
      </c>
      <c r="C30" s="24"/>
      <c r="D30" s="24">
        <v>2686.7499999999986</v>
      </c>
      <c r="E30" s="24">
        <v>2505.4699999999989</v>
      </c>
      <c r="F30" s="24">
        <v>5192.2199999999993</v>
      </c>
    </row>
    <row r="31" spans="2:6" x14ac:dyDescent="0.35">
      <c r="B31" s="15" t="s">
        <v>105</v>
      </c>
      <c r="C31" s="24">
        <v>15204.730000000003</v>
      </c>
      <c r="D31" s="24">
        <v>257443.15999999983</v>
      </c>
      <c r="E31" s="24">
        <v>275877.06000000011</v>
      </c>
      <c r="F31" s="24">
        <v>548524.94999999925</v>
      </c>
    </row>
    <row r="32" spans="2:6" x14ac:dyDescent="0.35">
      <c r="B32" s="15" t="s">
        <v>106</v>
      </c>
      <c r="C32" s="24">
        <v>-147.05000000000001</v>
      </c>
      <c r="D32" s="24">
        <v>140.39000000000001</v>
      </c>
      <c r="E32" s="24"/>
      <c r="F32" s="24">
        <v>-6.6599999999999842</v>
      </c>
    </row>
    <row r="33" spans="2:6" x14ac:dyDescent="0.35">
      <c r="B33" s="15" t="s">
        <v>107</v>
      </c>
      <c r="C33" s="24">
        <v>485.31</v>
      </c>
      <c r="D33" s="24">
        <v>7381.3799999999992</v>
      </c>
      <c r="E33" s="24">
        <v>31376.339999999993</v>
      </c>
      <c r="F33" s="24">
        <v>39243.030000000006</v>
      </c>
    </row>
    <row r="34" spans="2:6" x14ac:dyDescent="0.35">
      <c r="B34" s="15" t="s">
        <v>108</v>
      </c>
      <c r="C34" s="24">
        <v>371.81999999999994</v>
      </c>
      <c r="D34" s="24">
        <v>3191.2899999999991</v>
      </c>
      <c r="E34" s="24">
        <v>6964.9799999999959</v>
      </c>
      <c r="F34" s="24">
        <v>10528.089999999998</v>
      </c>
    </row>
    <row r="35" spans="2:6" x14ac:dyDescent="0.35">
      <c r="B35" s="15" t="s">
        <v>109</v>
      </c>
      <c r="C35" s="24">
        <v>2821.5799999999981</v>
      </c>
      <c r="D35" s="24">
        <v>23328.320000000142</v>
      </c>
      <c r="E35" s="24">
        <v>26986.899999999958</v>
      </c>
      <c r="F35" s="24">
        <v>53136.800000000039</v>
      </c>
    </row>
    <row r="36" spans="2:6" x14ac:dyDescent="0.35">
      <c r="B36" s="15" t="s">
        <v>110</v>
      </c>
      <c r="C36" s="24"/>
      <c r="D36" s="24">
        <v>2366.7199999999984</v>
      </c>
      <c r="E36" s="24">
        <v>1002.31</v>
      </c>
      <c r="F36" s="24">
        <v>3369.0299999999993</v>
      </c>
    </row>
    <row r="37" spans="2:6" x14ac:dyDescent="0.35">
      <c r="B37" s="15" t="s">
        <v>111</v>
      </c>
      <c r="C37" s="24"/>
      <c r="D37" s="24"/>
      <c r="E37" s="24">
        <v>131.17000000000002</v>
      </c>
      <c r="F37" s="24">
        <v>131.17000000000002</v>
      </c>
    </row>
    <row r="38" spans="2:6" x14ac:dyDescent="0.35">
      <c r="B38" s="15" t="s">
        <v>112</v>
      </c>
      <c r="C38" s="24"/>
      <c r="D38" s="24">
        <v>4037.7699999999982</v>
      </c>
      <c r="E38" s="24">
        <v>9120.3900000000176</v>
      </c>
      <c r="F38" s="24">
        <v>13158.159999999994</v>
      </c>
    </row>
    <row r="39" spans="2:6" x14ac:dyDescent="0.35">
      <c r="B39" s="15" t="s">
        <v>113</v>
      </c>
      <c r="C39" s="24">
        <v>7918.8300000000008</v>
      </c>
      <c r="D39" s="24">
        <v>31009.800000000097</v>
      </c>
      <c r="E39" s="24">
        <v>52930.850000000137</v>
      </c>
      <c r="F39" s="24">
        <v>91859.47999999988</v>
      </c>
    </row>
    <row r="40" spans="2:6" x14ac:dyDescent="0.35">
      <c r="B40" s="15" t="s">
        <v>114</v>
      </c>
      <c r="C40" s="24">
        <v>259.79999999999995</v>
      </c>
      <c r="D40" s="24">
        <v>53600.009999999886</v>
      </c>
      <c r="E40" s="24">
        <v>33949.609999999964</v>
      </c>
      <c r="F40" s="24">
        <v>87809.420000000042</v>
      </c>
    </row>
    <row r="41" spans="2:6" x14ac:dyDescent="0.35">
      <c r="B41" s="15" t="s">
        <v>115</v>
      </c>
      <c r="C41" s="24">
        <v>589.40000000000009</v>
      </c>
      <c r="D41" s="24">
        <v>44058.930000000066</v>
      </c>
      <c r="E41" s="24">
        <v>55080.430000000102</v>
      </c>
      <c r="F41" s="24">
        <v>99728.759999999806</v>
      </c>
    </row>
    <row r="42" spans="2:6" x14ac:dyDescent="0.35">
      <c r="B42" s="15" t="s">
        <v>116</v>
      </c>
      <c r="C42" s="24"/>
      <c r="D42" s="24">
        <v>3070.5399999999981</v>
      </c>
      <c r="E42" s="24"/>
      <c r="F42" s="24">
        <v>3070.5400000000004</v>
      </c>
    </row>
    <row r="43" spans="2:6" x14ac:dyDescent="0.35">
      <c r="B43" s="15" t="s">
        <v>117</v>
      </c>
      <c r="C43" s="24">
        <v>479.53999999999991</v>
      </c>
      <c r="D43" s="24">
        <v>7566.8299999999945</v>
      </c>
      <c r="E43" s="24">
        <v>1902.2800000000007</v>
      </c>
      <c r="F43" s="24">
        <v>9948.65</v>
      </c>
    </row>
    <row r="44" spans="2:6" x14ac:dyDescent="0.35">
      <c r="B44" s="15" t="s">
        <v>118</v>
      </c>
      <c r="C44" s="24">
        <v>727655.95999999449</v>
      </c>
      <c r="D44" s="24">
        <v>8143864.1929996582</v>
      </c>
      <c r="E44" s="24">
        <v>7511063.7439997643</v>
      </c>
      <c r="F44" s="24">
        <v>16382583.897000011</v>
      </c>
    </row>
    <row r="45" spans="2:6" x14ac:dyDescent="0.35">
      <c r="B45" s="15" t="s">
        <v>119</v>
      </c>
      <c r="C45" s="24"/>
      <c r="D45" s="24">
        <v>4937.5300000000016</v>
      </c>
      <c r="E45" s="24">
        <v>4749.7899999999963</v>
      </c>
      <c r="F45" s="24">
        <v>9687.3199999999979</v>
      </c>
    </row>
    <row r="46" spans="2:6" x14ac:dyDescent="0.35">
      <c r="B46" s="15" t="s">
        <v>120</v>
      </c>
      <c r="C46" s="24">
        <v>141</v>
      </c>
      <c r="D46" s="24">
        <v>4414.6200000000017</v>
      </c>
      <c r="E46" s="24">
        <v>1730.9199999999996</v>
      </c>
      <c r="F46" s="24">
        <v>6286.5400000000018</v>
      </c>
    </row>
    <row r="47" spans="2:6" x14ac:dyDescent="0.35">
      <c r="B47" s="15" t="s">
        <v>121</v>
      </c>
      <c r="C47" s="24"/>
      <c r="D47" s="24">
        <v>536.41000000000008</v>
      </c>
      <c r="E47" s="24"/>
      <c r="F47" s="24">
        <v>536.41000000000008</v>
      </c>
    </row>
    <row r="48" spans="2:6" x14ac:dyDescent="0.35">
      <c r="B48" s="15" t="s">
        <v>122</v>
      </c>
      <c r="C48" s="24">
        <v>799847.1099999944</v>
      </c>
      <c r="D48" s="24">
        <v>9488594.5439994689</v>
      </c>
      <c r="E48" s="24">
        <v>8998808.913999984</v>
      </c>
      <c r="F48" s="24">
        <v>19287250.568000026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517C-97CD-45B8-9429-024F5A3467B1}">
  <dimension ref="A1:Z18"/>
  <sheetViews>
    <sheetView topLeftCell="S6" workbookViewId="0">
      <selection activeCell="Y16" sqref="Y16"/>
    </sheetView>
  </sheetViews>
  <sheetFormatPr defaultRowHeight="14.5" x14ac:dyDescent="0.35"/>
  <cols>
    <col min="1" max="1" width="16" customWidth="1"/>
    <col min="2" max="2" width="15.90625" customWidth="1"/>
    <col min="3" max="3" width="18" customWidth="1"/>
    <col min="4" max="4" width="15.6328125" customWidth="1"/>
    <col min="5" max="5" width="24.36328125" customWidth="1"/>
    <col min="6" max="6" width="21.1796875" customWidth="1"/>
    <col min="7" max="7" width="24.54296875" customWidth="1"/>
    <col min="10" max="10" width="22.08984375" customWidth="1"/>
    <col min="11" max="11" width="21.54296875" customWidth="1"/>
    <col min="12" max="12" width="26.90625" customWidth="1"/>
    <col min="14" max="14" width="28.36328125" customWidth="1"/>
    <col min="15" max="15" width="25.81640625" customWidth="1"/>
    <col min="16" max="16" width="15.36328125" customWidth="1"/>
    <col min="17" max="17" width="22.453125" customWidth="1"/>
    <col min="18" max="18" width="23.08984375" customWidth="1"/>
    <col min="22" max="22" width="21.6328125" customWidth="1"/>
    <col min="23" max="23" width="14.7265625" customWidth="1"/>
    <col min="24" max="24" width="21.08984375" customWidth="1"/>
  </cols>
  <sheetData>
    <row r="1" spans="1:26" x14ac:dyDescent="0.35">
      <c r="A1" s="19" t="s">
        <v>13</v>
      </c>
      <c r="B1" s="19" t="s">
        <v>44</v>
      </c>
      <c r="C1" s="19" t="s">
        <v>47</v>
      </c>
      <c r="D1" s="19" t="s">
        <v>50</v>
      </c>
      <c r="E1" s="19" t="s">
        <v>51</v>
      </c>
      <c r="F1" s="19" t="s">
        <v>52</v>
      </c>
      <c r="G1" s="19" t="s">
        <v>53</v>
      </c>
      <c r="J1" s="18" t="s">
        <v>59</v>
      </c>
      <c r="K1" s="18" t="s">
        <v>60</v>
      </c>
      <c r="L1" s="18" t="s">
        <v>61</v>
      </c>
      <c r="N1" s="18" t="s">
        <v>70</v>
      </c>
      <c r="O1" s="18" t="s">
        <v>60</v>
      </c>
      <c r="Q1" s="18" t="s">
        <v>72</v>
      </c>
      <c r="R1" s="18" t="s">
        <v>73</v>
      </c>
      <c r="V1" s="22" t="s">
        <v>39</v>
      </c>
      <c r="W1" s="22" t="s">
        <v>61</v>
      </c>
      <c r="X1" s="22" t="s">
        <v>44</v>
      </c>
    </row>
    <row r="2" spans="1:26" x14ac:dyDescent="0.35">
      <c r="A2" s="17" t="s">
        <v>48</v>
      </c>
      <c r="B2" s="17">
        <v>850</v>
      </c>
      <c r="C2" s="17" t="str">
        <f>IF(B2&gt;=750,"High","Low")</f>
        <v>High</v>
      </c>
      <c r="D2" s="17">
        <v>12</v>
      </c>
      <c r="E2" s="17" t="str">
        <f>IF(AND(B2&gt;=750,D2&gt;=10),"Strong","Needs Review")</f>
        <v>Strong</v>
      </c>
      <c r="F2" s="17" t="str">
        <f>IF(OR(B2&gt;=750,D2&gt;=10),"Priority","Normal")</f>
        <v>Priority</v>
      </c>
      <c r="G2" t="str">
        <f>_xlfn.IFS(B2&gt;=1000,"Excellent",B2&gt;=750,"High",B2&gt;=500,"Medium",TRUE,"Low")</f>
        <v>High</v>
      </c>
      <c r="J2" s="21" t="s">
        <v>62</v>
      </c>
      <c r="K2" s="21" t="s">
        <v>17</v>
      </c>
      <c r="L2" s="21" t="s">
        <v>63</v>
      </c>
      <c r="N2" t="s">
        <v>65</v>
      </c>
      <c r="O2" t="str">
        <f>VLOOKUP(N2,J2:L6,2,FALSE)</f>
        <v>Mouse</v>
      </c>
      <c r="Q2" t="s">
        <v>74</v>
      </c>
      <c r="R2" t="str">
        <f>TRIM(Q2)</f>
        <v>Samara Pires</v>
      </c>
      <c r="V2" s="20" t="s">
        <v>48</v>
      </c>
      <c r="W2" s="20" t="s">
        <v>57</v>
      </c>
      <c r="X2" s="20">
        <v>850</v>
      </c>
      <c r="Z2" t="s">
        <v>80</v>
      </c>
    </row>
    <row r="3" spans="1:26" x14ac:dyDescent="0.35">
      <c r="A3" s="17" t="s">
        <v>49</v>
      </c>
      <c r="B3" s="17">
        <v>1200</v>
      </c>
      <c r="C3" s="17" t="str">
        <f t="shared" ref="C3:C5" si="0">IF(B3&gt;=750,"High","Low")</f>
        <v>High</v>
      </c>
      <c r="D3" s="17">
        <v>7</v>
      </c>
      <c r="E3" s="17" t="str">
        <f t="shared" ref="E3:E5" si="1">IF(AND(B3&gt;=750,D3&gt;=10),"Strong","Needs Review")</f>
        <v>Needs Review</v>
      </c>
      <c r="F3" s="17" t="str">
        <f t="shared" ref="F3:F5" si="2">IF(OR(B3&gt;=750,D3&gt;=10),"Priority","Normal")</f>
        <v>Priority</v>
      </c>
      <c r="G3" t="str">
        <f t="shared" ref="G3:G5" si="3">_xlfn.IFS(B3&gt;=1000,"Excellent",B3&gt;=750,"High",B3&gt;=500,"Medium",TRUE,"Low")</f>
        <v>Excellent</v>
      </c>
      <c r="J3" s="21" t="s">
        <v>64</v>
      </c>
      <c r="K3" s="21" t="s">
        <v>18</v>
      </c>
      <c r="L3" s="21" t="s">
        <v>57</v>
      </c>
      <c r="O3" t="str">
        <f>IFERROR(INDEX(K2:K6,MATCH(N2,J2:J6,0)),"Product Not Found")</f>
        <v>Mouse</v>
      </c>
      <c r="V3" s="20" t="s">
        <v>49</v>
      </c>
      <c r="W3" s="20" t="s">
        <v>57</v>
      </c>
      <c r="X3" s="20">
        <v>1200</v>
      </c>
    </row>
    <row r="4" spans="1:26" x14ac:dyDescent="0.35">
      <c r="A4" s="17" t="s">
        <v>18</v>
      </c>
      <c r="B4" s="17">
        <v>450</v>
      </c>
      <c r="C4" s="17" t="str">
        <f t="shared" si="0"/>
        <v>Low</v>
      </c>
      <c r="D4" s="17">
        <v>15</v>
      </c>
      <c r="E4" s="17" t="str">
        <f t="shared" si="1"/>
        <v>Needs Review</v>
      </c>
      <c r="F4" s="17" t="str">
        <f t="shared" si="2"/>
        <v>Priority</v>
      </c>
      <c r="G4" t="str">
        <f t="shared" si="3"/>
        <v>Low</v>
      </c>
      <c r="J4" s="21" t="s">
        <v>65</v>
      </c>
      <c r="K4" s="21" t="s">
        <v>19</v>
      </c>
      <c r="L4" s="21" t="s">
        <v>57</v>
      </c>
      <c r="O4" t="str">
        <f>INDEX(K2:K6,3)</f>
        <v>Mouse</v>
      </c>
      <c r="V4" s="20" t="s">
        <v>79</v>
      </c>
      <c r="W4" s="20" t="s">
        <v>58</v>
      </c>
      <c r="X4" s="20">
        <v>600</v>
      </c>
    </row>
    <row r="5" spans="1:26" x14ac:dyDescent="0.35">
      <c r="A5" s="17" t="s">
        <v>41</v>
      </c>
      <c r="B5" s="17">
        <v>700</v>
      </c>
      <c r="C5" s="17" t="str">
        <f t="shared" si="0"/>
        <v>Low</v>
      </c>
      <c r="D5" s="17">
        <v>11</v>
      </c>
      <c r="E5" s="17" t="str">
        <f t="shared" si="1"/>
        <v>Needs Review</v>
      </c>
      <c r="F5" s="17" t="str">
        <f t="shared" si="2"/>
        <v>Priority</v>
      </c>
      <c r="G5" t="str">
        <f t="shared" si="3"/>
        <v>Medium</v>
      </c>
      <c r="J5" s="21" t="s">
        <v>66</v>
      </c>
      <c r="K5" s="21" t="s">
        <v>67</v>
      </c>
      <c r="L5" s="21" t="s">
        <v>68</v>
      </c>
      <c r="Q5" t="s">
        <v>75</v>
      </c>
      <c r="V5" s="20" t="s">
        <v>18</v>
      </c>
      <c r="W5" s="20" t="s">
        <v>57</v>
      </c>
      <c r="X5" s="20">
        <v>450</v>
      </c>
    </row>
    <row r="6" spans="1:26" x14ac:dyDescent="0.35">
      <c r="J6" s="21" t="s">
        <v>69</v>
      </c>
      <c r="K6" s="21" t="s">
        <v>49</v>
      </c>
      <c r="L6" s="21" t="s">
        <v>57</v>
      </c>
      <c r="O6" t="str">
        <f>INDEX(K2:K6,MATCH(N2,J2:J6,0))</f>
        <v>Mouse</v>
      </c>
      <c r="R6" t="s">
        <v>76</v>
      </c>
      <c r="T6">
        <f>FIND("-",Q5)</f>
        <v>4</v>
      </c>
    </row>
    <row r="7" spans="1:26" x14ac:dyDescent="0.35">
      <c r="Q7" t="str">
        <f>RIGHT(Q5,5)</f>
        <v>45821</v>
      </c>
    </row>
    <row r="8" spans="1:26" x14ac:dyDescent="0.35">
      <c r="Q8" t="str">
        <f>LEFT(Q5,3)</f>
        <v>CAN</v>
      </c>
      <c r="T8">
        <f>SEARCH("c","Canada")</f>
        <v>1</v>
      </c>
    </row>
    <row r="9" spans="1:26" x14ac:dyDescent="0.35">
      <c r="Q9" t="str">
        <f>MID(Q5,5,4)</f>
        <v>2026</v>
      </c>
      <c r="R9" t="str">
        <f>SUBSTITUTE(R6,"-"," ")</f>
        <v>CANADA WEST 2026</v>
      </c>
    </row>
    <row r="10" spans="1:26" x14ac:dyDescent="0.35">
      <c r="A10" s="19" t="s">
        <v>54</v>
      </c>
      <c r="B10" s="19" t="s">
        <v>55</v>
      </c>
      <c r="C10" s="19" t="s">
        <v>16</v>
      </c>
      <c r="E10">
        <f>SUMIF(A11:A16,"Canada",C11:C16)</f>
        <v>3300</v>
      </c>
    </row>
    <row r="11" spans="1:26" x14ac:dyDescent="0.35">
      <c r="A11" s="20" t="s">
        <v>56</v>
      </c>
      <c r="B11" s="20" t="s">
        <v>57</v>
      </c>
      <c r="C11" s="20">
        <v>1200</v>
      </c>
      <c r="E11">
        <f>SUMIFS(C11:C16,A11:A16,"Canada",B11:B16,"Electronics")</f>
        <v>2700</v>
      </c>
    </row>
    <row r="12" spans="1:26" x14ac:dyDescent="0.35">
      <c r="A12" s="20" t="s">
        <v>38</v>
      </c>
      <c r="B12" s="20" t="s">
        <v>58</v>
      </c>
      <c r="C12" s="20">
        <v>800</v>
      </c>
      <c r="E12">
        <f>COUNTIFS(A11:A16,"Canada",B11:B16,"Electronics")</f>
        <v>2</v>
      </c>
    </row>
    <row r="13" spans="1:26" x14ac:dyDescent="0.35">
      <c r="A13" s="20" t="s">
        <v>56</v>
      </c>
      <c r="B13" s="20" t="s">
        <v>58</v>
      </c>
      <c r="C13" s="20">
        <v>600</v>
      </c>
      <c r="E13">
        <f>AVERAGEIFS(C11:C16,A11:A16,"Canada",B11:B16,"Electronics")</f>
        <v>1350</v>
      </c>
      <c r="N13" s="4">
        <v>46249</v>
      </c>
      <c r="O13">
        <f>YEAR(N13)</f>
        <v>2026</v>
      </c>
      <c r="Q13" t="s">
        <v>77</v>
      </c>
      <c r="R13" t="s">
        <v>78</v>
      </c>
      <c r="S13" t="s">
        <v>56</v>
      </c>
    </row>
    <row r="14" spans="1:26" x14ac:dyDescent="0.35">
      <c r="A14" s="20" t="s">
        <v>36</v>
      </c>
      <c r="B14" s="20" t="s">
        <v>57</v>
      </c>
      <c r="C14" s="20">
        <v>900</v>
      </c>
      <c r="E14">
        <f>COUNTIFS(A11:A16,"UK",C11:C16,"&gt;=750")</f>
        <v>1</v>
      </c>
      <c r="O14">
        <f>MONTH(N13)</f>
        <v>8</v>
      </c>
    </row>
    <row r="15" spans="1:26" x14ac:dyDescent="0.35">
      <c r="A15" s="20" t="s">
        <v>56</v>
      </c>
      <c r="B15" s="20" t="s">
        <v>57</v>
      </c>
      <c r="C15" s="20">
        <v>1500</v>
      </c>
      <c r="L15" t="s">
        <v>71</v>
      </c>
      <c r="O15">
        <f>DAY(N13)</f>
        <v>15</v>
      </c>
      <c r="Q15" t="str">
        <f>_xlfn.TEXTJOIN("-",TRUE,Q13:S13)</f>
        <v>Samara-Pires-Canada</v>
      </c>
      <c r="R15">
        <f>LEN(Q15)</f>
        <v>19</v>
      </c>
    </row>
    <row r="16" spans="1:26" x14ac:dyDescent="0.35">
      <c r="A16" s="20" t="s">
        <v>38</v>
      </c>
      <c r="B16" s="20" t="s">
        <v>57</v>
      </c>
      <c r="C16" s="20">
        <v>700</v>
      </c>
    </row>
    <row r="18" spans="15:16" x14ac:dyDescent="0.35">
      <c r="O18" s="4">
        <f ca="1">TODAY()</f>
        <v>46270</v>
      </c>
      <c r="P18" t="e">
        <f>EOMONTH(start_date, months)</f>
        <v>#NAME?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EE1E532-271A-411D-8ED7-9EE738D41155}">
  <ds:schemaRefs/>
</ds:datastoreItem>
</file>

<file path=customXml/itemProps2.xml><?xml version="1.0" encoding="utf-8"?>
<ds:datastoreItem xmlns:ds="http://schemas.openxmlformats.org/officeDocument/2006/customXml" ds:itemID="{89BEBC62-F643-41D2-ADFB-C3A0E0D1E828}">
  <ds:schemaRefs/>
</ds:datastoreItem>
</file>

<file path=customXml/itemProps3.xml><?xml version="1.0" encoding="utf-8"?>
<ds:datastoreItem xmlns:ds="http://schemas.openxmlformats.org/officeDocument/2006/customXml" ds:itemID="{004F968F-05D2-4C27-8BB3-F207FE401AE2}">
  <ds:schemaRefs/>
</ds:datastoreItem>
</file>

<file path=customXml/itemProps4.xml><?xml version="1.0" encoding="utf-8"?>
<ds:datastoreItem xmlns:ds="http://schemas.openxmlformats.org/officeDocument/2006/customXml" ds:itemID="{45E9B093-0342-41CB-83A9-3B841B5A2A53}">
  <ds:schemaRefs/>
</ds:datastoreItem>
</file>

<file path=customXml/itemProps5.xml><?xml version="1.0" encoding="utf-8"?>
<ds:datastoreItem xmlns:ds="http://schemas.openxmlformats.org/officeDocument/2006/customXml" ds:itemID="{88AD9B3E-030D-4DFE-8F00-E24EDE571CF8}">
  <ds:schemaRefs/>
</ds:datastoreItem>
</file>

<file path=customXml/itemProps6.xml><?xml version="1.0" encoding="utf-8"?>
<ds:datastoreItem xmlns:ds="http://schemas.openxmlformats.org/officeDocument/2006/customXml" ds:itemID="{5AC24397-9357-4D1E-B38E-DB1BD5EC6E2F}">
  <ds:schemaRefs/>
</ds:datastoreItem>
</file>

<file path=customXml/itemProps7.xml><?xml version="1.0" encoding="utf-8"?>
<ds:datastoreItem xmlns:ds="http://schemas.openxmlformats.org/officeDocument/2006/customXml" ds:itemID="{314B1ABF-152D-4818-B1A2-8B23DD25D4EA}">
  <ds:schemaRefs/>
</ds:datastoreItem>
</file>

<file path=customXml/itemProps8.xml><?xml version="1.0" encoding="utf-8"?>
<ds:datastoreItem xmlns:ds="http://schemas.openxmlformats.org/officeDocument/2006/customXml" ds:itemID="{F848CF7B-D02C-4E9D-9F29-6B1A1B680B1D}">
  <ds:schemaRefs/>
</ds:datastoreItem>
</file>

<file path=customXml/itemProps9.xml><?xml version="1.0" encoding="utf-8"?>
<ds:datastoreItem xmlns:ds="http://schemas.openxmlformats.org/officeDocument/2006/customXml" ds:itemID="{66BE5B03-2AF4-4973-A88C-02A4BC459245}">
  <ds:schemaRefs/>
</ds:datastoreItem>
</file>

<file path=customXml/itemProps10.xml><?xml version="1.0" encoding="utf-8"?>
<ds:datastoreItem xmlns:ds="http://schemas.openxmlformats.org/officeDocument/2006/customXml" ds:itemID="{5E5FE6E2-DDBC-4482-96E2-0693EB516BE0}">
  <ds:schemaRefs/>
</ds:datastoreItem>
</file>

<file path=customXml/itemProps11.xml><?xml version="1.0" encoding="utf-8"?>
<ds:datastoreItem xmlns:ds="http://schemas.openxmlformats.org/officeDocument/2006/customXml" ds:itemID="{3EC84076-41BD-4F32-901F-CA96AC98D2CA}">
  <ds:schemaRefs/>
</ds:datastoreItem>
</file>

<file path=customXml/itemProps12.xml><?xml version="1.0" encoding="utf-8"?>
<ds:datastoreItem xmlns:ds="http://schemas.openxmlformats.org/officeDocument/2006/customXml" ds:itemID="{F6A73E87-85C5-47B8-B37C-1B61525740F5}">
  <ds:schemaRefs/>
</ds:datastoreItem>
</file>

<file path=customXml/itemProps13.xml><?xml version="1.0" encoding="utf-8"?>
<ds:datastoreItem xmlns:ds="http://schemas.openxmlformats.org/officeDocument/2006/customXml" ds:itemID="{4B9F63A9-412F-4BD1-8FEC-1C9F70C0575C}">
  <ds:schemaRefs/>
</ds:datastoreItem>
</file>

<file path=customXml/itemProps14.xml><?xml version="1.0" encoding="utf-8"?>
<ds:datastoreItem xmlns:ds="http://schemas.openxmlformats.org/officeDocument/2006/customXml" ds:itemID="{517C5BE1-246B-4B32-90A4-5F0680192346}">
  <ds:schemaRefs/>
</ds:datastoreItem>
</file>

<file path=customXml/itemProps15.xml><?xml version="1.0" encoding="utf-8"?>
<ds:datastoreItem xmlns:ds="http://schemas.openxmlformats.org/officeDocument/2006/customXml" ds:itemID="{14ECC860-BD1A-445B-B3EB-ADCD5E3C2DB3}">
  <ds:schemaRefs/>
</ds:datastoreItem>
</file>

<file path=customXml/itemProps16.xml><?xml version="1.0" encoding="utf-8"?>
<ds:datastoreItem xmlns:ds="http://schemas.openxmlformats.org/officeDocument/2006/customXml" ds:itemID="{CA5CA094-F2AD-4BF7-B703-CEB019A82E7B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D41FAEB7-A998-4336-9470-D7EFE52976EE}">
  <ds:schemaRefs/>
</ds:datastoreItem>
</file>

<file path=customXml/itemProps18.xml><?xml version="1.0" encoding="utf-8"?>
<ds:datastoreItem xmlns:ds="http://schemas.openxmlformats.org/officeDocument/2006/customXml" ds:itemID="{E1BC5C9E-333A-450F-A00F-302372B6B5EA}">
  <ds:schemaRefs/>
</ds:datastoreItem>
</file>

<file path=customXml/itemProps19.xml><?xml version="1.0" encoding="utf-8"?>
<ds:datastoreItem xmlns:ds="http://schemas.openxmlformats.org/officeDocument/2006/customXml" ds:itemID="{6DD8CC14-21F6-44F4-A257-78EF917A989B}">
  <ds:schemaRefs/>
</ds:datastoreItem>
</file>

<file path=customXml/itemProps20.xml><?xml version="1.0" encoding="utf-8"?>
<ds:datastoreItem xmlns:ds="http://schemas.openxmlformats.org/officeDocument/2006/customXml" ds:itemID="{EFC725CF-3A75-4B4D-A898-03CCBB14AB6B}">
  <ds:schemaRefs/>
</ds:datastoreItem>
</file>

<file path=customXml/itemProps21.xml><?xml version="1.0" encoding="utf-8"?>
<ds:datastoreItem xmlns:ds="http://schemas.openxmlformats.org/officeDocument/2006/customXml" ds:itemID="{9003FC18-EFDD-42D0-8733-0DAC4929B8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00_README</vt:lpstr>
      <vt:lpstr>02_FORMULA_LAB</vt:lpstr>
      <vt:lpstr>Model_QA</vt:lpstr>
      <vt:lpstr>03_ADVANCED_FORMULAS</vt:lpstr>
      <vt:lpstr>Discounted_Rate</vt:lpstr>
      <vt:lpstr>Fee_Rate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Pires</dc:creator>
  <cp:lastModifiedBy>Samara Pires</cp:lastModifiedBy>
  <dcterms:created xsi:type="dcterms:W3CDTF">2015-06-05T18:17:20Z</dcterms:created>
  <dcterms:modified xsi:type="dcterms:W3CDTF">2026-09-05T08:17:46Z</dcterms:modified>
</cp:coreProperties>
</file>