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91869\Desktop\excel-business-intelligence-forecasting-git\excel\"/>
    </mc:Choice>
  </mc:AlternateContent>
  <xr:revisionPtr revIDLastSave="0" documentId="13_ncr:1_{A31F159F-3C9F-480A-9945-6B4F4B48D4A0}" xr6:coauthVersionLast="47" xr6:coauthVersionMax="47" xr10:uidLastSave="{00000000-0000-0000-0000-000000000000}"/>
  <bookViews>
    <workbookView xWindow="-110" yWindow="-110" windowWidth="19420" windowHeight="10300" firstSheet="9" activeTab="11" xr2:uid="{00000000-000D-0000-FFFF-FFFF00000000}"/>
  </bookViews>
  <sheets>
    <sheet name="00_README" sheetId="1" r:id="rId1"/>
    <sheet name="02_FORMULA_LAB" sheetId="2" r:id="rId2"/>
    <sheet name="03_ADVANCED_FORMULAS" sheetId="3" r:id="rId3"/>
    <sheet name="04_COUNTRY_ANALYSIS" sheetId="5" r:id="rId4"/>
    <sheet name="05_KPI_SUMMARY" sheetId="6" r:id="rId5"/>
    <sheet name="06_REVENUE_ANALYSIS" sheetId="7" r:id="rId6"/>
    <sheet name="07_PRODUCT_ANALYSIS" sheetId="8" r:id="rId7"/>
    <sheet name="08_CUSTOMER_ANALYSIS" sheetId="9" r:id="rId8"/>
    <sheet name="09_CUSTOMER_VALUE" sheetId="10" r:id="rId9"/>
    <sheet name="10_TIME_PATTERNS" sheetId="11" r:id="rId10"/>
    <sheet name="11_FORECASTING" sheetId="12" r:id="rId11"/>
    <sheet name="12_WHAT_IF" sheetId="13" r:id="rId12"/>
    <sheet name="Model_QA" sheetId="4" r:id="rId13"/>
  </sheets>
  <definedNames>
    <definedName name="Discounted_Rate">'02_FORMULA_LAB'!$AF$5</definedName>
    <definedName name="Fee_Rate">'02_FORMULA_LAB'!$F$2</definedName>
  </definedNames>
  <calcPr calcId="191029"/>
  <pivotCaches>
    <pivotCache cacheId="0" r:id="rId14"/>
    <pivotCache cacheId="1" r:id="rId15"/>
    <pivotCache cacheId="2" r:id="rId16"/>
    <pivotCache cacheId="3" r:id="rId17"/>
    <pivotCache cacheId="4" r:id="rId18"/>
    <pivotCache cacheId="5" r:id="rId19"/>
    <pivotCache cacheId="6" r:id="rId20"/>
    <pivotCache cacheId="7" r:id="rId21"/>
    <pivotCache cacheId="9" r:id="rId22"/>
    <pivotCache cacheId="10" r:id="rId23"/>
    <pivotCache cacheId="11" r:id="rId24"/>
    <pivotCache cacheId="19" r:id="rId25"/>
    <pivotCache cacheId="25" r:id="rId2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Transactions_af34c521-27b8-4e0c-8caf-84b4b91308f5" name="fact_Transactions" connection="Query - fact_Transactions"/>
          <x15:modelTable id="dim_Date_c945ee2d-a762-4c51-96b8-e2e3ab9ccd18" name="dim_Date" connection="Query - dim_Date"/>
          <x15:modelTable id="dim_Product_a11ad3dd-1a4b-448a-af92-669cb526de14" name="dim_Product" connection="Query - dim_Product"/>
          <x15:modelTable id="dim_Customer_58657691-17f4-4455-b189-fa7138c48076" name="dim_Customer" connection="Query - dim_Customer"/>
          <x15:modelTable id="dim_Country_38e3e068-f1c8-4492-bd16-08f50e9de15e" name="dim_Country" connection="Query - dim_Country"/>
        </x15:modelTables>
        <x15:modelRelationships>
          <x15:modelRelationship fromTable="fact_Transactions" fromColumn="TransactionDate" toTable="dim_Date" toColumn="Date"/>
          <x15:modelRelationship fromTable="fact_Transactions" fromColumn="Customer ID" toTable="dim_Customer" toColumn="Customer ID"/>
          <x15:modelRelationship fromTable="fact_Transactions" fromColumn="Country" toTable="dim_Country" toColumn="Country"/>
          <x15:modelRelationship fromTable="fact_Transactions" fromColumn="StockCode" toTable="dim_Product" toColumn="StockCode"/>
        </x15:modelRelationships>
      </x15:dataModel>
    </ext>
  </extLst>
</workbook>
</file>

<file path=xl/calcChain.xml><?xml version="1.0" encoding="utf-8"?>
<calcChain xmlns="http://schemas.openxmlformats.org/spreadsheetml/2006/main">
  <c r="H5" i="13" l="1"/>
  <c r="H6" i="13"/>
  <c r="H4" i="13"/>
  <c r="C8" i="13"/>
  <c r="C7" i="13"/>
  <c r="AE28" i="12"/>
  <c r="AD28" i="12"/>
  <c r="AC28" i="12"/>
  <c r="AB28" i="12"/>
  <c r="AA27" i="12"/>
  <c r="AA28" i="12"/>
  <c r="Z5" i="12"/>
  <c r="Z6" i="12"/>
  <c r="Z7" i="12"/>
  <c r="Z8" i="12"/>
  <c r="Z9" i="12"/>
  <c r="Z10" i="12"/>
  <c r="Z11" i="12"/>
  <c r="Z12" i="12"/>
  <c r="Z13" i="12"/>
  <c r="Z14" i="12"/>
  <c r="Z15" i="12"/>
  <c r="Z16" i="12"/>
  <c r="Z17" i="12"/>
  <c r="Z18" i="12"/>
  <c r="Z19" i="12"/>
  <c r="Z20" i="12"/>
  <c r="Z21" i="12"/>
  <c r="Z22" i="12"/>
  <c r="Z23" i="12"/>
  <c r="Z24" i="12"/>
  <c r="Z25" i="12"/>
  <c r="Z26" i="12"/>
  <c r="Z27" i="12"/>
  <c r="Z4" i="12"/>
  <c r="Y5" i="12"/>
  <c r="Y6" i="12"/>
  <c r="Y7" i="12"/>
  <c r="Y8" i="12"/>
  <c r="Y9" i="12"/>
  <c r="Y10" i="12"/>
  <c r="Y11" i="12"/>
  <c r="Y12" i="12"/>
  <c r="Y13" i="12"/>
  <c r="Y14" i="12"/>
  <c r="Y15" i="12"/>
  <c r="Y16" i="12"/>
  <c r="Y17" i="12"/>
  <c r="Y18" i="12"/>
  <c r="Y19" i="12"/>
  <c r="Y20" i="12"/>
  <c r="Y21" i="12"/>
  <c r="Y22" i="12"/>
  <c r="Y23" i="12"/>
  <c r="Y24" i="12"/>
  <c r="Y25" i="12"/>
  <c r="Y26" i="12"/>
  <c r="Y27" i="12"/>
  <c r="Y28" i="12"/>
  <c r="Y4" i="12"/>
  <c r="V15" i="12"/>
  <c r="U15" i="12"/>
  <c r="T15" i="12"/>
  <c r="S15" i="12"/>
  <c r="V14" i="12"/>
  <c r="U14" i="12"/>
  <c r="T14" i="12"/>
  <c r="S14" i="12"/>
  <c r="V13" i="12"/>
  <c r="U13" i="12"/>
  <c r="T13" i="12"/>
  <c r="S13" i="12"/>
  <c r="V6" i="12"/>
  <c r="V7" i="12"/>
  <c r="V8" i="12"/>
  <c r="V9" i="12"/>
  <c r="V5" i="12"/>
  <c r="V4" i="12"/>
  <c r="U6" i="12"/>
  <c r="U7" i="12"/>
  <c r="U8" i="12"/>
  <c r="U9" i="12"/>
  <c r="U5" i="12"/>
  <c r="U4" i="12"/>
  <c r="T6" i="12"/>
  <c r="T7" i="12"/>
  <c r="T8" i="12"/>
  <c r="T9" i="12"/>
  <c r="T5" i="12"/>
  <c r="T4" i="12"/>
  <c r="P28" i="12"/>
  <c r="O28" i="12"/>
  <c r="N28" i="12"/>
  <c r="K8" i="12"/>
  <c r="K9" i="12"/>
  <c r="K10" i="12"/>
  <c r="K11" i="12"/>
  <c r="K12" i="12"/>
  <c r="K13" i="12"/>
  <c r="K14" i="12"/>
  <c r="K15" i="12"/>
  <c r="K16" i="12"/>
  <c r="K17" i="12"/>
  <c r="K18" i="12"/>
  <c r="K19" i="12"/>
  <c r="K20" i="12"/>
  <c r="K21" i="12"/>
  <c r="K22" i="12"/>
  <c r="K23" i="12"/>
  <c r="K24" i="12"/>
  <c r="K25" i="12"/>
  <c r="K26" i="12"/>
  <c r="K27" i="12"/>
  <c r="K7" i="12"/>
  <c r="J8" i="12"/>
  <c r="J9" i="12"/>
  <c r="J10" i="12"/>
  <c r="J11" i="12"/>
  <c r="J12" i="12"/>
  <c r="J13" i="12"/>
  <c r="J14" i="12"/>
  <c r="J15" i="12"/>
  <c r="J16" i="12"/>
  <c r="J17" i="12"/>
  <c r="J18" i="12"/>
  <c r="J19" i="12"/>
  <c r="J20" i="12"/>
  <c r="J21" i="12"/>
  <c r="J22" i="12"/>
  <c r="J23" i="12"/>
  <c r="J24" i="12"/>
  <c r="J25" i="12"/>
  <c r="J26" i="12"/>
  <c r="J27" i="12"/>
  <c r="J28" i="12"/>
  <c r="J7" i="12"/>
  <c r="H28" i="12"/>
  <c r="I6" i="12"/>
  <c r="I7" i="12"/>
  <c r="I8" i="12"/>
  <c r="I9" i="12"/>
  <c r="I10" i="12"/>
  <c r="I11" i="12"/>
  <c r="I12" i="12"/>
  <c r="I13" i="12"/>
  <c r="I14" i="12"/>
  <c r="I15" i="12"/>
  <c r="I16" i="12"/>
  <c r="I17" i="12"/>
  <c r="I18" i="12"/>
  <c r="I19" i="12"/>
  <c r="I20" i="12"/>
  <c r="I21" i="12"/>
  <c r="I22" i="12"/>
  <c r="I23" i="12"/>
  <c r="I24" i="12"/>
  <c r="I25" i="12"/>
  <c r="I26" i="12"/>
  <c r="I27" i="12"/>
  <c r="I5" i="12"/>
  <c r="H6" i="12"/>
  <c r="H7" i="12"/>
  <c r="H8" i="12"/>
  <c r="H9" i="12"/>
  <c r="H10" i="12"/>
  <c r="H11" i="12"/>
  <c r="H12" i="12"/>
  <c r="H13" i="12"/>
  <c r="H14" i="12"/>
  <c r="H15" i="12"/>
  <c r="H16" i="12"/>
  <c r="H17" i="12"/>
  <c r="H18" i="12"/>
  <c r="H19" i="12"/>
  <c r="H20" i="12"/>
  <c r="H21" i="12"/>
  <c r="H22" i="12"/>
  <c r="H23" i="12"/>
  <c r="H24" i="12"/>
  <c r="H25" i="12"/>
  <c r="H26" i="12"/>
  <c r="H27" i="12"/>
  <c r="H5" i="12"/>
  <c r="G5" i="12"/>
  <c r="G6" i="12"/>
  <c r="G7" i="12"/>
  <c r="G8" i="12"/>
  <c r="G9" i="12"/>
  <c r="G10" i="12"/>
  <c r="G11" i="12"/>
  <c r="G12" i="12"/>
  <c r="G13" i="12"/>
  <c r="G14" i="12"/>
  <c r="G15" i="12"/>
  <c r="G16" i="12"/>
  <c r="G17" i="12"/>
  <c r="G18" i="12"/>
  <c r="G19" i="12"/>
  <c r="G20" i="12"/>
  <c r="G21" i="12"/>
  <c r="G22" i="12"/>
  <c r="G23" i="12"/>
  <c r="G24" i="12"/>
  <c r="G25" i="12"/>
  <c r="G26" i="12"/>
  <c r="G27" i="12"/>
  <c r="G4" i="12"/>
  <c r="P18" i="3"/>
  <c r="O18" i="3"/>
  <c r="O15" i="3"/>
  <c r="O14" i="3"/>
  <c r="O13" i="3"/>
  <c r="T8" i="3"/>
  <c r="T6" i="3"/>
  <c r="R15" i="3"/>
  <c r="Q15" i="3"/>
  <c r="R9" i="3"/>
  <c r="Q9" i="3"/>
  <c r="Q8" i="3"/>
  <c r="Q7" i="3"/>
  <c r="R2" i="3"/>
  <c r="O3" i="3"/>
  <c r="O6" i="3"/>
  <c r="O4" i="3"/>
  <c r="O2" i="3"/>
  <c r="E14" i="3"/>
  <c r="E13" i="3"/>
  <c r="E12" i="3"/>
  <c r="E11" i="3"/>
  <c r="E10" i="3"/>
  <c r="G3" i="3"/>
  <c r="G4" i="3"/>
  <c r="G5" i="3"/>
  <c r="G2" i="3"/>
  <c r="F3" i="3"/>
  <c r="F4" i="3"/>
  <c r="F5" i="3"/>
  <c r="F2" i="3"/>
  <c r="E3" i="3"/>
  <c r="E4" i="3"/>
  <c r="E5" i="3"/>
  <c r="E2" i="3"/>
  <c r="C3" i="3"/>
  <c r="C4" i="3"/>
  <c r="C5" i="3"/>
  <c r="C2" i="3"/>
  <c r="AD5" i="2"/>
  <c r="AD6" i="2"/>
  <c r="AD7" i="2"/>
  <c r="AC5" i="2"/>
  <c r="AC6" i="2"/>
  <c r="AC7" i="2"/>
  <c r="E3" i="2"/>
  <c r="E4" i="2"/>
  <c r="E2" i="2"/>
  <c r="C12" i="2"/>
  <c r="B12" i="2"/>
  <c r="B10" i="2"/>
  <c r="H13" i="2"/>
  <c r="I13" i="2"/>
  <c r="J13" i="2"/>
  <c r="I12" i="2"/>
  <c r="J12" i="2"/>
  <c r="J11" i="2"/>
  <c r="I11" i="2"/>
  <c r="H11" i="2"/>
  <c r="H12" i="2"/>
  <c r="H4" i="2"/>
  <c r="I4" i="2"/>
  <c r="J4" i="2"/>
  <c r="K4" i="2"/>
  <c r="L4" i="2"/>
  <c r="H5" i="2"/>
  <c r="I5" i="2"/>
  <c r="J5" i="2"/>
  <c r="K5" i="2"/>
  <c r="L5" i="2"/>
  <c r="H6" i="2"/>
  <c r="I6" i="2"/>
  <c r="J6" i="2"/>
  <c r="K6" i="2"/>
  <c r="L6" i="2"/>
  <c r="H7" i="2"/>
  <c r="I7" i="2"/>
  <c r="J7" i="2"/>
  <c r="K7" i="2"/>
  <c r="L7" i="2"/>
  <c r="I3" i="2"/>
  <c r="J3" i="2"/>
  <c r="K3" i="2"/>
  <c r="L3" i="2"/>
  <c r="H3" i="2"/>
  <c r="D3" i="2"/>
  <c r="D4" i="2"/>
  <c r="D2" i="2"/>
  <c r="W6" i="12"/>
  <c r="W7" i="12"/>
  <c r="W8" i="12"/>
  <c r="W9" i="12"/>
  <c r="W5" i="12"/>
  <c r="W4" i="12"/>
  <c r="M28" i="12"/>
  <c r="L28" i="12"/>
  <c r="C9" i="13" l="1"/>
  <c r="B13" i="13" s="1"/>
  <c r="C20" i="1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523109C-386E-4D2F-AB5C-7A17B842A514}" name="Query - dim_Country" description="Connection to the 'dim_Country' query in the workbook." type="100" refreshedVersion="8" minRefreshableVersion="5">
    <extLst>
      <ext xmlns:x15="http://schemas.microsoft.com/office/spreadsheetml/2010/11/main" uri="{DE250136-89BD-433C-8126-D09CA5730AF9}">
        <x15:connection id="d26c0ab7-e831-4dc7-82ac-cea790ae97e7"/>
      </ext>
    </extLst>
  </connection>
  <connection id="2" xr16:uid="{74F18BFA-55BD-4E5D-A8A4-4B313F46A738}" name="Query - dim_Customer" description="Connection to the 'dim_Customer' query in the workbook." type="100" refreshedVersion="8" minRefreshableVersion="5">
    <extLst>
      <ext xmlns:x15="http://schemas.microsoft.com/office/spreadsheetml/2010/11/main" uri="{DE250136-89BD-433C-8126-D09CA5730AF9}">
        <x15:connection id="9f4491b4-3837-41f1-aabb-59a7a2b757f8"/>
      </ext>
    </extLst>
  </connection>
  <connection id="3" xr16:uid="{994EAFB0-CA50-4433-A31C-9A04ADDC9721}" name="Query - dim_Date" description="Connection to the 'dim_Date' query in the workbook." type="100" refreshedVersion="8" minRefreshableVersion="5">
    <extLst>
      <ext xmlns:x15="http://schemas.microsoft.com/office/spreadsheetml/2010/11/main" uri="{DE250136-89BD-433C-8126-D09CA5730AF9}">
        <x15:connection id="4ef4c8ea-f207-4c76-b4f0-745c4a4177ae"/>
      </ext>
    </extLst>
  </connection>
  <connection id="4" xr16:uid="{4D57E472-6AA7-4A86-BA7F-7FFC01DB387B}" name="Query - dim_Product" description="Connection to the 'dim_Product' query in the workbook." type="100" refreshedVersion="8" minRefreshableVersion="5">
    <extLst>
      <ext xmlns:x15="http://schemas.microsoft.com/office/spreadsheetml/2010/11/main" uri="{DE250136-89BD-433C-8126-D09CA5730AF9}">
        <x15:connection id="494db8af-c290-4703-a511-e75d3721c6fa"/>
      </ext>
    </extLst>
  </connection>
  <connection id="5" xr16:uid="{C5A59DC1-20F6-4575-8F05-B24F716495E2}" name="Query - fact_Transactions" description="Connection to the 'fact_Transactions' query in the workbook." type="100" refreshedVersion="8" minRefreshableVersion="5">
    <extLst>
      <ext xmlns:x15="http://schemas.microsoft.com/office/spreadsheetml/2010/11/main" uri="{DE250136-89BD-433C-8126-D09CA5730AF9}">
        <x15:connection id="47394198-be30-49cb-b640-18681b9813cb"/>
      </ext>
    </extLst>
  </connection>
  <connection id="6" xr16:uid="{A3E82387-6632-4E2A-8FB0-21B9C8AF7C9C}" keepAlive="1" name="Query - qa_AnalysisStatus" description="Connection to the 'qa_AnalysisStatus' query in the workbook." type="5" refreshedVersion="0" background="1">
    <dbPr connection="Provider=Microsoft.Mashup.OleDb.1;Data Source=$Workbook$;Location=qa_AnalysisStatus;Extended Properties=&quot;&quot;" command="SELECT * FROM [qa_AnalysisStatus]"/>
  </connection>
  <connection id="7" xr16:uid="{D962823C-0EBA-4E3F-89E8-2F2B03145E87}" keepAlive="1" name="Query - qa_RowCount" description="Connection to the 'qa_RowCount' query in the workbook." type="5" refreshedVersion="0" background="1">
    <dbPr connection="Provider=Microsoft.Mashup.OleDb.1;Data Source=$Workbook$;Location=qa_RowCount;Extended Properties=&quot;&quot;" command="SELECT * FROM [qa_RowCount]"/>
  </connection>
  <connection id="8" xr16:uid="{18527371-5DDB-4AD6-A236-40CD58A6F9A8}" keepAlive="1" name="Query - qa_StockCodes" description="Connection to the 'qa_StockCodes' query in the workbook." type="5" refreshedVersion="0" background="1">
    <dbPr connection="Provider=Microsoft.Mashup.OleDb.1;Data Source=$Workbook$;Location=qa_StockCodes;Extended Properties=&quot;&quot;" command="SELECT * FROM [qa_StockCodes]"/>
  </connection>
  <connection id="9" xr16:uid="{01A93971-3D2F-46E0-BA89-B5C5DC19D333}" keepAlive="1" name="Query - qa_TransactionTypes" description="Connection to the 'qa_TransactionTypes' query in the workbook." type="5" refreshedVersion="0" background="1">
    <dbPr connection="Provider=Microsoft.Mashup.OleDb.1;Data Source=$Workbook$;Location=qa_TransactionTypes;Extended Properties=&quot;&quot;" command="SELECT * FROM [qa_TransactionTypes]"/>
  </connection>
  <connection id="10" xr16:uid="{5ECA99DB-044E-4466-9A8D-1FEA162127D8}" keepAlive="1" name="Query - src_2009_2010" description="Connection to the 'src_2009_2010' query in the workbook." type="5" refreshedVersion="0" background="1">
    <dbPr connection="Provider=Microsoft.Mashup.OleDb.1;Data Source=$Workbook$;Location=src_2009_2010;Extended Properties=&quot;&quot;" command="SELECT * FROM [src_2009_2010]"/>
  </connection>
  <connection id="11" xr16:uid="{27C991EA-BECD-4D06-BAAC-CEDDA0BDA50A}" keepAlive="1" name="Query - src_2010_2011" description="Connection to the 'src_2010_2011' query in the workbook." type="5" refreshedVersion="0" background="1">
    <dbPr connection="Provider=Microsoft.Mashup.OleDb.1;Data Source=$Workbook$;Location=src_2010_2011;Extended Properties=&quot;&quot;" command="SELECT * FROM [src_2010_2011]"/>
  </connection>
  <connection id="12" xr16:uid="{10A556DD-5766-4FC4-9D5D-9788839EAE6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im_Product].[RecordType].&amp;[Product]}"/>
    <s v="{[fact_Transactions].[RecordType].&amp;[Product]}"/>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<sst xmlns="http://schemas.openxmlformats.org/spreadsheetml/2006/main" count="515" uniqueCount="250">
  <si>
    <t>NEXORA COMMERCE</t>
  </si>
  <si>
    <t>Business Intelligence &amp; Forecasting Platform</t>
  </si>
  <si>
    <t>PURPOSE</t>
  </si>
  <si>
    <t>End-to-end Excel analytics platform for business performance analysis, customer analytics, forecasting, scenario modeling, optimization, and executive reporting.</t>
  </si>
  <si>
    <t>DATA SOURCE</t>
  </si>
  <si>
    <t>UCI Machine Learning Repository — Online Retail II</t>
  </si>
  <si>
    <t>PROJECT WORKFLOW</t>
  </si>
  <si>
    <t>Raw Data</t>
  </si>
  <si>
    <t>Power Query</t>
  </si>
  <si>
    <t>Data Model</t>
  </si>
  <si>
    <t>Business Analytics</t>
  </si>
  <si>
    <t>Forecasting &amp; Optimization</t>
  </si>
  <si>
    <t>Executive Dashboard</t>
  </si>
  <si>
    <t xml:space="preserve">Product </t>
  </si>
  <si>
    <t>Price</t>
  </si>
  <si>
    <t xml:space="preserve">Quantity </t>
  </si>
  <si>
    <t xml:space="preserve">Revenue </t>
  </si>
  <si>
    <t>Laptop Stand</t>
  </si>
  <si>
    <t>Keyboard</t>
  </si>
  <si>
    <t>Mouse</t>
  </si>
  <si>
    <t>Fee Rate</t>
  </si>
  <si>
    <t>Tansaction Fee</t>
  </si>
  <si>
    <t xml:space="preserve">Product Price </t>
  </si>
  <si>
    <t>Order ID</t>
  </si>
  <si>
    <t>Status</t>
  </si>
  <si>
    <t>Processing</t>
  </si>
  <si>
    <t>Priority</t>
  </si>
  <si>
    <t>Low</t>
  </si>
  <si>
    <t>Medium</t>
  </si>
  <si>
    <t>High</t>
  </si>
  <si>
    <t>Critical</t>
  </si>
  <si>
    <t>Order Priority</t>
  </si>
  <si>
    <t>Jan</t>
  </si>
  <si>
    <t>Feb</t>
  </si>
  <si>
    <t>Mar</t>
  </si>
  <si>
    <t>Apr</t>
  </si>
  <si>
    <t>France</t>
  </si>
  <si>
    <t>Germany</t>
  </si>
  <si>
    <t>UK</t>
  </si>
  <si>
    <t>Product</t>
  </si>
  <si>
    <t>Quantity</t>
  </si>
  <si>
    <t>Headphones</t>
  </si>
  <si>
    <t>Webcam</t>
  </si>
  <si>
    <t>USB Hub</t>
  </si>
  <si>
    <t>Revenue</t>
  </si>
  <si>
    <t>Final Revenue</t>
  </si>
  <si>
    <t>Discounted Rate</t>
  </si>
  <si>
    <t xml:space="preserve">Performance </t>
  </si>
  <si>
    <t>Laptop</t>
  </si>
  <si>
    <t>Monitor</t>
  </si>
  <si>
    <t>Units Sold</t>
  </si>
  <si>
    <t>Business Rating</t>
  </si>
  <si>
    <t>Priority Status</t>
  </si>
  <si>
    <t>Revenue Tier</t>
  </si>
  <si>
    <t>Country</t>
  </si>
  <si>
    <t xml:space="preserve">Category </t>
  </si>
  <si>
    <t>Canada</t>
  </si>
  <si>
    <t>Electronics</t>
  </si>
  <si>
    <t>Furniture</t>
  </si>
  <si>
    <t>Product ID</t>
  </si>
  <si>
    <t xml:space="preserve">Product Name </t>
  </si>
  <si>
    <t>Category</t>
  </si>
  <si>
    <t>P101</t>
  </si>
  <si>
    <t>Office</t>
  </si>
  <si>
    <t>P102</t>
  </si>
  <si>
    <t>P103</t>
  </si>
  <si>
    <t>P104</t>
  </si>
  <si>
    <t>Desk Lamp</t>
  </si>
  <si>
    <t>Home</t>
  </si>
  <si>
    <t>P105</t>
  </si>
  <si>
    <t xml:space="preserve">Search Product ID </t>
  </si>
  <si>
    <t>=VLOOKUP(</t>
  </si>
  <si>
    <t>Raw Customer Name</t>
  </si>
  <si>
    <t>Clean Customer Name</t>
  </si>
  <si>
    <t xml:space="preserve"> Samara Pires</t>
  </si>
  <si>
    <t>CAN-2026-45821</t>
  </si>
  <si>
    <t>CANADA-WEST-2026</t>
  </si>
  <si>
    <t>Samara</t>
  </si>
  <si>
    <t>Pires</t>
  </si>
  <si>
    <t>Desk</t>
  </si>
  <si>
    <t xml:space="preserve"> </t>
  </si>
  <si>
    <t>Row Labels</t>
  </si>
  <si>
    <t>Australia</t>
  </si>
  <si>
    <t>Austria</t>
  </si>
  <si>
    <t>Bahrain</t>
  </si>
  <si>
    <t>Belgium</t>
  </si>
  <si>
    <t>Bermuda</t>
  </si>
  <si>
    <t>Brazil</t>
  </si>
  <si>
    <t>Channel Islands</t>
  </si>
  <si>
    <t>Cyprus</t>
  </si>
  <si>
    <t>Czech Republic</t>
  </si>
  <si>
    <t>Denmark</t>
  </si>
  <si>
    <t>European Community</t>
  </si>
  <si>
    <t>Finland</t>
  </si>
  <si>
    <t>Greece</t>
  </si>
  <si>
    <t>Hong Kong</t>
  </si>
  <si>
    <t>Iceland</t>
  </si>
  <si>
    <t>Ireland</t>
  </si>
  <si>
    <t>Israel</t>
  </si>
  <si>
    <t>Italy</t>
  </si>
  <si>
    <t>Japan</t>
  </si>
  <si>
    <t>Korea</t>
  </si>
  <si>
    <t>Lebanon</t>
  </si>
  <si>
    <t>Lithuania</t>
  </si>
  <si>
    <t>Malta</t>
  </si>
  <si>
    <t>Netherlands</t>
  </si>
  <si>
    <t>Nigeria</t>
  </si>
  <si>
    <t>Norway</t>
  </si>
  <si>
    <t>Poland</t>
  </si>
  <si>
    <t>Portugal</t>
  </si>
  <si>
    <t>RSA</t>
  </si>
  <si>
    <t>Saudi Arabia</t>
  </si>
  <si>
    <t>Singapore</t>
  </si>
  <si>
    <t>Spain</t>
  </si>
  <si>
    <t>Sweden</t>
  </si>
  <si>
    <t>Switzerland</t>
  </si>
  <si>
    <t>Thailand</t>
  </si>
  <si>
    <t>United Arab Emirates</t>
  </si>
  <si>
    <t>United Kingdom</t>
  </si>
  <si>
    <t>Unspecified</t>
  </si>
  <si>
    <t>USA</t>
  </si>
  <si>
    <t>West Indies</t>
  </si>
  <si>
    <t>Grand Total</t>
  </si>
  <si>
    <t>Sum of Revenue</t>
  </si>
  <si>
    <t>Column Labels</t>
  </si>
  <si>
    <t>Core Sales Revenue</t>
  </si>
  <si>
    <t>Total Core Sales Revenue</t>
  </si>
  <si>
    <t>Total Core Orders</t>
  </si>
  <si>
    <t>Core Orders</t>
  </si>
  <si>
    <t>Total Average Order Value</t>
  </si>
  <si>
    <t>Average Order Value</t>
  </si>
  <si>
    <t>Total Previous Year Core Revenue</t>
  </si>
  <si>
    <t>Previous Year Core Revenue</t>
  </si>
  <si>
    <t>Total YoY Revenue Change</t>
  </si>
  <si>
    <t>YoY Revenue Change</t>
  </si>
  <si>
    <t>Total YoY Revenue Growth %</t>
  </si>
  <si>
    <t>YoY Revenue Growth %</t>
  </si>
  <si>
    <t>Unique Customers</t>
  </si>
  <si>
    <t>Core Units Sold</t>
  </si>
  <si>
    <t>Products Sold</t>
  </si>
  <si>
    <t>Core Revenue Share %</t>
  </si>
  <si>
    <t>2009-12</t>
  </si>
  <si>
    <t>2010-01</t>
  </si>
  <si>
    <t>2010-02</t>
  </si>
  <si>
    <t>2010-03</t>
  </si>
  <si>
    <t>2010-04</t>
  </si>
  <si>
    <t>2010-05</t>
  </si>
  <si>
    <t>2010-06</t>
  </si>
  <si>
    <t>2010-07</t>
  </si>
  <si>
    <t>2010-08</t>
  </si>
  <si>
    <t>2010-09</t>
  </si>
  <si>
    <t>2010-10</t>
  </si>
  <si>
    <t>2010-11</t>
  </si>
  <si>
    <t>2010-12</t>
  </si>
  <si>
    <t>2011-01</t>
  </si>
  <si>
    <t>2011-02</t>
  </si>
  <si>
    <t>2011-03</t>
  </si>
  <si>
    <t>2011-04</t>
  </si>
  <si>
    <t>2011-05</t>
  </si>
  <si>
    <t>2011-06</t>
  </si>
  <si>
    <t>2011-07</t>
  </si>
  <si>
    <t>2011-08</t>
  </si>
  <si>
    <t>2011-09</t>
  </si>
  <si>
    <t>2011-10</t>
  </si>
  <si>
    <t>2011-11</t>
  </si>
  <si>
    <t>2011-12</t>
  </si>
  <si>
    <t>(blank)</t>
  </si>
  <si>
    <t>60 TEATIME FAIRY CAKE CASES</t>
  </si>
  <si>
    <t>ASSORTED COLOUR BIRD ORNAMENT</t>
  </si>
  <si>
    <t>BROCADE RING PURSE</t>
  </si>
  <si>
    <t>CHILLI LIGHTS</t>
  </si>
  <si>
    <t>JUMBO BAG RED RETROSPOT</t>
  </si>
  <si>
    <t>MEDIUM CERAMIC TOP STORAGE JAR</t>
  </si>
  <si>
    <t>PACK OF 60 PINK PAISLEY CAKE CASES</t>
  </si>
  <si>
    <t>PAPER CHAIN KIT 50'S CHRISTMAS</t>
  </si>
  <si>
    <t>PAPER CRAFT , LITTLE BIRDIE</t>
  </si>
  <si>
    <t>PARTY BUNTING</t>
  </si>
  <si>
    <t>REGENCY CAKESTAND 3 TIER</t>
  </si>
  <si>
    <t>ROTATING SILVER ANGELS T-LIGHT HLDR</t>
  </si>
  <si>
    <t>SMALL POPCORN HOLDER</t>
  </si>
  <si>
    <t>WHITE HANGING HEART T-LIGHT HOLDER</t>
  </si>
  <si>
    <t>WORLD WAR 2 GLIDERS ASSTD DESIGNS</t>
  </si>
  <si>
    <t>RecordType</t>
  </si>
  <si>
    <t>13694</t>
  </si>
  <si>
    <t>14156</t>
  </si>
  <si>
    <t>14646</t>
  </si>
  <si>
    <t>14911</t>
  </si>
  <si>
    <t>16446</t>
  </si>
  <si>
    <t>16684</t>
  </si>
  <si>
    <t>17450</t>
  </si>
  <si>
    <t>17511</t>
  </si>
  <si>
    <t>18102</t>
  </si>
  <si>
    <t>Friday</t>
  </si>
  <si>
    <t>Monday</t>
  </si>
  <si>
    <t>Saturday</t>
  </si>
  <si>
    <t>Sunday</t>
  </si>
  <si>
    <t>Thursday</t>
  </si>
  <si>
    <t>Tuesday</t>
  </si>
  <si>
    <t>Wednesday</t>
  </si>
  <si>
    <t>Month</t>
  </si>
  <si>
    <t xml:space="preserve">Actual Revenue </t>
  </si>
  <si>
    <t>Date</t>
  </si>
  <si>
    <t>Naive Forecast</t>
  </si>
  <si>
    <t>Forecast Error</t>
  </si>
  <si>
    <t>3-Month Moving Average</t>
  </si>
  <si>
    <t>MA Forecast Error</t>
  </si>
  <si>
    <t>ETS Forecast</t>
  </si>
  <si>
    <t>95% Confidence Interval</t>
  </si>
  <si>
    <t>Lower Bound</t>
  </si>
  <si>
    <t>Upper Bound</t>
  </si>
  <si>
    <t>Linear Forecast</t>
  </si>
  <si>
    <t>Test Date</t>
  </si>
  <si>
    <t>Actual Revenue</t>
  </si>
  <si>
    <t>3M MA Forecast</t>
  </si>
  <si>
    <t>Accuracy Metric</t>
  </si>
  <si>
    <t>3M Moving Average</t>
  </si>
  <si>
    <t>Linear</t>
  </si>
  <si>
    <t>ETS</t>
  </si>
  <si>
    <t>MAE</t>
  </si>
  <si>
    <t>RMSE</t>
  </si>
  <si>
    <t>MAPE</t>
  </si>
  <si>
    <t>Naïve</t>
  </si>
  <si>
    <t>Positive Error</t>
  </si>
  <si>
    <t>Negative Error</t>
  </si>
  <si>
    <t>Selected Forecast Model</t>
  </si>
  <si>
    <t>Holdout MAPE</t>
  </si>
  <si>
    <t>Dec-2011 Forecast</t>
  </si>
  <si>
    <t>95% Lower Bound</t>
  </si>
  <si>
    <t>95% Upper Bound</t>
  </si>
  <si>
    <t>Forecasting Conclusion</t>
  </si>
  <si>
    <t>ETS was selected as the final forecasting model because it produced the lowest error across the holdout period. The model achieved approximately 4.3% MAPE, outperforming the naïve, 3-month moving average, and linear forecasting approaches. The December 2011 forecast is approximately ₹12.34 lakh, with a 95% confidence interval of approximately ₹10.47–₹14.21 lakh.</t>
  </si>
  <si>
    <t>Forecasting Limitation</t>
  </si>
  <si>
    <t>The source dataset ends on December 9, 2011, so December 2011 actual revenue represents only a partial month. It should not be used as a normal full-month observation when evaluating forecast performance.</t>
  </si>
  <si>
    <t>Conclusion Table</t>
  </si>
  <si>
    <t>Base Core Orders</t>
  </si>
  <si>
    <t>Base AOV</t>
  </si>
  <si>
    <t>Order Change %</t>
  </si>
  <si>
    <t>AOV Change %</t>
  </si>
  <si>
    <t>Projected Orders</t>
  </si>
  <si>
    <t>Projected AOV</t>
  </si>
  <si>
    <t>Projected Revenue</t>
  </si>
  <si>
    <t>Base Scenario Table</t>
  </si>
  <si>
    <t>Scenario</t>
  </si>
  <si>
    <t>Downside</t>
  </si>
  <si>
    <t>Base</t>
  </si>
  <si>
    <t>Upside</t>
  </si>
  <si>
    <t>Business Interpretation</t>
  </si>
  <si>
    <t>The scenario analysis shows that monthly revenue is sensitive to changes in both order volume and Average Order Value (AOV). Under the base case of 2,097 monthly orders and an AOV of ₹528.11, projected revenue is approximately ₹11.07 lakh.
In the downside scenario, a 10% decline in orders combined with a 5% decline in AOV reduces projected revenue to approximately ₹9.47 lakh. In contrast, a 10% increase in orders combined with a 5% increase in AOV raises projected revenue to approximately ₹12.79 lakh.
The two-variable sensitivity analysis further demonstrates the compounding effect of the two revenue drivers. Across the tested range, projected revenue varies from approximately ₹8.97 lakh when both drivers decline by 10% to approximately ₹13.40 lakh when both increase by 10%.
Goal Seek shows that, if AOV remains unchanged at ₹528.11, monthly order volume would need to increase by approximately 8.36%, from 2,097 to about 2,273 orders, to achieve a monthly revenue target of ₹12 lakh.</t>
  </si>
  <si>
    <t>Business Recommendation</t>
  </si>
  <si>
    <t>Revenue growth does not need to rely on a single lever. Management can pursue a combination of higher order volume and higher AOV through customer acquisition, retention, cross-selling, bundling, and pricing strategies. Because changes in orders and AOV compound, moderate improvements in both can produce a stronger revenue impact than focusing exclusively on one driver.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</si>
</sst>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 &quot;₹&quot;\ * #,##0.00_ ;_ &quot;₹&quot;\ * \-#,##0.00_ ;_ &quot;₹&quot;\ * &quot;-&quot;??_ ;_ @_ "/>
    <numFmt numFmtId="164" formatCode="0.0,,&quot;M&quot;"/>
    <numFmt numFmtId="165" formatCode="0.0,&quot;K&quot;"/>
    <numFmt numFmtId="166" formatCode="0.00%;\-0.00%;0.00%"/>
    <numFmt numFmtId="167" formatCode="&quot;₹&quot;\ #,##0.00;#,##0.00\ \-&quot;₹&quot;;&quot;₹&quot;\ #,##0.00"/>
    <numFmt numFmtId="168" formatCode="&quot;₹&quot;\ #,##0.00;#,##0.00\ \-&quot;₹&quot;;&quot;₹&quot;\ #,##0.00"/>
    <numFmt numFmtId="170" formatCode="mmm/yyyy"/>
  </numFmts>
  <fonts count="6">
    <font>
      <sz val="11"/>
      <color theme="1"/>
      <name val="Calibri"/>
      <family val="2"/>
      <scheme val="minor"/>
    </font>
    <font>
      <b/>
      <sz val="11"/>
      <color theme="0"/>
      <name val="Calibri"/>
      <family val="2"/>
      <scheme val="minor"/>
    </font>
    <font>
      <b/>
      <sz val="11"/>
      <color theme="1"/>
      <name val="Calibri"/>
      <family val="2"/>
      <scheme val="minor"/>
    </font>
    <font>
      <b/>
      <sz val="20"/>
      <color theme="1"/>
      <name val="Calibri"/>
      <family val="2"/>
      <scheme val="minor"/>
    </font>
    <font>
      <b/>
      <sz val="14"/>
      <color theme="1" tint="0.499984740745262"/>
      <name val="Calibri"/>
      <family val="2"/>
      <scheme val="minor"/>
    </font>
    <font>
      <sz val="10"/>
      <color theme="1"/>
      <name val="Arial Unicode MS"/>
    </font>
  </fonts>
  <fills count="6">
    <fill>
      <patternFill patternType="none"/>
    </fill>
    <fill>
      <patternFill patternType="gray125"/>
    </fill>
    <fill>
      <patternFill patternType="solid">
        <fgColor theme="4" tint="-0.499984740745262"/>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s>
  <borders count="25">
    <border>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s>
  <cellStyleXfs count="1">
    <xf numFmtId="0" fontId="0" fillId="0" borderId="0"/>
  </cellStyleXfs>
  <cellXfs count="86">
    <xf numFmtId="0" fontId="0" fillId="0" borderId="0" xfId="0"/>
    <xf numFmtId="9" fontId="0" fillId="0" borderId="0" xfId="0" applyNumberFormat="1"/>
    <xf numFmtId="10" fontId="0" fillId="0" borderId="0" xfId="0" applyNumberFormat="1"/>
    <xf numFmtId="44" fontId="0" fillId="0" borderId="0" xfId="0" applyNumberFormat="1"/>
    <xf numFmtId="14" fontId="0" fillId="0" borderId="0" xfId="0" applyNumberFormat="1"/>
    <xf numFmtId="164" fontId="0" fillId="0" borderId="0" xfId="0" applyNumberFormat="1"/>
    <xf numFmtId="165" fontId="0" fillId="0" borderId="0" xfId="0" applyNumberFormat="1"/>
    <xf numFmtId="0" fontId="0" fillId="2" borderId="0" xfId="0" applyFill="1" applyAlignment="1">
      <alignment horizontal="centerContinuous"/>
    </xf>
    <xf numFmtId="0" fontId="3" fillId="0" borderId="0" xfId="0" applyFont="1" applyAlignment="1">
      <alignment vertical="center"/>
    </xf>
    <xf numFmtId="0" fontId="0" fillId="0" borderId="0" xfId="0" applyAlignment="1">
      <alignment vertical="center"/>
    </xf>
    <xf numFmtId="0" fontId="1" fillId="2" borderId="0" xfId="0" applyFont="1" applyFill="1" applyAlignment="1">
      <alignment horizontal="centerContinuous" vertical="center"/>
    </xf>
    <xf numFmtId="0" fontId="0" fillId="0" borderId="0" xfId="0" applyAlignment="1">
      <alignment vertical="center" wrapText="1"/>
    </xf>
    <xf numFmtId="0" fontId="4" fillId="0" borderId="1" xfId="0" applyFont="1" applyBorder="1" applyAlignment="1">
      <alignment vertical="center"/>
    </xf>
    <xf numFmtId="0" fontId="0" fillId="0" borderId="1" xfId="0" applyBorder="1"/>
    <xf numFmtId="0" fontId="2" fillId="0" borderId="0" xfId="0" applyFont="1" applyAlignment="1">
      <alignment horizontal="left" vertical="center"/>
    </xf>
    <xf numFmtId="0" fontId="0" fillId="0" borderId="0" xfId="0" applyAlignment="1">
      <alignment horizontal="left"/>
    </xf>
    <xf numFmtId="0" fontId="2" fillId="0" borderId="0" xfId="0" applyFont="1"/>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wrapText="1"/>
    </xf>
    <xf numFmtId="0" fontId="2" fillId="0" borderId="0" xfId="0" applyFont="1" applyAlignment="1">
      <alignment horizontal="center" vertical="center" wrapText="1"/>
    </xf>
    <xf numFmtId="0" fontId="0" fillId="0" borderId="0" xfId="0" pivotButton="1"/>
    <xf numFmtId="166" fontId="0" fillId="0" borderId="0" xfId="0" applyNumberFormat="1"/>
    <xf numFmtId="1" fontId="0" fillId="0" borderId="0" xfId="0" applyNumberFormat="1"/>
    <xf numFmtId="167" fontId="0" fillId="0" borderId="0" xfId="0" applyNumberFormat="1"/>
    <xf numFmtId="168" fontId="0" fillId="0" borderId="0" xfId="0" applyNumberFormat="1"/>
    <xf numFmtId="170" fontId="0" fillId="0" borderId="0" xfId="0" applyNumberFormat="1" applyAlignment="1">
      <alignment horizontal="center"/>
    </xf>
    <xf numFmtId="168" fontId="0" fillId="0" borderId="0" xfId="0" applyNumberFormat="1" applyAlignment="1">
      <alignment horizontal="center"/>
    </xf>
    <xf numFmtId="2" fontId="0" fillId="0" borderId="0" xfId="0" applyNumberFormat="1"/>
    <xf numFmtId="0" fontId="0" fillId="0" borderId="0" xfId="0"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xf>
    <xf numFmtId="170" fontId="0" fillId="0" borderId="0" xfId="0" applyNumberFormat="1" applyAlignment="1">
      <alignment horizontal="center" vertical="center"/>
    </xf>
    <xf numFmtId="168" fontId="0" fillId="0" borderId="0" xfId="0" applyNumberFormat="1" applyAlignment="1">
      <alignment horizontal="center" vertical="center"/>
    </xf>
    <xf numFmtId="0" fontId="5" fillId="0" borderId="0" xfId="0" applyFont="1" applyAlignment="1">
      <alignment vertical="center" wrapText="1"/>
    </xf>
    <xf numFmtId="0" fontId="2" fillId="0" borderId="3"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0" fillId="0" borderId="6" xfId="0" applyBorder="1" applyAlignment="1">
      <alignment horizontal="center"/>
    </xf>
    <xf numFmtId="10" fontId="0" fillId="0" borderId="7" xfId="0" applyNumberFormat="1" applyBorder="1" applyAlignment="1">
      <alignment horizontal="center"/>
    </xf>
    <xf numFmtId="8" fontId="0" fillId="0" borderId="7" xfId="0" applyNumberFormat="1" applyBorder="1" applyAlignment="1">
      <alignment horizontal="center"/>
    </xf>
    <xf numFmtId="8" fontId="0" fillId="0" borderId="8" xfId="0" applyNumberFormat="1" applyBorder="1" applyAlignment="1">
      <alignment horizontal="center"/>
    </xf>
    <xf numFmtId="0" fontId="0" fillId="0" borderId="0" xfId="0" applyAlignment="1">
      <alignment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2" fillId="3" borderId="2" xfId="0" applyFont="1" applyFill="1" applyBorder="1" applyAlignment="1">
      <alignment horizontal="left"/>
    </xf>
    <xf numFmtId="0" fontId="2" fillId="4" borderId="12" xfId="0" applyFont="1" applyFill="1" applyBorder="1"/>
    <xf numFmtId="0" fontId="2" fillId="5" borderId="2" xfId="0" applyFont="1" applyFill="1" applyBorder="1"/>
    <xf numFmtId="0" fontId="0" fillId="0" borderId="14" xfId="0" applyBorder="1" applyAlignment="1">
      <alignment horizontal="center" vertical="center"/>
    </xf>
    <xf numFmtId="9" fontId="0" fillId="0" borderId="14" xfId="0" applyNumberForma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0" borderId="17" xfId="0" applyFont="1" applyBorder="1" applyAlignment="1">
      <alignment horizontal="center" vertical="center"/>
    </xf>
    <xf numFmtId="3" fontId="0" fillId="0" borderId="5" xfId="0" applyNumberFormat="1" applyBorder="1" applyAlignment="1">
      <alignment horizontal="center" vertical="center"/>
    </xf>
    <xf numFmtId="8" fontId="0" fillId="0" borderId="14" xfId="0" applyNumberFormat="1" applyBorder="1" applyAlignment="1">
      <alignment horizontal="center" vertical="center"/>
    </xf>
    <xf numFmtId="8" fontId="0" fillId="0" borderId="8" xfId="0" applyNumberFormat="1" applyBorder="1" applyAlignment="1">
      <alignment horizontal="center" vertical="center" wrapText="1"/>
    </xf>
    <xf numFmtId="0" fontId="0" fillId="3" borderId="2" xfId="0" applyFill="1" applyBorder="1"/>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0" fillId="0" borderId="13" xfId="0" applyBorder="1" applyAlignment="1">
      <alignment horizontal="center"/>
    </xf>
    <xf numFmtId="9" fontId="0" fillId="0" borderId="0" xfId="0" applyNumberFormat="1" applyBorder="1" applyAlignment="1">
      <alignment horizontal="center" vertical="center" wrapText="1"/>
    </xf>
    <xf numFmtId="9" fontId="0" fillId="0" borderId="0" xfId="0" applyNumberFormat="1" applyBorder="1" applyAlignment="1">
      <alignment horizontal="center"/>
    </xf>
    <xf numFmtId="9" fontId="0" fillId="0" borderId="7" xfId="0" applyNumberFormat="1" applyBorder="1" applyAlignment="1">
      <alignment horizontal="center"/>
    </xf>
    <xf numFmtId="8" fontId="0" fillId="0" borderId="14" xfId="0" applyNumberFormat="1" applyBorder="1" applyAlignment="1">
      <alignment horizontal="center"/>
    </xf>
    <xf numFmtId="8" fontId="2" fillId="0" borderId="19" xfId="0" applyNumberFormat="1" applyFont="1" applyBorder="1" applyAlignment="1">
      <alignment horizontal="center"/>
    </xf>
    <xf numFmtId="9" fontId="2" fillId="0" borderId="20" xfId="0" applyNumberFormat="1" applyFont="1" applyBorder="1" applyAlignment="1">
      <alignment horizontal="center"/>
    </xf>
    <xf numFmtId="9" fontId="2" fillId="0" borderId="21" xfId="0" applyNumberFormat="1" applyFont="1" applyBorder="1" applyAlignment="1">
      <alignment horizontal="center"/>
    </xf>
    <xf numFmtId="9" fontId="2" fillId="0" borderId="22" xfId="0" applyNumberFormat="1" applyFont="1" applyBorder="1" applyAlignment="1">
      <alignment horizontal="center" vertical="center" wrapText="1"/>
    </xf>
    <xf numFmtId="0" fontId="0" fillId="0" borderId="0" xfId="0" applyBorder="1" applyAlignment="1">
      <alignment horizontal="center"/>
    </xf>
    <xf numFmtId="0" fontId="0" fillId="0" borderId="14" xfId="0" applyBorder="1" applyAlignment="1">
      <alignment horizontal="center"/>
    </xf>
    <xf numFmtId="9" fontId="2" fillId="0" borderId="23" xfId="0" applyNumberFormat="1" applyFont="1" applyBorder="1" applyAlignment="1">
      <alignment horizontal="center" vertical="center" wrapText="1"/>
    </xf>
    <xf numFmtId="9" fontId="2" fillId="0" borderId="24" xfId="0" applyNumberFormat="1" applyFont="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center"/>
    </xf>
    <xf numFmtId="9" fontId="0" fillId="0" borderId="18" xfId="0" applyNumberFormat="1" applyBorder="1" applyAlignment="1">
      <alignment horizontal="center" vertical="center"/>
    </xf>
    <xf numFmtId="0" fontId="0" fillId="0" borderId="18" xfId="0" applyBorder="1" applyAlignment="1">
      <alignment horizontal="center" vertical="center"/>
    </xf>
    <xf numFmtId="0" fontId="2" fillId="3" borderId="18" xfId="0" applyFont="1" applyFill="1" applyBorder="1" applyAlignment="1">
      <alignment horizontal="center" vertical="center"/>
    </xf>
    <xf numFmtId="8" fontId="2" fillId="3" borderId="18" xfId="0" applyNumberFormat="1" applyFont="1" applyFill="1" applyBorder="1" applyAlignment="1">
      <alignment horizontal="center" vertical="center"/>
    </xf>
    <xf numFmtId="0" fontId="2" fillId="3" borderId="9" xfId="0" applyFont="1" applyFill="1" applyBorder="1"/>
    <xf numFmtId="0" fontId="2" fillId="3" borderId="11" xfId="0" applyFont="1" applyFill="1" applyBorder="1"/>
    <xf numFmtId="0" fontId="2" fillId="3" borderId="3" xfId="0" applyFont="1" applyFill="1" applyBorder="1"/>
    <xf numFmtId="0" fontId="2" fillId="3" borderId="5" xfId="0" applyFont="1" applyFill="1" applyBorder="1"/>
  </cellXfs>
  <cellStyles count="1">
    <cellStyle name="Normal" xfId="0" builtinId="0"/>
  </cellStyles>
  <dxfs count="5">
    <dxf>
      <fill>
        <patternFill>
          <bgColor theme="8" tint="0.79998168889431442"/>
        </patternFill>
      </fill>
    </dxf>
    <dxf>
      <fill>
        <patternFill>
          <bgColor theme="5" tint="0.59996337778862885"/>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pivotCacheDefinition" Target="pivotCache/pivotCacheDefinition13.xml"/><Relationship Id="rId39" Type="http://schemas.openxmlformats.org/officeDocument/2006/relationships/customXml" Target="../customXml/item6.xml"/><Relationship Id="rId21" Type="http://schemas.openxmlformats.org/officeDocument/2006/relationships/pivotCacheDefinition" Target="pivotCache/pivotCacheDefinition8.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55"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9" Type="http://schemas.openxmlformats.org/officeDocument/2006/relationships/styles" Target="styles.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openxmlformats.org/officeDocument/2006/relationships/customXml" Target="../customXml/item20.xml"/><Relationship Id="rId58" Type="http://schemas.openxmlformats.org/officeDocument/2006/relationships/customXml" Target="../customXml/item25.xml"/><Relationship Id="rId5" Type="http://schemas.openxmlformats.org/officeDocument/2006/relationships/worksheet" Target="worksheets/sheet5.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56" Type="http://schemas.openxmlformats.org/officeDocument/2006/relationships/customXml" Target="../customXml/item23.xml"/><Relationship Id="rId8" Type="http://schemas.openxmlformats.org/officeDocument/2006/relationships/worksheet" Target="worksheets/sheet8.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openxmlformats.org/officeDocument/2006/relationships/pivotCacheDefinition" Target="pivotCache/pivotCacheDefinition7.xml"/><Relationship Id="rId41" Type="http://schemas.openxmlformats.org/officeDocument/2006/relationships/customXml" Target="../customXml/item8.xml"/><Relationship Id="rId54"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connections" Target="connections.xml"/><Relationship Id="rId36" Type="http://schemas.openxmlformats.org/officeDocument/2006/relationships/customXml" Target="../customXml/item3.xml"/><Relationship Id="rId49" Type="http://schemas.openxmlformats.org/officeDocument/2006/relationships/customXml" Target="../customXml/item16.xml"/><Relationship Id="rId57" Type="http://schemas.openxmlformats.org/officeDocument/2006/relationships/customXml" Target="../customXml/item24.xml"/><Relationship Id="rId10" Type="http://schemas.openxmlformats.org/officeDocument/2006/relationships/worksheet" Target="worksheets/sheet10.xml"/><Relationship Id="rId31" Type="http://schemas.openxmlformats.org/officeDocument/2006/relationships/sheetMetadata" Target="metadata.xml"/><Relationship Id="rId44" Type="http://schemas.openxmlformats.org/officeDocument/2006/relationships/customXml" Target="../customXml/item11.xml"/><Relationship Id="rId52"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[Business_Intelligence_Model.xlsx]04_COUNTRY_ANALYSIS!PivotTable2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Countries by Core Sales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'04_COUNTRY_ANALYSIS'!$AD$4</c:f>
              <c:strCache>
                <c:ptCount val="1"/>
                <c:pt idx="0">
                  <c:v>Total</c:v>
                </c:pt>
              </c:strCache>
            </c:strRef>
          </c:tx>
          <c:spPr>
            <a:solidFill>
              <a:schemeClr val="accent1"/>
            </a:solidFill>
            <a:ln>
              <a:noFill/>
            </a:ln>
            <a:effectLst/>
          </c:spPr>
          <c:invertIfNegative val="0"/>
          <c:cat>
            <c:strRef>
              <c:f>'04_COUNTRY_ANALYSIS'!$AC$5:$AC$15</c:f>
              <c:strCache>
                <c:ptCount val="10"/>
                <c:pt idx="0">
                  <c:v>United Kingdom</c:v>
                </c:pt>
                <c:pt idx="1">
                  <c:v>Ireland</c:v>
                </c:pt>
                <c:pt idx="2">
                  <c:v>Netherlands</c:v>
                </c:pt>
                <c:pt idx="3">
                  <c:v>Germany</c:v>
                </c:pt>
                <c:pt idx="4">
                  <c:v>France</c:v>
                </c:pt>
                <c:pt idx="5">
                  <c:v>Australia</c:v>
                </c:pt>
                <c:pt idx="6">
                  <c:v>Spain</c:v>
                </c:pt>
                <c:pt idx="7">
                  <c:v>Switzerland</c:v>
                </c:pt>
                <c:pt idx="8">
                  <c:v>Sweden</c:v>
                </c:pt>
                <c:pt idx="9">
                  <c:v>Denmark</c:v>
                </c:pt>
              </c:strCache>
            </c:strRef>
          </c:cat>
          <c:val>
            <c:numRef>
              <c:f>'04_COUNTRY_ANALYSIS'!$AD$5:$AD$15</c:f>
              <c:numCache>
                <c:formatCode>"₹"\ #,##0.00;#,##0.00\ \-"₹";"₹"\ #,##0.00</c:formatCode>
                <c:ptCount val="10"/>
                <c:pt idx="0">
                  <c:v>17281229.077000007</c:v>
                </c:pt>
                <c:pt idx="1">
                  <c:v>640571.99999999953</c:v>
                </c:pt>
                <c:pt idx="2">
                  <c:v>549952.65999999922</c:v>
                </c:pt>
                <c:pt idx="3">
                  <c:v>388959.99100000132</c:v>
                </c:pt>
                <c:pt idx="4">
                  <c:v>317401.52999999974</c:v>
                </c:pt>
                <c:pt idx="5">
                  <c:v>168484.65999999989</c:v>
                </c:pt>
                <c:pt idx="6">
                  <c:v>98840.540000000037</c:v>
                </c:pt>
                <c:pt idx="7">
                  <c:v>94270.289999999746</c:v>
                </c:pt>
                <c:pt idx="8">
                  <c:v>86353.040000000008</c:v>
                </c:pt>
                <c:pt idx="9">
                  <c:v>68560.190000000017</c:v>
                </c:pt>
              </c:numCache>
            </c:numRef>
          </c:val>
          <c:extLst>
            <c:ext xmlns:c16="http://schemas.microsoft.com/office/drawing/2014/chart" uri="{C3380CC4-5D6E-409C-BE32-E72D297353CC}">
              <c16:uniqueId val="{00000000-8E1A-4FC2-A4B5-E5396E21CCC0}"/>
            </c:ext>
          </c:extLst>
        </c:ser>
        <c:dLbls>
          <c:showLegendKey val="0"/>
          <c:showVal val="0"/>
          <c:showCatName val="0"/>
          <c:showSerName val="0"/>
          <c:showPercent val="0"/>
          <c:showBubbleSize val="0"/>
        </c:dLbls>
        <c:gapWidth val="182"/>
        <c:axId val="1695266848"/>
        <c:axId val="1695271648"/>
      </c:barChart>
      <c:catAx>
        <c:axId val="1695266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71648"/>
        <c:crosses val="autoZero"/>
        <c:auto val="1"/>
        <c:lblAlgn val="ctr"/>
        <c:lblOffset val="100"/>
        <c:noMultiLvlLbl val="0"/>
      </c:catAx>
      <c:valAx>
        <c:axId val="1695271648"/>
        <c:scaling>
          <c:orientation val="minMax"/>
        </c:scaling>
        <c:delete val="0"/>
        <c:axPos val="t"/>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66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[Business_Intelligence_Model.xlsx]06_REVENUE_ANALYSIS!PivotTable3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Core Sales Revenue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'06_REVENUE_ANALYSIS'!$C$3</c:f>
              <c:strCache>
                <c:ptCount val="1"/>
                <c:pt idx="0">
                  <c:v>Core Sales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'06_REVENUE_ANALYSIS'!$B$4:$B$29</c:f>
              <c:strCache>
                <c:ptCount val="25"/>
                <c:pt idx="0">
                  <c:v>2009-12</c:v>
                </c:pt>
                <c:pt idx="1">
                  <c:v>2010-01</c:v>
                </c:pt>
                <c:pt idx="2">
                  <c:v>2010-02</c:v>
                </c:pt>
                <c:pt idx="3">
                  <c:v>2010-03</c:v>
                </c:pt>
                <c:pt idx="4">
                  <c:v>2010-04</c:v>
                </c:pt>
                <c:pt idx="5">
                  <c:v>2010-05</c:v>
                </c:pt>
                <c:pt idx="6">
                  <c:v>2010-06</c:v>
                </c:pt>
                <c:pt idx="7">
                  <c:v>2010-07</c:v>
                </c:pt>
                <c:pt idx="8">
                  <c:v>2010-08</c:v>
                </c:pt>
                <c:pt idx="9">
                  <c:v>2010-09</c:v>
                </c:pt>
                <c:pt idx="10">
                  <c:v>2010-10</c:v>
                </c:pt>
                <c:pt idx="11">
                  <c:v>2010-11</c:v>
                </c:pt>
                <c:pt idx="12">
                  <c:v>2010-12</c:v>
                </c:pt>
                <c:pt idx="13">
                  <c:v>2011-01</c:v>
                </c:pt>
                <c:pt idx="14">
                  <c:v>2011-02</c:v>
                </c:pt>
                <c:pt idx="15">
                  <c:v>2011-03</c:v>
                </c:pt>
                <c:pt idx="16">
                  <c:v>2011-04</c:v>
                </c:pt>
                <c:pt idx="17">
                  <c:v>2011-05</c:v>
                </c:pt>
                <c:pt idx="18">
                  <c:v>2011-06</c:v>
                </c:pt>
                <c:pt idx="19">
                  <c:v>2011-07</c:v>
                </c:pt>
                <c:pt idx="20">
                  <c:v>2011-08</c:v>
                </c:pt>
                <c:pt idx="21">
                  <c:v>2011-09</c:v>
                </c:pt>
                <c:pt idx="22">
                  <c:v>2011-10</c:v>
                </c:pt>
                <c:pt idx="23">
                  <c:v>2011-11</c:v>
                </c:pt>
                <c:pt idx="24">
                  <c:v>2011-12</c:v>
                </c:pt>
              </c:strCache>
            </c:strRef>
          </c:cat>
          <c:val>
            <c:numRef>
              <c:f>'06_REVENUE_ANALYSIS'!$C$4:$C$29</c:f>
              <c:numCache>
                <c:formatCode>"₹"\ #,##0.00;#,##0.00\ \-"₹";"₹"\ #,##0.00</c:formatCode>
                <c:ptCount val="25"/>
                <c:pt idx="0">
                  <c:v>801948.83999999624</c:v>
                </c:pt>
                <c:pt idx="1">
                  <c:v>623056.82199999923</c:v>
                </c:pt>
                <c:pt idx="2">
                  <c:v>539982.65599999763</c:v>
                </c:pt>
                <c:pt idx="3">
                  <c:v>764776.40099999832</c:v>
                </c:pt>
                <c:pt idx="4">
                  <c:v>649657.38199999614</c:v>
                </c:pt>
                <c:pt idx="5">
                  <c:v>646160.22999999614</c:v>
                </c:pt>
                <c:pt idx="6">
                  <c:v>700597.6999999932</c:v>
                </c:pt>
                <c:pt idx="7">
                  <c:v>635802.0899999988</c:v>
                </c:pt>
                <c:pt idx="8">
                  <c:v>677102.88999999745</c:v>
                </c:pt>
                <c:pt idx="9">
                  <c:v>872407.38099999889</c:v>
                </c:pt>
                <c:pt idx="10">
                  <c:v>1098995.3199999968</c:v>
                </c:pt>
                <c:pt idx="11">
                  <c:v>1443879.162000007</c:v>
                </c:pt>
                <c:pt idx="12">
                  <c:v>1215200.1300000055</c:v>
                </c:pt>
                <c:pt idx="13">
                  <c:v>672207.40999999957</c:v>
                </c:pt>
                <c:pt idx="14">
                  <c:v>509167.87000000046</c:v>
                </c:pt>
                <c:pt idx="15">
                  <c:v>692235.699999996</c:v>
                </c:pt>
                <c:pt idx="16">
                  <c:v>516754.79100000113</c:v>
                </c:pt>
                <c:pt idx="17">
                  <c:v>741726.73999999673</c:v>
                </c:pt>
                <c:pt idx="18">
                  <c:v>739426.87999999954</c:v>
                </c:pt>
                <c:pt idx="19">
                  <c:v>689947.74099999934</c:v>
                </c:pt>
                <c:pt idx="20">
                  <c:v>726005.16000000131</c:v>
                </c:pt>
                <c:pt idx="21">
                  <c:v>1031430.3619999947</c:v>
                </c:pt>
                <c:pt idx="22">
                  <c:v>1107449.5399999942</c:v>
                </c:pt>
                <c:pt idx="23">
                  <c:v>1458925.529999997</c:v>
                </c:pt>
                <c:pt idx="24">
                  <c:v>615716.60000000417</c:v>
                </c:pt>
              </c:numCache>
            </c:numRef>
          </c:val>
          <c:smooth val="0"/>
          <c:extLst>
            <c:ext xmlns:c16="http://schemas.microsoft.com/office/drawing/2014/chart" uri="{C3380CC4-5D6E-409C-BE32-E72D297353CC}">
              <c16:uniqueId val="{00000000-E767-4620-861F-7D540F3E2270}"/>
            </c:ext>
          </c:extLst>
        </c:ser>
        <c:ser>
          <c:idx val="1"/>
          <c:order val="1"/>
          <c:tx>
            <c:strRef>
              <c:f>'06_REVENUE_ANALYSIS'!$D$3</c:f>
              <c:strCache>
                <c:ptCount val="1"/>
                <c:pt idx="0">
                  <c:v>Average Order Value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'06_REVENUE_ANALYSIS'!$B$4:$B$29</c:f>
              <c:strCache>
                <c:ptCount val="25"/>
                <c:pt idx="0">
                  <c:v>2009-12</c:v>
                </c:pt>
                <c:pt idx="1">
                  <c:v>2010-01</c:v>
                </c:pt>
                <c:pt idx="2">
                  <c:v>2010-02</c:v>
                </c:pt>
                <c:pt idx="3">
                  <c:v>2010-03</c:v>
                </c:pt>
                <c:pt idx="4">
                  <c:v>2010-04</c:v>
                </c:pt>
                <c:pt idx="5">
                  <c:v>2010-05</c:v>
                </c:pt>
                <c:pt idx="6">
                  <c:v>2010-06</c:v>
                </c:pt>
                <c:pt idx="7">
                  <c:v>2010-07</c:v>
                </c:pt>
                <c:pt idx="8">
                  <c:v>2010-08</c:v>
                </c:pt>
                <c:pt idx="9">
                  <c:v>2010-09</c:v>
                </c:pt>
                <c:pt idx="10">
                  <c:v>2010-10</c:v>
                </c:pt>
                <c:pt idx="11">
                  <c:v>2010-11</c:v>
                </c:pt>
                <c:pt idx="12">
                  <c:v>2010-12</c:v>
                </c:pt>
                <c:pt idx="13">
                  <c:v>2011-01</c:v>
                </c:pt>
                <c:pt idx="14">
                  <c:v>2011-02</c:v>
                </c:pt>
                <c:pt idx="15">
                  <c:v>2011-03</c:v>
                </c:pt>
                <c:pt idx="16">
                  <c:v>2011-04</c:v>
                </c:pt>
                <c:pt idx="17">
                  <c:v>2011-05</c:v>
                </c:pt>
                <c:pt idx="18">
                  <c:v>2011-06</c:v>
                </c:pt>
                <c:pt idx="19">
                  <c:v>2011-07</c:v>
                </c:pt>
                <c:pt idx="20">
                  <c:v>2011-08</c:v>
                </c:pt>
                <c:pt idx="21">
                  <c:v>2011-09</c:v>
                </c:pt>
                <c:pt idx="22">
                  <c:v>2011-10</c:v>
                </c:pt>
                <c:pt idx="23">
                  <c:v>2011-11</c:v>
                </c:pt>
                <c:pt idx="24">
                  <c:v>2011-12</c:v>
                </c:pt>
              </c:strCache>
            </c:strRef>
          </c:cat>
          <c:val>
            <c:numRef>
              <c:f>'06_REVENUE_ANALYSIS'!$D$4:$D$29</c:f>
              <c:numCache>
                <c:formatCode>"₹"\ #,##0.00;#,##0.00\ \-"₹";"₹"\ #,##0.00</c:formatCode>
                <c:ptCount val="25"/>
                <c:pt idx="0">
                  <c:v>438.46300710770709</c:v>
                </c:pt>
                <c:pt idx="1">
                  <c:v>524.0175121951213</c:v>
                </c:pt>
                <c:pt idx="2">
                  <c:v>425.18319370078552</c:v>
                </c:pt>
                <c:pt idx="3">
                  <c:v>440.28578065630302</c:v>
                </c:pt>
                <c:pt idx="4">
                  <c:v>435.71923675385386</c:v>
                </c:pt>
                <c:pt idx="5">
                  <c:v>396.41731901840257</c:v>
                </c:pt>
                <c:pt idx="6">
                  <c:v>414.06483451536241</c:v>
                </c:pt>
                <c:pt idx="7">
                  <c:v>405.74479259731896</c:v>
                </c:pt>
                <c:pt idx="8">
                  <c:v>452.91163210702172</c:v>
                </c:pt>
                <c:pt idx="9">
                  <c:v>468.02971083690926</c:v>
                </c:pt>
                <c:pt idx="10">
                  <c:v>474.31822183858299</c:v>
                </c:pt>
                <c:pt idx="11">
                  <c:v>507.51464393673359</c:v>
                </c:pt>
                <c:pt idx="12">
                  <c:v>747.81546461538801</c:v>
                </c:pt>
                <c:pt idx="13">
                  <c:v>602.87660089686062</c:v>
                </c:pt>
                <c:pt idx="14">
                  <c:v>454.20862622658382</c:v>
                </c:pt>
                <c:pt idx="15">
                  <c:v>456.01824769433199</c:v>
                </c:pt>
                <c:pt idx="16">
                  <c:v>394.77065775401155</c:v>
                </c:pt>
                <c:pt idx="17">
                  <c:v>431.23647674418413</c:v>
                </c:pt>
                <c:pt idx="18">
                  <c:v>471.27270873167595</c:v>
                </c:pt>
                <c:pt idx="19">
                  <c:v>454.81064007910305</c:v>
                </c:pt>
                <c:pt idx="20">
                  <c:v>523.43558759913572</c:v>
                </c:pt>
                <c:pt idx="21">
                  <c:v>549.21744515441674</c:v>
                </c:pt>
                <c:pt idx="22">
                  <c:v>528.11136862183798</c:v>
                </c:pt>
                <c:pt idx="23">
                  <c:v>508.86833972793755</c:v>
                </c:pt>
                <c:pt idx="24">
                  <c:v>735.62317801673134</c:v>
                </c:pt>
              </c:numCache>
            </c:numRef>
          </c:val>
          <c:smooth val="0"/>
          <c:extLst>
            <c:ext xmlns:c16="http://schemas.microsoft.com/office/drawing/2014/chart" uri="{C3380CC4-5D6E-409C-BE32-E72D297353CC}">
              <c16:uniqueId val="{00000000-6B0F-4902-9585-9D38FA309AEA}"/>
            </c:ext>
          </c:extLst>
        </c:ser>
        <c:ser>
          <c:idx val="2"/>
          <c:order val="2"/>
          <c:tx>
            <c:strRef>
              <c:f>'06_REVENUE_ANALYSIS'!$E$3</c:f>
              <c:strCache>
                <c:ptCount val="1"/>
                <c:pt idx="0">
                  <c:v>Core Orders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'06_REVENUE_ANALYSIS'!$B$4:$B$29</c:f>
              <c:strCache>
                <c:ptCount val="25"/>
                <c:pt idx="0">
                  <c:v>2009-12</c:v>
                </c:pt>
                <c:pt idx="1">
                  <c:v>2010-01</c:v>
                </c:pt>
                <c:pt idx="2">
                  <c:v>2010-02</c:v>
                </c:pt>
                <c:pt idx="3">
                  <c:v>2010-03</c:v>
                </c:pt>
                <c:pt idx="4">
                  <c:v>2010-04</c:v>
                </c:pt>
                <c:pt idx="5">
                  <c:v>2010-05</c:v>
                </c:pt>
                <c:pt idx="6">
                  <c:v>2010-06</c:v>
                </c:pt>
                <c:pt idx="7">
                  <c:v>2010-07</c:v>
                </c:pt>
                <c:pt idx="8">
                  <c:v>2010-08</c:v>
                </c:pt>
                <c:pt idx="9">
                  <c:v>2010-09</c:v>
                </c:pt>
                <c:pt idx="10">
                  <c:v>2010-10</c:v>
                </c:pt>
                <c:pt idx="11">
                  <c:v>2010-11</c:v>
                </c:pt>
                <c:pt idx="12">
                  <c:v>2010-12</c:v>
                </c:pt>
                <c:pt idx="13">
                  <c:v>2011-01</c:v>
                </c:pt>
                <c:pt idx="14">
                  <c:v>2011-02</c:v>
                </c:pt>
                <c:pt idx="15">
                  <c:v>2011-03</c:v>
                </c:pt>
                <c:pt idx="16">
                  <c:v>2011-04</c:v>
                </c:pt>
                <c:pt idx="17">
                  <c:v>2011-05</c:v>
                </c:pt>
                <c:pt idx="18">
                  <c:v>2011-06</c:v>
                </c:pt>
                <c:pt idx="19">
                  <c:v>2011-07</c:v>
                </c:pt>
                <c:pt idx="20">
                  <c:v>2011-08</c:v>
                </c:pt>
                <c:pt idx="21">
                  <c:v>2011-09</c:v>
                </c:pt>
                <c:pt idx="22">
                  <c:v>2011-10</c:v>
                </c:pt>
                <c:pt idx="23">
                  <c:v>2011-11</c:v>
                </c:pt>
                <c:pt idx="24">
                  <c:v>2011-12</c:v>
                </c:pt>
              </c:strCache>
            </c:strRef>
          </c:cat>
          <c:val>
            <c:numRef>
              <c:f>'06_REVENUE_ANALYSIS'!$E$4:$E$29</c:f>
              <c:numCache>
                <c:formatCode>0</c:formatCode>
                <c:ptCount val="25"/>
                <c:pt idx="0">
                  <c:v>1829</c:v>
                </c:pt>
                <c:pt idx="1">
                  <c:v>1189</c:v>
                </c:pt>
                <c:pt idx="2">
                  <c:v>1270</c:v>
                </c:pt>
                <c:pt idx="3">
                  <c:v>1737</c:v>
                </c:pt>
                <c:pt idx="4">
                  <c:v>1491</c:v>
                </c:pt>
                <c:pt idx="5">
                  <c:v>1630</c:v>
                </c:pt>
                <c:pt idx="6">
                  <c:v>1692</c:v>
                </c:pt>
                <c:pt idx="7">
                  <c:v>1567</c:v>
                </c:pt>
                <c:pt idx="8">
                  <c:v>1495</c:v>
                </c:pt>
                <c:pt idx="9">
                  <c:v>1864</c:v>
                </c:pt>
                <c:pt idx="10">
                  <c:v>2317</c:v>
                </c:pt>
                <c:pt idx="11">
                  <c:v>2845</c:v>
                </c:pt>
                <c:pt idx="12">
                  <c:v>1625</c:v>
                </c:pt>
                <c:pt idx="13">
                  <c:v>1115</c:v>
                </c:pt>
                <c:pt idx="14">
                  <c:v>1121</c:v>
                </c:pt>
                <c:pt idx="15">
                  <c:v>1518</c:v>
                </c:pt>
                <c:pt idx="16">
                  <c:v>1309</c:v>
                </c:pt>
                <c:pt idx="17">
                  <c:v>1720</c:v>
                </c:pt>
                <c:pt idx="18">
                  <c:v>1569</c:v>
                </c:pt>
                <c:pt idx="19">
                  <c:v>1517</c:v>
                </c:pt>
                <c:pt idx="20">
                  <c:v>1387</c:v>
                </c:pt>
                <c:pt idx="21">
                  <c:v>1878</c:v>
                </c:pt>
                <c:pt idx="22">
                  <c:v>2097</c:v>
                </c:pt>
                <c:pt idx="23">
                  <c:v>2867</c:v>
                </c:pt>
                <c:pt idx="24">
                  <c:v>837</c:v>
                </c:pt>
              </c:numCache>
            </c:numRef>
          </c:val>
          <c:smooth val="0"/>
          <c:extLst>
            <c:ext xmlns:c16="http://schemas.microsoft.com/office/drawing/2014/chart" uri="{C3380CC4-5D6E-409C-BE32-E72D297353CC}">
              <c16:uniqueId val="{00000002-6B0F-4902-9585-9D38FA309AEA}"/>
            </c:ext>
          </c:extLst>
        </c:ser>
        <c:dLbls>
          <c:showLegendKey val="0"/>
          <c:showVal val="0"/>
          <c:showCatName val="0"/>
          <c:showSerName val="0"/>
          <c:showPercent val="0"/>
          <c:showBubbleSize val="0"/>
        </c:dLbls>
        <c:marker val="1"/>
        <c:smooth val="0"/>
        <c:axId val="1516437856"/>
        <c:axId val="1516436416"/>
      </c:lineChart>
      <c:catAx>
        <c:axId val="151643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436416"/>
        <c:crosses val="autoZero"/>
        <c:auto val="1"/>
        <c:lblAlgn val="ctr"/>
        <c:lblOffset val="100"/>
        <c:noMultiLvlLbl val="0"/>
      </c:catAx>
      <c:valAx>
        <c:axId val="151643641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437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[Business_Intelligence_Model.xlsx]07_PRODUCT_ANALYSIS!PivotTable4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Products by Core Sales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'07_PRODUCT_ANALYSIS'!$K$5</c:f>
              <c:strCache>
                <c:ptCount val="1"/>
                <c:pt idx="0">
                  <c:v>Total</c:v>
                </c:pt>
              </c:strCache>
            </c:strRef>
          </c:tx>
          <c:spPr>
            <a:solidFill>
              <a:schemeClr val="accent1"/>
            </a:solidFill>
            <a:ln>
              <a:noFill/>
            </a:ln>
            <a:effectLst/>
          </c:spPr>
          <c:invertIfNegative val="0"/>
          <c:cat>
            <c:strRef>
              <c:f>'07_PRODUCT_ANALYSIS'!$J$6:$J$16</c:f>
              <c:strCache>
                <c:ptCount val="10"/>
                <c:pt idx="0">
                  <c:v>ASSORTED COLOUR BIRD ORNAMENT</c:v>
                </c:pt>
                <c:pt idx="1">
                  <c:v>CHILLI LIGHTS</c:v>
                </c:pt>
                <c:pt idx="2">
                  <c:v>JUMBO BAG RED RETROSPOT</c:v>
                </c:pt>
                <c:pt idx="3">
                  <c:v>MEDIUM CERAMIC TOP STORAGE JAR</c:v>
                </c:pt>
                <c:pt idx="4">
                  <c:v>PAPER CHAIN KIT 50'S CHRISTMAS</c:v>
                </c:pt>
                <c:pt idx="5">
                  <c:v>PAPER CRAFT , LITTLE BIRDIE</c:v>
                </c:pt>
                <c:pt idx="6">
                  <c:v>PARTY BUNTING</c:v>
                </c:pt>
                <c:pt idx="7">
                  <c:v>REGENCY CAKESTAND 3 TIER</c:v>
                </c:pt>
                <c:pt idx="8">
                  <c:v>ROTATING SILVER ANGELS T-LIGHT HLDR</c:v>
                </c:pt>
                <c:pt idx="9">
                  <c:v>WHITE HANGING HEART T-LIGHT HOLDER</c:v>
                </c:pt>
              </c:strCache>
            </c:strRef>
          </c:cat>
          <c:val>
            <c:numRef>
              <c:f>'07_PRODUCT_ANALYSIS'!$K$6:$K$16</c:f>
              <c:numCache>
                <c:formatCode>"₹"\ #,##0.00;#,##0.00\ \-"₹";"₹"\ #,##0.00</c:formatCode>
                <c:ptCount val="10"/>
                <c:pt idx="0">
                  <c:v>132187.92000000033</c:v>
                </c:pt>
                <c:pt idx="1">
                  <c:v>85489.91000000028</c:v>
                </c:pt>
                <c:pt idx="2">
                  <c:v>150935.55999999974</c:v>
                </c:pt>
                <c:pt idx="3">
                  <c:v>81700.919999999969</c:v>
                </c:pt>
                <c:pt idx="4">
                  <c:v>123141.53999999994</c:v>
                </c:pt>
                <c:pt idx="5">
                  <c:v>168469.6</c:v>
                </c:pt>
                <c:pt idx="6">
                  <c:v>149187.05000000072</c:v>
                </c:pt>
                <c:pt idx="7">
                  <c:v>344563.25000000006</c:v>
                </c:pt>
                <c:pt idx="8">
                  <c:v>74448.920000000231</c:v>
                </c:pt>
                <c:pt idx="9">
                  <c:v>266923.55000000075</c:v>
                </c:pt>
              </c:numCache>
            </c:numRef>
          </c:val>
          <c:extLst>
            <c:ext xmlns:c16="http://schemas.microsoft.com/office/drawing/2014/chart" uri="{C3380CC4-5D6E-409C-BE32-E72D297353CC}">
              <c16:uniqueId val="{00000000-29D0-44EE-826E-5A03F97ABEAB}"/>
            </c:ext>
          </c:extLst>
        </c:ser>
        <c:dLbls>
          <c:showLegendKey val="0"/>
          <c:showVal val="0"/>
          <c:showCatName val="0"/>
          <c:showSerName val="0"/>
          <c:showPercent val="0"/>
          <c:showBubbleSize val="0"/>
        </c:dLbls>
        <c:gapWidth val="182"/>
        <c:axId val="1186021152"/>
        <c:axId val="1186022112"/>
      </c:barChart>
      <c:catAx>
        <c:axId val="1186021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022112"/>
        <c:crosses val="autoZero"/>
        <c:auto val="1"/>
        <c:lblAlgn val="ctr"/>
        <c:lblOffset val="100"/>
        <c:noMultiLvlLbl val="0"/>
      </c:catAx>
      <c:valAx>
        <c:axId val="118602211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021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[Business_Intelligence_Model.xlsx]08_CUSTOMER_ANALYSIS!PivotTable7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by Core Sales Revenue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'08_CUSTOMER_ANALYSIS'!$J$4</c:f>
              <c:strCache>
                <c:ptCount val="1"/>
                <c:pt idx="0">
                  <c:v>Total</c:v>
                </c:pt>
              </c:strCache>
            </c:strRef>
          </c:tx>
          <c:spPr>
            <a:solidFill>
              <a:schemeClr val="accent1"/>
            </a:solidFill>
            <a:ln>
              <a:noFill/>
            </a:ln>
            <a:effectLst/>
          </c:spPr>
          <c:invertIfNegative val="0"/>
          <c:cat>
            <c:strRef>
              <c:f>'08_CUSTOMER_ANALYSIS'!$I$5:$I$15</c:f>
              <c:strCache>
                <c:ptCount val="10"/>
                <c:pt idx="0">
                  <c:v>(blank)</c:v>
                </c:pt>
                <c:pt idx="1">
                  <c:v>13694</c:v>
                </c:pt>
                <c:pt idx="2">
                  <c:v>14156</c:v>
                </c:pt>
                <c:pt idx="3">
                  <c:v>14646</c:v>
                </c:pt>
                <c:pt idx="4">
                  <c:v>14911</c:v>
                </c:pt>
                <c:pt idx="5">
                  <c:v>16446</c:v>
                </c:pt>
                <c:pt idx="6">
                  <c:v>16684</c:v>
                </c:pt>
                <c:pt idx="7">
                  <c:v>17450</c:v>
                </c:pt>
                <c:pt idx="8">
                  <c:v>17511</c:v>
                </c:pt>
                <c:pt idx="9">
                  <c:v>18102</c:v>
                </c:pt>
              </c:strCache>
            </c:strRef>
          </c:cat>
          <c:val>
            <c:numRef>
              <c:f>'08_CUSTOMER_ANALYSIS'!$J$5:$J$15</c:f>
              <c:numCache>
                <c:formatCode>"₹"\ #,##0.00;#,##0.00\ \-"₹";"₹"\ #,##0.00</c:formatCode>
                <c:ptCount val="10"/>
                <c:pt idx="0">
                  <c:v>2717942.1200000294</c:v>
                </c:pt>
                <c:pt idx="1">
                  <c:v>196482.80999999985</c:v>
                </c:pt>
                <c:pt idx="2">
                  <c:v>305767.92000000214</c:v>
                </c:pt>
                <c:pt idx="3">
                  <c:v>526751.51999999839</c:v>
                </c:pt>
                <c:pt idx="4">
                  <c:v>284592.97000000096</c:v>
                </c:pt>
                <c:pt idx="5">
                  <c:v>168472.5</c:v>
                </c:pt>
                <c:pt idx="6">
                  <c:v>147142.7699999999</c:v>
                </c:pt>
                <c:pt idx="7">
                  <c:v>246973.09</c:v>
                </c:pt>
                <c:pt idx="8">
                  <c:v>175603.55000000005</c:v>
                </c:pt>
                <c:pt idx="9">
                  <c:v>608821.64999999909</c:v>
                </c:pt>
              </c:numCache>
            </c:numRef>
          </c:val>
          <c:extLst>
            <c:ext xmlns:c16="http://schemas.microsoft.com/office/drawing/2014/chart" uri="{C3380CC4-5D6E-409C-BE32-E72D297353CC}">
              <c16:uniqueId val="{00000000-4C8A-4462-8E31-2794BE260637}"/>
            </c:ext>
          </c:extLst>
        </c:ser>
        <c:dLbls>
          <c:showLegendKey val="0"/>
          <c:showVal val="0"/>
          <c:showCatName val="0"/>
          <c:showSerName val="0"/>
          <c:showPercent val="0"/>
          <c:showBubbleSize val="0"/>
        </c:dLbls>
        <c:gapWidth val="182"/>
        <c:axId val="1695274048"/>
        <c:axId val="1695284608"/>
      </c:barChart>
      <c:catAx>
        <c:axId val="1695274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84608"/>
        <c:crosses val="autoZero"/>
        <c:auto val="1"/>
        <c:lblAlgn val="ctr"/>
        <c:lblOffset val="100"/>
        <c:noMultiLvlLbl val="0"/>
      </c:catAx>
      <c:valAx>
        <c:axId val="1695284608"/>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74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Forecast - ETS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'11_FORECASTING'!$Z$3</c:f>
              <c:strCache>
                <c:ptCount val="1"/>
                <c:pt idx="0">
                  <c:v>Actual Revenue</c:v>
                </c:pt>
              </c:strCache>
            </c:strRef>
          </c:tx>
          <c:spPr>
            <a:ln w="28575" cap="rnd">
              <a:solidFill>
                <a:schemeClr val="accent1"/>
              </a:solidFill>
              <a:round/>
            </a:ln>
            <a:effectLst/>
          </c:spPr>
          <c:marker>
            <c:symbol val="none"/>
          </c:marker>
          <c:cat>
            <c:numRef>
              <c:f>'11_FORECASTING'!$Y$4:$Y$28</c:f>
              <c:numCache>
                <c:formatCode>mmm/yyyy</c:formatCode>
                <c:ptCount val="25"/>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numCache>
            </c:numRef>
          </c:cat>
          <c:val>
            <c:numRef>
              <c:f>'11_FORECASTING'!$Z$4:$Z$28</c:f>
              <c:numCache>
                <c:formatCode>"₹"\ #,##0.00;#,##0.00\ \-"₹";"₹"\ #,##0.00</c:formatCode>
                <c:ptCount val="25"/>
                <c:pt idx="0">
                  <c:v>801948.83999999927</c:v>
                </c:pt>
                <c:pt idx="1">
                  <c:v>623056.82200000109</c:v>
                </c:pt>
                <c:pt idx="2">
                  <c:v>539982.65599999635</c:v>
                </c:pt>
                <c:pt idx="3">
                  <c:v>764776.40099999821</c:v>
                </c:pt>
                <c:pt idx="4">
                  <c:v>649657.38199999614</c:v>
                </c:pt>
                <c:pt idx="5">
                  <c:v>646160.22999999404</c:v>
                </c:pt>
                <c:pt idx="6">
                  <c:v>700597.69999999634</c:v>
                </c:pt>
                <c:pt idx="7">
                  <c:v>635802.08999999904</c:v>
                </c:pt>
                <c:pt idx="8">
                  <c:v>677102.8899999978</c:v>
                </c:pt>
                <c:pt idx="9">
                  <c:v>872407.38099999831</c:v>
                </c:pt>
                <c:pt idx="10">
                  <c:v>1098995.3199999982</c:v>
                </c:pt>
                <c:pt idx="11">
                  <c:v>1443879.162000003</c:v>
                </c:pt>
                <c:pt idx="12">
                  <c:v>1215200.1299999983</c:v>
                </c:pt>
                <c:pt idx="13">
                  <c:v>672207.40999999479</c:v>
                </c:pt>
                <c:pt idx="14">
                  <c:v>509167.87000000023</c:v>
                </c:pt>
                <c:pt idx="15">
                  <c:v>692235.69999999518</c:v>
                </c:pt>
                <c:pt idx="16">
                  <c:v>516754.79100000073</c:v>
                </c:pt>
                <c:pt idx="17">
                  <c:v>741726.73999999871</c:v>
                </c:pt>
                <c:pt idx="18">
                  <c:v>739426.88000000163</c:v>
                </c:pt>
                <c:pt idx="19">
                  <c:v>689947.74099999783</c:v>
                </c:pt>
                <c:pt idx="20">
                  <c:v>726005.16000000131</c:v>
                </c:pt>
                <c:pt idx="21">
                  <c:v>1031430.3619999989</c:v>
                </c:pt>
                <c:pt idx="22">
                  <c:v>1107449.5399999949</c:v>
                </c:pt>
                <c:pt idx="23">
                  <c:v>1458925.5299999956</c:v>
                </c:pt>
              </c:numCache>
            </c:numRef>
          </c:val>
          <c:smooth val="0"/>
          <c:extLst>
            <c:ext xmlns:c16="http://schemas.microsoft.com/office/drawing/2014/chart" uri="{C3380CC4-5D6E-409C-BE32-E72D297353CC}">
              <c16:uniqueId val="{00000000-0300-41D3-AAEF-E4B3CDFCB173}"/>
            </c:ext>
          </c:extLst>
        </c:ser>
        <c:ser>
          <c:idx val="1"/>
          <c:order val="1"/>
          <c:tx>
            <c:strRef>
              <c:f>'11_FORECASTING'!$AA$3</c:f>
              <c:strCache>
                <c:ptCount val="1"/>
                <c:pt idx="0">
                  <c:v>ETS Forecast</c:v>
                </c:pt>
              </c:strCache>
            </c:strRef>
          </c:tx>
          <c:spPr>
            <a:ln w="28575" cap="rnd">
              <a:solidFill>
                <a:schemeClr val="accent2"/>
              </a:solidFill>
              <a:round/>
            </a:ln>
            <a:effectLst/>
          </c:spPr>
          <c:marker>
            <c:symbol val="none"/>
          </c:marker>
          <c:errBars>
            <c:errDir val="y"/>
            <c:errBarType val="both"/>
            <c:errValType val="cust"/>
            <c:noEndCap val="0"/>
            <c:plus>
              <c:numRef>
                <c:f>'11_FORECASTING'!$AD$28</c:f>
                <c:numCache>
                  <c:formatCode>General</c:formatCode>
                  <c:ptCount val="1"/>
                  <c:pt idx="0">
                    <c:v>187162.82003678358</c:v>
                  </c:pt>
                </c:numCache>
              </c:numRef>
            </c:plus>
            <c:minus>
              <c:numRef>
                <c:f>'11_FORECASTING'!$AE$28</c:f>
                <c:numCache>
                  <c:formatCode>General</c:formatCode>
                  <c:ptCount val="1"/>
                  <c:pt idx="0">
                    <c:v>187162.82003678358</c:v>
                  </c:pt>
                </c:numCache>
              </c:numRef>
            </c:minus>
            <c:spPr>
              <a:noFill/>
              <a:ln w="9525" cap="flat" cmpd="sng" algn="ctr">
                <a:solidFill>
                  <a:schemeClr val="tx1">
                    <a:lumMod val="65000"/>
                    <a:lumOff val="35000"/>
                  </a:schemeClr>
                </a:solidFill>
                <a:round/>
              </a:ln>
              <a:effectLst/>
            </c:spPr>
          </c:errBars>
          <c:cat>
            <c:numRef>
              <c:f>'11_FORECASTING'!$Y$4:$Y$28</c:f>
              <c:numCache>
                <c:formatCode>mmm/yyyy</c:formatCode>
                <c:ptCount val="25"/>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numCache>
            </c:numRef>
          </c:cat>
          <c:val>
            <c:numRef>
              <c:f>'11_FORECASTING'!$AA$4:$AA$28</c:f>
              <c:numCache>
                <c:formatCode>General</c:formatCode>
                <c:ptCount val="25"/>
                <c:pt idx="23" formatCode="&quot;₹&quot;\ #,##0.00;#,##0.00\ \-&quot;₹&quot;;&quot;₹&quot;\ #,##0.00">
                  <c:v>1458925.5299999956</c:v>
                </c:pt>
                <c:pt idx="24" formatCode="&quot;₹&quot;\ #,##0.00;#,##0.00\ \-&quot;₹&quot;;&quot;₹&quot;\ #,##0.00">
                  <c:v>1234273.4054165592</c:v>
                </c:pt>
              </c:numCache>
            </c:numRef>
          </c:val>
          <c:smooth val="0"/>
          <c:extLst>
            <c:ext xmlns:c16="http://schemas.microsoft.com/office/drawing/2014/chart" uri="{C3380CC4-5D6E-409C-BE32-E72D297353CC}">
              <c16:uniqueId val="{00000001-0300-41D3-AAEF-E4B3CDFCB173}"/>
            </c:ext>
          </c:extLst>
        </c:ser>
        <c:dLbls>
          <c:showLegendKey val="0"/>
          <c:showVal val="0"/>
          <c:showCatName val="0"/>
          <c:showSerName val="0"/>
          <c:showPercent val="0"/>
          <c:showBubbleSize val="0"/>
        </c:dLbls>
        <c:smooth val="0"/>
        <c:axId val="1456231135"/>
        <c:axId val="1456222495"/>
      </c:lineChart>
      <c:dateAx>
        <c:axId val="1456231135"/>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222495"/>
        <c:crosses val="autoZero"/>
        <c:auto val="1"/>
        <c:lblOffset val="100"/>
        <c:baseTimeUnit val="months"/>
      </c:dateAx>
      <c:valAx>
        <c:axId val="14562224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231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30</xdr:col>
      <xdr:colOff>594295</xdr:colOff>
      <xdr:row>4</xdr:row>
      <xdr:rowOff>77503</xdr:rowOff>
    </xdr:from>
    <xdr:to>
      <xdr:col>36</xdr:col>
      <xdr:colOff>332153</xdr:colOff>
      <xdr:row>15</xdr:row>
      <xdr:rowOff>16281</xdr:rowOff>
    </xdr:to>
    <xdr:graphicFrame macro="">
      <xdr:nvGraphicFramePr>
        <xdr:cNvPr id="2" name="Chart 1">
          <a:extLst>
            <a:ext uri="{FF2B5EF4-FFF2-40B4-BE49-F238E27FC236}">
              <a16:creationId xmlns:a16="http://schemas.microsoft.com/office/drawing/2014/main" id="{8DD45238-B3EE-4170-2D2B-25EE8110FC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238297</xdr:colOff>
      <xdr:row>6</xdr:row>
      <xdr:rowOff>23683</xdr:rowOff>
    </xdr:from>
    <xdr:to>
      <xdr:col>13</xdr:col>
      <xdr:colOff>548589</xdr:colOff>
      <xdr:row>21</xdr:row>
      <xdr:rowOff>4633</xdr:rowOff>
    </xdr:to>
    <xdr:graphicFrame macro="">
      <xdr:nvGraphicFramePr>
        <xdr:cNvPr id="2" name="Chart 1">
          <a:extLst>
            <a:ext uri="{FF2B5EF4-FFF2-40B4-BE49-F238E27FC236}">
              <a16:creationId xmlns:a16="http://schemas.microsoft.com/office/drawing/2014/main" id="{6D76557D-32FB-335B-89DA-05B5EDC3C6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123825</xdr:colOff>
      <xdr:row>3</xdr:row>
      <xdr:rowOff>82550</xdr:rowOff>
    </xdr:from>
    <xdr:to>
      <xdr:col>21</xdr:col>
      <xdr:colOff>158750</xdr:colOff>
      <xdr:row>18</xdr:row>
      <xdr:rowOff>95250</xdr:rowOff>
    </xdr:to>
    <xdr:graphicFrame macro="">
      <xdr:nvGraphicFramePr>
        <xdr:cNvPr id="2" name="Chart 1">
          <a:extLst>
            <a:ext uri="{FF2B5EF4-FFF2-40B4-BE49-F238E27FC236}">
              <a16:creationId xmlns:a16="http://schemas.microsoft.com/office/drawing/2014/main" id="{87323D28-FC40-4435-4762-1EB12D8FCC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517525</xdr:colOff>
      <xdr:row>2</xdr:row>
      <xdr:rowOff>63500</xdr:rowOff>
    </xdr:from>
    <xdr:to>
      <xdr:col>18</xdr:col>
      <xdr:colOff>212725</xdr:colOff>
      <xdr:row>17</xdr:row>
      <xdr:rowOff>44450</xdr:rowOff>
    </xdr:to>
    <xdr:graphicFrame macro="">
      <xdr:nvGraphicFramePr>
        <xdr:cNvPr id="3" name="Chart 2">
          <a:extLst>
            <a:ext uri="{FF2B5EF4-FFF2-40B4-BE49-F238E27FC236}">
              <a16:creationId xmlns:a16="http://schemas.microsoft.com/office/drawing/2014/main" id="{720B3289-23BC-5C4D-AF80-8A4913D2CD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35</xdr:col>
      <xdr:colOff>28575</xdr:colOff>
      <xdr:row>3</xdr:row>
      <xdr:rowOff>19050</xdr:rowOff>
    </xdr:from>
    <xdr:to>
      <xdr:col>41</xdr:col>
      <xdr:colOff>533400</xdr:colOff>
      <xdr:row>16</xdr:row>
      <xdr:rowOff>19050</xdr:rowOff>
    </xdr:to>
    <xdr:graphicFrame macro="">
      <xdr:nvGraphicFramePr>
        <xdr:cNvPr id="2" name="Chart 1">
          <a:extLst>
            <a:ext uri="{FF2B5EF4-FFF2-40B4-BE49-F238E27FC236}">
              <a16:creationId xmlns:a16="http://schemas.microsoft.com/office/drawing/2014/main" id="{4863914F-DFF7-472D-BBC7-FF8800E2CF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63310186" createdVersion="8" refreshedVersion="8" minRefreshableVersion="3" recordCount="0" supportSubquery="1" supportAdvancedDrill="1" xr:uid="{963A37F3-18E0-4CDE-A35C-25940F7D4A9D}">
  <cacheSource type="external" connectionId="12"/>
  <cacheFields count="4">
    <cacheField name="[dim_Date].[DayName].[DayName]" caption="DayName" numFmtId="0" hierarchy="8" level="1">
      <sharedItems count="7">
        <s v="Friday"/>
        <s v="Monday"/>
        <s v="Saturday"/>
        <s v="Sunday"/>
        <s v="Thursday"/>
        <s v="Tuesday"/>
        <s v="Wednesday"/>
      </sharedItems>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2" memberValueDatatype="130" unbalanced="0">
      <fieldsUsage count="2">
        <fieldUsage x="-1"/>
        <fieldUsage x="0"/>
      </fieldsUsage>
    </cacheHierarchy>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67361111" createdVersion="8" refreshedVersion="8" minRefreshableVersion="3" recordCount="0" supportSubquery="1" supportAdvancedDrill="1" xr:uid="{69DF445D-7238-4D67-B8C8-1A81E6F5B3E8}">
  <cacheSource type="external" connectionId="12"/>
  <cacheFields count="4">
    <cacheField name="[fact_Transactions].[Customer ID].[Customer ID]" caption="Customer ID" numFmtId="0" hierarchy="20" level="1">
      <sharedItems containsBlank="1" count="10">
        <m/>
        <s v="13694"/>
        <s v="14156"/>
        <s v="14646"/>
        <s v="14911"/>
        <s v="16446"/>
        <s v="16684"/>
        <s v="17450"/>
        <s v="17511"/>
        <s v="18102"/>
      </sharedItems>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2" memberValueDatatype="130" unbalanced="0">
      <fieldsUsage count="2">
        <fieldUsage x="-1"/>
        <fieldUsage x="0"/>
      </fieldsUsage>
    </cacheHierarchy>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70254629" createdVersion="8" refreshedVersion="8" minRefreshableVersion="3" recordCount="0" supportSubquery="1" supportAdvancedDrill="1" xr:uid="{2CF0B595-107C-4158-B12A-6FFF1610950E}">
  <cacheSource type="external" connectionId="12"/>
  <cacheFields count="2">
    <cacheField name="[fact_Transactions].[Customer ID].[Customer ID]" caption="Customer ID" numFmtId="0" hierarchy="20" level="1">
      <sharedItems containsBlank="1" count="10">
        <m/>
        <s v="13694"/>
        <s v="14156"/>
        <s v="14646"/>
        <s v="14911"/>
        <s v="16446"/>
        <s v="16684"/>
        <s v="17450"/>
        <s v="17511"/>
        <s v="18102"/>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2" memberValueDatatype="130" unbalanced="0">
      <fieldsUsage count="2">
        <fieldUsage x="-1"/>
        <fieldUsage x="0"/>
      </fieldsUsage>
    </cacheHierarchy>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73148146" createdVersion="8" refreshedVersion="8" minRefreshableVersion="3" recordCount="0" supportSubquery="1" supportAdvancedDrill="1" xr:uid="{FE784807-5D5A-4DFC-9E00-88D38EEC357C}">
  <cacheSource type="external" connectionId="12"/>
  <cacheFields count="4">
    <cacheField name="[fact_Transactions].[Customer ID].[Customer ID]" caption="Customer ID" numFmtId="0" hierarchy="20" level="1">
      <sharedItems containsBlank="1" count="10">
        <m/>
        <s v="13694"/>
        <s v="14156"/>
        <s v="14646"/>
        <s v="14911"/>
        <s v="16446"/>
        <s v="16684"/>
        <s v="17450"/>
        <s v="17511"/>
        <s v="18102"/>
      </sharedItems>
    </cacheField>
    <cacheField name="[Measures].[Core Sales Revenue]" caption="Core Sales Revenue" numFmtId="0" hierarchy="38" level="32767"/>
    <cacheField name="[Measures].[Core Orders]" caption="Core Orders" numFmtId="0" hierarchy="42" level="32767"/>
    <cacheField name="[Measures].[Core Units Sold]" caption="Core Units Sold" numFmtId="0" hierarchy="46"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2" memberValueDatatype="130" unbalanced="0">
      <fieldsUsage count="2">
        <fieldUsage x="-1"/>
        <fieldUsage x="0"/>
      </fieldsUsage>
    </cacheHierarchy>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3"/>
      </fieldsUsage>
    </cacheHierarchy>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79513889" createdVersion="8" refreshedVersion="8" minRefreshableVersion="3" recordCount="0" supportSubquery="1" supportAdvancedDrill="1" xr:uid="{D8137E49-9570-4EFE-88CF-233FBC991878}">
  <cacheSource type="external" connectionId="12"/>
  <cacheFields count="5">
    <cacheField name="[fact_Transactions].[RecordType].[RecordType]" caption="RecordType" numFmtId="0" hierarchy="24" level="1">
      <sharedItems containsSemiMixedTypes="0" containsNonDate="0" containsString="0"/>
    </cacheField>
    <cacheField name="[fact_Transactions].[Description].[Description]" caption="Description" numFmtId="0" hierarchy="16" level="1">
      <sharedItems containsBlank="1" count="10">
        <m/>
        <s v="60 TEATIME FAIRY CAKE CASES"/>
        <s v="ASSORTED COLOUR BIRD ORNAMENT"/>
        <s v="BROCADE RING PURSE"/>
        <s v="JUMBO BAG RED RETROSPOT"/>
        <s v="MEDIUM CERAMIC TOP STORAGE JAR"/>
        <s v="PACK OF 60 PINK PAISLEY CAKE CASES"/>
        <s v="PAPER CRAFT , LITTLE BIRDIE"/>
        <s v="WHITE HANGING HEART T-LIGHT HOLDER"/>
        <s v="WORLD WAR 2 GLIDERS ASSTD DESIGNS"/>
      </sharedItems>
    </cacheField>
    <cacheField name="[Measures].[Core Units Sold]" caption="Core Units Sold" numFmtId="0" hierarchy="46" level="32767"/>
    <cacheField name="[Measures].[Core Sales Revenue]" caption="Core Sales Revenue" numFmtId="0" hierarchy="38" level="32767"/>
    <cacheField name="[Measures].[Core Orders]" caption="Core Orders" numFmtId="0" hierarchy="42"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2" memberValueDatatype="130" unbalanced="0">
      <fieldsUsage count="2">
        <fieldUsage x="-1"/>
        <fieldUsage x="1"/>
      </fieldsUsage>
    </cacheHierarchy>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2" memberValueDatatype="130" unbalanced="0">
      <fieldsUsage count="2">
        <fieldUsage x="-1"/>
        <fieldUsage x="0"/>
      </fieldsUsage>
    </cacheHierarchy>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3"/>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4"/>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2"/>
      </fieldsUsage>
    </cacheHierarchy>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85300924" createdVersion="8" refreshedVersion="8" minRefreshableVersion="3" recordCount="0" supportSubquery="1" supportAdvancedDrill="1" xr:uid="{1876D208-BB60-4C39-BF47-A059D1A5541E}">
  <cacheSource type="external" connectionId="12"/>
  <cacheFields count="3">
    <cacheField name="[fact_Transactions].[RecordType].[RecordType]" caption="RecordType" numFmtId="0" hierarchy="24" level="1">
      <sharedItems containsSemiMixedTypes="0" containsNonDate="0" containsString="0"/>
    </cacheField>
    <cacheField name="[fact_Transactions].[Description].[Description]" caption="Description" numFmtId="0" hierarchy="16" level="1">
      <sharedItems count="10">
        <s v="ASSORTED COLOUR BIRD ORNAMENT"/>
        <s v="CHILLI LIGHTS"/>
        <s v="JUMBO BAG RED RETROSPOT"/>
        <s v="MEDIUM CERAMIC TOP STORAGE JAR"/>
        <s v="PAPER CHAIN KIT 50'S CHRISTMAS"/>
        <s v="PAPER CRAFT , LITTLE BIRDIE"/>
        <s v="PARTY BUNTING"/>
        <s v="REGENCY CAKESTAND 3 TIER"/>
        <s v="ROTATING SILVER ANGELS T-LIGHT HLDR"/>
        <s v="WHITE HANGING HEART T-LIGHT HOLDER"/>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2" memberValueDatatype="130" unbalanced="0">
      <fieldsUsage count="2">
        <fieldUsage x="-1"/>
        <fieldUsage x="1"/>
      </fieldsUsage>
    </cacheHierarchy>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2" memberValueDatatype="130" unbalanced="0">
      <fieldsUsage count="2">
        <fieldUsage x="-1"/>
        <fieldUsage x="0"/>
      </fieldsUsage>
    </cacheHierarchy>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2"/>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92129628" createdVersion="8" refreshedVersion="8" minRefreshableVersion="3" recordCount="0" supportSubquery="1" supportAdvancedDrill="1" xr:uid="{C7144F40-DBC3-4532-B57D-7BEF9DFF4E1C}">
  <cacheSource type="external" connectionId="12"/>
  <cacheFields count="5">
    <cacheField name="[dim_Product].[Description].[Description]" caption="Description" numFmtId="0" hierarchy="11" level="1">
      <sharedItems count="10">
        <s v="ASSORTED COLOUR BIRD ORNAMENT"/>
        <s v="CHILLI LIGHTS"/>
        <s v="JUMBO BAG RED RETROSPOT"/>
        <s v="MEDIUM CERAMIC TOP STORAGE JAR"/>
        <s v="PAPER CHAIN KIT 50'S CHRISTMAS"/>
        <s v="PAPER CRAFT , LITTLE BIRDIE"/>
        <s v="PARTY BUNTING"/>
        <s v="REGENCY CAKESTAND 3 TIER"/>
        <s v="SMALL POPCORN HOLDER"/>
        <s v="WHITE HANGING HEART T-LIGHT HOLDER"/>
      </sharedItems>
    </cacheField>
    <cacheField name="[Measures].[Core Sales Revenue]" caption="Core Sales Revenue" numFmtId="0" hierarchy="38" level="32767"/>
    <cacheField name="[Measures].[Core Orders]" caption="Core Orders" numFmtId="0" hierarchy="42" level="32767"/>
    <cacheField name="[Measures].[Core Units Sold]" caption="Core Units Sold" numFmtId="0" hierarchy="46" level="32767"/>
    <cacheField name="[dim_Product].[RecordType].[RecordType]" caption="RecordType" numFmtId="0" hierarchy="13" level="1">
      <sharedItems containsSemiMixedTypes="0" containsNonDate="0" containsString="0"/>
    </cacheField>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2" memberValueDatatype="130" unbalanced="0">
      <fieldsUsage count="2">
        <fieldUsage x="-1"/>
        <fieldUsage x="0"/>
      </fieldsUsage>
    </cacheHierarchy>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2" memberValueDatatype="130" unbalanced="0">
      <fieldsUsage count="2">
        <fieldUsage x="-1"/>
        <fieldUsage x="4"/>
      </fieldsUsage>
    </cacheHierarchy>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3"/>
      </fieldsUsage>
    </cacheHierarchy>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94097222" createdVersion="8" refreshedVersion="8" minRefreshableVersion="3" recordCount="0" supportSubquery="1" supportAdvancedDrill="1" xr:uid="{4F09AADB-C4B3-4BE2-9EE3-6F8A0A6C0951}">
  <cacheSource type="external" connectionId="12"/>
  <cacheFields count="2">
    <cacheField name="[dim_Country].[Country].[Country]" caption="Country" numFmtId="0" level="1">
      <sharedItems count="10">
        <s v="Australia"/>
        <s v="Denmark"/>
        <s v="France"/>
        <s v="Germany"/>
        <s v="Ireland"/>
        <s v="Netherlands"/>
        <s v="Spain"/>
        <s v="Sweden"/>
        <s v="Switzerland"/>
        <s v="United Kingdom"/>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2" memberValueDatatype="130" unbalanced="0">
      <fieldsUsage count="2">
        <fieldUsage x="-1"/>
        <fieldUsage x="0"/>
      </fieldsUsage>
    </cacheHierarchy>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98842594" createdVersion="5" refreshedVersion="8" minRefreshableVersion="3" recordCount="0" supportSubquery="1" supportAdvancedDrill="1" xr:uid="{448C0723-EA9E-41D8-8495-9B62E37FDA5E}">
  <cacheSource type="external" connectionId="12"/>
  <cacheFields count="3">
    <cacheField name="[dim_Country].[Country].[Country]" caption="Country" numFmtId="0" level="1">
      <sharedItems count="43">
        <s v="Australia"/>
        <s v="Austria"/>
        <s v="Bahrain"/>
        <s v="Belgium"/>
        <s v="Bermuda"/>
        <s v="Brazil"/>
        <s v="Canada"/>
        <s v="Channel Islands"/>
        <s v="Cyprus"/>
        <s v="Czech Republic"/>
        <s v="Denmark"/>
        <s v="European Community"/>
        <s v="Finland"/>
        <s v="France"/>
        <s v="Germany"/>
        <s v="Greece"/>
        <s v="Hong Kong"/>
        <s v="Iceland"/>
        <s v="Ireland"/>
        <s v="Israel"/>
        <s v="Italy"/>
        <s v="Japan"/>
        <s v="Korea"/>
        <s v="Lebanon"/>
        <s v="Lithuania"/>
        <s v="Malta"/>
        <s v="Netherlands"/>
        <s v="Nigeria"/>
        <s v="Norway"/>
        <s v="Poland"/>
        <s v="Portugal"/>
        <s v="RSA"/>
        <s v="Saudi Arabia"/>
        <s v="Singapore"/>
        <s v="Spain"/>
        <s v="Sweden"/>
        <s v="Switzerland"/>
        <s v="Thailand"/>
        <s v="United Arab Emirates"/>
        <s v="United Kingdom"/>
        <s v="Unspecified"/>
        <s v="USA"/>
        <s v="West Indies"/>
      </sharedItems>
    </cacheField>
    <cacheField name="[Measures].[Sum of Revenue]" caption="Sum of Revenue" numFmtId="0" hierarchy="36" level="32767"/>
    <cacheField name="[dim_Date].[Year].[Year]" caption="Year" numFmtId="0" hierarchy="3" level="1">
      <sharedItems containsSemiMixedTypes="0" containsString="0" containsNumber="1" containsInteger="1" minValue="2009" maxValue="2011" count="3">
        <n v="2009"/>
        <n v="2010"/>
        <n v="2011"/>
      </sharedItems>
      <extLst>
        <ext xmlns:x15="http://schemas.microsoft.com/office/spreadsheetml/2010/11/main" uri="{4F2E5C28-24EA-4eb8-9CBF-B6C8F9C3D259}">
          <x15:cachedUniqueNames>
            <x15:cachedUniqueName index="0" name="[dim_Date].[Year].&amp;[2009]"/>
            <x15:cachedUniqueName index="1" name="[dim_Date].[Year].&amp;[2010]"/>
            <x15:cachedUniqueName index="2" name="[dim_Date].[Year].&amp;[2011]"/>
          </x15:cachedUniqueNames>
        </ext>
      </extLst>
    </cacheField>
  </cacheFields>
  <cacheHierarchies count="61">
    <cacheHierarchy uniqueName="[dim_Country].[Country]" caption="Country" attribute="1" defaultMemberUniqueName="[dim_Country].[Country].[All]" allUniqueName="[dim_Country].[Country].[All]" dimensionUniqueName="[dim_Country]" displayFolder="" count="2" memberValueDatatype="130" unbalanced="0">
      <fieldsUsage count="2">
        <fieldUsage x="-1"/>
        <fieldUsage x="0"/>
      </fieldsUsage>
    </cacheHierarchy>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oneField="1">
      <fieldsUsage count="1">
        <fieldUsage x="1"/>
      </fieldsUsage>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504629629" createdVersion="5" refreshedVersion="8" minRefreshableVersion="3" recordCount="0" supportSubquery="1" supportAdvancedDrill="1" xr:uid="{E65088E1-F29E-4681-8A97-B16CEC114CB6}">
  <cacheSource type="external" connectionId="12"/>
  <cacheFields count="8">
    <cacheField name="[dim_Country].[Country].[Country]" caption="Country" numFmtId="0" level="1">
      <sharedItems count="43">
        <s v="Australia"/>
        <s v="Austria"/>
        <s v="Bahrain"/>
        <s v="Belgium"/>
        <s v="Bermuda"/>
        <s v="Brazil"/>
        <s v="Canada"/>
        <s v="Channel Islands"/>
        <s v="Cyprus"/>
        <s v="Czech Republic"/>
        <s v="Denmark"/>
        <s v="European Community"/>
        <s v="Finland"/>
        <s v="France"/>
        <s v="Germany"/>
        <s v="Greece"/>
        <s v="Hong Kong"/>
        <s v="Iceland"/>
        <s v="Ireland"/>
        <s v="Israel"/>
        <s v="Italy"/>
        <s v="Japan"/>
        <s v="Korea"/>
        <s v="Lebanon"/>
        <s v="Lithuania"/>
        <s v="Malta"/>
        <s v="Netherlands"/>
        <s v="Nigeria"/>
        <s v="Norway"/>
        <s v="Poland"/>
        <s v="Portugal"/>
        <s v="RSA"/>
        <s v="Saudi Arabia"/>
        <s v="Singapore"/>
        <s v="Spain"/>
        <s v="Sweden"/>
        <s v="Switzerland"/>
        <s v="Thailand"/>
        <s v="United Arab Emirates"/>
        <s v="United Kingdom"/>
        <s v="Unspecified"/>
        <s v="USA"/>
        <s v="West Indies"/>
      </sharedItems>
    </cacheField>
    <cacheField name="[dim_Date].[Year].[Year]" caption="Year" numFmtId="0" hierarchy="3" level="1">
      <sharedItems containsSemiMixedTypes="0" containsString="0" containsNumber="1" containsInteger="1" minValue="2009" maxValue="2011" count="3">
        <n v="2009"/>
        <n v="2010"/>
        <n v="2011"/>
      </sharedItems>
      <extLst>
        <ext xmlns:x15="http://schemas.microsoft.com/office/spreadsheetml/2010/11/main" uri="{4F2E5C28-24EA-4eb8-9CBF-B6C8F9C3D259}">
          <x15:cachedUniqueNames>
            <x15:cachedUniqueName index="0" name="[dim_Date].[Year].&amp;[2009]"/>
            <x15:cachedUniqueName index="1" name="[dim_Date].[Year].&amp;[2010]"/>
            <x15:cachedUniqueName index="2" name="[dim_Date].[Year].&amp;[2011]"/>
          </x15:cachedUniqueNames>
        </ext>
      </extLst>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 name="[Measures].[Previous Year Core Revenue]" caption="Previous Year Core Revenue" numFmtId="0" hierarchy="49" level="32767"/>
    <cacheField name="[Measures].[YoY Revenue Change]" caption="YoY Revenue Change" numFmtId="0" hierarchy="50" level="32767"/>
    <cacheField name="[Measures].[YoY Revenue Growth %]" caption="YoY Revenue Growth %" numFmtId="0" hierarchy="51" level="32767"/>
  </cacheFields>
  <cacheHierarchies count="61">
    <cacheHierarchy uniqueName="[dim_Country].[Country]" caption="Country" attribute="1" defaultMemberUniqueName="[dim_Country].[Country].[All]" allUniqueName="[dim_Country].[Country].[All]" dimensionUniqueName="[dim_Country]" displayFolder="" count="2" memberValueDatatype="130" unbalanced="0">
      <fieldsUsage count="2">
        <fieldUsage x="-1"/>
        <fieldUsage x="0"/>
      </fieldsUsage>
    </cacheHierarchy>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2"/>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3"/>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4"/>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oneField="1">
      <fieldsUsage count="1">
        <fieldUsage x="5"/>
      </fieldsUsage>
    </cacheHierarchy>
    <cacheHierarchy uniqueName="[Measures].[YoY Revenue Change]" caption="YoY Revenue Change" measure="1" displayFolder="" measureGroup="fact_Transactions" count="0" oneField="1">
      <fieldsUsage count="1">
        <fieldUsage x="6"/>
      </fieldsUsage>
    </cacheHierarchy>
    <cacheHierarchy uniqueName="[Measures].[YoY Revenue Growth %]" caption="YoY Revenue Growth %" measure="1" displayFolder="" measureGroup="fact_Transactions" count="0" oneField="1">
      <fieldsUsage count="1">
        <fieldUsage x="7"/>
      </fieldsUsage>
    </cacheHierarchy>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508680554" createdVersion="5" refreshedVersion="8" minRefreshableVersion="3" recordCount="0" supportSubquery="1" supportAdvancedDrill="1" xr:uid="{B39E02D2-2146-42F4-947C-D348B60E5EEB}">
  <cacheSource type="external" connectionId="12"/>
  <cacheFields count="11">
    <cacheField name="[dim_Date].[Year].[Year]" caption="Year" numFmtId="0" hierarchy="3" level="1">
      <sharedItems containsSemiMixedTypes="0" containsString="0" containsNumber="1" containsInteger="1" minValue="2009" maxValue="2011" count="3">
        <n v="2009"/>
        <n v="2010"/>
        <n v="2011"/>
      </sharedItems>
      <extLst>
        <ext xmlns:x15="http://schemas.microsoft.com/office/spreadsheetml/2010/11/main" uri="{4F2E5C28-24EA-4eb8-9CBF-B6C8F9C3D259}">
          <x15:cachedUniqueNames>
            <x15:cachedUniqueName index="0" name="[dim_Date].[Year].&amp;[2009]"/>
            <x15:cachedUniqueName index="1" name="[dim_Date].[Year].&amp;[2010]"/>
            <x15:cachedUniqueName index="2" name="[dim_Date].[Year].&amp;[2011]"/>
          </x15:cachedUniqueNames>
        </ext>
      </extLst>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 name="[Measures].[Unique Customers]" caption="Unique Customers" numFmtId="0" hierarchy="43" level="32767"/>
    <cacheField name="[Measures].[Core Units Sold]" caption="Core Units Sold" numFmtId="0" hierarchy="46" level="32767"/>
    <cacheField name="[Measures].[Products Sold]" caption="Products Sold" numFmtId="0" hierarchy="47" level="32767"/>
    <cacheField name="[Measures].[Previous Year Core Revenue]" caption="Previous Year Core Revenue" numFmtId="0" hierarchy="49" level="32767"/>
    <cacheField name="[Measures].[YoY Revenue Change]" caption="YoY Revenue Change" numFmtId="0" hierarchy="50" level="32767"/>
    <cacheField name="[Measures].[YoY Revenue Growth %]" caption="YoY Revenue Growth %" numFmtId="0" hierarchy="51" level="32767"/>
    <cacheField name="[Measures].[Core Revenue Share %]" caption="Core Revenue Share %" numFmtId="0" hierarchy="52"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0"/>
      </fieldsUsage>
    </cacheHierarchy>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oneField="1">
      <fieldsUsage count="1">
        <fieldUsage x="4"/>
      </fieldsUsage>
    </cacheHierarchy>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5"/>
      </fieldsUsage>
    </cacheHierarchy>
    <cacheHierarchy uniqueName="[Measures].[Products Sold]" caption="Products Sold" measure="1" displayFolder="" measureGroup="fact_Transactions" count="0" oneField="1">
      <fieldsUsage count="1">
        <fieldUsage x="6"/>
      </fieldsUsage>
    </cacheHierarchy>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oneField="1">
      <fieldsUsage count="1">
        <fieldUsage x="7"/>
      </fieldsUsage>
    </cacheHierarchy>
    <cacheHierarchy uniqueName="[Measures].[YoY Revenue Change]" caption="YoY Revenue Change" measure="1" displayFolder="" measureGroup="fact_Transactions" count="0" oneField="1">
      <fieldsUsage count="1">
        <fieldUsage x="8"/>
      </fieldsUsage>
    </cacheHierarchy>
    <cacheHierarchy uniqueName="[Measures].[YoY Revenue Growth %]" caption="YoY Revenue Growth %" measure="1" displayFolder="" measureGroup="fact_Transactions" count="0" oneField="1">
      <fieldsUsage count="1">
        <fieldUsage x="9"/>
      </fieldsUsage>
    </cacheHierarchy>
    <cacheHierarchy uniqueName="[Measures].[Core Revenue Share %]" caption="Core Revenue Share %" measure="1" displayFolder="" measureGroup="fact_Transactions" count="0" oneField="1">
      <fieldsUsage count="1">
        <fieldUsage x="10"/>
      </fieldsUsage>
    </cacheHierarchy>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5.412604745368" createdVersion="8" refreshedVersion="8" minRefreshableVersion="3" recordCount="0" supportSubquery="1" supportAdvancedDrill="1" xr:uid="{CB7BE957-B4A9-4494-AE63-41A0BFEEFC95}">
  <cacheSource type="external" connectionId="12"/>
  <cacheFields count="2">
    <cacheField name="[fact_Transactions].[YearMonth].[YearMonth]" caption="YearMonth" numFmtId="0" hierarchy="33" level="1">
      <sharedItems count="25">
        <s v="2009-12"/>
        <s v="2010-01"/>
        <s v="2010-02"/>
        <s v="2010-03"/>
        <s v="2010-04"/>
        <s v="2010-05"/>
        <s v="2010-06"/>
        <s v="2010-07"/>
        <s v="2010-08"/>
        <s v="2010-09"/>
        <s v="2010-10"/>
        <s v="2010-11"/>
        <s v="2010-12"/>
        <s v="2011-01"/>
        <s v="2011-02"/>
        <s v="2011-03"/>
        <s v="2011-04"/>
        <s v="2011-05"/>
        <s v="2011-06"/>
        <s v="2011-07"/>
        <s v="2011-08"/>
        <s v="2011-09"/>
        <s v="2011-10"/>
        <s v="2011-11"/>
        <s v="2011-12"/>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2" memberValueDatatype="130" unbalanced="0">
      <fieldsUsage count="2">
        <fieldUsage x="-1"/>
        <fieldUsage x="0"/>
      </fieldsUsage>
    </cacheHierarchy>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5.738576504627" createdVersion="5" refreshedVersion="8" minRefreshableVersion="3" recordCount="0" supportSubquery="1" supportAdvancedDrill="1" xr:uid="{27027CE9-F41B-40AD-86AB-4326BC99FF04}">
  <cacheSource type="external" connectionId="12"/>
  <cacheFields count="4">
    <cacheField name="[dim_Date].[YearMonth].[YearMonth]" caption="YearMonth" numFmtId="0" hierarchy="9" level="1">
      <sharedItems count="25">
        <s v="2009-12"/>
        <s v="2010-01"/>
        <s v="2010-02"/>
        <s v="2010-03"/>
        <s v="2010-04"/>
        <s v="2010-05"/>
        <s v="2010-06"/>
        <s v="2010-07"/>
        <s v="2010-08"/>
        <s v="2010-09"/>
        <s v="2010-10"/>
        <s v="2010-11"/>
        <s v="2010-12"/>
        <s v="2011-01"/>
        <s v="2011-02"/>
        <s v="2011-03"/>
        <s v="2011-04"/>
        <s v="2011-05"/>
        <s v="2011-06"/>
        <s v="2011-07"/>
        <s v="2011-08"/>
        <s v="2011-09"/>
        <s v="2011-10"/>
        <s v="2011-11"/>
        <s v="2011-12"/>
      </sharedItems>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2" memberValueDatatype="130" unbalanced="0">
      <fieldsUsage count="2">
        <fieldUsage x="-1"/>
        <fieldUsage x="0"/>
      </fieldsUsage>
    </cacheHierarchy>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6F236-F736-4CFB-98F0-7AFABBDD3845}"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C4:AD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9"/>
    </i>
    <i>
      <x v="4"/>
    </i>
    <i>
      <x v="5"/>
    </i>
    <i>
      <x v="3"/>
    </i>
    <i>
      <x v="2"/>
    </i>
    <i>
      <x/>
    </i>
    <i>
      <x v="6"/>
    </i>
    <i>
      <x v="8"/>
    </i>
    <i>
      <x v="7"/>
    </i>
    <i>
      <x v="1"/>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8">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7E8356-0D53-4B76-A88A-931D7B69DC65}" name="PivotTable1" cacheId="10" applyNumberFormats="0" applyBorderFormats="0" applyFontFormats="0" applyPatternFormats="0" applyAlignmentFormats="0" applyWidthHeightFormats="1" dataCaption="Values" tag="ed9da114-8ae4-4489-8811-4524354a2b7c" updatedVersion="8" minRefreshableVersion="3" useAutoFormatting="1" itemPrintTitles="1" createdVersion="5" indent="0" outline="1" outlineData="1" multipleFieldFilters="0">
  <location ref="B3:Z49" firstHeaderRow="1" firstDataRow="3" firstDataCol="1"/>
  <pivotFields count="8">
    <pivotField axis="axisRow" allDrilled="1" subtotalTop="0" showAll="0" dataSourceSort="1" defaultSubtotal="0" defaultAttributeDrillState="1">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s>
    </pivotField>
    <pivotField axis="axisCol"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t="grand">
      <x/>
    </i>
  </rowItems>
  <colFields count="2">
    <field x="1"/>
    <field x="-2"/>
  </colFields>
  <colItems count="24">
    <i>
      <x/>
      <x/>
    </i>
    <i r="1" i="1">
      <x v="1"/>
    </i>
    <i r="1" i="2">
      <x v="2"/>
    </i>
    <i r="1" i="3">
      <x v="3"/>
    </i>
    <i r="1" i="4">
      <x v="4"/>
    </i>
    <i r="1" i="5">
      <x v="5"/>
    </i>
    <i>
      <x v="1"/>
      <x/>
    </i>
    <i r="1" i="1">
      <x v="1"/>
    </i>
    <i r="1" i="2">
      <x v="2"/>
    </i>
    <i r="1" i="3">
      <x v="3"/>
    </i>
    <i r="1" i="4">
      <x v="4"/>
    </i>
    <i r="1" i="5">
      <x v="5"/>
    </i>
    <i>
      <x v="2"/>
      <x/>
    </i>
    <i r="1" i="1">
      <x v="1"/>
    </i>
    <i r="1" i="2">
      <x v="2"/>
    </i>
    <i r="1" i="3">
      <x v="3"/>
    </i>
    <i r="1" i="4">
      <x v="4"/>
    </i>
    <i r="1" i="5">
      <x v="5"/>
    </i>
    <i t="grand">
      <x/>
    </i>
    <i t="grand" i="1">
      <x/>
    </i>
    <i t="grand" i="2">
      <x/>
    </i>
    <i t="grand" i="3">
      <x/>
    </i>
    <i t="grand" i="4">
      <x/>
    </i>
    <i t="grand" i="5">
      <x/>
    </i>
  </colItems>
  <dataFields count="6">
    <dataField fld="2" subtotal="count" baseField="0" baseItem="0"/>
    <dataField fld="3" subtotal="count" baseField="0" baseItem="0"/>
    <dataField fld="4" subtotal="count" baseField="0" baseItem="0"/>
    <dataField fld="5" subtotal="count" baseField="0" baseItem="0"/>
    <dataField fld="7" subtotal="count" baseField="0" baseItem="0"/>
    <dataField fld="6"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2">
    <colHierarchyUsage hierarchyUsage="3"/>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C2357-C613-4939-87E2-6C900C0E53B1}" name="PivotTable2" cacheId="11" applyNumberFormats="0" applyBorderFormats="0" applyFontFormats="0" applyPatternFormats="0" applyAlignmentFormats="0" applyWidthHeightFormats="1" dataCaption="Values" tag="e1bcacb6-cba6-442d-a080-a94e7fb6d9a0" updatedVersion="8" minRefreshableVersion="3" useAutoFormatting="1" itemPrintTitles="1" createdVersion="5" indent="0" outline="1" outlineData="1" multipleFieldFilters="0">
  <location ref="B3:L7" firstHeaderRow="0" firstDataRow="1" firstDataCol="1"/>
  <pivotFields count="11">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10">
    <i>
      <x/>
    </i>
    <i i="1">
      <x v="1"/>
    </i>
    <i i="2">
      <x v="2"/>
    </i>
    <i i="3">
      <x v="3"/>
    </i>
    <i i="4">
      <x v="4"/>
    </i>
    <i i="5">
      <x v="5"/>
    </i>
    <i i="6">
      <x v="6"/>
    </i>
    <i i="7">
      <x v="7"/>
    </i>
    <i i="8">
      <x v="8"/>
    </i>
    <i i="9">
      <x v="9"/>
    </i>
  </colItems>
  <dataFields count="10">
    <dataField fld="1" subtotal="count" baseField="0" baseItem="0"/>
    <dataField fld="9" subtotal="count" baseField="0" baseItem="0"/>
    <dataField fld="8" subtotal="count" baseField="0" baseItem="0"/>
    <dataField fld="7" subtotal="count" baseField="0" baseItem="0"/>
    <dataField fld="6" subtotal="count" baseField="0" baseItem="0"/>
    <dataField fld="5" subtotal="count" baseField="0" baseItem="0"/>
    <dataField fld="4" subtotal="count" baseField="0" baseItem="0"/>
    <dataField fld="2" subtotal="count" baseField="0" baseItem="0"/>
    <dataField fld="10" subtotal="count" baseField="0" baseItem="0"/>
    <dataField fld="3"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D679D1-7EDB-4883-8262-C91BCA0030AC}" name="PivotTable3" cacheId="25" applyNumberFormats="0" applyBorderFormats="0" applyFontFormats="0" applyPatternFormats="0" applyAlignmentFormats="0" applyWidthHeightFormats="1" dataCaption="Values" tag="19dd4086-e778-4b09-9449-9d493022bff6" updatedVersion="8" minRefreshableVersion="3" useAutoFormatting="1" itemPrintTitles="1" createdVersion="5" indent="0" outline="1" outlineData="1" multipleFieldFilters="0" chartFormat="1">
  <location ref="B3:E29" firstHeaderRow="0" firstDataRow="1" firstDataCol="1"/>
  <pivotFields count="4">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 dataField="1" subtotalTop="0" showAll="0" defaultSubtotal="0"/>
    <pivotField dataField="1" subtotalTop="0" showAll="0" defaultSubtotal="0"/>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2"/>
  </colFields>
  <colItems count="3">
    <i>
      <x/>
    </i>
    <i i="1">
      <x v="1"/>
    </i>
    <i i="2">
      <x v="2"/>
    </i>
  </colItems>
  <dataFields count="3">
    <dataField fld="1" subtotal="count" baseField="0" baseItem="0"/>
    <dataField fld="3" subtotal="count" baseField="0" baseItem="0"/>
    <dataField fld="2" subtotal="count" baseField="0" baseItem="0"/>
  </dataFields>
  <chartFormats count="3">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2"/>
          </reference>
        </references>
      </pivotArea>
    </chartFormat>
    <chartFormat chart="0" format="4" series="1">
      <pivotArea type="data" outline="0" fieldPosition="0">
        <references count="1">
          <reference field="4294967294" count="1" selected="0">
            <x v="1"/>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55B2FC-80E8-444E-8BAF-DA549115B240}"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J5:K16" firstHeaderRow="1" firstDataRow="1" firstDataCol="1" rowPageCount="1" colPageCount="1"/>
  <pivotFields count="3">
    <pivotField axis="axisPage" allDrilled="1" subtotalTop="0" showAll="0" dataSourceSort="1" defaultSubtotal="0" defaultAttributeDrillState="1"/>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1"/>
  </rowFields>
  <rowItems count="11">
    <i>
      <x/>
    </i>
    <i>
      <x v="1"/>
    </i>
    <i>
      <x v="2"/>
    </i>
    <i>
      <x v="3"/>
    </i>
    <i>
      <x v="4"/>
    </i>
    <i>
      <x v="5"/>
    </i>
    <i>
      <x v="6"/>
    </i>
    <i>
      <x v="7"/>
    </i>
    <i>
      <x v="8"/>
    </i>
    <i>
      <x v="9"/>
    </i>
    <i t="grand">
      <x/>
    </i>
  </rowItems>
  <colItems count="1">
    <i/>
  </colItems>
  <pageFields count="1">
    <pageField fld="0" hier="24" name="[fact_Transactions].[RecordType].&amp;[Product]" cap="Product"/>
  </pageFields>
  <dataFields count="1">
    <dataField fld="2"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Transactions].[RecordType].&amp;[Produ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8">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A5ACDEC-F51B-4BB0-8DAC-92B37A5EC4AA}"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5:F16" firstHeaderRow="0" firstDataRow="1" firstDataCol="1" rowPageCount="1" colPageCount="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11">
    <i>
      <x v="7"/>
    </i>
    <i>
      <x v="9"/>
    </i>
    <i>
      <x v="2"/>
    </i>
    <i>
      <x v="5"/>
    </i>
    <i>
      <x v="6"/>
    </i>
    <i>
      <x/>
    </i>
    <i>
      <x v="4"/>
    </i>
    <i>
      <x v="1"/>
    </i>
    <i>
      <x v="3"/>
    </i>
    <i>
      <x v="8"/>
    </i>
    <i t="grand">
      <x/>
    </i>
  </rowItems>
  <colFields count="1">
    <field x="-2"/>
  </colFields>
  <colItems count="3">
    <i>
      <x/>
    </i>
    <i i="1">
      <x v="1"/>
    </i>
    <i i="2">
      <x v="2"/>
    </i>
  </colItems>
  <pageFields count="1">
    <pageField fld="4" hier="13" name="[dim_Product].[RecordType].&amp;[Product]" cap="Product"/>
  </pageFields>
  <dataFields count="3">
    <dataField fld="3" subtotal="count" baseField="0" baseItem="0"/>
    <dataField fld="2" subtotal="count" baseField="0" baseItem="0"/>
    <dataField fld="1"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Product].[RecordType].&amp;[Produ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38">
      <autoFilter ref="A1">
        <filterColumn colId="0">
          <top10 val="10" filterVal="10"/>
        </filterColumn>
      </autoFilter>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FF8C331-D835-439F-86EC-D4E61F10BD44}"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Y5:AB16" firstHeaderRow="0" firstDataRow="1" firstDataCol="1" rowPageCount="1" colPageCount="1"/>
  <pivotFields count="5">
    <pivotField axis="axisPage" allDrilled="1" subtotalTop="0" showAll="0" dataSourceSort="1" defaultSubtotal="0" defaultAttributeDrillState="1"/>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1"/>
  </rowFields>
  <rowItems count="11">
    <i>
      <x/>
    </i>
    <i>
      <x v="1"/>
    </i>
    <i>
      <x v="2"/>
    </i>
    <i>
      <x v="3"/>
    </i>
    <i>
      <x v="4"/>
    </i>
    <i>
      <x v="5"/>
    </i>
    <i>
      <x v="6"/>
    </i>
    <i>
      <x v="7"/>
    </i>
    <i>
      <x v="8"/>
    </i>
    <i>
      <x v="9"/>
    </i>
    <i t="grand">
      <x/>
    </i>
  </rowItems>
  <colFields count="1">
    <field x="-2"/>
  </colFields>
  <colItems count="3">
    <i>
      <x/>
    </i>
    <i i="1">
      <x v="1"/>
    </i>
    <i i="2">
      <x v="2"/>
    </i>
  </colItems>
  <pageFields count="1">
    <pageField fld="0" hier="24" name="[fact_Transactions].[RecordType].&amp;[Product]" cap="Product"/>
  </pageFields>
  <dataFields count="3">
    <dataField fld="2" subtotal="count" baseField="0" baseItem="0"/>
    <dataField fld="3" subtotal="count" baseField="0" baseItem="0"/>
    <dataField fld="4"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Transactions].[RecordType].&amp;[Produ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2" iMeasureHier="46">
      <autoFilter ref="A1">
        <filterColumn colId="0">
          <top1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5EBF21-9985-4359-95B6-980743F441B1}"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B3:E14"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3" subtotal="count" baseField="0" baseItem="0"/>
    <dataField fld="1" subtotal="count" baseField="0" baseItem="0"/>
    <dataField fld="2"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8">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B13EA5D-07C1-41A8-A1F6-7B979A0C27CA}"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4:J15"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38">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3584BB6-D726-4F18-9015-E309D2FE20F5}"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E15"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3" subtotal="count" baseField="0" baseItem="0"/>
    <dataField fld="2" subtotal="count" baseField="0" baseItem="0"/>
    <dataField fld="1"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8">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CEA9D2C-CF7E-4A41-8AAE-E5CD0CC9207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7:H15"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fld="3" subtotal="count" baseField="0" baseItem="0"/>
    <dataField fld="1" subtotal="count" baseField="0" baseItem="0"/>
    <dataField fld="2"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1044A1-8A19-4A0E-8AEC-C619007D6798}"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C29" firstHeaderRow="1" firstDataRow="1" firstDataCol="1"/>
  <pivotFields count="2">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fld="1"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B8064C-23A6-4407-BAF9-AA3DDF7ABB52}" name="PivotTable1" cacheId="9" applyNumberFormats="0" applyBorderFormats="0" applyFontFormats="0" applyPatternFormats="0" applyAlignmentFormats="0" applyWidthHeightFormats="1" dataCaption="Values" tag="97da1fd5-2e8b-47ce-9864-4bacda2cf0b5" updatedVersion="8" minRefreshableVersion="3" useAutoFormatting="1" itemPrintTitles="1" createdVersion="5" indent="0" outline="1" outlineData="1" multipleFieldFilters="0">
  <location ref="B3:F48" firstHeaderRow="1" firstDataRow="2" firstDataCol="1"/>
  <pivotFields count="3">
    <pivotField axis="axisRow" allDrilled="1" subtotalTop="0" showAll="0" dataSourceSort="1" defaultSubtotal="0" defaultAttributeDrillState="1">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s>
    </pivotField>
    <pivotField dataField="1" subtotalTop="0" showAll="0" defaultSubtotal="0"/>
    <pivotField axis="axisCol" allDrilled="1" subtotalTop="0" showAll="0" dataSourceSort="1" defaultSubtotal="0" defaultAttributeDrillState="1">
      <items count="3">
        <item x="0"/>
        <item x="1"/>
        <item x="2"/>
      </items>
    </pivotField>
  </pivotFields>
  <rowFields count="1">
    <field x="0"/>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t="grand">
      <x/>
    </i>
  </rowItems>
  <colFields count="1">
    <field x="2"/>
  </colFields>
  <colItems count="4">
    <i>
      <x/>
    </i>
    <i>
      <x v="1"/>
    </i>
    <i>
      <x v="2"/>
    </i>
    <i t="grand">
      <x/>
    </i>
  </colItems>
  <dataFields count="1">
    <dataField name="Sum of Revenue" fld="1"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Transaction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9A7F9A-CA77-4078-B1EF-5A165DFAB677}" name="Table1" displayName="Table1" ref="Z4:AD7" totalsRowShown="0" headerRowDxfId="4">
  <autoFilter ref="Z4:AD7" xr:uid="{F59A7F9A-CA77-4078-B1EF-5A165DFAB677}"/>
  <tableColumns count="5">
    <tableColumn id="1" xr3:uid="{1C6F2C38-6A3A-444F-81A5-F9564500F101}" name="Product"/>
    <tableColumn id="2" xr3:uid="{62BB994E-8FB3-478C-AE7D-100526B88A27}" name="Price"/>
    <tableColumn id="3" xr3:uid="{7AB321F0-A0B1-480A-B65D-83E1CB15327B}" name="Quantity"/>
    <tableColumn id="4" xr3:uid="{742E0FD4-00B4-465D-9794-3A34FDC1D097}" name="Revenue" dataDxfId="3">
      <calculatedColumnFormula>Table1[[#This Row],[Price]]*Table1[[#This Row],[Quantity]]</calculatedColumnFormula>
    </tableColumn>
    <tableColumn id="5" xr3:uid="{21726BC3-7D16-4442-9BB5-6F3A6AF32302}" name="Final Revenue" dataDxfId="2">
      <calculatedColumnFormula>Table1[[#This Row],[Revenue]]*(1-Discounted_Rate)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3.bin"/><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6"/>
  <sheetViews>
    <sheetView showGridLines="0" workbookViewId="0">
      <selection activeCell="K6" sqref="K6"/>
    </sheetView>
  </sheetViews>
  <sheetFormatPr defaultRowHeight="14.5"/>
  <cols>
    <col min="1" max="1" width="28.6328125" customWidth="1"/>
    <col min="2" max="4" width="18.6328125" customWidth="1"/>
  </cols>
  <sheetData>
    <row r="1" spans="1:4" ht="30" customHeight="1">
      <c r="A1" s="8" t="s">
        <v>0</v>
      </c>
    </row>
    <row r="2" spans="1:4" ht="22" customHeight="1">
      <c r="A2" s="12" t="s">
        <v>1</v>
      </c>
      <c r="B2" s="13"/>
      <c r="C2" s="13"/>
      <c r="D2" s="13"/>
    </row>
    <row r="3" spans="1:4">
      <c r="A3" s="9"/>
    </row>
    <row r="4" spans="1:4">
      <c r="A4" s="10" t="s">
        <v>2</v>
      </c>
      <c r="B4" s="7"/>
      <c r="C4" s="7"/>
      <c r="D4" s="7"/>
    </row>
    <row r="5" spans="1:4" ht="87">
      <c r="A5" s="11" t="s">
        <v>3</v>
      </c>
    </row>
    <row r="6" spans="1:4">
      <c r="A6" s="9"/>
    </row>
    <row r="7" spans="1:4">
      <c r="A7" s="10" t="s">
        <v>4</v>
      </c>
      <c r="B7" s="7"/>
      <c r="C7" s="7"/>
      <c r="D7" s="7"/>
    </row>
    <row r="8" spans="1:4">
      <c r="A8" s="9" t="s">
        <v>5</v>
      </c>
    </row>
    <row r="9" spans="1:4">
      <c r="A9" s="9"/>
    </row>
    <row r="10" spans="1:4">
      <c r="A10" s="10" t="s">
        <v>6</v>
      </c>
      <c r="B10" s="7"/>
      <c r="C10" s="7"/>
      <c r="D10" s="7"/>
    </row>
    <row r="11" spans="1:4">
      <c r="A11" s="14" t="s">
        <v>7</v>
      </c>
    </row>
    <row r="12" spans="1:4">
      <c r="A12" s="14" t="s">
        <v>8</v>
      </c>
    </row>
    <row r="13" spans="1:4">
      <c r="A13" s="14" t="s">
        <v>9</v>
      </c>
    </row>
    <row r="14" spans="1:4">
      <c r="A14" s="14" t="s">
        <v>10</v>
      </c>
    </row>
    <row r="15" spans="1:4">
      <c r="A15" s="14" t="s">
        <v>11</v>
      </c>
    </row>
    <row r="16" spans="1:4">
      <c r="A16" s="14" t="s">
        <v>12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07079-A29D-4C0A-B1A8-E36C46F01438}">
  <dimension ref="A1:AF18"/>
  <sheetViews>
    <sheetView topLeftCell="V1" workbookViewId="0">
      <selection activeCell="AB15" sqref="AB15"/>
    </sheetView>
  </sheetViews>
  <sheetFormatPr defaultRowHeight="14.5"/>
  <cols>
    <col min="1" max="1" width="10.7265625" bestFit="1" customWidth="1"/>
    <col min="2" max="2" width="10.08984375" bestFit="1" customWidth="1"/>
    <col min="5" max="5" width="15.453125" customWidth="1"/>
    <col min="6" max="6" width="14.81640625" customWidth="1"/>
    <col min="7" max="7" width="12.90625" customWidth="1"/>
    <col min="17" max="17" width="13.6328125" customWidth="1"/>
    <col min="20" max="20" width="15.36328125" customWidth="1"/>
    <col min="26" max="26" width="15" customWidth="1"/>
    <col min="27" max="27" width="9.7265625" customWidth="1"/>
    <col min="28" max="28" width="13" customWidth="1"/>
    <col min="29" max="29" width="14.6328125" customWidth="1"/>
    <col min="30" max="30" width="19.26953125" customWidth="1"/>
    <col min="32" max="32" width="16.36328125" customWidth="1"/>
  </cols>
  <sheetData>
    <row r="1" spans="1:32">
      <c r="A1" t="s">
        <v>13</v>
      </c>
      <c r="B1" t="s">
        <v>14</v>
      </c>
      <c r="C1" t="s">
        <v>15</v>
      </c>
      <c r="D1" t="s">
        <v>16</v>
      </c>
      <c r="E1" t="s">
        <v>21</v>
      </c>
      <c r="F1" t="s">
        <v>20</v>
      </c>
    </row>
    <row r="2" spans="1:32">
      <c r="A2" t="s">
        <v>17</v>
      </c>
      <c r="B2">
        <v>50</v>
      </c>
      <c r="C2">
        <v>3</v>
      </c>
      <c r="D2">
        <f>B2*C2</f>
        <v>150</v>
      </c>
      <c r="E2">
        <f>D2*Fee_Rate</f>
        <v>7.5</v>
      </c>
      <c r="F2" s="1">
        <v>0.05</v>
      </c>
      <c r="H2">
        <v>1</v>
      </c>
      <c r="I2">
        <v>2</v>
      </c>
      <c r="J2">
        <v>3</v>
      </c>
      <c r="K2">
        <v>4</v>
      </c>
      <c r="L2">
        <v>5</v>
      </c>
    </row>
    <row r="3" spans="1:32">
      <c r="A3" t="s">
        <v>18</v>
      </c>
      <c r="B3">
        <v>80</v>
      </c>
      <c r="C3">
        <v>2</v>
      </c>
      <c r="D3">
        <f t="shared" ref="D3:D4" si="0">B3*C3</f>
        <v>160</v>
      </c>
      <c r="E3">
        <f>D3*Fee_Rate</f>
        <v>8</v>
      </c>
      <c r="G3">
        <v>1</v>
      </c>
      <c r="H3">
        <f>$G3*H$2</f>
        <v>1</v>
      </c>
      <c r="I3">
        <f t="shared" ref="I3:L7" si="1">$G3*I$2</f>
        <v>2</v>
      </c>
      <c r="J3">
        <f t="shared" si="1"/>
        <v>3</v>
      </c>
      <c r="K3">
        <f t="shared" si="1"/>
        <v>4</v>
      </c>
      <c r="L3">
        <f t="shared" si="1"/>
        <v>5</v>
      </c>
    </row>
    <row r="4" spans="1:32">
      <c r="A4" t="s">
        <v>19</v>
      </c>
      <c r="B4">
        <v>25</v>
      </c>
      <c r="C4">
        <v>5</v>
      </c>
      <c r="D4">
        <f t="shared" si="0"/>
        <v>125</v>
      </c>
      <c r="E4">
        <f>D4*Fee_Rate</f>
        <v>6.25</v>
      </c>
      <c r="G4">
        <v>2</v>
      </c>
      <c r="H4">
        <f t="shared" ref="H4:H7" si="2">$G4*H$2</f>
        <v>2</v>
      </c>
      <c r="I4">
        <f t="shared" si="1"/>
        <v>4</v>
      </c>
      <c r="J4">
        <f t="shared" si="1"/>
        <v>6</v>
      </c>
      <c r="K4">
        <f t="shared" si="1"/>
        <v>8</v>
      </c>
      <c r="L4">
        <f t="shared" si="1"/>
        <v>10</v>
      </c>
      <c r="R4" t="s">
        <v>32</v>
      </c>
      <c r="S4" t="s">
        <v>33</v>
      </c>
      <c r="T4" t="s">
        <v>34</v>
      </c>
      <c r="U4" t="s">
        <v>35</v>
      </c>
      <c r="W4" t="s">
        <v>32</v>
      </c>
      <c r="Z4" s="18" t="s">
        <v>39</v>
      </c>
      <c r="AA4" s="18" t="s">
        <v>14</v>
      </c>
      <c r="AB4" s="18" t="s">
        <v>40</v>
      </c>
      <c r="AC4" s="18" t="s">
        <v>44</v>
      </c>
      <c r="AD4" s="18" t="s">
        <v>45</v>
      </c>
      <c r="AF4" s="18" t="s">
        <v>46</v>
      </c>
    </row>
    <row r="5" spans="1:32">
      <c r="G5">
        <v>3</v>
      </c>
      <c r="H5">
        <f t="shared" si="2"/>
        <v>3</v>
      </c>
      <c r="I5">
        <f t="shared" si="1"/>
        <v>6</v>
      </c>
      <c r="J5">
        <f t="shared" si="1"/>
        <v>9</v>
      </c>
      <c r="K5">
        <f t="shared" si="1"/>
        <v>12</v>
      </c>
      <c r="L5">
        <f t="shared" si="1"/>
        <v>15</v>
      </c>
      <c r="W5" t="s">
        <v>33</v>
      </c>
      <c r="Z5" t="s">
        <v>41</v>
      </c>
      <c r="AA5">
        <v>80</v>
      </c>
      <c r="AB5">
        <v>4</v>
      </c>
      <c r="AC5">
        <f>Table1[[#This Row],[Price]]*Table1[[#This Row],[Quantity]]</f>
        <v>320</v>
      </c>
      <c r="AD5">
        <f>Table1[[#This Row],[Revenue]]*(1-Discounted_Rate)</f>
        <v>288</v>
      </c>
      <c r="AF5" s="1">
        <v>0.1</v>
      </c>
    </row>
    <row r="6" spans="1:32">
      <c r="G6">
        <v>4</v>
      </c>
      <c r="H6">
        <f t="shared" si="2"/>
        <v>4</v>
      </c>
      <c r="I6">
        <f t="shared" si="1"/>
        <v>8</v>
      </c>
      <c r="J6">
        <f t="shared" si="1"/>
        <v>12</v>
      </c>
      <c r="K6">
        <f t="shared" si="1"/>
        <v>16</v>
      </c>
      <c r="L6">
        <f t="shared" si="1"/>
        <v>20</v>
      </c>
      <c r="W6" t="s">
        <v>34</v>
      </c>
      <c r="Z6" t="s">
        <v>42</v>
      </c>
      <c r="AA6">
        <v>120</v>
      </c>
      <c r="AB6">
        <v>2</v>
      </c>
      <c r="AC6">
        <f>Table1[[#This Row],[Price]]*Table1[[#This Row],[Quantity]]</f>
        <v>240</v>
      </c>
      <c r="AD6">
        <f>Table1[[#This Row],[Revenue]]*(1-Discounted_Rate)</f>
        <v>216</v>
      </c>
    </row>
    <row r="7" spans="1:32">
      <c r="E7">
        <v>100</v>
      </c>
      <c r="G7">
        <v>5</v>
      </c>
      <c r="H7">
        <f t="shared" si="2"/>
        <v>5</v>
      </c>
      <c r="I7">
        <f t="shared" si="1"/>
        <v>10</v>
      </c>
      <c r="J7">
        <f t="shared" si="1"/>
        <v>15</v>
      </c>
      <c r="K7">
        <f t="shared" si="1"/>
        <v>20</v>
      </c>
      <c r="L7">
        <f t="shared" si="1"/>
        <v>25</v>
      </c>
      <c r="O7" t="s">
        <v>26</v>
      </c>
      <c r="Q7" s="16" t="s">
        <v>31</v>
      </c>
      <c r="W7" t="s">
        <v>35</v>
      </c>
      <c r="Z7" t="s">
        <v>43</v>
      </c>
      <c r="AA7">
        <v>40</v>
      </c>
      <c r="AB7">
        <v>6</v>
      </c>
      <c r="AC7">
        <f>Table1[[#This Row],[Price]]*Table1[[#This Row],[Quantity]]</f>
        <v>240</v>
      </c>
      <c r="AD7">
        <f>Table1[[#This Row],[Revenue]]*(1-Discounted_Rate)</f>
        <v>216</v>
      </c>
    </row>
    <row r="8" spans="1:32">
      <c r="O8" t="s">
        <v>27</v>
      </c>
      <c r="T8" t="s">
        <v>38</v>
      </c>
    </row>
    <row r="9" spans="1:32">
      <c r="O9" t="s">
        <v>28</v>
      </c>
      <c r="T9" t="s">
        <v>38</v>
      </c>
    </row>
    <row r="10" spans="1:32">
      <c r="A10" s="2">
        <v>0.25</v>
      </c>
      <c r="B10">
        <f>A10*100</f>
        <v>25</v>
      </c>
      <c r="E10">
        <v>7.5</v>
      </c>
      <c r="G10" t="s">
        <v>22</v>
      </c>
      <c r="H10" s="1">
        <v>0.1</v>
      </c>
      <c r="I10" s="1">
        <v>0.2</v>
      </c>
      <c r="J10" s="1">
        <v>0.3</v>
      </c>
      <c r="O10" t="s">
        <v>29</v>
      </c>
      <c r="T10" t="s">
        <v>36</v>
      </c>
    </row>
    <row r="11" spans="1:32">
      <c r="A11" s="3">
        <v>1250.5</v>
      </c>
      <c r="G11">
        <v>100</v>
      </c>
      <c r="H11">
        <f>$G11*(1-H$10)</f>
        <v>90</v>
      </c>
      <c r="I11">
        <f>$G11*(1-I$10)</f>
        <v>80</v>
      </c>
      <c r="J11">
        <f>$G11*(1-J$10)</f>
        <v>70</v>
      </c>
      <c r="O11" t="s">
        <v>30</v>
      </c>
      <c r="T11" t="s">
        <v>38</v>
      </c>
    </row>
    <row r="12" spans="1:32">
      <c r="A12" s="4">
        <v>45800</v>
      </c>
      <c r="B12" s="4">
        <f>A12+7</f>
        <v>45807</v>
      </c>
      <c r="C12">
        <f>B12-A12</f>
        <v>7</v>
      </c>
      <c r="G12">
        <v>200</v>
      </c>
      <c r="H12">
        <f>G12*(1-H$10)</f>
        <v>180</v>
      </c>
      <c r="I12">
        <f>$G12*(1-I$10)</f>
        <v>160</v>
      </c>
      <c r="J12">
        <f>$G12*(1-J$10)</f>
        <v>140</v>
      </c>
      <c r="T12" t="s">
        <v>37</v>
      </c>
    </row>
    <row r="13" spans="1:32">
      <c r="G13">
        <v>300</v>
      </c>
      <c r="H13">
        <f>G13*(1-H$10)</f>
        <v>270</v>
      </c>
      <c r="I13">
        <f>$G13*(1-I$10)</f>
        <v>240</v>
      </c>
      <c r="J13">
        <f>$G13*(1-J$10)</f>
        <v>210</v>
      </c>
    </row>
    <row r="14" spans="1:32">
      <c r="A14" s="5">
        <v>1250000</v>
      </c>
    </row>
    <row r="15" spans="1:32">
      <c r="A15" s="6">
        <v>425600</v>
      </c>
    </row>
    <row r="17" spans="6:7">
      <c r="F17" s="16" t="s">
        <v>23</v>
      </c>
      <c r="G17" s="16" t="s">
        <v>24</v>
      </c>
    </row>
    <row r="18" spans="6:7">
      <c r="F18" s="15">
        <v>10001</v>
      </c>
      <c r="G18" t="s">
        <v>25</v>
      </c>
    </row>
  </sheetData>
  <conditionalFormatting sqref="Z4:AD7">
    <cfRule type="expression" dxfId="1" priority="1">
      <formula>$AB5&gt;=4</formula>
    </cfRule>
    <cfRule type="expression" dxfId="0" priority="2">
      <formula>$AB6&gt;=4</formula>
    </cfRule>
    <cfRule type="expression" priority="3">
      <formula>$AB6&gt;=4</formula>
    </cfRule>
    <cfRule type="expression" priority="4">
      <formula>$AB$4:$AB$7&gt;4</formula>
    </cfRule>
    <cfRule type="expression" priority="5">
      <formula>"Quantity&gt;4"</formula>
    </cfRule>
  </conditionalFormatting>
  <dataValidations count="2">
    <dataValidation type="list" allowBlank="1" showInputMessage="1" showErrorMessage="1" promptTitle="Order Status" prompt="Select a status from the dropdown list." sqref="G18" xr:uid="{0799981A-581B-4D3F-B7C6-07D2800B20B7}">
      <formula1>"Pending,Processing,Shipped,Cancelled"</formula1>
    </dataValidation>
    <dataValidation type="list" allowBlank="1" showInputMessage="1" showErrorMessage="1" sqref="Q8" xr:uid="{50F2235D-32F2-4677-8E33-5A1F7CAAE3C3}">
      <formula1>$O$8:$O$11</formula1>
    </dataValidation>
  </dataValidation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D517C-97CD-45B8-9429-024F5A3467B1}">
  <dimension ref="A1:Z18"/>
  <sheetViews>
    <sheetView topLeftCell="S6" workbookViewId="0">
      <selection activeCell="Y16" sqref="Y16"/>
    </sheetView>
  </sheetViews>
  <sheetFormatPr defaultRowHeight="14.5"/>
  <cols>
    <col min="1" max="1" width="16" customWidth="1"/>
    <col min="2" max="2" width="15.90625" customWidth="1"/>
    <col min="3" max="3" width="18" customWidth="1"/>
    <col min="4" max="4" width="15.6328125" customWidth="1"/>
    <col min="5" max="5" width="24.36328125" customWidth="1"/>
    <col min="6" max="6" width="21.1796875" customWidth="1"/>
    <col min="7" max="7" width="24.54296875" customWidth="1"/>
    <col min="10" max="10" width="22.08984375" customWidth="1"/>
    <col min="11" max="11" width="21.54296875" customWidth="1"/>
    <col min="12" max="12" width="26.90625" customWidth="1"/>
    <col min="14" max="14" width="28.36328125" customWidth="1"/>
    <col min="15" max="15" width="25.81640625" customWidth="1"/>
    <col min="16" max="16" width="15.36328125" customWidth="1"/>
    <col min="17" max="17" width="22.453125" customWidth="1"/>
    <col min="18" max="18" width="23.08984375" customWidth="1"/>
    <col min="22" max="22" width="21.6328125" customWidth="1"/>
    <col min="23" max="23" width="14.7265625" customWidth="1"/>
    <col min="24" max="24" width="21.08984375" customWidth="1"/>
  </cols>
  <sheetData>
    <row r="1" spans="1:26">
      <c r="A1" s="19" t="s">
        <v>13</v>
      </c>
      <c r="B1" s="19" t="s">
        <v>44</v>
      </c>
      <c r="C1" s="19" t="s">
        <v>47</v>
      </c>
      <c r="D1" s="19" t="s">
        <v>50</v>
      </c>
      <c r="E1" s="19" t="s">
        <v>51</v>
      </c>
      <c r="F1" s="19" t="s">
        <v>52</v>
      </c>
      <c r="G1" s="19" t="s">
        <v>53</v>
      </c>
      <c r="J1" s="18" t="s">
        <v>59</v>
      </c>
      <c r="K1" s="18" t="s">
        <v>60</v>
      </c>
      <c r="L1" s="18" t="s">
        <v>61</v>
      </c>
      <c r="N1" s="18" t="s">
        <v>70</v>
      </c>
      <c r="O1" s="18" t="s">
        <v>60</v>
      </c>
      <c r="Q1" s="18" t="s">
        <v>72</v>
      </c>
      <c r="R1" s="18" t="s">
        <v>73</v>
      </c>
      <c r="V1" s="22" t="s">
        <v>39</v>
      </c>
      <c r="W1" s="22" t="s">
        <v>61</v>
      </c>
      <c r="X1" s="22" t="s">
        <v>44</v>
      </c>
    </row>
    <row r="2" spans="1:26">
      <c r="A2" s="17" t="s">
        <v>48</v>
      </c>
      <c r="B2" s="17">
        <v>850</v>
      </c>
      <c r="C2" s="17" t="str">
        <f>IF(B2&gt;=750,"High","Low")</f>
        <v>High</v>
      </c>
      <c r="D2" s="17">
        <v>12</v>
      </c>
      <c r="E2" s="17" t="str">
        <f>IF(AND(B2&gt;=750,D2&gt;=10),"Strong","Needs Review")</f>
        <v>Strong</v>
      </c>
      <c r="F2" s="17" t="str">
        <f>IF(OR(B2&gt;=750,D2&gt;=10),"Priority","Normal")</f>
        <v>Priority</v>
      </c>
      <c r="G2" t="str">
        <f>_xlfn.IFS(B2&gt;=1000,"Excellent",B2&gt;=750,"High",B2&gt;=500,"Medium",TRUE,"Low")</f>
        <v>High</v>
      </c>
      <c r="J2" s="21" t="s">
        <v>62</v>
      </c>
      <c r="K2" s="21" t="s">
        <v>17</v>
      </c>
      <c r="L2" s="21" t="s">
        <v>63</v>
      </c>
      <c r="N2" t="s">
        <v>65</v>
      </c>
      <c r="O2" t="str">
        <f>VLOOKUP(N2,J2:L6,2,FALSE)</f>
        <v>Mouse</v>
      </c>
      <c r="Q2" t="s">
        <v>74</v>
      </c>
      <c r="R2" t="str">
        <f>TRIM(Q2)</f>
        <v>Samara Pires</v>
      </c>
      <c r="V2" s="20" t="s">
        <v>48</v>
      </c>
      <c r="W2" s="20" t="s">
        <v>57</v>
      </c>
      <c r="X2" s="20">
        <v>850</v>
      </c>
      <c r="Z2" t="s">
        <v>80</v>
      </c>
    </row>
    <row r="3" spans="1:26">
      <c r="A3" s="17" t="s">
        <v>49</v>
      </c>
      <c r="B3" s="17">
        <v>1200</v>
      </c>
      <c r="C3" s="17" t="str">
        <f t="shared" ref="C3:C5" si="0">IF(B3&gt;=750,"High","Low")</f>
        <v>High</v>
      </c>
      <c r="D3" s="17">
        <v>7</v>
      </c>
      <c r="E3" s="17" t="str">
        <f t="shared" ref="E3:E5" si="1">IF(AND(B3&gt;=750,D3&gt;=10),"Strong","Needs Review")</f>
        <v>Needs Review</v>
      </c>
      <c r="F3" s="17" t="str">
        <f t="shared" ref="F3:F5" si="2">IF(OR(B3&gt;=750,D3&gt;=10),"Priority","Normal")</f>
        <v>Priority</v>
      </c>
      <c r="G3" t="str">
        <f t="shared" ref="G3:G5" si="3">_xlfn.IFS(B3&gt;=1000,"Excellent",B3&gt;=750,"High",B3&gt;=500,"Medium",TRUE,"Low")</f>
        <v>Excellent</v>
      </c>
      <c r="J3" s="21" t="s">
        <v>64</v>
      </c>
      <c r="K3" s="21" t="s">
        <v>18</v>
      </c>
      <c r="L3" s="21" t="s">
        <v>57</v>
      </c>
      <c r="O3" t="str">
        <f>IFERROR(INDEX(K2:K6,MATCH(N2,J2:J6,0)),"Product Not Found")</f>
        <v>Mouse</v>
      </c>
      <c r="V3" s="20" t="s">
        <v>49</v>
      </c>
      <c r="W3" s="20" t="s">
        <v>57</v>
      </c>
      <c r="X3" s="20">
        <v>1200</v>
      </c>
    </row>
    <row r="4" spans="1:26">
      <c r="A4" s="17" t="s">
        <v>18</v>
      </c>
      <c r="B4" s="17">
        <v>450</v>
      </c>
      <c r="C4" s="17" t="str">
        <f t="shared" si="0"/>
        <v>Low</v>
      </c>
      <c r="D4" s="17">
        <v>15</v>
      </c>
      <c r="E4" s="17" t="str">
        <f t="shared" si="1"/>
        <v>Needs Review</v>
      </c>
      <c r="F4" s="17" t="str">
        <f t="shared" si="2"/>
        <v>Priority</v>
      </c>
      <c r="G4" t="str">
        <f t="shared" si="3"/>
        <v>Low</v>
      </c>
      <c r="J4" s="21" t="s">
        <v>65</v>
      </c>
      <c r="K4" s="21" t="s">
        <v>19</v>
      </c>
      <c r="L4" s="21" t="s">
        <v>57</v>
      </c>
      <c r="O4" t="str">
        <f>INDEX(K2:K6,3)</f>
        <v>Mouse</v>
      </c>
      <c r="V4" s="20" t="s">
        <v>79</v>
      </c>
      <c r="W4" s="20" t="s">
        <v>58</v>
      </c>
      <c r="X4" s="20">
        <v>600</v>
      </c>
    </row>
    <row r="5" spans="1:26">
      <c r="A5" s="17" t="s">
        <v>41</v>
      </c>
      <c r="B5" s="17">
        <v>700</v>
      </c>
      <c r="C5" s="17" t="str">
        <f t="shared" si="0"/>
        <v>Low</v>
      </c>
      <c r="D5" s="17">
        <v>11</v>
      </c>
      <c r="E5" s="17" t="str">
        <f t="shared" si="1"/>
        <v>Needs Review</v>
      </c>
      <c r="F5" s="17" t="str">
        <f t="shared" si="2"/>
        <v>Priority</v>
      </c>
      <c r="G5" t="str">
        <f t="shared" si="3"/>
        <v>Medium</v>
      </c>
      <c r="J5" s="21" t="s">
        <v>66</v>
      </c>
      <c r="K5" s="21" t="s">
        <v>67</v>
      </c>
      <c r="L5" s="21" t="s">
        <v>68</v>
      </c>
      <c r="Q5" t="s">
        <v>75</v>
      </c>
      <c r="V5" s="20" t="s">
        <v>18</v>
      </c>
      <c r="W5" s="20" t="s">
        <v>57</v>
      </c>
      <c r="X5" s="20">
        <v>450</v>
      </c>
    </row>
    <row r="6" spans="1:26">
      <c r="J6" s="21" t="s">
        <v>69</v>
      </c>
      <c r="K6" s="21" t="s">
        <v>49</v>
      </c>
      <c r="L6" s="21" t="s">
        <v>57</v>
      </c>
      <c r="O6" t="str">
        <f>INDEX(K2:K6,MATCH(N2,J2:J6,0))</f>
        <v>Mouse</v>
      </c>
      <c r="R6" t="s">
        <v>76</v>
      </c>
      <c r="T6">
        <f>FIND("-",Q5)</f>
        <v>4</v>
      </c>
    </row>
    <row r="7" spans="1:26">
      <c r="Q7" t="str">
        <f>RIGHT(Q5,5)</f>
        <v>45821</v>
      </c>
    </row>
    <row r="8" spans="1:26">
      <c r="Q8" t="str">
        <f>LEFT(Q5,3)</f>
        <v>CAN</v>
      </c>
      <c r="T8">
        <f>SEARCH("c","Canada")</f>
        <v>1</v>
      </c>
    </row>
    <row r="9" spans="1:26">
      <c r="Q9" t="str">
        <f>MID(Q5,5,4)</f>
        <v>2026</v>
      </c>
      <c r="R9" t="str">
        <f>SUBSTITUTE(R6,"-"," ")</f>
        <v>CANADA WEST 2026</v>
      </c>
    </row>
    <row r="10" spans="1:26">
      <c r="A10" s="19" t="s">
        <v>54</v>
      </c>
      <c r="B10" s="19" t="s">
        <v>55</v>
      </c>
      <c r="C10" s="19" t="s">
        <v>16</v>
      </c>
      <c r="E10">
        <f>SUMIF(A11:A16,"Canada",C11:C16)</f>
        <v>3300</v>
      </c>
    </row>
    <row r="11" spans="1:26">
      <c r="A11" s="20" t="s">
        <v>56</v>
      </c>
      <c r="B11" s="20" t="s">
        <v>57</v>
      </c>
      <c r="C11" s="20">
        <v>1200</v>
      </c>
      <c r="E11">
        <f>SUMIFS(C11:C16,A11:A16,"Canada",B11:B16,"Electronics")</f>
        <v>2700</v>
      </c>
    </row>
    <row r="12" spans="1:26">
      <c r="A12" s="20" t="s">
        <v>38</v>
      </c>
      <c r="B12" s="20" t="s">
        <v>58</v>
      </c>
      <c r="C12" s="20">
        <v>800</v>
      </c>
      <c r="E12">
        <f>COUNTIFS(A11:A16,"Canada",B11:B16,"Electronics")</f>
        <v>2</v>
      </c>
    </row>
    <row r="13" spans="1:26">
      <c r="A13" s="20" t="s">
        <v>56</v>
      </c>
      <c r="B13" s="20" t="s">
        <v>58</v>
      </c>
      <c r="C13" s="20">
        <v>600</v>
      </c>
      <c r="E13">
        <f>AVERAGEIFS(C11:C16,A11:A16,"Canada",B11:B16,"Electronics")</f>
        <v>1350</v>
      </c>
      <c r="N13" s="4">
        <v>46249</v>
      </c>
      <c r="O13">
        <f>YEAR(N13)</f>
        <v>2026</v>
      </c>
      <c r="Q13" t="s">
        <v>77</v>
      </c>
      <c r="R13" t="s">
        <v>78</v>
      </c>
      <c r="S13" t="s">
        <v>56</v>
      </c>
    </row>
    <row r="14" spans="1:26">
      <c r="A14" s="20" t="s">
        <v>36</v>
      </c>
      <c r="B14" s="20" t="s">
        <v>57</v>
      </c>
      <c r="C14" s="20">
        <v>900</v>
      </c>
      <c r="E14">
        <f>COUNTIFS(A11:A16,"UK",C11:C16,"&gt;=750")</f>
        <v>1</v>
      </c>
      <c r="O14">
        <f>MONTH(N13)</f>
        <v>8</v>
      </c>
    </row>
    <row r="15" spans="1:26">
      <c r="A15" s="20" t="s">
        <v>56</v>
      </c>
      <c r="B15" s="20" t="s">
        <v>57</v>
      </c>
      <c r="C15" s="20">
        <v>1500</v>
      </c>
      <c r="L15" t="s">
        <v>71</v>
      </c>
      <c r="O15">
        <f>DAY(N13)</f>
        <v>15</v>
      </c>
      <c r="Q15" t="str">
        <f>_xlfn.TEXTJOIN("-",TRUE,Q13:S13)</f>
        <v>Samara-Pires-Canada</v>
      </c>
      <c r="R15">
        <f>LEN(Q15)</f>
        <v>19</v>
      </c>
    </row>
    <row r="16" spans="1:26">
      <c r="A16" s="20" t="s">
        <v>38</v>
      </c>
      <c r="B16" s="20" t="s">
        <v>57</v>
      </c>
      <c r="C16" s="20">
        <v>700</v>
      </c>
    </row>
    <row r="18" spans="15:16">
      <c r="O18" s="4">
        <f ca="1">TODAY()</f>
        <v>46275</v>
      </c>
      <c r="P18" t="e">
        <f>EOMONTH(start_date, months)</f>
        <v>#NAME?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09FBD-8EEB-4150-96BB-8DB4F97B76E6}">
  <dimension ref="B3:AD49"/>
  <sheetViews>
    <sheetView topLeftCell="AD1" zoomScale="76" workbookViewId="0">
      <selection activeCell="AJ22" sqref="AJ22"/>
    </sheetView>
  </sheetViews>
  <sheetFormatPr defaultRowHeight="14.5"/>
  <cols>
    <col min="2" max="2" width="19.453125" bestFit="1" customWidth="1"/>
    <col min="3" max="3" width="17.90625" bestFit="1" customWidth="1"/>
    <col min="4" max="4" width="11.36328125" bestFit="1" customWidth="1"/>
    <col min="5" max="5" width="19" bestFit="1" customWidth="1"/>
    <col min="6" max="6" width="25.453125" bestFit="1" customWidth="1"/>
    <col min="7" max="7" width="21.36328125" bestFit="1" customWidth="1"/>
    <col min="8" max="8" width="19.26953125" bestFit="1" customWidth="1"/>
    <col min="9" max="9" width="17.90625" bestFit="1" customWidth="1"/>
    <col min="10" max="10" width="11.36328125" bestFit="1" customWidth="1"/>
    <col min="11" max="11" width="19" bestFit="1" customWidth="1"/>
    <col min="12" max="12" width="25.453125" bestFit="1" customWidth="1"/>
    <col min="13" max="13" width="21.36328125" bestFit="1" customWidth="1"/>
    <col min="14" max="14" width="19.26953125" bestFit="1" customWidth="1"/>
    <col min="15" max="15" width="17.90625" bestFit="1" customWidth="1"/>
    <col min="16" max="16" width="11.36328125" bestFit="1" customWidth="1"/>
    <col min="17" max="17" width="19" bestFit="1" customWidth="1"/>
    <col min="18" max="18" width="25.453125" bestFit="1" customWidth="1"/>
    <col min="19" max="19" width="21.36328125" bestFit="1" customWidth="1"/>
    <col min="20" max="20" width="19.26953125" bestFit="1" customWidth="1"/>
    <col min="21" max="21" width="22.7265625" bestFit="1" customWidth="1"/>
    <col min="22" max="22" width="16.08984375" bestFit="1" customWidth="1"/>
    <col min="23" max="23" width="23.81640625" bestFit="1" customWidth="1"/>
    <col min="24" max="24" width="30.26953125" bestFit="1" customWidth="1"/>
    <col min="25" max="25" width="26.1796875" bestFit="1" customWidth="1"/>
    <col min="26" max="26" width="24" bestFit="1" customWidth="1"/>
    <col min="29" max="29" width="14.7265625" bestFit="1" customWidth="1"/>
    <col min="30" max="30" width="17.90625" bestFit="1" customWidth="1"/>
  </cols>
  <sheetData>
    <row r="3" spans="2:30">
      <c r="C3" s="23" t="s">
        <v>124</v>
      </c>
    </row>
    <row r="4" spans="2:30">
      <c r="C4">
        <v>2009</v>
      </c>
      <c r="I4">
        <v>2010</v>
      </c>
      <c r="O4">
        <v>2011</v>
      </c>
      <c r="U4" t="s">
        <v>126</v>
      </c>
      <c r="V4" t="s">
        <v>127</v>
      </c>
      <c r="W4" t="s">
        <v>129</v>
      </c>
      <c r="X4" t="s">
        <v>131</v>
      </c>
      <c r="Y4" t="s">
        <v>135</v>
      </c>
      <c r="Z4" t="s">
        <v>133</v>
      </c>
      <c r="AC4" s="23" t="s">
        <v>81</v>
      </c>
      <c r="AD4" t="s">
        <v>125</v>
      </c>
    </row>
    <row r="5" spans="2:30">
      <c r="B5" s="23" t="s">
        <v>81</v>
      </c>
      <c r="C5" t="s">
        <v>125</v>
      </c>
      <c r="D5" t="s">
        <v>128</v>
      </c>
      <c r="E5" t="s">
        <v>130</v>
      </c>
      <c r="F5" t="s">
        <v>132</v>
      </c>
      <c r="G5" t="s">
        <v>136</v>
      </c>
      <c r="H5" t="s">
        <v>134</v>
      </c>
      <c r="I5" t="s">
        <v>125</v>
      </c>
      <c r="J5" t="s">
        <v>128</v>
      </c>
      <c r="K5" t="s">
        <v>130</v>
      </c>
      <c r="L5" t="s">
        <v>132</v>
      </c>
      <c r="M5" t="s">
        <v>136</v>
      </c>
      <c r="N5" t="s">
        <v>134</v>
      </c>
      <c r="O5" t="s">
        <v>125</v>
      </c>
      <c r="P5" t="s">
        <v>128</v>
      </c>
      <c r="Q5" t="s">
        <v>130</v>
      </c>
      <c r="R5" t="s">
        <v>132</v>
      </c>
      <c r="S5" t="s">
        <v>136</v>
      </c>
      <c r="T5" t="s">
        <v>134</v>
      </c>
      <c r="AC5" s="15" t="s">
        <v>118</v>
      </c>
      <c r="AD5" s="26">
        <v>17281229.077000007</v>
      </c>
    </row>
    <row r="6" spans="2:30">
      <c r="B6" s="15" t="s">
        <v>82</v>
      </c>
      <c r="C6" s="26">
        <v>271.10000000000002</v>
      </c>
      <c r="D6" s="25">
        <v>2</v>
      </c>
      <c r="E6" s="26">
        <v>135.55000000000001</v>
      </c>
      <c r="H6" s="26">
        <v>271.10000000000002</v>
      </c>
      <c r="I6" s="26">
        <v>31075.10000000002</v>
      </c>
      <c r="J6" s="25">
        <v>34</v>
      </c>
      <c r="K6" s="26">
        <v>913.9735294117653</v>
      </c>
      <c r="L6" s="26">
        <v>271.10000000000002</v>
      </c>
      <c r="M6" s="24">
        <v>113.62596827738849</v>
      </c>
      <c r="N6" s="26">
        <v>30804.000000000022</v>
      </c>
      <c r="O6" s="26">
        <v>137138.46000000075</v>
      </c>
      <c r="P6" s="25">
        <v>53</v>
      </c>
      <c r="Q6" s="26">
        <v>2587.5181132075613</v>
      </c>
      <c r="R6" s="26">
        <v>31075.099999999995</v>
      </c>
      <c r="S6" s="24">
        <v>3.4131301266931007</v>
      </c>
      <c r="T6" s="26">
        <v>106063.36000000076</v>
      </c>
      <c r="U6" s="26">
        <v>168484.65999999989</v>
      </c>
      <c r="V6" s="25">
        <v>89</v>
      </c>
      <c r="W6" s="26">
        <v>1893.0860674157291</v>
      </c>
      <c r="X6" s="26">
        <v>31346.199999999997</v>
      </c>
      <c r="Y6" s="24">
        <v>4.3749628344105478</v>
      </c>
      <c r="Z6" s="26">
        <v>137138.4599999999</v>
      </c>
      <c r="AC6" s="15" t="s">
        <v>97</v>
      </c>
      <c r="AD6" s="26">
        <v>640571.99999999953</v>
      </c>
    </row>
    <row r="7" spans="2:30">
      <c r="B7" s="15" t="s">
        <v>83</v>
      </c>
      <c r="C7" s="26">
        <v>1918.34</v>
      </c>
      <c r="D7" s="25">
        <v>2</v>
      </c>
      <c r="E7" s="26">
        <v>959.17</v>
      </c>
      <c r="H7" s="26">
        <v>1918.34</v>
      </c>
      <c r="I7" s="26">
        <v>9793.1900000000369</v>
      </c>
      <c r="J7" s="25">
        <v>22</v>
      </c>
      <c r="K7" s="26">
        <v>445.14500000000169</v>
      </c>
      <c r="L7" s="26">
        <v>1918.3400000000004</v>
      </c>
      <c r="M7" s="24">
        <v>4.1050335185629425</v>
      </c>
      <c r="N7" s="26">
        <v>7874.8500000000367</v>
      </c>
      <c r="O7" s="26">
        <v>8585.4800000000232</v>
      </c>
      <c r="P7" s="25">
        <v>16</v>
      </c>
      <c r="Q7" s="26">
        <v>536.59250000000145</v>
      </c>
      <c r="R7" s="26">
        <v>9793.19</v>
      </c>
      <c r="S7" s="24">
        <v>-0.12332141008190153</v>
      </c>
      <c r="T7" s="26">
        <v>-1207.7099999999773</v>
      </c>
      <c r="U7" s="26">
        <v>20297.010000000002</v>
      </c>
      <c r="V7" s="25">
        <v>40</v>
      </c>
      <c r="W7" s="26">
        <v>507.42525000000006</v>
      </c>
      <c r="X7" s="26">
        <v>11711.529999999995</v>
      </c>
      <c r="Y7" s="24">
        <v>0.73307928169931769</v>
      </c>
      <c r="Z7" s="26">
        <v>8585.4800000000068</v>
      </c>
      <c r="AC7" s="15" t="s">
        <v>105</v>
      </c>
      <c r="AD7" s="26">
        <v>549952.65999999922</v>
      </c>
    </row>
    <row r="8" spans="2:30">
      <c r="B8" s="15" t="s">
        <v>84</v>
      </c>
      <c r="C8" s="26"/>
      <c r="D8" s="25"/>
      <c r="E8" s="26"/>
      <c r="H8" s="26"/>
      <c r="I8" s="26">
        <v>2561.3900000000008</v>
      </c>
      <c r="J8" s="25">
        <v>8</v>
      </c>
      <c r="K8" s="26">
        <v>320.1737500000001</v>
      </c>
      <c r="L8" s="26"/>
      <c r="M8" s="24"/>
      <c r="N8" s="26">
        <v>2561.3900000000008</v>
      </c>
      <c r="O8" s="26">
        <v>548.40000000000009</v>
      </c>
      <c r="P8" s="25">
        <v>2</v>
      </c>
      <c r="Q8" s="26">
        <v>274.20000000000005</v>
      </c>
      <c r="R8" s="26">
        <v>2561.3900000000003</v>
      </c>
      <c r="S8" s="24">
        <v>-0.7858975009662722</v>
      </c>
      <c r="T8" s="26">
        <v>-2012.9900000000002</v>
      </c>
      <c r="U8" s="26">
        <v>3109.7900000000009</v>
      </c>
      <c r="V8" s="25">
        <v>10</v>
      </c>
      <c r="W8" s="26">
        <v>310.9790000000001</v>
      </c>
      <c r="X8" s="26">
        <v>2561.3900000000008</v>
      </c>
      <c r="Y8" s="24">
        <v>0.21410249903372774</v>
      </c>
      <c r="Z8" s="26">
        <v>548.40000000000009</v>
      </c>
      <c r="AC8" s="15" t="s">
        <v>37</v>
      </c>
      <c r="AD8" s="26">
        <v>388959.99100000132</v>
      </c>
    </row>
    <row r="9" spans="2:30">
      <c r="B9" s="15" t="s">
        <v>85</v>
      </c>
      <c r="C9" s="26">
        <v>287.59999999999997</v>
      </c>
      <c r="D9" s="25">
        <v>2</v>
      </c>
      <c r="E9" s="26">
        <v>143.79999999999998</v>
      </c>
      <c r="H9" s="26">
        <v>287.59999999999997</v>
      </c>
      <c r="I9" s="26">
        <v>21707.740000000053</v>
      </c>
      <c r="J9" s="25">
        <v>48</v>
      </c>
      <c r="K9" s="26">
        <v>452.24458333333445</v>
      </c>
      <c r="L9" s="26">
        <v>287.59999999999997</v>
      </c>
      <c r="M9" s="24">
        <v>74.478929068150407</v>
      </c>
      <c r="N9" s="26">
        <v>21420.140000000054</v>
      </c>
      <c r="O9" s="26">
        <v>35327.429999999942</v>
      </c>
      <c r="P9" s="25">
        <v>93</v>
      </c>
      <c r="Q9" s="26">
        <v>379.8648387096768</v>
      </c>
      <c r="R9" s="26">
        <v>21707.740000000009</v>
      </c>
      <c r="S9" s="24">
        <v>0.62741169739456648</v>
      </c>
      <c r="T9" s="26">
        <v>13619.689999999933</v>
      </c>
      <c r="U9" s="26">
        <v>57322.77000000004</v>
      </c>
      <c r="V9" s="25">
        <v>143</v>
      </c>
      <c r="W9" s="26">
        <v>400.85853146853174</v>
      </c>
      <c r="X9" s="26">
        <v>21995.339999999982</v>
      </c>
      <c r="Y9" s="24">
        <v>1.6061324807891166</v>
      </c>
      <c r="Z9" s="26">
        <v>35327.430000000058</v>
      </c>
      <c r="AC9" s="15" t="s">
        <v>36</v>
      </c>
      <c r="AD9" s="26">
        <v>317401.52999999974</v>
      </c>
    </row>
    <row r="10" spans="2:30">
      <c r="B10" s="15" t="s">
        <v>86</v>
      </c>
      <c r="C10" s="26"/>
      <c r="D10" s="25"/>
      <c r="E10" s="26"/>
      <c r="H10" s="26"/>
      <c r="I10" s="26">
        <v>1253.1400000000001</v>
      </c>
      <c r="J10" s="25">
        <v>1</v>
      </c>
      <c r="K10" s="26">
        <v>1253.1400000000001</v>
      </c>
      <c r="L10" s="26"/>
      <c r="M10" s="24"/>
      <c r="N10" s="26">
        <v>1253.1400000000001</v>
      </c>
      <c r="O10" s="26"/>
      <c r="P10" s="25"/>
      <c r="Q10" s="26"/>
      <c r="R10" s="26">
        <v>1253.1400000000001</v>
      </c>
      <c r="S10" s="24">
        <v>-1</v>
      </c>
      <c r="T10" s="26">
        <v>-1253.1400000000001</v>
      </c>
      <c r="U10" s="26">
        <v>1253.1400000000001</v>
      </c>
      <c r="V10" s="25">
        <v>1</v>
      </c>
      <c r="W10" s="26">
        <v>1253.1400000000001</v>
      </c>
      <c r="X10" s="26">
        <v>1253.1400000000001</v>
      </c>
      <c r="Y10" s="24">
        <v>0</v>
      </c>
      <c r="Z10" s="26">
        <v>0</v>
      </c>
      <c r="AC10" s="15" t="s">
        <v>82</v>
      </c>
      <c r="AD10" s="26">
        <v>168484.65999999989</v>
      </c>
    </row>
    <row r="11" spans="2:30">
      <c r="B11" s="15" t="s">
        <v>87</v>
      </c>
      <c r="C11" s="26"/>
      <c r="D11" s="25"/>
      <c r="E11" s="26"/>
      <c r="H11" s="26"/>
      <c r="I11" s="26">
        <v>268.27</v>
      </c>
      <c r="J11" s="25">
        <v>1</v>
      </c>
      <c r="K11" s="26">
        <v>268.27</v>
      </c>
      <c r="L11" s="26"/>
      <c r="M11" s="24"/>
      <c r="N11" s="26">
        <v>268.27</v>
      </c>
      <c r="O11" s="26">
        <v>1143.5999999999999</v>
      </c>
      <c r="P11" s="25">
        <v>1</v>
      </c>
      <c r="Q11" s="26">
        <v>1143.5999999999999</v>
      </c>
      <c r="R11" s="26">
        <v>268.27</v>
      </c>
      <c r="S11" s="24">
        <v>3.2628694971483951</v>
      </c>
      <c r="T11" s="26">
        <v>875.32999999999993</v>
      </c>
      <c r="U11" s="26">
        <v>1411.8700000000001</v>
      </c>
      <c r="V11" s="25">
        <v>2</v>
      </c>
      <c r="W11" s="26">
        <v>705.93500000000006</v>
      </c>
      <c r="X11" s="26">
        <v>268.27</v>
      </c>
      <c r="Y11" s="24">
        <v>4.2628694971483965</v>
      </c>
      <c r="Z11" s="26">
        <v>1143.6000000000001</v>
      </c>
      <c r="AC11" s="15" t="s">
        <v>113</v>
      </c>
      <c r="AD11" s="26">
        <v>98840.540000000037</v>
      </c>
    </row>
    <row r="12" spans="2:30">
      <c r="B12" s="15" t="s">
        <v>56</v>
      </c>
      <c r="C12" s="26"/>
      <c r="D12" s="25"/>
      <c r="E12" s="26"/>
      <c r="H12" s="26"/>
      <c r="I12" s="26">
        <v>1216.6600000000008</v>
      </c>
      <c r="J12" s="25">
        <v>2</v>
      </c>
      <c r="K12" s="26">
        <v>608.33000000000038</v>
      </c>
      <c r="L12" s="26"/>
      <c r="M12" s="24"/>
      <c r="N12" s="26">
        <v>1216.6600000000008</v>
      </c>
      <c r="O12" s="26">
        <v>3115.4399999999982</v>
      </c>
      <c r="P12" s="25">
        <v>5</v>
      </c>
      <c r="Q12" s="26">
        <v>623.08799999999962</v>
      </c>
      <c r="R12" s="26">
        <v>1216.6600000000003</v>
      </c>
      <c r="S12" s="24">
        <v>1.5606496473953262</v>
      </c>
      <c r="T12" s="26">
        <v>1898.7799999999979</v>
      </c>
      <c r="U12" s="26">
        <v>4332.0999999999995</v>
      </c>
      <c r="V12" s="25">
        <v>7</v>
      </c>
      <c r="W12" s="26">
        <v>618.87142857142851</v>
      </c>
      <c r="X12" s="26">
        <v>1216.6600000000001</v>
      </c>
      <c r="Y12" s="24">
        <v>2.5606496473953277</v>
      </c>
      <c r="Z12" s="26">
        <v>3115.4399999999996</v>
      </c>
      <c r="AC12" s="15" t="s">
        <v>115</v>
      </c>
      <c r="AD12" s="26">
        <v>94270.289999999746</v>
      </c>
    </row>
    <row r="13" spans="2:30">
      <c r="B13" s="15" t="s">
        <v>88</v>
      </c>
      <c r="C13" s="26">
        <v>989.18000000000029</v>
      </c>
      <c r="D13" s="25">
        <v>1</v>
      </c>
      <c r="E13" s="26">
        <v>989.18000000000029</v>
      </c>
      <c r="H13" s="26">
        <v>989.18000000000029</v>
      </c>
      <c r="I13" s="26">
        <v>23920.670000000082</v>
      </c>
      <c r="J13" s="25">
        <v>29</v>
      </c>
      <c r="K13" s="26">
        <v>824.85068965517519</v>
      </c>
      <c r="L13" s="26">
        <v>989.18000000000029</v>
      </c>
      <c r="M13" s="24">
        <v>23.182322731959882</v>
      </c>
      <c r="N13" s="26">
        <v>22931.490000000082</v>
      </c>
      <c r="O13" s="26">
        <v>19793.909999999985</v>
      </c>
      <c r="P13" s="25">
        <v>24</v>
      </c>
      <c r="Q13" s="26">
        <v>824.74624999999935</v>
      </c>
      <c r="R13" s="26">
        <v>23920.670000000006</v>
      </c>
      <c r="S13" s="24">
        <v>-0.17251857912006727</v>
      </c>
      <c r="T13" s="26">
        <v>-4126.7600000000202</v>
      </c>
      <c r="U13" s="26">
        <v>44703.760000000024</v>
      </c>
      <c r="V13" s="25">
        <v>54</v>
      </c>
      <c r="W13" s="26">
        <v>827.8474074074079</v>
      </c>
      <c r="X13" s="26">
        <v>24909.850000000035</v>
      </c>
      <c r="Y13" s="24">
        <v>0.79462180623327561</v>
      </c>
      <c r="Z13" s="26">
        <v>19793.909999999989</v>
      </c>
      <c r="AC13" s="15" t="s">
        <v>114</v>
      </c>
      <c r="AD13" s="26">
        <v>86353.040000000008</v>
      </c>
    </row>
    <row r="14" spans="2:30">
      <c r="B14" s="15" t="s">
        <v>89</v>
      </c>
      <c r="C14" s="26">
        <v>3556.9799999999987</v>
      </c>
      <c r="D14" s="25">
        <v>4</v>
      </c>
      <c r="E14" s="26">
        <v>889.24499999999966</v>
      </c>
      <c r="H14" s="26">
        <v>3556.9799999999987</v>
      </c>
      <c r="I14" s="26">
        <v>9393.5900000000183</v>
      </c>
      <c r="J14" s="25">
        <v>18</v>
      </c>
      <c r="K14" s="26">
        <v>521.8661111111121</v>
      </c>
      <c r="L14" s="26">
        <v>3556.9799999999996</v>
      </c>
      <c r="M14" s="24">
        <v>1.6408891812717585</v>
      </c>
      <c r="N14" s="26">
        <v>5836.6100000000188</v>
      </c>
      <c r="O14" s="26">
        <v>11663.870000000006</v>
      </c>
      <c r="P14" s="25">
        <v>13</v>
      </c>
      <c r="Q14" s="26">
        <v>897.22076923076975</v>
      </c>
      <c r="R14" s="26">
        <v>9393.590000000002</v>
      </c>
      <c r="S14" s="24">
        <v>0.24168395682587848</v>
      </c>
      <c r="T14" s="26">
        <v>2270.2800000000043</v>
      </c>
      <c r="U14" s="26">
        <v>24614.440000000002</v>
      </c>
      <c r="V14" s="25">
        <v>35</v>
      </c>
      <c r="W14" s="26">
        <v>703.26971428571437</v>
      </c>
      <c r="X14" s="26">
        <v>12950.569999999998</v>
      </c>
      <c r="Y14" s="24">
        <v>0.90064529978217223</v>
      </c>
      <c r="Z14" s="26">
        <v>11663.870000000004</v>
      </c>
      <c r="AC14" s="15" t="s">
        <v>91</v>
      </c>
      <c r="AD14" s="26">
        <v>68560.190000000017</v>
      </c>
    </row>
    <row r="15" spans="2:30">
      <c r="B15" s="15" t="s">
        <v>90</v>
      </c>
      <c r="C15" s="26"/>
      <c r="D15" s="25"/>
      <c r="E15" s="26"/>
      <c r="H15" s="26"/>
      <c r="I15" s="26"/>
      <c r="J15" s="25"/>
      <c r="K15" s="26"/>
      <c r="L15" s="26"/>
      <c r="M15" s="24"/>
      <c r="N15" s="26"/>
      <c r="O15" s="26">
        <v>786.74</v>
      </c>
      <c r="P15" s="25">
        <v>2</v>
      </c>
      <c r="Q15" s="26">
        <v>393.37</v>
      </c>
      <c r="R15" s="26"/>
      <c r="S15" s="24"/>
      <c r="T15" s="26">
        <v>786.74</v>
      </c>
      <c r="U15" s="26">
        <v>786.74</v>
      </c>
      <c r="V15" s="25">
        <v>2</v>
      </c>
      <c r="W15" s="26">
        <v>393.37</v>
      </c>
      <c r="X15" s="26"/>
      <c r="Y15" s="24"/>
      <c r="Z15" s="26">
        <v>786.74</v>
      </c>
      <c r="AC15" s="15" t="s">
        <v>122</v>
      </c>
      <c r="AD15" s="26">
        <v>19694623.978000022</v>
      </c>
    </row>
    <row r="16" spans="2:30">
      <c r="B16" s="15" t="s">
        <v>91</v>
      </c>
      <c r="C16" s="26">
        <v>1365.6599999999999</v>
      </c>
      <c r="D16" s="25">
        <v>2</v>
      </c>
      <c r="E16" s="26">
        <v>682.82999999999993</v>
      </c>
      <c r="H16" s="26">
        <v>1365.6599999999999</v>
      </c>
      <c r="I16" s="26">
        <v>50120.689999999973</v>
      </c>
      <c r="J16" s="25">
        <v>23</v>
      </c>
      <c r="K16" s="26">
        <v>2179.1604347826074</v>
      </c>
      <c r="L16" s="26">
        <v>1365.66</v>
      </c>
      <c r="M16" s="24">
        <v>35.7007088147855</v>
      </c>
      <c r="N16" s="26">
        <v>48755.02999999997</v>
      </c>
      <c r="O16" s="26">
        <v>17073.840000000007</v>
      </c>
      <c r="P16" s="25">
        <v>17</v>
      </c>
      <c r="Q16" s="26">
        <v>1004.3435294117652</v>
      </c>
      <c r="R16" s="26">
        <v>50120.69</v>
      </c>
      <c r="S16" s="24">
        <v>-0.65934547189992776</v>
      </c>
      <c r="T16" s="26">
        <v>-33046.849999999991</v>
      </c>
      <c r="U16" s="26">
        <v>68560.190000000017</v>
      </c>
      <c r="V16" s="25">
        <v>42</v>
      </c>
      <c r="W16" s="26">
        <v>1632.3854761904765</v>
      </c>
      <c r="X16" s="26">
        <v>51486.35</v>
      </c>
      <c r="Y16" s="24">
        <v>0.33161876885815406</v>
      </c>
      <c r="Z16" s="26">
        <v>17073.840000000018</v>
      </c>
    </row>
    <row r="17" spans="2:26">
      <c r="B17" s="15" t="s">
        <v>92</v>
      </c>
      <c r="C17" s="26"/>
      <c r="D17" s="25"/>
      <c r="E17" s="26"/>
      <c r="H17" s="26"/>
      <c r="I17" s="26"/>
      <c r="J17" s="25"/>
      <c r="K17" s="26"/>
      <c r="L17" s="26"/>
      <c r="M17" s="24"/>
      <c r="N17" s="26"/>
      <c r="O17" s="26">
        <v>1159.2500000000005</v>
      </c>
      <c r="P17" s="25">
        <v>3</v>
      </c>
      <c r="Q17" s="26">
        <v>386.4166666666668</v>
      </c>
      <c r="R17" s="26"/>
      <c r="S17" s="24"/>
      <c r="T17" s="26">
        <v>1159.2500000000005</v>
      </c>
      <c r="U17" s="26">
        <v>1159.25</v>
      </c>
      <c r="V17" s="25">
        <v>3</v>
      </c>
      <c r="W17" s="26">
        <v>386.41666666666669</v>
      </c>
      <c r="X17" s="26"/>
      <c r="Y17" s="24"/>
      <c r="Z17" s="26">
        <v>1159.25</v>
      </c>
    </row>
    <row r="18" spans="2:26">
      <c r="B18" s="15" t="s">
        <v>93</v>
      </c>
      <c r="C18" s="26">
        <v>469.08000000000004</v>
      </c>
      <c r="D18" s="25">
        <v>1</v>
      </c>
      <c r="E18" s="26">
        <v>469.08000000000004</v>
      </c>
      <c r="H18" s="26">
        <v>469.08000000000004</v>
      </c>
      <c r="I18" s="26">
        <v>7082.1799999999957</v>
      </c>
      <c r="J18" s="25">
        <v>15</v>
      </c>
      <c r="K18" s="26">
        <v>472.14533333333304</v>
      </c>
      <c r="L18" s="26">
        <v>469.08000000000004</v>
      </c>
      <c r="M18" s="24">
        <v>14.098021659418427</v>
      </c>
      <c r="N18" s="26">
        <v>6613.0999999999958</v>
      </c>
      <c r="O18" s="26">
        <v>17692.080000000024</v>
      </c>
      <c r="P18" s="25">
        <v>39</v>
      </c>
      <c r="Q18" s="26">
        <v>453.6430769230775</v>
      </c>
      <c r="R18" s="26">
        <v>7082.18</v>
      </c>
      <c r="S18" s="24">
        <v>1.4981121632039884</v>
      </c>
      <c r="T18" s="26">
        <v>10609.900000000023</v>
      </c>
      <c r="U18" s="26">
        <v>25243.340000000007</v>
      </c>
      <c r="V18" s="25">
        <v>55</v>
      </c>
      <c r="W18" s="26">
        <v>458.96981818181831</v>
      </c>
      <c r="X18" s="26">
        <v>7551.2600000000011</v>
      </c>
      <c r="Y18" s="24">
        <v>2.3429308486265872</v>
      </c>
      <c r="Z18" s="26">
        <v>17692.080000000005</v>
      </c>
    </row>
    <row r="19" spans="2:26">
      <c r="B19" s="15" t="s">
        <v>36</v>
      </c>
      <c r="C19" s="26">
        <v>5873.6899999999978</v>
      </c>
      <c r="D19" s="25">
        <v>13</v>
      </c>
      <c r="E19" s="26">
        <v>451.8223076923075</v>
      </c>
      <c r="H19" s="26">
        <v>5873.6899999999978</v>
      </c>
      <c r="I19" s="26">
        <v>135439.40999999936</v>
      </c>
      <c r="J19" s="25">
        <v>227</v>
      </c>
      <c r="K19" s="26">
        <v>596.64938325990909</v>
      </c>
      <c r="L19" s="26">
        <v>5873.6900000000023</v>
      </c>
      <c r="M19" s="24">
        <v>22.058658185910271</v>
      </c>
      <c r="N19" s="26">
        <v>129565.71999999936</v>
      </c>
      <c r="O19" s="26">
        <v>176088.43000000282</v>
      </c>
      <c r="P19" s="25">
        <v>362</v>
      </c>
      <c r="Q19" s="26">
        <v>486.43212707183096</v>
      </c>
      <c r="R19" s="26">
        <v>135439.41000000006</v>
      </c>
      <c r="S19" s="24">
        <v>0.30012697190576021</v>
      </c>
      <c r="T19" s="26">
        <v>40649.020000002754</v>
      </c>
      <c r="U19" s="26">
        <v>317401.52999999974</v>
      </c>
      <c r="V19" s="25">
        <v>602</v>
      </c>
      <c r="W19" s="26">
        <v>527.24506644518226</v>
      </c>
      <c r="X19" s="26">
        <v>141313.09999999992</v>
      </c>
      <c r="Y19" s="24">
        <v>1.2460870931286621</v>
      </c>
      <c r="Z19" s="26">
        <v>176088.42999999982</v>
      </c>
    </row>
    <row r="20" spans="2:26">
      <c r="B20" s="15" t="s">
        <v>37</v>
      </c>
      <c r="C20" s="26">
        <v>9034.8500000000076</v>
      </c>
      <c r="D20" s="25">
        <v>17</v>
      </c>
      <c r="E20" s="26">
        <v>531.46176470588284</v>
      </c>
      <c r="H20" s="26">
        <v>9034.8500000000076</v>
      </c>
      <c r="I20" s="26">
        <v>187634.3910000005</v>
      </c>
      <c r="J20" s="25">
        <v>325</v>
      </c>
      <c r="K20" s="26">
        <v>577.33658769230919</v>
      </c>
      <c r="L20" s="26">
        <v>9034.8499999999967</v>
      </c>
      <c r="M20" s="24">
        <v>19.76784794434889</v>
      </c>
      <c r="N20" s="26">
        <v>178599.54100000049</v>
      </c>
      <c r="O20" s="26">
        <v>192290.75000000114</v>
      </c>
      <c r="P20" s="25">
        <v>414</v>
      </c>
      <c r="Q20" s="26">
        <v>464.47041062802208</v>
      </c>
      <c r="R20" s="26">
        <v>187634.39099999986</v>
      </c>
      <c r="S20" s="24">
        <v>2.4816127657542698E-2</v>
      </c>
      <c r="T20" s="26">
        <v>4656.3590000012773</v>
      </c>
      <c r="U20" s="26">
        <v>388959.99100000132</v>
      </c>
      <c r="V20" s="25">
        <v>756</v>
      </c>
      <c r="W20" s="26">
        <v>514.49734259259435</v>
      </c>
      <c r="X20" s="26">
        <v>196669.24099999998</v>
      </c>
      <c r="Y20" s="24">
        <v>0.97773677786248925</v>
      </c>
      <c r="Z20" s="26">
        <v>192290.75000000134</v>
      </c>
    </row>
    <row r="21" spans="2:26">
      <c r="B21" s="15" t="s">
        <v>94</v>
      </c>
      <c r="C21" s="26">
        <v>610.95000000000005</v>
      </c>
      <c r="D21" s="25">
        <v>1</v>
      </c>
      <c r="E21" s="26">
        <v>610.95000000000005</v>
      </c>
      <c r="H21" s="26">
        <v>610.95000000000005</v>
      </c>
      <c r="I21" s="26">
        <v>13674.720000000007</v>
      </c>
      <c r="J21" s="25">
        <v>12</v>
      </c>
      <c r="K21" s="26">
        <v>1139.5600000000006</v>
      </c>
      <c r="L21" s="26">
        <v>610.95000000000005</v>
      </c>
      <c r="M21" s="24">
        <v>21.382715443162297</v>
      </c>
      <c r="N21" s="26">
        <v>13063.770000000006</v>
      </c>
      <c r="O21" s="26">
        <v>4425.5199999999977</v>
      </c>
      <c r="P21" s="25">
        <v>5</v>
      </c>
      <c r="Q21" s="26">
        <v>885.10399999999959</v>
      </c>
      <c r="R21" s="26">
        <v>13674.719999999994</v>
      </c>
      <c r="S21" s="24">
        <v>-0.67637216703523007</v>
      </c>
      <c r="T21" s="26">
        <v>-9249.1999999999971</v>
      </c>
      <c r="U21" s="26">
        <v>18711.190000000002</v>
      </c>
      <c r="V21" s="25">
        <v>18</v>
      </c>
      <c r="W21" s="26">
        <v>1039.5105555555556</v>
      </c>
      <c r="X21" s="26">
        <v>14285.669999999996</v>
      </c>
      <c r="Y21" s="24">
        <v>0.30978736034081755</v>
      </c>
      <c r="Z21" s="26">
        <v>4425.5200000000059</v>
      </c>
    </row>
    <row r="22" spans="2:26">
      <c r="B22" s="15" t="s">
        <v>95</v>
      </c>
      <c r="C22" s="26"/>
      <c r="D22" s="25"/>
      <c r="E22" s="26"/>
      <c r="H22" s="26"/>
      <c r="I22" s="26">
        <v>3922.2599999999989</v>
      </c>
      <c r="J22" s="25">
        <v>2</v>
      </c>
      <c r="K22" s="26">
        <v>1961.1299999999994</v>
      </c>
      <c r="L22" s="26"/>
      <c r="M22" s="24"/>
      <c r="N22" s="26">
        <v>3922.2599999999989</v>
      </c>
      <c r="O22" s="26">
        <v>9952.9900000000307</v>
      </c>
      <c r="P22" s="25">
        <v>7</v>
      </c>
      <c r="Q22" s="26">
        <v>1421.8557142857187</v>
      </c>
      <c r="R22" s="26">
        <v>3922.26</v>
      </c>
      <c r="S22" s="24">
        <v>1.5375650772768839</v>
      </c>
      <c r="T22" s="26">
        <v>6030.7300000000305</v>
      </c>
      <c r="U22" s="26">
        <v>13875.250000000002</v>
      </c>
      <c r="V22" s="25">
        <v>9</v>
      </c>
      <c r="W22" s="26">
        <v>1541.6944444444446</v>
      </c>
      <c r="X22" s="26">
        <v>3922.2599999999989</v>
      </c>
      <c r="Y22" s="24">
        <v>2.5375650772768776</v>
      </c>
      <c r="Z22" s="26">
        <v>9952.9900000000034</v>
      </c>
    </row>
    <row r="23" spans="2:26">
      <c r="B23" s="15" t="s">
        <v>96</v>
      </c>
      <c r="C23" s="26"/>
      <c r="D23" s="25"/>
      <c r="E23" s="26"/>
      <c r="H23" s="26"/>
      <c r="I23" s="26">
        <v>2035.1100000000001</v>
      </c>
      <c r="J23" s="25">
        <v>2</v>
      </c>
      <c r="K23" s="26">
        <v>1017.5550000000001</v>
      </c>
      <c r="L23" s="26"/>
      <c r="M23" s="24"/>
      <c r="N23" s="26">
        <v>2035.1100000000001</v>
      </c>
      <c r="O23" s="26">
        <v>3598.2099999999969</v>
      </c>
      <c r="P23" s="25">
        <v>6</v>
      </c>
      <c r="Q23" s="26">
        <v>599.70166666666614</v>
      </c>
      <c r="R23" s="26">
        <v>2035.1100000000001</v>
      </c>
      <c r="S23" s="24">
        <v>0.76806659099507968</v>
      </c>
      <c r="T23" s="26">
        <v>1563.0999999999967</v>
      </c>
      <c r="U23" s="26">
        <v>5633.3200000000006</v>
      </c>
      <c r="V23" s="25">
        <v>8</v>
      </c>
      <c r="W23" s="26">
        <v>704.16500000000008</v>
      </c>
      <c r="X23" s="26">
        <v>2035.1099999999997</v>
      </c>
      <c r="Y23" s="24">
        <v>1.7680665909950821</v>
      </c>
      <c r="Z23" s="26">
        <v>3598.2100000000009</v>
      </c>
    </row>
    <row r="24" spans="2:26">
      <c r="B24" s="15" t="s">
        <v>97</v>
      </c>
      <c r="C24" s="26">
        <v>19296.489999999976</v>
      </c>
      <c r="D24" s="25">
        <v>19</v>
      </c>
      <c r="E24" s="26">
        <v>1015.604736842104</v>
      </c>
      <c r="H24" s="26">
        <v>19296.489999999976</v>
      </c>
      <c r="I24" s="26">
        <v>354904.4700000009</v>
      </c>
      <c r="J24" s="25">
        <v>313</v>
      </c>
      <c r="K24" s="26">
        <v>1133.8800958466481</v>
      </c>
      <c r="L24" s="26">
        <v>19296.489999999998</v>
      </c>
      <c r="M24" s="24">
        <v>17.392177541096903</v>
      </c>
      <c r="N24" s="26">
        <v>335607.98000000091</v>
      </c>
      <c r="O24" s="26">
        <v>266371.03999999922</v>
      </c>
      <c r="P24" s="25">
        <v>267</v>
      </c>
      <c r="Q24" s="26">
        <v>997.64434456928552</v>
      </c>
      <c r="R24" s="26">
        <v>354904.46999999991</v>
      </c>
      <c r="S24" s="24">
        <v>-0.24945707220875724</v>
      </c>
      <c r="T24" s="26">
        <v>-88533.430000000692</v>
      </c>
      <c r="U24" s="26">
        <v>640571.99999999953</v>
      </c>
      <c r="V24" s="25">
        <v>599</v>
      </c>
      <c r="W24" s="26">
        <v>1069.4023372287138</v>
      </c>
      <c r="X24" s="26">
        <v>374200.96</v>
      </c>
      <c r="Y24" s="24">
        <v>0.71183954204713829</v>
      </c>
      <c r="Z24" s="26">
        <v>266371.03999999951</v>
      </c>
    </row>
    <row r="25" spans="2:26">
      <c r="B25" s="15" t="s">
        <v>98</v>
      </c>
      <c r="C25" s="26"/>
      <c r="D25" s="25"/>
      <c r="E25" s="26"/>
      <c r="H25" s="26"/>
      <c r="I25" s="26">
        <v>3199.3999999999996</v>
      </c>
      <c r="J25" s="25">
        <v>2</v>
      </c>
      <c r="K25" s="26">
        <v>1599.6999999999998</v>
      </c>
      <c r="L25" s="26"/>
      <c r="M25" s="24"/>
      <c r="N25" s="26">
        <v>3199.3999999999996</v>
      </c>
      <c r="O25" s="26">
        <v>8135.2599999999966</v>
      </c>
      <c r="P25" s="25">
        <v>8</v>
      </c>
      <c r="Q25" s="26">
        <v>1016.9074999999996</v>
      </c>
      <c r="R25" s="26">
        <v>3199.4000000000005</v>
      </c>
      <c r="S25" s="24">
        <v>1.5427455147840206</v>
      </c>
      <c r="T25" s="26">
        <v>4935.859999999996</v>
      </c>
      <c r="U25" s="26">
        <v>11334.659999999991</v>
      </c>
      <c r="V25" s="25">
        <v>10</v>
      </c>
      <c r="W25" s="26">
        <v>1133.465999999999</v>
      </c>
      <c r="X25" s="26">
        <v>3199.3999999999996</v>
      </c>
      <c r="Y25" s="24">
        <v>2.5427455147840194</v>
      </c>
      <c r="Z25" s="26">
        <v>8135.2599999999911</v>
      </c>
    </row>
    <row r="26" spans="2:26">
      <c r="B26" s="15" t="s">
        <v>99</v>
      </c>
      <c r="C26" s="26">
        <v>422.34999999999997</v>
      </c>
      <c r="D26" s="25">
        <v>1</v>
      </c>
      <c r="E26" s="26">
        <v>422.34999999999997</v>
      </c>
      <c r="H26" s="26">
        <v>422.34999999999997</v>
      </c>
      <c r="I26" s="26">
        <v>13771.330000000027</v>
      </c>
      <c r="J26" s="25">
        <v>26</v>
      </c>
      <c r="K26" s="26">
        <v>529.66653846153952</v>
      </c>
      <c r="L26" s="26">
        <v>422.34999999999997</v>
      </c>
      <c r="M26" s="24">
        <v>31.606440156268565</v>
      </c>
      <c r="N26" s="26">
        <v>13348.980000000027</v>
      </c>
      <c r="O26" s="26">
        <v>15169.740000000016</v>
      </c>
      <c r="P26" s="25">
        <v>33</v>
      </c>
      <c r="Q26" s="26">
        <v>459.68909090909142</v>
      </c>
      <c r="R26" s="26">
        <v>13771.33</v>
      </c>
      <c r="S26" s="24">
        <v>0.10154502143220853</v>
      </c>
      <c r="T26" s="26">
        <v>1398.4100000000162</v>
      </c>
      <c r="U26" s="26">
        <v>29363.420000000071</v>
      </c>
      <c r="V26" s="25">
        <v>60</v>
      </c>
      <c r="W26" s="26">
        <v>489.39033333333452</v>
      </c>
      <c r="X26" s="26">
        <v>14193.679999999984</v>
      </c>
      <c r="Y26" s="24">
        <v>1.0687672259766392</v>
      </c>
      <c r="Z26" s="26">
        <v>15169.740000000087</v>
      </c>
    </row>
    <row r="27" spans="2:26">
      <c r="B27" s="15" t="s">
        <v>100</v>
      </c>
      <c r="C27" s="26"/>
      <c r="D27" s="25"/>
      <c r="E27" s="26"/>
      <c r="H27" s="26"/>
      <c r="I27" s="26">
        <v>17427.089999999997</v>
      </c>
      <c r="J27" s="25">
        <v>17</v>
      </c>
      <c r="K27" s="26">
        <v>1025.1229411764705</v>
      </c>
      <c r="L27" s="26"/>
      <c r="M27" s="24"/>
      <c r="N27" s="26">
        <v>17427.089999999997</v>
      </c>
      <c r="O27" s="26">
        <v>29711.299999999981</v>
      </c>
      <c r="P27" s="25">
        <v>16</v>
      </c>
      <c r="Q27" s="26">
        <v>1856.9562499999988</v>
      </c>
      <c r="R27" s="26">
        <v>17427.09</v>
      </c>
      <c r="S27" s="24">
        <v>0.70489163710062785</v>
      </c>
      <c r="T27" s="26">
        <v>12284.209999999981</v>
      </c>
      <c r="U27" s="26">
        <v>47138.389999999956</v>
      </c>
      <c r="V27" s="25">
        <v>33</v>
      </c>
      <c r="W27" s="26">
        <v>1428.4360606060593</v>
      </c>
      <c r="X27" s="26">
        <v>17427.089999999997</v>
      </c>
      <c r="Y27" s="24">
        <v>1.7048916371006271</v>
      </c>
      <c r="Z27" s="26">
        <v>29711.299999999959</v>
      </c>
    </row>
    <row r="28" spans="2:26">
      <c r="B28" s="15" t="s">
        <v>101</v>
      </c>
      <c r="C28" s="26"/>
      <c r="D28" s="25"/>
      <c r="E28" s="26"/>
      <c r="H28" s="26"/>
      <c r="I28" s="26">
        <v>1118.5100000000007</v>
      </c>
      <c r="J28" s="25">
        <v>2</v>
      </c>
      <c r="K28" s="26">
        <v>559.25500000000034</v>
      </c>
      <c r="L28" s="26"/>
      <c r="M28" s="24"/>
      <c r="N28" s="26">
        <v>1118.5100000000007</v>
      </c>
      <c r="O28" s="26"/>
      <c r="P28" s="25"/>
      <c r="Q28" s="26"/>
      <c r="R28" s="26">
        <v>1118.5100000000004</v>
      </c>
      <c r="S28" s="24">
        <v>-1</v>
      </c>
      <c r="T28" s="26">
        <v>-1118.5100000000004</v>
      </c>
      <c r="U28" s="26">
        <v>1118.5100000000002</v>
      </c>
      <c r="V28" s="25">
        <v>2</v>
      </c>
      <c r="W28" s="26">
        <v>559.25500000000011</v>
      </c>
      <c r="X28" s="26">
        <v>1118.5100000000002</v>
      </c>
      <c r="Y28" s="24">
        <v>0</v>
      </c>
      <c r="Z28" s="26">
        <v>0</v>
      </c>
    </row>
    <row r="29" spans="2:26">
      <c r="B29" s="15" t="s">
        <v>102</v>
      </c>
      <c r="C29" s="26"/>
      <c r="D29" s="25"/>
      <c r="E29" s="26"/>
      <c r="H29" s="26"/>
      <c r="I29" s="26">
        <v>211.7</v>
      </c>
      <c r="J29" s="25">
        <v>1</v>
      </c>
      <c r="K29" s="26">
        <v>211.7</v>
      </c>
      <c r="L29" s="26"/>
      <c r="M29" s="24"/>
      <c r="N29" s="26">
        <v>211.7</v>
      </c>
      <c r="O29" s="26">
        <v>1693.8799999999999</v>
      </c>
      <c r="P29" s="25">
        <v>1</v>
      </c>
      <c r="Q29" s="26">
        <v>1693.8799999999999</v>
      </c>
      <c r="R29" s="26">
        <v>211.7</v>
      </c>
      <c r="S29" s="24">
        <v>7.0013226263580535</v>
      </c>
      <c r="T29" s="26">
        <v>1482.1799999999998</v>
      </c>
      <c r="U29" s="26">
        <v>1905.58</v>
      </c>
      <c r="V29" s="25">
        <v>2</v>
      </c>
      <c r="W29" s="26">
        <v>952.79</v>
      </c>
      <c r="X29" s="26">
        <v>211.7</v>
      </c>
      <c r="Y29" s="24">
        <v>8.0013226263580535</v>
      </c>
      <c r="Z29" s="26">
        <v>1693.8799999999999</v>
      </c>
    </row>
    <row r="30" spans="2:26">
      <c r="B30" s="15" t="s">
        <v>103</v>
      </c>
      <c r="C30" s="26"/>
      <c r="D30" s="25"/>
      <c r="E30" s="26"/>
      <c r="H30" s="26"/>
      <c r="I30" s="26">
        <v>6553.7400000000034</v>
      </c>
      <c r="J30" s="25">
        <v>6</v>
      </c>
      <c r="K30" s="26">
        <v>1092.2900000000006</v>
      </c>
      <c r="L30" s="26"/>
      <c r="M30" s="24"/>
      <c r="N30" s="26">
        <v>6553.7400000000034</v>
      </c>
      <c r="O30" s="26"/>
      <c r="P30" s="25"/>
      <c r="Q30" s="26"/>
      <c r="R30" s="26">
        <v>6553.7399999999989</v>
      </c>
      <c r="S30" s="24">
        <v>-1</v>
      </c>
      <c r="T30" s="26">
        <v>-6553.7399999999989</v>
      </c>
      <c r="U30" s="26">
        <v>6553.7400000000016</v>
      </c>
      <c r="V30" s="25">
        <v>6</v>
      </c>
      <c r="W30" s="26">
        <v>1092.2900000000002</v>
      </c>
      <c r="X30" s="26">
        <v>6553.7400000000016</v>
      </c>
      <c r="Y30" s="24">
        <v>0</v>
      </c>
      <c r="Z30" s="26">
        <v>0</v>
      </c>
    </row>
    <row r="31" spans="2:26">
      <c r="B31" s="15" t="s">
        <v>104</v>
      </c>
      <c r="C31" s="26"/>
      <c r="D31" s="25"/>
      <c r="E31" s="26"/>
      <c r="H31" s="26"/>
      <c r="I31" s="26">
        <v>2686.7499999999986</v>
      </c>
      <c r="J31" s="25">
        <v>2</v>
      </c>
      <c r="K31" s="26">
        <v>1343.3749999999993</v>
      </c>
      <c r="L31" s="26"/>
      <c r="M31" s="24"/>
      <c r="N31" s="26">
        <v>2686.7499999999986</v>
      </c>
      <c r="O31" s="26">
        <v>2070.5900000000006</v>
      </c>
      <c r="P31" s="25">
        <v>5</v>
      </c>
      <c r="Q31" s="26">
        <v>414.11800000000011</v>
      </c>
      <c r="R31" s="26">
        <v>2686.75</v>
      </c>
      <c r="S31" s="24">
        <v>-0.22933283707081023</v>
      </c>
      <c r="T31" s="26">
        <v>-616.1599999999994</v>
      </c>
      <c r="U31" s="26">
        <v>4757.34</v>
      </c>
      <c r="V31" s="25">
        <v>7</v>
      </c>
      <c r="W31" s="26">
        <v>679.62</v>
      </c>
      <c r="X31" s="26">
        <v>2686.75</v>
      </c>
      <c r="Y31" s="24">
        <v>0.77066716292918958</v>
      </c>
      <c r="Z31" s="26">
        <v>2070.59</v>
      </c>
    </row>
    <row r="32" spans="2:26">
      <c r="B32" s="15" t="s">
        <v>105</v>
      </c>
      <c r="C32" s="26">
        <v>15045.730000000003</v>
      </c>
      <c r="D32" s="25">
        <v>6</v>
      </c>
      <c r="E32" s="26">
        <v>2507.6216666666674</v>
      </c>
      <c r="H32" s="26">
        <v>15045.730000000003</v>
      </c>
      <c r="I32" s="26">
        <v>259772.0699999998</v>
      </c>
      <c r="J32" s="25">
        <v>120</v>
      </c>
      <c r="K32" s="26">
        <v>2164.7672499999985</v>
      </c>
      <c r="L32" s="26">
        <v>15045.73</v>
      </c>
      <c r="M32" s="24">
        <v>16.265501241880575</v>
      </c>
      <c r="N32" s="26">
        <v>244726.33999999979</v>
      </c>
      <c r="O32" s="26">
        <v>275134.8600000001</v>
      </c>
      <c r="P32" s="25">
        <v>91</v>
      </c>
      <c r="Q32" s="26">
        <v>3023.4600000000009</v>
      </c>
      <c r="R32" s="26">
        <v>259772.07000000004</v>
      </c>
      <c r="S32" s="24">
        <v>5.9139498715162352E-2</v>
      </c>
      <c r="T32" s="26">
        <v>15362.790000000066</v>
      </c>
      <c r="U32" s="26">
        <v>549952.65999999922</v>
      </c>
      <c r="V32" s="25">
        <v>217</v>
      </c>
      <c r="W32" s="26">
        <v>2534.3440552995357</v>
      </c>
      <c r="X32" s="26">
        <v>274817.79999999981</v>
      </c>
      <c r="Y32" s="24">
        <v>1.0011537098397543</v>
      </c>
      <c r="Z32" s="26">
        <v>275134.8599999994</v>
      </c>
    </row>
    <row r="33" spans="2:26">
      <c r="B33" s="15" t="s">
        <v>106</v>
      </c>
      <c r="C33" s="26"/>
      <c r="D33" s="25"/>
      <c r="E33" s="26"/>
      <c r="H33" s="26"/>
      <c r="I33" s="26">
        <v>140.39000000000001</v>
      </c>
      <c r="J33" s="25">
        <v>2</v>
      </c>
      <c r="K33" s="26">
        <v>70.195000000000007</v>
      </c>
      <c r="L33" s="26"/>
      <c r="M33" s="24"/>
      <c r="N33" s="26">
        <v>140.39000000000001</v>
      </c>
      <c r="O33" s="26"/>
      <c r="P33" s="25"/>
      <c r="Q33" s="26"/>
      <c r="R33" s="26">
        <v>140.39000000000001</v>
      </c>
      <c r="S33" s="24">
        <v>-1</v>
      </c>
      <c r="T33" s="26">
        <v>-140.39000000000001</v>
      </c>
      <c r="U33" s="26">
        <v>140.39000000000001</v>
      </c>
      <c r="V33" s="25">
        <v>2</v>
      </c>
      <c r="W33" s="26">
        <v>70.195000000000007</v>
      </c>
      <c r="X33" s="26">
        <v>140.39000000000001</v>
      </c>
      <c r="Y33" s="24">
        <v>0</v>
      </c>
      <c r="Z33" s="26">
        <v>0</v>
      </c>
    </row>
    <row r="34" spans="2:26">
      <c r="B34" s="15" t="s">
        <v>107</v>
      </c>
      <c r="C34" s="26">
        <v>365.31</v>
      </c>
      <c r="D34" s="25">
        <v>1</v>
      </c>
      <c r="E34" s="26">
        <v>365.31</v>
      </c>
      <c r="H34" s="26">
        <v>365.31</v>
      </c>
      <c r="I34" s="26">
        <v>13329.650000000016</v>
      </c>
      <c r="J34" s="25">
        <v>8</v>
      </c>
      <c r="K34" s="26">
        <v>1666.206250000002</v>
      </c>
      <c r="L34" s="26">
        <v>365.31</v>
      </c>
      <c r="M34" s="24">
        <v>35.48859872437113</v>
      </c>
      <c r="N34" s="26">
        <v>12964.340000000017</v>
      </c>
      <c r="O34" s="26">
        <v>28667.520000000026</v>
      </c>
      <c r="P34" s="25">
        <v>30</v>
      </c>
      <c r="Q34" s="26">
        <v>955.58400000000086</v>
      </c>
      <c r="R34" s="26">
        <v>13329.649999999994</v>
      </c>
      <c r="S34" s="24">
        <v>1.150658119305461</v>
      </c>
      <c r="T34" s="26">
        <v>15337.870000000032</v>
      </c>
      <c r="U34" s="26">
        <v>42362.480000000018</v>
      </c>
      <c r="V34" s="25">
        <v>39</v>
      </c>
      <c r="W34" s="26">
        <v>1086.2174358974364</v>
      </c>
      <c r="X34" s="26">
        <v>13694.95999999999</v>
      </c>
      <c r="Y34" s="24">
        <v>2.0932897942016657</v>
      </c>
      <c r="Z34" s="26">
        <v>28667.520000000026</v>
      </c>
    </row>
    <row r="35" spans="2:26">
      <c r="B35" s="15" t="s">
        <v>108</v>
      </c>
      <c r="C35" s="26">
        <v>371.81999999999994</v>
      </c>
      <c r="D35" s="25">
        <v>1</v>
      </c>
      <c r="E35" s="26">
        <v>371.81999999999994</v>
      </c>
      <c r="H35" s="26">
        <v>371.81999999999994</v>
      </c>
      <c r="I35" s="26">
        <v>3364.139999999999</v>
      </c>
      <c r="J35" s="25">
        <v>9</v>
      </c>
      <c r="K35" s="26">
        <v>373.79333333333324</v>
      </c>
      <c r="L35" s="26">
        <v>371.81999999999994</v>
      </c>
      <c r="M35" s="24">
        <v>8.0477650476036775</v>
      </c>
      <c r="N35" s="26">
        <v>2992.3199999999988</v>
      </c>
      <c r="O35" s="26">
        <v>6726.4899999999971</v>
      </c>
      <c r="P35" s="25">
        <v>18</v>
      </c>
      <c r="Q35" s="26">
        <v>373.69388888888875</v>
      </c>
      <c r="R35" s="26">
        <v>3364.14</v>
      </c>
      <c r="S35" s="24">
        <v>0.99946791750640496</v>
      </c>
      <c r="T35" s="26">
        <v>3362.3499999999972</v>
      </c>
      <c r="U35" s="26">
        <v>10462.449999999999</v>
      </c>
      <c r="V35" s="25">
        <v>28</v>
      </c>
      <c r="W35" s="26">
        <v>373.65892857142853</v>
      </c>
      <c r="X35" s="26">
        <v>3735.9600000000005</v>
      </c>
      <c r="Y35" s="24">
        <v>1.8004716324585908</v>
      </c>
      <c r="Z35" s="26">
        <v>6726.489999999998</v>
      </c>
    </row>
    <row r="36" spans="2:26">
      <c r="B36" s="15" t="s">
        <v>109</v>
      </c>
      <c r="C36" s="26">
        <v>2765.5799999999977</v>
      </c>
      <c r="D36" s="25">
        <v>2</v>
      </c>
      <c r="E36" s="26">
        <v>1382.7899999999988</v>
      </c>
      <c r="H36" s="26">
        <v>2765.5799999999977</v>
      </c>
      <c r="I36" s="26">
        <v>21204.340000000051</v>
      </c>
      <c r="J36" s="25">
        <v>40</v>
      </c>
      <c r="K36" s="26">
        <v>530.1085000000013</v>
      </c>
      <c r="L36" s="26">
        <v>2765.5799999999977</v>
      </c>
      <c r="M36" s="24">
        <v>6.667230743641503</v>
      </c>
      <c r="N36" s="26">
        <v>18438.760000000053</v>
      </c>
      <c r="O36" s="26">
        <v>24967.190000000013</v>
      </c>
      <c r="P36" s="25">
        <v>44</v>
      </c>
      <c r="Q36" s="26">
        <v>567.43613636363671</v>
      </c>
      <c r="R36" s="26">
        <v>21204.34</v>
      </c>
      <c r="S36" s="24">
        <v>0.17745659614965678</v>
      </c>
      <c r="T36" s="26">
        <v>3762.8500000000131</v>
      </c>
      <c r="U36" s="26">
        <v>48937.109999999986</v>
      </c>
      <c r="V36" s="25">
        <v>86</v>
      </c>
      <c r="W36" s="26">
        <v>569.03616279069752</v>
      </c>
      <c r="X36" s="26">
        <v>23969.920000000042</v>
      </c>
      <c r="Y36" s="24">
        <v>1.041605061677298</v>
      </c>
      <c r="Z36" s="26">
        <v>24967.189999999944</v>
      </c>
    </row>
    <row r="37" spans="2:26">
      <c r="B37" s="15" t="s">
        <v>110</v>
      </c>
      <c r="C37" s="26"/>
      <c r="D37" s="25"/>
      <c r="E37" s="26"/>
      <c r="H37" s="26"/>
      <c r="I37" s="26">
        <v>2366.7199999999984</v>
      </c>
      <c r="J37" s="25">
        <v>2</v>
      </c>
      <c r="K37" s="26">
        <v>1183.3599999999992</v>
      </c>
      <c r="L37" s="26"/>
      <c r="M37" s="24"/>
      <c r="N37" s="26">
        <v>2366.7199999999984</v>
      </c>
      <c r="O37" s="26">
        <v>1002.31</v>
      </c>
      <c r="P37" s="25">
        <v>1</v>
      </c>
      <c r="Q37" s="26">
        <v>1002.31</v>
      </c>
      <c r="R37" s="26">
        <v>2366.7200000000007</v>
      </c>
      <c r="S37" s="24">
        <v>-0.57649827609518678</v>
      </c>
      <c r="T37" s="26">
        <v>-1364.4100000000008</v>
      </c>
      <c r="U37" s="26">
        <v>3369.0299999999993</v>
      </c>
      <c r="V37" s="25">
        <v>3</v>
      </c>
      <c r="W37" s="26">
        <v>1123.0099999999998</v>
      </c>
      <c r="X37" s="26">
        <v>2366.7199999999998</v>
      </c>
      <c r="Y37" s="24">
        <v>0.42350172390481322</v>
      </c>
      <c r="Z37" s="26">
        <v>1002.3099999999995</v>
      </c>
    </row>
    <row r="38" spans="2:26">
      <c r="B38" s="15" t="s">
        <v>111</v>
      </c>
      <c r="C38" s="26"/>
      <c r="D38" s="25"/>
      <c r="E38" s="26"/>
      <c r="H38" s="26"/>
      <c r="I38" s="26"/>
      <c r="J38" s="25"/>
      <c r="K38" s="26"/>
      <c r="L38" s="26"/>
      <c r="M38" s="24"/>
      <c r="N38" s="26"/>
      <c r="O38" s="26">
        <v>145.92000000000002</v>
      </c>
      <c r="P38" s="25">
        <v>1</v>
      </c>
      <c r="Q38" s="26">
        <v>145.92000000000002</v>
      </c>
      <c r="R38" s="26"/>
      <c r="S38" s="24"/>
      <c r="T38" s="26">
        <v>145.92000000000002</v>
      </c>
      <c r="U38" s="26">
        <v>145.92000000000002</v>
      </c>
      <c r="V38" s="25">
        <v>1</v>
      </c>
      <c r="W38" s="26">
        <v>145.92000000000002</v>
      </c>
      <c r="X38" s="26"/>
      <c r="Y38" s="24"/>
      <c r="Z38" s="26">
        <v>145.92000000000002</v>
      </c>
    </row>
    <row r="39" spans="2:26">
      <c r="B39" s="15" t="s">
        <v>112</v>
      </c>
      <c r="C39" s="26"/>
      <c r="D39" s="25"/>
      <c r="E39" s="26"/>
      <c r="H39" s="26"/>
      <c r="I39" s="26">
        <v>4037.7699999999982</v>
      </c>
      <c r="J39" s="25">
        <v>4</v>
      </c>
      <c r="K39" s="26">
        <v>1009.4424999999995</v>
      </c>
      <c r="L39" s="26"/>
      <c r="M39" s="24"/>
      <c r="N39" s="26">
        <v>4037.7699999999982</v>
      </c>
      <c r="O39" s="26">
        <v>9120.3900000000158</v>
      </c>
      <c r="P39" s="25">
        <v>4</v>
      </c>
      <c r="Q39" s="26">
        <v>2280.0975000000039</v>
      </c>
      <c r="R39" s="26">
        <v>4037.7699999999995</v>
      </c>
      <c r="S39" s="24">
        <v>1.2587690730279379</v>
      </c>
      <c r="T39" s="26">
        <v>5082.6200000000163</v>
      </c>
      <c r="U39" s="26">
        <v>13158.159999999994</v>
      </c>
      <c r="V39" s="25">
        <v>8</v>
      </c>
      <c r="W39" s="26">
        <v>1644.7699999999993</v>
      </c>
      <c r="X39" s="26">
        <v>4037.77</v>
      </c>
      <c r="Y39" s="24">
        <v>2.2587690730279322</v>
      </c>
      <c r="Z39" s="26">
        <v>9120.389999999994</v>
      </c>
    </row>
    <row r="40" spans="2:26">
      <c r="B40" s="15" t="s">
        <v>113</v>
      </c>
      <c r="C40" s="26">
        <v>7754.18</v>
      </c>
      <c r="D40" s="25">
        <v>5</v>
      </c>
      <c r="E40" s="26">
        <v>1550.836</v>
      </c>
      <c r="H40" s="26">
        <v>7754.18</v>
      </c>
      <c r="I40" s="26">
        <v>37064.979999999799</v>
      </c>
      <c r="J40" s="25">
        <v>58</v>
      </c>
      <c r="K40" s="26">
        <v>639.05137931034142</v>
      </c>
      <c r="L40" s="26">
        <v>7754.1800000000021</v>
      </c>
      <c r="M40" s="24">
        <v>3.7799999484148925</v>
      </c>
      <c r="N40" s="26">
        <v>29310.799999999799</v>
      </c>
      <c r="O40" s="26">
        <v>54021.380000000128</v>
      </c>
      <c r="P40" s="25">
        <v>84</v>
      </c>
      <c r="Q40" s="26">
        <v>643.11166666666816</v>
      </c>
      <c r="R40" s="26">
        <v>37064.979999999996</v>
      </c>
      <c r="S40" s="24">
        <v>0.45747765141112001</v>
      </c>
      <c r="T40" s="26">
        <v>16956.400000000132</v>
      </c>
      <c r="U40" s="26">
        <v>98840.540000000037</v>
      </c>
      <c r="V40" s="25">
        <v>147</v>
      </c>
      <c r="W40" s="26">
        <v>672.3846258503404</v>
      </c>
      <c r="X40" s="26">
        <v>44819.160000000033</v>
      </c>
      <c r="Y40" s="24">
        <v>1.2053188859407442</v>
      </c>
      <c r="Z40" s="26">
        <v>54021.380000000005</v>
      </c>
    </row>
    <row r="41" spans="2:26">
      <c r="B41" s="15" t="s">
        <v>114</v>
      </c>
      <c r="C41" s="26">
        <v>285.29999999999995</v>
      </c>
      <c r="D41" s="25">
        <v>1</v>
      </c>
      <c r="E41" s="26">
        <v>285.29999999999995</v>
      </c>
      <c r="H41" s="26">
        <v>285.29999999999995</v>
      </c>
      <c r="I41" s="26">
        <v>53062.70999999989</v>
      </c>
      <c r="J41" s="25">
        <v>66</v>
      </c>
      <c r="K41" s="26">
        <v>803.98045454545286</v>
      </c>
      <c r="L41" s="26">
        <v>285.29999999999995</v>
      </c>
      <c r="M41" s="24">
        <v>184.98916929547806</v>
      </c>
      <c r="N41" s="26">
        <v>52777.409999999887</v>
      </c>
      <c r="O41" s="26">
        <v>33005.029999999962</v>
      </c>
      <c r="P41" s="25">
        <v>32</v>
      </c>
      <c r="Q41" s="26">
        <v>1031.4071874999988</v>
      </c>
      <c r="R41" s="26">
        <v>53062.710000000006</v>
      </c>
      <c r="S41" s="24">
        <v>-0.37799954054363305</v>
      </c>
      <c r="T41" s="26">
        <v>-20057.680000000044</v>
      </c>
      <c r="U41" s="26">
        <v>86353.040000000008</v>
      </c>
      <c r="V41" s="25">
        <v>99</v>
      </c>
      <c r="W41" s="26">
        <v>872.25292929292937</v>
      </c>
      <c r="X41" s="26">
        <v>53348.010000000111</v>
      </c>
      <c r="Y41" s="24">
        <v>0.61867406113179912</v>
      </c>
      <c r="Z41" s="26">
        <v>33005.029999999897</v>
      </c>
    </row>
    <row r="42" spans="2:26">
      <c r="B42" s="15" t="s">
        <v>115</v>
      </c>
      <c r="C42" s="26">
        <v>469.40000000000003</v>
      </c>
      <c r="D42" s="25">
        <v>1</v>
      </c>
      <c r="E42" s="26">
        <v>469.40000000000003</v>
      </c>
      <c r="H42" s="26">
        <v>469.40000000000003</v>
      </c>
      <c r="I42" s="26">
        <v>41937.909999999996</v>
      </c>
      <c r="J42" s="25">
        <v>36</v>
      </c>
      <c r="K42" s="26">
        <v>1164.9419444444443</v>
      </c>
      <c r="L42" s="26">
        <v>469.40000000000003</v>
      </c>
      <c r="M42" s="24">
        <v>88.343651469961642</v>
      </c>
      <c r="N42" s="26">
        <v>41468.509999999995</v>
      </c>
      <c r="O42" s="26">
        <v>51862.9800000002</v>
      </c>
      <c r="P42" s="25">
        <v>48</v>
      </c>
      <c r="Q42" s="26">
        <v>1080.4787500000041</v>
      </c>
      <c r="R42" s="26">
        <v>41937.910000000011</v>
      </c>
      <c r="S42" s="24">
        <v>0.23666105440161864</v>
      </c>
      <c r="T42" s="26">
        <v>9925.0700000001889</v>
      </c>
      <c r="U42" s="26">
        <v>94270.289999999746</v>
      </c>
      <c r="V42" s="25">
        <v>85</v>
      </c>
      <c r="W42" s="26">
        <v>1109.0622352941148</v>
      </c>
      <c r="X42" s="26">
        <v>42407.310000000027</v>
      </c>
      <c r="Y42" s="24">
        <v>1.2229726431598629</v>
      </c>
      <c r="Z42" s="26">
        <v>51862.979999999719</v>
      </c>
    </row>
    <row r="43" spans="2:26">
      <c r="B43" s="15" t="s">
        <v>116</v>
      </c>
      <c r="C43" s="26"/>
      <c r="D43" s="25"/>
      <c r="E43" s="26"/>
      <c r="H43" s="26"/>
      <c r="I43" s="26">
        <v>3070.5399999999981</v>
      </c>
      <c r="J43" s="25">
        <v>2</v>
      </c>
      <c r="K43" s="26">
        <v>1535.2699999999991</v>
      </c>
      <c r="L43" s="26"/>
      <c r="M43" s="24"/>
      <c r="N43" s="26">
        <v>3070.5399999999981</v>
      </c>
      <c r="O43" s="26"/>
      <c r="P43" s="25"/>
      <c r="Q43" s="26"/>
      <c r="R43" s="26">
        <v>3070.5400000000009</v>
      </c>
      <c r="S43" s="24">
        <v>-1</v>
      </c>
      <c r="T43" s="26">
        <v>-3070.5400000000009</v>
      </c>
      <c r="U43" s="26">
        <v>3070.5400000000004</v>
      </c>
      <c r="V43" s="25">
        <v>2</v>
      </c>
      <c r="W43" s="26">
        <v>1535.2700000000002</v>
      </c>
      <c r="X43" s="26">
        <v>3070.5400000000004</v>
      </c>
      <c r="Y43" s="24">
        <v>0</v>
      </c>
      <c r="Z43" s="26">
        <v>0</v>
      </c>
    </row>
    <row r="44" spans="2:26">
      <c r="B44" s="15" t="s">
        <v>117</v>
      </c>
      <c r="C44" s="26">
        <v>517.70000000000005</v>
      </c>
      <c r="D44" s="25">
        <v>1</v>
      </c>
      <c r="E44" s="26">
        <v>517.70000000000005</v>
      </c>
      <c r="H44" s="26">
        <v>517.70000000000005</v>
      </c>
      <c r="I44" s="26">
        <v>7890.7499999999936</v>
      </c>
      <c r="J44" s="25">
        <v>9</v>
      </c>
      <c r="K44" s="26">
        <v>876.74999999999932</v>
      </c>
      <c r="L44" s="26">
        <v>517.70000000000005</v>
      </c>
      <c r="M44" s="24">
        <v>14.241935483870954</v>
      </c>
      <c r="N44" s="26">
        <v>7373.0499999999938</v>
      </c>
      <c r="O44" s="26">
        <v>1864.7800000000007</v>
      </c>
      <c r="P44" s="25">
        <v>2</v>
      </c>
      <c r="Q44" s="26">
        <v>932.39000000000033</v>
      </c>
      <c r="R44" s="26">
        <v>7890.7500000000027</v>
      </c>
      <c r="S44" s="24">
        <v>-0.76367518930393186</v>
      </c>
      <c r="T44" s="26">
        <v>-6025.9700000000021</v>
      </c>
      <c r="U44" s="26">
        <v>10273.23</v>
      </c>
      <c r="V44" s="25">
        <v>12</v>
      </c>
      <c r="W44" s="26">
        <v>856.10249999999996</v>
      </c>
      <c r="X44" s="26">
        <v>8408.4499999999953</v>
      </c>
      <c r="Y44" s="24">
        <v>0.22177452443672799</v>
      </c>
      <c r="Z44" s="26">
        <v>1864.7800000000043</v>
      </c>
    </row>
    <row r="45" spans="2:26">
      <c r="B45" s="15" t="s">
        <v>118</v>
      </c>
      <c r="C45" s="26">
        <v>730277.54999999714</v>
      </c>
      <c r="D45" s="25">
        <v>1746</v>
      </c>
      <c r="E45" s="26">
        <v>418.25747422680246</v>
      </c>
      <c r="H45" s="26">
        <v>730277.54999999714</v>
      </c>
      <c r="I45" s="26">
        <v>8508342.4429997224</v>
      </c>
      <c r="J45" s="25">
        <v>19205</v>
      </c>
      <c r="K45" s="26">
        <v>443.02746383752788</v>
      </c>
      <c r="L45" s="26">
        <v>730277.54999999795</v>
      </c>
      <c r="M45" s="24">
        <v>10.650833909654962</v>
      </c>
      <c r="N45" s="26">
        <v>7778064.8929997245</v>
      </c>
      <c r="O45" s="26">
        <v>8042609.0839999039</v>
      </c>
      <c r="P45" s="25">
        <v>17170</v>
      </c>
      <c r="Q45" s="26">
        <v>468.41054653464789</v>
      </c>
      <c r="R45" s="26">
        <v>8508342.443</v>
      </c>
      <c r="S45" s="24">
        <v>-5.4738436084370949E-2</v>
      </c>
      <c r="T45" s="26">
        <v>-465733.3590000961</v>
      </c>
      <c r="U45" s="26">
        <v>17281229.077000007</v>
      </c>
      <c r="V45" s="25">
        <v>38121</v>
      </c>
      <c r="W45" s="26">
        <v>453.32570176543129</v>
      </c>
      <c r="X45" s="26">
        <v>9238619.99300001</v>
      </c>
      <c r="Y45" s="24">
        <v>0.87054225523874607</v>
      </c>
      <c r="Z45" s="26">
        <v>8042609.083999997</v>
      </c>
    </row>
    <row r="46" spans="2:26">
      <c r="B46" s="15" t="s">
        <v>119</v>
      </c>
      <c r="C46" s="26"/>
      <c r="D46" s="25"/>
      <c r="E46" s="26"/>
      <c r="H46" s="26"/>
      <c r="I46" s="26">
        <v>6186.22</v>
      </c>
      <c r="J46" s="25">
        <v>11</v>
      </c>
      <c r="K46" s="26">
        <v>562.38363636363636</v>
      </c>
      <c r="L46" s="26"/>
      <c r="M46" s="24"/>
      <c r="N46" s="26">
        <v>6186.22</v>
      </c>
      <c r="O46" s="26">
        <v>4749.7899999999963</v>
      </c>
      <c r="P46" s="25">
        <v>13</v>
      </c>
      <c r="Q46" s="26">
        <v>365.36846153846125</v>
      </c>
      <c r="R46" s="26">
        <v>6186.2200000000021</v>
      </c>
      <c r="S46" s="24">
        <v>-0.23219833759549535</v>
      </c>
      <c r="T46" s="26">
        <v>-1436.4300000000057</v>
      </c>
      <c r="U46" s="26">
        <v>10936.010000000002</v>
      </c>
      <c r="V46" s="25">
        <v>24</v>
      </c>
      <c r="W46" s="26">
        <v>455.66708333333344</v>
      </c>
      <c r="X46" s="26">
        <v>6186.2200000000012</v>
      </c>
      <c r="Y46" s="24">
        <v>0.76780166240450554</v>
      </c>
      <c r="Z46" s="26">
        <v>4749.7900000000009</v>
      </c>
    </row>
    <row r="47" spans="2:26">
      <c r="B47" s="15" t="s">
        <v>120</v>
      </c>
      <c r="C47" s="26"/>
      <c r="D47" s="25"/>
      <c r="E47" s="26"/>
      <c r="H47" s="26"/>
      <c r="I47" s="26">
        <v>4339.6200000000017</v>
      </c>
      <c r="J47" s="25">
        <v>11</v>
      </c>
      <c r="K47" s="26">
        <v>394.51090909090925</v>
      </c>
      <c r="L47" s="26"/>
      <c r="M47" s="24"/>
      <c r="N47" s="26">
        <v>4339.6200000000017</v>
      </c>
      <c r="O47" s="26">
        <v>3580.39</v>
      </c>
      <c r="P47" s="25">
        <v>5</v>
      </c>
      <c r="Q47" s="26">
        <v>716.07799999999997</v>
      </c>
      <c r="R47" s="26">
        <v>4339.6200000000008</v>
      </c>
      <c r="S47" s="24">
        <v>-0.17495310649319543</v>
      </c>
      <c r="T47" s="26">
        <v>-759.23000000000093</v>
      </c>
      <c r="U47" s="26">
        <v>7920.0099999999948</v>
      </c>
      <c r="V47" s="25">
        <v>16</v>
      </c>
      <c r="W47" s="26">
        <v>495.00062499999967</v>
      </c>
      <c r="X47" s="26">
        <v>4339.6200000000017</v>
      </c>
      <c r="Y47" s="24">
        <v>0.82504689350680283</v>
      </c>
      <c r="Z47" s="26">
        <v>3580.3899999999931</v>
      </c>
    </row>
    <row r="48" spans="2:26">
      <c r="B48" s="15" t="s">
        <v>121</v>
      </c>
      <c r="C48" s="26"/>
      <c r="D48" s="25"/>
      <c r="E48" s="26"/>
      <c r="H48" s="26"/>
      <c r="I48" s="26">
        <v>536.41000000000008</v>
      </c>
      <c r="J48" s="25">
        <v>1</v>
      </c>
      <c r="K48" s="26">
        <v>536.41000000000008</v>
      </c>
      <c r="L48" s="26"/>
      <c r="M48" s="24"/>
      <c r="N48" s="26">
        <v>536.41000000000008</v>
      </c>
      <c r="O48" s="26"/>
      <c r="P48" s="25"/>
      <c r="Q48" s="26"/>
      <c r="R48" s="26">
        <v>536.41000000000008</v>
      </c>
      <c r="S48" s="24">
        <v>-1</v>
      </c>
      <c r="T48" s="26">
        <v>-536.41000000000008</v>
      </c>
      <c r="U48" s="26">
        <v>536.41000000000008</v>
      </c>
      <c r="V48" s="25">
        <v>1</v>
      </c>
      <c r="W48" s="26">
        <v>536.41000000000008</v>
      </c>
      <c r="X48" s="26">
        <v>536.41000000000008</v>
      </c>
      <c r="Y48" s="24">
        <v>0</v>
      </c>
      <c r="Z48" s="26">
        <v>0</v>
      </c>
    </row>
    <row r="49" spans="2:26">
      <c r="B49" s="15" t="s">
        <v>122</v>
      </c>
      <c r="C49" s="26">
        <v>801948.83999999624</v>
      </c>
      <c r="D49" s="25">
        <v>1829</v>
      </c>
      <c r="E49" s="26">
        <v>438.46300710770709</v>
      </c>
      <c r="H49" s="26">
        <v>801948.83999999624</v>
      </c>
      <c r="I49" s="26">
        <v>9867618.1639995798</v>
      </c>
      <c r="J49" s="25">
        <v>20722</v>
      </c>
      <c r="K49" s="26">
        <v>476.19043354886497</v>
      </c>
      <c r="L49" s="26">
        <v>801948.8399999981</v>
      </c>
      <c r="M49" s="24">
        <v>11.304548210331726</v>
      </c>
      <c r="N49" s="26">
        <v>9065669.3239995819</v>
      </c>
      <c r="O49" s="26">
        <v>9500994.3239996918</v>
      </c>
      <c r="P49" s="25">
        <v>18935</v>
      </c>
      <c r="Q49" s="26">
        <v>501.76891069446486</v>
      </c>
      <c r="R49" s="26">
        <v>9867618.1639999934</v>
      </c>
      <c r="S49" s="24">
        <v>-3.7154238632566311E-2</v>
      </c>
      <c r="T49" s="26">
        <v>-366623.8400003016</v>
      </c>
      <c r="U49" s="26">
        <v>20170561.32800002</v>
      </c>
      <c r="V49" s="25">
        <v>41486</v>
      </c>
      <c r="W49" s="26">
        <v>486.20164219254735</v>
      </c>
      <c r="X49" s="26">
        <v>10669567.004000008</v>
      </c>
      <c r="Y49" s="24">
        <v>0.89047609152631035</v>
      </c>
      <c r="Z49" s="26">
        <v>9500994.3240000121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F9C3-C96A-4BE7-B800-9C3DC3ADD996}">
  <dimension ref="B3:L7"/>
  <sheetViews>
    <sheetView zoomScale="77" workbookViewId="0">
      <selection activeCell="B3" sqref="B3"/>
    </sheetView>
  </sheetViews>
  <sheetFormatPr defaultRowHeight="14.5"/>
  <cols>
    <col min="2" max="2" width="13.453125" bestFit="1" customWidth="1"/>
    <col min="3" max="3" width="17.7265625" bestFit="1" customWidth="1"/>
    <col min="4" max="4" width="21.08984375" bestFit="1" customWidth="1"/>
    <col min="5" max="5" width="19" bestFit="1" customWidth="1"/>
    <col min="6" max="6" width="25.08984375" bestFit="1" customWidth="1"/>
    <col min="7" max="7" width="12.36328125" bestFit="1" customWidth="1"/>
    <col min="8" max="8" width="13.90625" bestFit="1" customWidth="1"/>
    <col min="9" max="9" width="16.6328125" bestFit="1" customWidth="1"/>
    <col min="10" max="10" width="11.1796875" bestFit="1" customWidth="1"/>
    <col min="11" max="11" width="20.1796875" bestFit="1" customWidth="1"/>
    <col min="12" max="12" width="18.7265625" bestFit="1" customWidth="1"/>
  </cols>
  <sheetData>
    <row r="3" spans="2:12">
      <c r="B3" s="23" t="s">
        <v>81</v>
      </c>
      <c r="C3" t="s">
        <v>125</v>
      </c>
      <c r="D3" t="s">
        <v>136</v>
      </c>
      <c r="E3" t="s">
        <v>134</v>
      </c>
      <c r="F3" t="s">
        <v>132</v>
      </c>
      <c r="G3" t="s">
        <v>139</v>
      </c>
      <c r="H3" t="s">
        <v>138</v>
      </c>
      <c r="I3" t="s">
        <v>137</v>
      </c>
      <c r="J3" t="s">
        <v>128</v>
      </c>
      <c r="K3" t="s">
        <v>140</v>
      </c>
      <c r="L3" t="s">
        <v>130</v>
      </c>
    </row>
    <row r="4" spans="2:12">
      <c r="B4" s="15">
        <v>2009</v>
      </c>
      <c r="C4" s="26">
        <v>801948.83999999624</v>
      </c>
      <c r="D4" s="24"/>
      <c r="E4" s="26">
        <v>801948.83999999624</v>
      </c>
      <c r="F4" s="26"/>
      <c r="G4" s="25">
        <v>3074</v>
      </c>
      <c r="H4" s="25">
        <v>445661</v>
      </c>
      <c r="I4" s="25">
        <v>1045</v>
      </c>
      <c r="J4" s="25">
        <v>1829</v>
      </c>
      <c r="K4" s="24">
        <v>1.0026276646795684</v>
      </c>
      <c r="L4" s="26">
        <v>438.46300710770709</v>
      </c>
    </row>
    <row r="5" spans="2:12">
      <c r="B5" s="15">
        <v>2010</v>
      </c>
      <c r="C5" s="26">
        <v>9867618.1639995798</v>
      </c>
      <c r="D5" s="24">
        <v>11.304548210331726</v>
      </c>
      <c r="E5" s="26">
        <v>9065669.3239995819</v>
      </c>
      <c r="F5" s="26">
        <v>801948.8399999981</v>
      </c>
      <c r="G5" s="25">
        <v>3994</v>
      </c>
      <c r="H5" s="25">
        <v>5919794</v>
      </c>
      <c r="I5" s="25">
        <v>4289</v>
      </c>
      <c r="J5" s="25">
        <v>20722</v>
      </c>
      <c r="K5" s="24">
        <v>1.0399451803154354</v>
      </c>
      <c r="L5" s="26">
        <v>476.19043354886497</v>
      </c>
    </row>
    <row r="6" spans="2:12">
      <c r="B6" s="15">
        <v>2011</v>
      </c>
      <c r="C6" s="26">
        <v>9500994.3239996918</v>
      </c>
      <c r="D6" s="24">
        <v>-3.7154238632566311E-2</v>
      </c>
      <c r="E6" s="26">
        <v>-366623.8400003016</v>
      </c>
      <c r="F6" s="26">
        <v>9867618.1639999934</v>
      </c>
      <c r="G6" s="25">
        <v>3732</v>
      </c>
      <c r="H6" s="25">
        <v>5283699</v>
      </c>
      <c r="I6" s="25">
        <v>4244</v>
      </c>
      <c r="J6" s="25">
        <v>18935</v>
      </c>
      <c r="K6" s="24">
        <v>1.0558057643849317</v>
      </c>
      <c r="L6" s="26">
        <v>501.76891069446486</v>
      </c>
    </row>
    <row r="7" spans="2:12">
      <c r="B7" s="15" t="s">
        <v>122</v>
      </c>
      <c r="C7" s="26">
        <v>20170561.32800002</v>
      </c>
      <c r="D7" s="24">
        <v>0.89047609152631035</v>
      </c>
      <c r="E7" s="26">
        <v>9500994.3240000121</v>
      </c>
      <c r="F7" s="26">
        <v>10669567.004000008</v>
      </c>
      <c r="G7" s="25">
        <v>4810</v>
      </c>
      <c r="H7" s="25">
        <v>11649154</v>
      </c>
      <c r="I7" s="25">
        <v>5942</v>
      </c>
      <c r="J7" s="25">
        <v>41486</v>
      </c>
      <c r="K7" s="24">
        <v>1.0457976504678961</v>
      </c>
      <c r="L7" s="26">
        <v>486.20164219254735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BFA1A-6402-4143-BD81-BFEB42A36D3C}">
  <dimension ref="B3:E29"/>
  <sheetViews>
    <sheetView topLeftCell="A2" zoomScale="74" workbookViewId="0">
      <selection activeCell="B27" sqref="B27:E27"/>
    </sheetView>
  </sheetViews>
  <sheetFormatPr defaultRowHeight="14.5"/>
  <cols>
    <col min="2" max="2" width="13.26953125" bestFit="1" customWidth="1"/>
    <col min="3" max="3" width="17.26953125" bestFit="1" customWidth="1"/>
    <col min="4" max="4" width="18.54296875" bestFit="1" customWidth="1"/>
    <col min="5" max="5" width="10.90625" bestFit="1" customWidth="1"/>
  </cols>
  <sheetData>
    <row r="3" spans="2:5">
      <c r="B3" s="23" t="s">
        <v>81</v>
      </c>
      <c r="C3" t="s">
        <v>125</v>
      </c>
      <c r="D3" t="s">
        <v>130</v>
      </c>
      <c r="E3" t="s">
        <v>128</v>
      </c>
    </row>
    <row r="4" spans="2:5">
      <c r="B4" s="15" t="s">
        <v>141</v>
      </c>
      <c r="C4" s="27">
        <v>801948.83999999624</v>
      </c>
      <c r="D4" s="27">
        <v>438.46300710770709</v>
      </c>
      <c r="E4" s="25">
        <v>1829</v>
      </c>
    </row>
    <row r="5" spans="2:5">
      <c r="B5" s="15" t="s">
        <v>142</v>
      </c>
      <c r="C5" s="27">
        <v>623056.82199999923</v>
      </c>
      <c r="D5" s="27">
        <v>524.0175121951213</v>
      </c>
      <c r="E5" s="25">
        <v>1189</v>
      </c>
    </row>
    <row r="6" spans="2:5">
      <c r="B6" s="15" t="s">
        <v>143</v>
      </c>
      <c r="C6" s="27">
        <v>539982.65599999763</v>
      </c>
      <c r="D6" s="27">
        <v>425.18319370078552</v>
      </c>
      <c r="E6" s="25">
        <v>1270</v>
      </c>
    </row>
    <row r="7" spans="2:5">
      <c r="B7" s="15" t="s">
        <v>144</v>
      </c>
      <c r="C7" s="27">
        <v>764776.40099999832</v>
      </c>
      <c r="D7" s="27">
        <v>440.28578065630302</v>
      </c>
      <c r="E7" s="25">
        <v>1737</v>
      </c>
    </row>
    <row r="8" spans="2:5">
      <c r="B8" s="15" t="s">
        <v>145</v>
      </c>
      <c r="C8" s="27">
        <v>649657.38199999614</v>
      </c>
      <c r="D8" s="27">
        <v>435.71923675385386</v>
      </c>
      <c r="E8" s="25">
        <v>1491</v>
      </c>
    </row>
    <row r="9" spans="2:5">
      <c r="B9" s="15" t="s">
        <v>146</v>
      </c>
      <c r="C9" s="27">
        <v>646160.22999999614</v>
      </c>
      <c r="D9" s="27">
        <v>396.41731901840257</v>
      </c>
      <c r="E9" s="25">
        <v>1630</v>
      </c>
    </row>
    <row r="10" spans="2:5">
      <c r="B10" s="15" t="s">
        <v>147</v>
      </c>
      <c r="C10" s="27">
        <v>700597.6999999932</v>
      </c>
      <c r="D10" s="27">
        <v>414.06483451536241</v>
      </c>
      <c r="E10" s="25">
        <v>1692</v>
      </c>
    </row>
    <row r="11" spans="2:5">
      <c r="B11" s="15" t="s">
        <v>148</v>
      </c>
      <c r="C11" s="27">
        <v>635802.0899999988</v>
      </c>
      <c r="D11" s="27">
        <v>405.74479259731896</v>
      </c>
      <c r="E11" s="25">
        <v>1567</v>
      </c>
    </row>
    <row r="12" spans="2:5">
      <c r="B12" s="15" t="s">
        <v>149</v>
      </c>
      <c r="C12" s="27">
        <v>677102.88999999745</v>
      </c>
      <c r="D12" s="27">
        <v>452.91163210702172</v>
      </c>
      <c r="E12" s="25">
        <v>1495</v>
      </c>
    </row>
    <row r="13" spans="2:5">
      <c r="B13" s="15" t="s">
        <v>150</v>
      </c>
      <c r="C13" s="27">
        <v>872407.38099999889</v>
      </c>
      <c r="D13" s="27">
        <v>468.02971083690926</v>
      </c>
      <c r="E13" s="25">
        <v>1864</v>
      </c>
    </row>
    <row r="14" spans="2:5">
      <c r="B14" s="15" t="s">
        <v>151</v>
      </c>
      <c r="C14" s="27">
        <v>1098995.3199999968</v>
      </c>
      <c r="D14" s="27">
        <v>474.31822183858299</v>
      </c>
      <c r="E14" s="25">
        <v>2317</v>
      </c>
    </row>
    <row r="15" spans="2:5">
      <c r="B15" s="15" t="s">
        <v>152</v>
      </c>
      <c r="C15" s="27">
        <v>1443879.162000007</v>
      </c>
      <c r="D15" s="27">
        <v>507.51464393673359</v>
      </c>
      <c r="E15" s="25">
        <v>2845</v>
      </c>
    </row>
    <row r="16" spans="2:5">
      <c r="B16" s="15" t="s">
        <v>153</v>
      </c>
      <c r="C16" s="27">
        <v>1215200.1300000055</v>
      </c>
      <c r="D16" s="27">
        <v>747.81546461538801</v>
      </c>
      <c r="E16" s="25">
        <v>1625</v>
      </c>
    </row>
    <row r="17" spans="2:5">
      <c r="B17" s="15" t="s">
        <v>154</v>
      </c>
      <c r="C17" s="27">
        <v>672207.40999999957</v>
      </c>
      <c r="D17" s="27">
        <v>602.87660089686062</v>
      </c>
      <c r="E17" s="25">
        <v>1115</v>
      </c>
    </row>
    <row r="18" spans="2:5">
      <c r="B18" s="15" t="s">
        <v>155</v>
      </c>
      <c r="C18" s="27">
        <v>509167.87000000046</v>
      </c>
      <c r="D18" s="27">
        <v>454.20862622658382</v>
      </c>
      <c r="E18" s="25">
        <v>1121</v>
      </c>
    </row>
    <row r="19" spans="2:5">
      <c r="B19" s="15" t="s">
        <v>156</v>
      </c>
      <c r="C19" s="27">
        <v>692235.699999996</v>
      </c>
      <c r="D19" s="27">
        <v>456.01824769433199</v>
      </c>
      <c r="E19" s="25">
        <v>1518</v>
      </c>
    </row>
    <row r="20" spans="2:5">
      <c r="B20" s="15" t="s">
        <v>157</v>
      </c>
      <c r="C20" s="27">
        <v>516754.79100000113</v>
      </c>
      <c r="D20" s="27">
        <v>394.77065775401155</v>
      </c>
      <c r="E20" s="25">
        <v>1309</v>
      </c>
    </row>
    <row r="21" spans="2:5">
      <c r="B21" s="15" t="s">
        <v>158</v>
      </c>
      <c r="C21" s="27">
        <v>741726.73999999673</v>
      </c>
      <c r="D21" s="27">
        <v>431.23647674418413</v>
      </c>
      <c r="E21" s="25">
        <v>1720</v>
      </c>
    </row>
    <row r="22" spans="2:5">
      <c r="B22" s="15" t="s">
        <v>159</v>
      </c>
      <c r="C22" s="27">
        <v>739426.87999999954</v>
      </c>
      <c r="D22" s="27">
        <v>471.27270873167595</v>
      </c>
      <c r="E22" s="25">
        <v>1569</v>
      </c>
    </row>
    <row r="23" spans="2:5">
      <c r="B23" s="15" t="s">
        <v>160</v>
      </c>
      <c r="C23" s="27">
        <v>689947.74099999934</v>
      </c>
      <c r="D23" s="27">
        <v>454.81064007910305</v>
      </c>
      <c r="E23" s="25">
        <v>1517</v>
      </c>
    </row>
    <row r="24" spans="2:5">
      <c r="B24" s="15" t="s">
        <v>161</v>
      </c>
      <c r="C24" s="27">
        <v>726005.16000000131</v>
      </c>
      <c r="D24" s="27">
        <v>523.43558759913572</v>
      </c>
      <c r="E24" s="25">
        <v>1387</v>
      </c>
    </row>
    <row r="25" spans="2:5">
      <c r="B25" s="15" t="s">
        <v>162</v>
      </c>
      <c r="C25" s="27">
        <v>1031430.3619999947</v>
      </c>
      <c r="D25" s="27">
        <v>549.21744515441674</v>
      </c>
      <c r="E25" s="25">
        <v>1878</v>
      </c>
    </row>
    <row r="26" spans="2:5">
      <c r="B26" s="15" t="s">
        <v>163</v>
      </c>
      <c r="C26" s="27">
        <v>1107449.5399999942</v>
      </c>
      <c r="D26" s="27">
        <v>528.11136862183798</v>
      </c>
      <c r="E26" s="25">
        <v>2097</v>
      </c>
    </row>
    <row r="27" spans="2:5">
      <c r="B27" s="15" t="s">
        <v>164</v>
      </c>
      <c r="C27" s="27">
        <v>1458925.529999997</v>
      </c>
      <c r="D27" s="27">
        <v>508.86833972793755</v>
      </c>
      <c r="E27" s="25">
        <v>2867</v>
      </c>
    </row>
    <row r="28" spans="2:5">
      <c r="B28" s="15" t="s">
        <v>165</v>
      </c>
      <c r="C28" s="27">
        <v>615716.60000000417</v>
      </c>
      <c r="D28" s="27">
        <v>735.62317801673134</v>
      </c>
      <c r="E28" s="25">
        <v>837</v>
      </c>
    </row>
    <row r="29" spans="2:5">
      <c r="B29" s="15" t="s">
        <v>122</v>
      </c>
      <c r="C29" s="27">
        <v>20170561.32800002</v>
      </c>
      <c r="D29" s="27">
        <v>486.20164219254735</v>
      </c>
      <c r="E29" s="25">
        <v>41486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42F85-F437-498C-A1B6-72008C214031}">
  <dimension ref="C3:AB16"/>
  <sheetViews>
    <sheetView topLeftCell="C1" zoomScale="63" workbookViewId="0">
      <selection activeCell="Y5421" sqref="Y5421"/>
    </sheetView>
  </sheetViews>
  <sheetFormatPr defaultRowHeight="14.5"/>
  <cols>
    <col min="3" max="3" width="36.6328125" bestFit="1" customWidth="1"/>
    <col min="4" max="4" width="14.08984375" bestFit="1" customWidth="1"/>
    <col min="5" max="5" width="11.08984375" bestFit="1" customWidth="1"/>
    <col min="6" max="6" width="17.81640625" bestFit="1" customWidth="1"/>
    <col min="10" max="10" width="36.6328125" bestFit="1" customWidth="1"/>
    <col min="11" max="11" width="17.81640625" bestFit="1" customWidth="1"/>
    <col min="25" max="25" width="36.6328125" bestFit="1" customWidth="1"/>
    <col min="26" max="26" width="14.08984375" bestFit="1" customWidth="1"/>
    <col min="27" max="27" width="17.81640625" bestFit="1" customWidth="1"/>
    <col min="28" max="28" width="11.08984375" bestFit="1" customWidth="1"/>
  </cols>
  <sheetData>
    <row r="3" spans="3:28">
      <c r="C3" s="23" t="s">
        <v>182</v>
      </c>
      <c r="D3" t="s" vm="1">
        <v>39</v>
      </c>
      <c r="J3" s="23" t="s">
        <v>182</v>
      </c>
      <c r="K3" t="s" vm="2">
        <v>39</v>
      </c>
      <c r="Y3" s="23" t="s">
        <v>182</v>
      </c>
      <c r="Z3" t="s" vm="2">
        <v>39</v>
      </c>
    </row>
    <row r="5" spans="3:28">
      <c r="C5" s="23" t="s">
        <v>81</v>
      </c>
      <c r="D5" t="s">
        <v>138</v>
      </c>
      <c r="E5" t="s">
        <v>128</v>
      </c>
      <c r="F5" t="s">
        <v>125</v>
      </c>
      <c r="J5" s="23" t="s">
        <v>81</v>
      </c>
      <c r="K5" t="s">
        <v>125</v>
      </c>
      <c r="Y5" s="23" t="s">
        <v>81</v>
      </c>
      <c r="Z5" t="s">
        <v>138</v>
      </c>
      <c r="AA5" t="s">
        <v>125</v>
      </c>
      <c r="AB5" t="s">
        <v>128</v>
      </c>
    </row>
    <row r="6" spans="3:28">
      <c r="C6" s="15" t="s">
        <v>177</v>
      </c>
      <c r="D6" s="25">
        <v>27594</v>
      </c>
      <c r="E6" s="25">
        <v>3920</v>
      </c>
      <c r="F6" s="26">
        <v>344563.25000000006</v>
      </c>
      <c r="J6" s="15" t="s">
        <v>168</v>
      </c>
      <c r="K6" s="26">
        <v>132187.92000000033</v>
      </c>
      <c r="Y6" s="15" t="s">
        <v>166</v>
      </c>
      <c r="Z6" s="25">
        <v>176195</v>
      </c>
      <c r="AA6" s="26">
        <v>0</v>
      </c>
      <c r="AB6" s="25">
        <v>1633</v>
      </c>
    </row>
    <row r="7" spans="3:28">
      <c r="C7" s="15" t="s">
        <v>180</v>
      </c>
      <c r="D7" s="25">
        <v>100749</v>
      </c>
      <c r="E7" s="25">
        <v>5470</v>
      </c>
      <c r="F7" s="26">
        <v>267102.06000000075</v>
      </c>
      <c r="J7" s="15" t="s">
        <v>170</v>
      </c>
      <c r="K7" s="26">
        <v>85489.91000000028</v>
      </c>
      <c r="Y7" s="15" t="s">
        <v>167</v>
      </c>
      <c r="Z7" s="25">
        <v>54716</v>
      </c>
      <c r="AA7" s="26">
        <v>27404.22</v>
      </c>
      <c r="AB7" s="25">
        <v>2127</v>
      </c>
    </row>
    <row r="8" spans="3:28">
      <c r="C8" s="15" t="s">
        <v>171</v>
      </c>
      <c r="D8" s="25">
        <v>98775</v>
      </c>
      <c r="E8" s="25">
        <v>4018</v>
      </c>
      <c r="F8" s="26">
        <v>185566.46999999977</v>
      </c>
      <c r="J8" s="15" t="s">
        <v>171</v>
      </c>
      <c r="K8" s="26">
        <v>150935.55999999974</v>
      </c>
      <c r="Y8" s="15" t="s">
        <v>168</v>
      </c>
      <c r="Z8" s="25">
        <v>81817</v>
      </c>
      <c r="AA8" s="26">
        <v>132187.92000000033</v>
      </c>
      <c r="AB8" s="25">
        <v>2808</v>
      </c>
    </row>
    <row r="9" spans="3:28">
      <c r="C9" s="15" t="s">
        <v>175</v>
      </c>
      <c r="D9" s="25">
        <v>80995</v>
      </c>
      <c r="E9" s="25">
        <v>1</v>
      </c>
      <c r="F9" s="26">
        <v>168469.6</v>
      </c>
      <c r="J9" s="15" t="s">
        <v>172</v>
      </c>
      <c r="K9" s="26">
        <v>81700.919999999969</v>
      </c>
      <c r="Y9" s="15" t="s">
        <v>169</v>
      </c>
      <c r="Z9" s="25">
        <v>71440</v>
      </c>
      <c r="AA9" s="26">
        <v>14959.190000000075</v>
      </c>
      <c r="AB9" s="25">
        <v>457</v>
      </c>
    </row>
    <row r="10" spans="3:28">
      <c r="C10" s="15" t="s">
        <v>176</v>
      </c>
      <c r="D10" s="25">
        <v>28426</v>
      </c>
      <c r="E10" s="25">
        <v>2677</v>
      </c>
      <c r="F10" s="26">
        <v>149187.05000000072</v>
      </c>
      <c r="J10" s="15" t="s">
        <v>174</v>
      </c>
      <c r="K10" s="26">
        <v>123141.53999999994</v>
      </c>
      <c r="Y10" s="15" t="s">
        <v>171</v>
      </c>
      <c r="Z10" s="25">
        <v>79285</v>
      </c>
      <c r="AA10" s="26">
        <v>150935.55999999974</v>
      </c>
      <c r="AB10" s="25">
        <v>3273</v>
      </c>
    </row>
    <row r="11" spans="3:28">
      <c r="C11" s="15" t="s">
        <v>168</v>
      </c>
      <c r="D11" s="25">
        <v>81817</v>
      </c>
      <c r="E11" s="25">
        <v>2808</v>
      </c>
      <c r="F11" s="26">
        <v>132187.92000000033</v>
      </c>
      <c r="J11" s="15" t="s">
        <v>175</v>
      </c>
      <c r="K11" s="26">
        <v>168469.6</v>
      </c>
      <c r="Y11" s="15" t="s">
        <v>172</v>
      </c>
      <c r="Z11" s="25">
        <v>78033</v>
      </c>
      <c r="AA11" s="26">
        <v>81700.919999999969</v>
      </c>
      <c r="AB11" s="25">
        <v>247</v>
      </c>
    </row>
    <row r="12" spans="3:28">
      <c r="C12" s="15" t="s">
        <v>174</v>
      </c>
      <c r="D12" s="25">
        <v>36610</v>
      </c>
      <c r="E12" s="25">
        <v>2019</v>
      </c>
      <c r="F12" s="26">
        <v>123141.53999999994</v>
      </c>
      <c r="J12" s="15" t="s">
        <v>176</v>
      </c>
      <c r="K12" s="26">
        <v>149187.05000000072</v>
      </c>
      <c r="Y12" s="15" t="s">
        <v>173</v>
      </c>
      <c r="Z12" s="25">
        <v>56794</v>
      </c>
      <c r="AA12" s="26">
        <v>28490.980000000025</v>
      </c>
      <c r="AB12" s="25">
        <v>1993</v>
      </c>
    </row>
    <row r="13" spans="3:28">
      <c r="C13" s="15" t="s">
        <v>170</v>
      </c>
      <c r="D13" s="25">
        <v>16987</v>
      </c>
      <c r="E13" s="25">
        <v>1149</v>
      </c>
      <c r="F13" s="26">
        <v>85489.91000000028</v>
      </c>
      <c r="J13" s="15" t="s">
        <v>177</v>
      </c>
      <c r="K13" s="26">
        <v>344563.25000000006</v>
      </c>
      <c r="Y13" s="15" t="s">
        <v>175</v>
      </c>
      <c r="Z13" s="25">
        <v>80995</v>
      </c>
      <c r="AA13" s="26">
        <v>168469.6</v>
      </c>
      <c r="AB13" s="25">
        <v>1</v>
      </c>
    </row>
    <row r="14" spans="3:28">
      <c r="C14" s="15" t="s">
        <v>172</v>
      </c>
      <c r="D14" s="25">
        <v>78033</v>
      </c>
      <c r="E14" s="25">
        <v>247</v>
      </c>
      <c r="F14" s="26">
        <v>81700.919999999969</v>
      </c>
      <c r="J14" s="15" t="s">
        <v>178</v>
      </c>
      <c r="K14" s="26">
        <v>74448.920000000231</v>
      </c>
      <c r="Y14" s="15" t="s">
        <v>180</v>
      </c>
      <c r="Z14" s="25">
        <v>96688</v>
      </c>
      <c r="AA14" s="26">
        <v>266923.55000000075</v>
      </c>
      <c r="AB14" s="25">
        <v>5460</v>
      </c>
    </row>
    <row r="15" spans="3:28">
      <c r="C15" s="15" t="s">
        <v>179</v>
      </c>
      <c r="D15" s="25">
        <v>90392</v>
      </c>
      <c r="E15" s="25">
        <v>2329</v>
      </c>
      <c r="F15" s="26">
        <v>80920.63999999965</v>
      </c>
      <c r="J15" s="15" t="s">
        <v>180</v>
      </c>
      <c r="K15" s="26">
        <v>266923.55000000075</v>
      </c>
      <c r="Y15" s="15" t="s">
        <v>181</v>
      </c>
      <c r="Z15" s="25">
        <v>110249</v>
      </c>
      <c r="AA15" s="26">
        <v>25259.89999999994</v>
      </c>
      <c r="AB15" s="25">
        <v>1021</v>
      </c>
    </row>
    <row r="16" spans="3:28">
      <c r="C16" s="15" t="s">
        <v>122</v>
      </c>
      <c r="D16" s="25">
        <v>640378</v>
      </c>
      <c r="E16" s="25">
        <v>16727</v>
      </c>
      <c r="F16" s="26">
        <v>1618329.3599999985</v>
      </c>
      <c r="J16" s="15" t="s">
        <v>122</v>
      </c>
      <c r="K16" s="26">
        <v>1577048.2200000004</v>
      </c>
      <c r="Y16" s="15" t="s">
        <v>122</v>
      </c>
      <c r="Z16" s="25">
        <v>886212</v>
      </c>
      <c r="AA16" s="26">
        <v>896331.84000000032</v>
      </c>
      <c r="AB16" s="25">
        <v>14323</v>
      </c>
    </row>
  </sheetData>
  <sortState xmlns:xlrd2="http://schemas.microsoft.com/office/spreadsheetml/2017/richdata2" ref="Y5:AB16">
    <sortCondition descending="1" ref="AA5"/>
  </sortState>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A930E-5CEA-4C92-8ADF-BADF65B1A79A}">
  <dimension ref="B3:J15"/>
  <sheetViews>
    <sheetView workbookViewId="0">
      <selection activeCell="P2" sqref="P2"/>
    </sheetView>
  </sheetViews>
  <sheetFormatPr defaultRowHeight="14.5"/>
  <cols>
    <col min="2" max="2" width="12.36328125" bestFit="1" customWidth="1"/>
    <col min="3" max="3" width="13.6328125" bestFit="1" customWidth="1"/>
    <col min="4" max="4" width="17.1796875" bestFit="1" customWidth="1"/>
    <col min="5" max="5" width="10.90625" bestFit="1" customWidth="1"/>
    <col min="9" max="9" width="12.36328125" bestFit="1" customWidth="1"/>
    <col min="10" max="10" width="17.1796875" bestFit="1" customWidth="1"/>
  </cols>
  <sheetData>
    <row r="3" spans="2:10">
      <c r="B3" s="23" t="s">
        <v>81</v>
      </c>
      <c r="C3" t="s">
        <v>138</v>
      </c>
      <c r="D3" t="s">
        <v>125</v>
      </c>
      <c r="E3" t="s">
        <v>128</v>
      </c>
    </row>
    <row r="4" spans="2:10">
      <c r="B4" s="15" t="s">
        <v>166</v>
      </c>
      <c r="C4" s="25">
        <v>943392</v>
      </c>
      <c r="D4" s="26">
        <v>2717942.1200000294</v>
      </c>
      <c r="E4" s="25">
        <v>4801</v>
      </c>
      <c r="I4" s="23" t="s">
        <v>81</v>
      </c>
      <c r="J4" t="s">
        <v>125</v>
      </c>
    </row>
    <row r="5" spans="2:10">
      <c r="B5" s="15" t="s">
        <v>183</v>
      </c>
      <c r="C5" s="25">
        <v>189205</v>
      </c>
      <c r="D5" s="26">
        <v>196482.80999999985</v>
      </c>
      <c r="E5" s="25">
        <v>143</v>
      </c>
      <c r="I5" s="15" t="s">
        <v>166</v>
      </c>
      <c r="J5" s="26">
        <v>2717942.1200000294</v>
      </c>
    </row>
    <row r="6" spans="2:10">
      <c r="B6" s="15" t="s">
        <v>184</v>
      </c>
      <c r="C6" s="25">
        <v>165987</v>
      </c>
      <c r="D6" s="26">
        <v>305767.92000000214</v>
      </c>
      <c r="E6" s="25">
        <v>151</v>
      </c>
      <c r="I6" s="15" t="s">
        <v>183</v>
      </c>
      <c r="J6" s="26">
        <v>196482.80999999985</v>
      </c>
    </row>
    <row r="7" spans="2:10">
      <c r="B7" s="15" t="s">
        <v>185</v>
      </c>
      <c r="C7" s="25">
        <v>367712</v>
      </c>
      <c r="D7" s="26">
        <v>526751.51999999839</v>
      </c>
      <c r="E7" s="25">
        <v>146</v>
      </c>
      <c r="I7" s="15" t="s">
        <v>184</v>
      </c>
      <c r="J7" s="26">
        <v>305767.92000000214</v>
      </c>
    </row>
    <row r="8" spans="2:10">
      <c r="B8" s="15" t="s">
        <v>186</v>
      </c>
      <c r="C8" s="25">
        <v>150218</v>
      </c>
      <c r="D8" s="26">
        <v>284592.97000000096</v>
      </c>
      <c r="E8" s="25">
        <v>379</v>
      </c>
      <c r="I8" s="15" t="s">
        <v>185</v>
      </c>
      <c r="J8" s="26">
        <v>526751.51999999839</v>
      </c>
    </row>
    <row r="9" spans="2:10">
      <c r="B9" s="15" t="s">
        <v>187</v>
      </c>
      <c r="C9" s="25">
        <v>80997</v>
      </c>
      <c r="D9" s="26">
        <v>168472.5</v>
      </c>
      <c r="E9" s="25">
        <v>2</v>
      </c>
      <c r="I9" s="15" t="s">
        <v>186</v>
      </c>
      <c r="J9" s="26">
        <v>284592.97000000096</v>
      </c>
    </row>
    <row r="10" spans="2:10">
      <c r="B10" s="15" t="s">
        <v>188</v>
      </c>
      <c r="C10" s="25">
        <v>104810</v>
      </c>
      <c r="D10" s="26">
        <v>147142.7699999999</v>
      </c>
      <c r="E10" s="25">
        <v>55</v>
      </c>
      <c r="I10" s="15" t="s">
        <v>187</v>
      </c>
      <c r="J10" s="26">
        <v>168472.5</v>
      </c>
    </row>
    <row r="11" spans="2:10">
      <c r="B11" s="15" t="s">
        <v>189</v>
      </c>
      <c r="C11" s="25">
        <v>85368</v>
      </c>
      <c r="D11" s="26">
        <v>246973.09</v>
      </c>
      <c r="E11" s="25">
        <v>51</v>
      </c>
      <c r="I11" s="15" t="s">
        <v>188</v>
      </c>
      <c r="J11" s="26">
        <v>147142.7699999999</v>
      </c>
    </row>
    <row r="12" spans="2:10">
      <c r="B12" s="15" t="s">
        <v>190</v>
      </c>
      <c r="C12" s="25">
        <v>119656</v>
      </c>
      <c r="D12" s="26">
        <v>175603.55000000005</v>
      </c>
      <c r="E12" s="25">
        <v>60</v>
      </c>
      <c r="I12" s="15" t="s">
        <v>189</v>
      </c>
      <c r="J12" s="26">
        <v>246973.09</v>
      </c>
    </row>
    <row r="13" spans="2:10">
      <c r="B13" s="15" t="s">
        <v>191</v>
      </c>
      <c r="C13" s="25">
        <v>188340</v>
      </c>
      <c r="D13" s="26">
        <v>608821.64999999909</v>
      </c>
      <c r="E13" s="25">
        <v>145</v>
      </c>
      <c r="I13" s="15" t="s">
        <v>190</v>
      </c>
      <c r="J13" s="26">
        <v>175603.55000000005</v>
      </c>
    </row>
    <row r="14" spans="2:10">
      <c r="B14" s="15" t="s">
        <v>122</v>
      </c>
      <c r="C14" s="25">
        <v>2395685</v>
      </c>
      <c r="D14" s="26">
        <v>5378550.8999999939</v>
      </c>
      <c r="E14" s="25">
        <v>5933</v>
      </c>
      <c r="I14" s="15" t="s">
        <v>191</v>
      </c>
      <c r="J14" s="26">
        <v>608821.64999999909</v>
      </c>
    </row>
    <row r="15" spans="2:10">
      <c r="I15" s="15" t="s">
        <v>122</v>
      </c>
      <c r="J15" s="26">
        <v>5378550.8999999939</v>
      </c>
    </row>
  </sheetData>
  <sortState xmlns:xlrd2="http://schemas.microsoft.com/office/spreadsheetml/2017/richdata2" ref="B3:E5870">
    <sortCondition descending="1" ref="C3"/>
  </sortState>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A02B-71C6-469F-AA9D-F3254E00D658}">
  <dimension ref="B4:E15"/>
  <sheetViews>
    <sheetView zoomScale="78" workbookViewId="0">
      <selection activeCell="F20" sqref="F20"/>
    </sheetView>
  </sheetViews>
  <sheetFormatPr defaultRowHeight="14.5"/>
  <cols>
    <col min="2" max="2" width="13.26953125" bestFit="1" customWidth="1"/>
    <col min="3" max="3" width="18.54296875" bestFit="1" customWidth="1"/>
    <col min="4" max="4" width="11.08984375" bestFit="1" customWidth="1"/>
    <col min="5" max="5" width="17.453125" bestFit="1" customWidth="1"/>
    <col min="6" max="6" width="20.36328125" bestFit="1" customWidth="1"/>
  </cols>
  <sheetData>
    <row r="4" spans="2:5">
      <c r="B4" s="23" t="s">
        <v>81</v>
      </c>
      <c r="C4" t="s">
        <v>130</v>
      </c>
      <c r="D4" t="s">
        <v>128</v>
      </c>
      <c r="E4" t="s">
        <v>125</v>
      </c>
    </row>
    <row r="5" spans="2:5">
      <c r="B5" s="15" t="s">
        <v>166</v>
      </c>
      <c r="C5" s="26">
        <v>566.12000000000614</v>
      </c>
      <c r="D5" s="25">
        <v>4801</v>
      </c>
      <c r="E5" s="26">
        <v>2717942.1200000294</v>
      </c>
    </row>
    <row r="6" spans="2:5">
      <c r="B6" s="15" t="s">
        <v>183</v>
      </c>
      <c r="C6" s="26">
        <v>1374.0056643356634</v>
      </c>
      <c r="D6" s="25">
        <v>143</v>
      </c>
      <c r="E6" s="26">
        <v>196482.80999999985</v>
      </c>
    </row>
    <row r="7" spans="2:5">
      <c r="B7" s="15" t="s">
        <v>184</v>
      </c>
      <c r="C7" s="26">
        <v>2024.9531125827957</v>
      </c>
      <c r="D7" s="25">
        <v>151</v>
      </c>
      <c r="E7" s="26">
        <v>305767.92000000214</v>
      </c>
    </row>
    <row r="8" spans="2:5">
      <c r="B8" s="15" t="s">
        <v>185</v>
      </c>
      <c r="C8" s="26">
        <v>3607.8871232876604</v>
      </c>
      <c r="D8" s="25">
        <v>146</v>
      </c>
      <c r="E8" s="26">
        <v>526751.51999999839</v>
      </c>
    </row>
    <row r="9" spans="2:5">
      <c r="B9" s="15" t="s">
        <v>186</v>
      </c>
      <c r="C9" s="26">
        <v>750.90493403694188</v>
      </c>
      <c r="D9" s="25">
        <v>379</v>
      </c>
      <c r="E9" s="26">
        <v>284592.97000000096</v>
      </c>
    </row>
    <row r="10" spans="2:5">
      <c r="B10" s="15" t="s">
        <v>187</v>
      </c>
      <c r="C10" s="26">
        <v>84236.25</v>
      </c>
      <c r="D10" s="25">
        <v>2</v>
      </c>
      <c r="E10" s="26">
        <v>168472.5</v>
      </c>
    </row>
    <row r="11" spans="2:5">
      <c r="B11" s="15" t="s">
        <v>188</v>
      </c>
      <c r="C11" s="26">
        <v>2675.3230909090889</v>
      </c>
      <c r="D11" s="25">
        <v>55</v>
      </c>
      <c r="E11" s="26">
        <v>147142.7699999999</v>
      </c>
    </row>
    <row r="12" spans="2:5">
      <c r="B12" s="15" t="s">
        <v>189</v>
      </c>
      <c r="C12" s="26">
        <v>4842.6096078431374</v>
      </c>
      <c r="D12" s="25">
        <v>51</v>
      </c>
      <c r="E12" s="26">
        <v>246973.09</v>
      </c>
    </row>
    <row r="13" spans="2:5">
      <c r="B13" s="15" t="s">
        <v>190</v>
      </c>
      <c r="C13" s="26">
        <v>2926.7258333333343</v>
      </c>
      <c r="D13" s="25">
        <v>60</v>
      </c>
      <c r="E13" s="26">
        <v>175603.55000000005</v>
      </c>
    </row>
    <row r="14" spans="2:5">
      <c r="B14" s="15" t="s">
        <v>191</v>
      </c>
      <c r="C14" s="26">
        <v>4198.7699999999941</v>
      </c>
      <c r="D14" s="25">
        <v>145</v>
      </c>
      <c r="E14" s="26">
        <v>608821.64999999909</v>
      </c>
    </row>
    <row r="15" spans="2:5">
      <c r="B15" s="15" t="s">
        <v>122</v>
      </c>
      <c r="C15" s="26">
        <v>906.54827237485154</v>
      </c>
      <c r="D15" s="25">
        <v>5933</v>
      </c>
      <c r="E15" s="26">
        <v>5378550.8999999939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05A4F-6FEF-4434-89D5-0B414168B8A3}">
  <dimension ref="E7:H15"/>
  <sheetViews>
    <sheetView topLeftCell="J4" zoomScale="115" workbookViewId="0">
      <selection activeCell="E7" sqref="E7"/>
    </sheetView>
  </sheetViews>
  <sheetFormatPr defaultRowHeight="14.5"/>
  <cols>
    <col min="5" max="5" width="12.36328125" bestFit="1" customWidth="1"/>
    <col min="6" max="6" width="18.26953125" bestFit="1" customWidth="1"/>
    <col min="7" max="7" width="17.1796875" bestFit="1" customWidth="1"/>
    <col min="8" max="8" width="10.90625" bestFit="1" customWidth="1"/>
  </cols>
  <sheetData>
    <row r="7" spans="5:8">
      <c r="E7" s="23" t="s">
        <v>81</v>
      </c>
      <c r="F7" t="s">
        <v>130</v>
      </c>
      <c r="G7" t="s">
        <v>125</v>
      </c>
      <c r="H7" t="s">
        <v>128</v>
      </c>
    </row>
    <row r="8" spans="5:8">
      <c r="E8" s="15" t="s">
        <v>192</v>
      </c>
      <c r="F8" s="26">
        <v>509.21589361365818</v>
      </c>
      <c r="G8" s="26">
        <v>3221299.7430000016</v>
      </c>
      <c r="H8" s="25">
        <v>6326</v>
      </c>
    </row>
    <row r="9" spans="5:8">
      <c r="E9" s="15" t="s">
        <v>193</v>
      </c>
      <c r="F9" s="26">
        <v>524.42828635885405</v>
      </c>
      <c r="G9" s="26">
        <v>3486923.6760000205</v>
      </c>
      <c r="H9" s="25">
        <v>6649</v>
      </c>
    </row>
    <row r="10" spans="5:8">
      <c r="E10" s="15" t="s">
        <v>194</v>
      </c>
      <c r="F10" s="26">
        <v>326.76833333333332</v>
      </c>
      <c r="G10" s="26">
        <v>9803.0499999999993</v>
      </c>
      <c r="H10" s="25">
        <v>30</v>
      </c>
    </row>
    <row r="11" spans="5:8">
      <c r="E11" s="15" t="s">
        <v>195</v>
      </c>
      <c r="F11" s="26">
        <v>379.66352081176535</v>
      </c>
      <c r="G11" s="26">
        <v>1833395.1420000149</v>
      </c>
      <c r="H11" s="25">
        <v>4829</v>
      </c>
    </row>
    <row r="12" spans="5:8">
      <c r="E12" s="15" t="s">
        <v>196</v>
      </c>
      <c r="F12" s="26">
        <v>483.6734348744431</v>
      </c>
      <c r="G12" s="26">
        <v>4121865.0120000043</v>
      </c>
      <c r="H12" s="25">
        <v>8522</v>
      </c>
    </row>
    <row r="13" spans="5:8">
      <c r="E13" s="15" t="s">
        <v>197</v>
      </c>
      <c r="F13" s="26">
        <v>521.90787526041981</v>
      </c>
      <c r="G13" s="26">
        <v>4008252.4820000245</v>
      </c>
      <c r="H13" s="25">
        <v>7680</v>
      </c>
    </row>
    <row r="14" spans="5:8">
      <c r="E14" s="15" t="s">
        <v>198</v>
      </c>
      <c r="F14" s="26">
        <v>468.32513060402795</v>
      </c>
      <c r="G14" s="26">
        <v>3489022.2230000081</v>
      </c>
      <c r="H14" s="25">
        <v>7450</v>
      </c>
    </row>
    <row r="15" spans="5:8">
      <c r="E15" s="15" t="s">
        <v>122</v>
      </c>
      <c r="F15" s="26">
        <v>486.20164219254735</v>
      </c>
      <c r="G15" s="26">
        <v>20170561.32800002</v>
      </c>
      <c r="H15" s="25">
        <v>41486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6A275-B393-47AC-ABEC-153636610F69}">
  <dimension ref="B3:AN30"/>
  <sheetViews>
    <sheetView topLeftCell="A3" zoomScale="83" workbookViewId="0">
      <selection activeCell="AL33" sqref="AL33"/>
    </sheetView>
  </sheetViews>
  <sheetFormatPr defaultRowHeight="14.5"/>
  <cols>
    <col min="2" max="2" width="12.36328125" bestFit="1" customWidth="1"/>
    <col min="3" max="3" width="17.1796875" bestFit="1" customWidth="1"/>
    <col min="5" max="5" width="12.1796875" customWidth="1"/>
    <col min="6" max="6" width="20" customWidth="1"/>
    <col min="7" max="7" width="25.26953125" customWidth="1"/>
    <col min="8" max="8" width="20.90625" customWidth="1"/>
    <col min="9" max="9" width="16.54296875" customWidth="1"/>
    <col min="10" max="10" width="24.453125" customWidth="1"/>
    <col min="11" max="11" width="17.1796875" style="33" customWidth="1"/>
    <col min="12" max="12" width="19.1796875" customWidth="1"/>
    <col min="13" max="13" width="21.453125" customWidth="1"/>
    <col min="14" max="14" width="17.36328125" customWidth="1"/>
    <col min="15" max="15" width="18.453125" customWidth="1"/>
    <col min="16" max="16" width="18.90625" customWidth="1"/>
    <col min="18" max="18" width="18.7265625" customWidth="1"/>
    <col min="19" max="19" width="17.90625" customWidth="1"/>
    <col min="20" max="20" width="21.54296875" customWidth="1"/>
    <col min="21" max="21" width="16.54296875" customWidth="1"/>
    <col min="22" max="22" width="16.453125" customWidth="1"/>
    <col min="23" max="23" width="18" customWidth="1"/>
    <col min="25" max="25" width="14.7265625" customWidth="1"/>
    <col min="26" max="27" width="15.54296875" customWidth="1"/>
    <col min="28" max="28" width="15.453125" customWidth="1"/>
    <col min="29" max="29" width="16.90625" customWidth="1"/>
    <col min="30" max="30" width="17.6328125" customWidth="1"/>
    <col min="31" max="31" width="18.90625" customWidth="1"/>
    <col min="36" max="36" width="23.54296875" customWidth="1"/>
    <col min="37" max="37" width="14.6328125" customWidth="1"/>
    <col min="38" max="38" width="18.1796875" customWidth="1"/>
    <col min="39" max="39" width="18.90625" customWidth="1"/>
    <col min="40" max="40" width="16.6328125" customWidth="1"/>
  </cols>
  <sheetData>
    <row r="3" spans="2:31">
      <c r="B3" s="23" t="s">
        <v>81</v>
      </c>
      <c r="C3" t="s">
        <v>125</v>
      </c>
      <c r="E3" s="19" t="s">
        <v>199</v>
      </c>
      <c r="F3" s="19" t="s">
        <v>200</v>
      </c>
      <c r="G3" s="18" t="s">
        <v>201</v>
      </c>
      <c r="H3" s="19" t="s">
        <v>202</v>
      </c>
      <c r="I3" s="18" t="s">
        <v>203</v>
      </c>
      <c r="J3" s="19" t="s">
        <v>204</v>
      </c>
      <c r="K3" s="32" t="s">
        <v>205</v>
      </c>
      <c r="L3" s="19" t="s">
        <v>206</v>
      </c>
      <c r="M3" s="19" t="s">
        <v>207</v>
      </c>
      <c r="N3" s="19" t="s">
        <v>208</v>
      </c>
      <c r="O3" s="19" t="s">
        <v>209</v>
      </c>
      <c r="P3" s="19" t="s">
        <v>210</v>
      </c>
      <c r="R3" s="19" t="s">
        <v>211</v>
      </c>
      <c r="S3" s="19" t="s">
        <v>212</v>
      </c>
      <c r="T3" s="19" t="s">
        <v>202</v>
      </c>
      <c r="U3" s="19" t="s">
        <v>213</v>
      </c>
      <c r="V3" s="19" t="s">
        <v>210</v>
      </c>
      <c r="W3" s="19" t="s">
        <v>206</v>
      </c>
      <c r="Y3" s="19" t="s">
        <v>201</v>
      </c>
      <c r="Z3" s="19" t="s">
        <v>212</v>
      </c>
      <c r="AA3" s="19" t="s">
        <v>206</v>
      </c>
      <c r="AB3" s="19" t="s">
        <v>208</v>
      </c>
      <c r="AC3" s="19" t="s">
        <v>209</v>
      </c>
      <c r="AD3" s="18" t="s">
        <v>222</v>
      </c>
      <c r="AE3" s="18" t="s">
        <v>223</v>
      </c>
    </row>
    <row r="4" spans="2:31">
      <c r="B4" s="15" t="s">
        <v>141</v>
      </c>
      <c r="C4" s="27">
        <v>801948.83999999927</v>
      </c>
      <c r="E4" s="15" t="s">
        <v>141</v>
      </c>
      <c r="F4" s="27">
        <v>801948.83999999927</v>
      </c>
      <c r="G4" s="28">
        <f>DATE(LEFT(E4,4),RIGHT(E4,2),1)</f>
        <v>40148</v>
      </c>
      <c r="R4" s="34">
        <v>40695</v>
      </c>
      <c r="S4" s="29">
        <v>739426.88000000163</v>
      </c>
      <c r="T4" s="29">
        <f>F21</f>
        <v>741726.73999999871</v>
      </c>
      <c r="U4" s="35">
        <f>AVERAGE(F19:F21)</f>
        <v>650239.07699999819</v>
      </c>
      <c r="V4" s="31">
        <f>_xlfn.FORECAST.LINEAR(R4,$F$4:F21,$G$4:G21)</f>
        <v>826093.84531106055</v>
      </c>
      <c r="W4" s="17">
        <f>_xlfn.FORECAST.ETS(R4,$F$4:F21,$G$4:G21,12,1,1)</f>
        <v>755876.9085079357</v>
      </c>
      <c r="Y4" s="28">
        <f>G4</f>
        <v>40148</v>
      </c>
      <c r="Z4" s="29">
        <f>F4</f>
        <v>801948.83999999927</v>
      </c>
    </row>
    <row r="5" spans="2:31">
      <c r="B5" s="15" t="s">
        <v>142</v>
      </c>
      <c r="C5" s="27">
        <v>623056.82200000109</v>
      </c>
      <c r="E5" s="15" t="s">
        <v>142</v>
      </c>
      <c r="F5" s="27">
        <v>623056.82200000109</v>
      </c>
      <c r="G5" s="28">
        <f t="shared" ref="G5:G27" si="0">DATE(LEFT(E5,4),RIGHT(E5,2),1)</f>
        <v>40179</v>
      </c>
      <c r="H5" s="29">
        <f>F4</f>
        <v>801948.83999999927</v>
      </c>
      <c r="I5" s="30">
        <f>F5-H5</f>
        <v>-178892.01799999818</v>
      </c>
      <c r="R5" s="34">
        <v>40725</v>
      </c>
      <c r="S5" s="29">
        <v>689947.74099999783</v>
      </c>
      <c r="T5" s="35">
        <f>S4</f>
        <v>739426.88000000163</v>
      </c>
      <c r="U5" s="35">
        <f>AVERAGE(F20:F22)</f>
        <v>665969.47033333371</v>
      </c>
      <c r="V5" s="17">
        <f>_xlfn.FORECAST.LINEAR(R5,$F$4:F22,$G$4:G22)</f>
        <v>814043.3118753843</v>
      </c>
      <c r="W5" s="17">
        <f>_xlfn.FORECAST.ETS(R5,$F$4:F22,$G$4:G22,12,1,1)</f>
        <v>676821.13616699225</v>
      </c>
      <c r="Y5" s="28">
        <f t="shared" ref="Y5:Y27" si="1">G5</f>
        <v>40179</v>
      </c>
      <c r="Z5" s="29">
        <f t="shared" ref="Z5:Z27" si="2">F5</f>
        <v>623056.82200000109</v>
      </c>
    </row>
    <row r="6" spans="2:31">
      <c r="B6" s="15" t="s">
        <v>143</v>
      </c>
      <c r="C6" s="27">
        <v>539982.65599999635</v>
      </c>
      <c r="E6" s="15" t="s">
        <v>143</v>
      </c>
      <c r="F6" s="27">
        <v>539982.65599999635</v>
      </c>
      <c r="G6" s="28">
        <f t="shared" si="0"/>
        <v>40210</v>
      </c>
      <c r="H6" s="29">
        <f t="shared" ref="H6:H27" si="3">F5</f>
        <v>623056.82200000109</v>
      </c>
      <c r="I6" s="30">
        <f t="shared" ref="I6:I27" si="4">F6-H6</f>
        <v>-83074.166000004741</v>
      </c>
      <c r="R6" s="34">
        <v>40756</v>
      </c>
      <c r="S6" s="29">
        <v>726005.16000000131</v>
      </c>
      <c r="T6" s="35">
        <f t="shared" ref="T6:T9" si="5">S5</f>
        <v>689947.74099999783</v>
      </c>
      <c r="U6" s="35">
        <f t="shared" ref="U6:U9" si="6">AVERAGE(F21:F23)</f>
        <v>723700.45366666606</v>
      </c>
      <c r="V6" s="17">
        <f>_xlfn.FORECAST.LINEAR(R6,$F$4:F23,$G$4:G23)</f>
        <v>794216.96222502878</v>
      </c>
      <c r="W6" s="17">
        <f>_xlfn.FORECAST.ETS(R6,$F$4:F23,$G$4:G23,12,1,1)</f>
        <v>722556.53315035207</v>
      </c>
      <c r="Y6" s="28">
        <f t="shared" si="1"/>
        <v>40210</v>
      </c>
      <c r="Z6" s="29">
        <f t="shared" si="2"/>
        <v>539982.65599999635</v>
      </c>
    </row>
    <row r="7" spans="2:31">
      <c r="B7" s="15" t="s">
        <v>144</v>
      </c>
      <c r="C7" s="27">
        <v>764776.40099999821</v>
      </c>
      <c r="E7" s="15" t="s">
        <v>144</v>
      </c>
      <c r="F7" s="27">
        <v>764776.40099999821</v>
      </c>
      <c r="G7" s="28">
        <f t="shared" si="0"/>
        <v>40238</v>
      </c>
      <c r="H7" s="29">
        <f t="shared" si="3"/>
        <v>539982.65599999635</v>
      </c>
      <c r="I7" s="30">
        <f t="shared" si="4"/>
        <v>224793.74500000186</v>
      </c>
      <c r="J7" s="29">
        <f>AVERAGE(F4:F6)</f>
        <v>654996.10599999886</v>
      </c>
      <c r="K7" s="33">
        <f>F7-J7</f>
        <v>109780.29499999934</v>
      </c>
      <c r="R7" s="34">
        <v>40787</v>
      </c>
      <c r="S7" s="29">
        <v>1031430.3619999989</v>
      </c>
      <c r="T7" s="35">
        <f t="shared" si="5"/>
        <v>726005.16000000131</v>
      </c>
      <c r="U7" s="35">
        <f t="shared" si="6"/>
        <v>718459.92700000014</v>
      </c>
      <c r="V7" s="17">
        <f>_xlfn.FORECAST.LINEAR(R7,$F$4:F24,$G$4:G24)</f>
        <v>784368.2744601625</v>
      </c>
      <c r="W7" s="17">
        <f>_xlfn.FORECAST.ETS(R7,$F$4:F24,$G$4:G24,12,1,1)</f>
        <v>915496.94473105355</v>
      </c>
      <c r="Y7" s="28">
        <f t="shared" si="1"/>
        <v>40238</v>
      </c>
      <c r="Z7" s="29">
        <f t="shared" si="2"/>
        <v>764776.40099999821</v>
      </c>
    </row>
    <row r="8" spans="2:31">
      <c r="B8" s="15" t="s">
        <v>145</v>
      </c>
      <c r="C8" s="27">
        <v>649657.38199999614</v>
      </c>
      <c r="E8" s="15" t="s">
        <v>145</v>
      </c>
      <c r="F8" s="27">
        <v>649657.38199999614</v>
      </c>
      <c r="G8" s="28">
        <f t="shared" si="0"/>
        <v>40269</v>
      </c>
      <c r="H8" s="29">
        <f t="shared" si="3"/>
        <v>764776.40099999821</v>
      </c>
      <c r="I8" s="30">
        <f t="shared" si="4"/>
        <v>-115119.01900000207</v>
      </c>
      <c r="J8" s="29">
        <f t="shared" ref="J8:J28" si="7">AVERAGE(F5:F7)</f>
        <v>642605.29299999855</v>
      </c>
      <c r="K8" s="33">
        <f t="shared" ref="K8:K28" si="8">F8-J8</f>
        <v>7052.0889999975916</v>
      </c>
      <c r="R8" s="34">
        <v>40817</v>
      </c>
      <c r="S8" s="29">
        <v>1107449.5399999949</v>
      </c>
      <c r="T8" s="35">
        <f t="shared" si="5"/>
        <v>1031430.3619999989</v>
      </c>
      <c r="U8" s="35">
        <f t="shared" si="6"/>
        <v>815794.42099999927</v>
      </c>
      <c r="V8" s="17">
        <f>_xlfn.FORECAST.LINEAR(R8,$F$4:F25,$G$4:G25)</f>
        <v>831572.1631707577</v>
      </c>
      <c r="W8" s="17">
        <f>_xlfn.FORECAST.ETS(R8,$F$4:F25,$G$4:G25,12,1,1)</f>
        <v>1205733.2954013173</v>
      </c>
      <c r="Y8" s="28">
        <f t="shared" si="1"/>
        <v>40269</v>
      </c>
      <c r="Z8" s="29">
        <f t="shared" si="2"/>
        <v>649657.38199999614</v>
      </c>
    </row>
    <row r="9" spans="2:31">
      <c r="B9" s="15" t="s">
        <v>146</v>
      </c>
      <c r="C9" s="27">
        <v>646160.22999999404</v>
      </c>
      <c r="E9" s="15" t="s">
        <v>146</v>
      </c>
      <c r="F9" s="27">
        <v>646160.22999999404</v>
      </c>
      <c r="G9" s="28">
        <f t="shared" si="0"/>
        <v>40299</v>
      </c>
      <c r="H9" s="29">
        <f t="shared" si="3"/>
        <v>649657.38199999614</v>
      </c>
      <c r="I9" s="30">
        <f t="shared" si="4"/>
        <v>-3497.1520000020973</v>
      </c>
      <c r="J9" s="29">
        <f t="shared" si="7"/>
        <v>651472.14633333019</v>
      </c>
      <c r="K9" s="33">
        <f t="shared" si="8"/>
        <v>-5311.9163333361503</v>
      </c>
      <c r="R9" s="34">
        <v>40848</v>
      </c>
      <c r="S9" s="29">
        <v>1458925.5299999956</v>
      </c>
      <c r="T9" s="35">
        <f t="shared" si="5"/>
        <v>1107449.5399999949</v>
      </c>
      <c r="U9" s="35">
        <f t="shared" si="6"/>
        <v>954961.68733333179</v>
      </c>
      <c r="V9" s="17">
        <f>_xlfn.FORECAST.LINEAR(R9,$F$4:F26,$G$4:G26)</f>
        <v>884909.9144025594</v>
      </c>
      <c r="W9" s="17">
        <f>_xlfn.FORECAST.ETS(R9,$F$4:F26,$G$4:G26,12,1,1)</f>
        <v>1475109.3612110582</v>
      </c>
      <c r="Y9" s="28">
        <f t="shared" si="1"/>
        <v>40299</v>
      </c>
      <c r="Z9" s="29">
        <f t="shared" si="2"/>
        <v>646160.22999999404</v>
      </c>
    </row>
    <row r="10" spans="2:31">
      <c r="B10" s="15" t="s">
        <v>147</v>
      </c>
      <c r="C10" s="27">
        <v>700597.69999999634</v>
      </c>
      <c r="E10" s="15" t="s">
        <v>147</v>
      </c>
      <c r="F10" s="27">
        <v>700597.69999999634</v>
      </c>
      <c r="G10" s="28">
        <f t="shared" si="0"/>
        <v>40330</v>
      </c>
      <c r="H10" s="29">
        <f t="shared" si="3"/>
        <v>646160.22999999404</v>
      </c>
      <c r="I10" s="30">
        <f t="shared" si="4"/>
        <v>54437.4700000023</v>
      </c>
      <c r="J10" s="29">
        <f t="shared" si="7"/>
        <v>686864.67099999601</v>
      </c>
      <c r="K10" s="33">
        <f t="shared" si="8"/>
        <v>13733.02900000033</v>
      </c>
      <c r="Y10" s="28">
        <f t="shared" si="1"/>
        <v>40330</v>
      </c>
      <c r="Z10" s="29">
        <f t="shared" si="2"/>
        <v>700597.69999999634</v>
      </c>
    </row>
    <row r="11" spans="2:31">
      <c r="B11" s="15" t="s">
        <v>148</v>
      </c>
      <c r="C11" s="27">
        <v>635802.08999999904</v>
      </c>
      <c r="E11" s="15" t="s">
        <v>148</v>
      </c>
      <c r="F11" s="27">
        <v>635802.08999999904</v>
      </c>
      <c r="G11" s="28">
        <f t="shared" si="0"/>
        <v>40360</v>
      </c>
      <c r="H11" s="29">
        <f t="shared" si="3"/>
        <v>700597.69999999634</v>
      </c>
      <c r="I11" s="30">
        <f t="shared" si="4"/>
        <v>-64795.609999997308</v>
      </c>
      <c r="J11" s="29">
        <f t="shared" si="7"/>
        <v>665471.77066666214</v>
      </c>
      <c r="K11" s="33">
        <f t="shared" si="8"/>
        <v>-29669.680666663102</v>
      </c>
      <c r="Y11" s="28">
        <f t="shared" si="1"/>
        <v>40360</v>
      </c>
      <c r="Z11" s="29">
        <f t="shared" si="2"/>
        <v>635802.08999999904</v>
      </c>
    </row>
    <row r="12" spans="2:31">
      <c r="B12" s="15" t="s">
        <v>149</v>
      </c>
      <c r="C12" s="27">
        <v>677102.8899999978</v>
      </c>
      <c r="E12" s="15" t="s">
        <v>149</v>
      </c>
      <c r="F12" s="27">
        <v>677102.8899999978</v>
      </c>
      <c r="G12" s="28">
        <f t="shared" si="0"/>
        <v>40391</v>
      </c>
      <c r="H12" s="29">
        <f t="shared" si="3"/>
        <v>635802.08999999904</v>
      </c>
      <c r="I12" s="30">
        <f t="shared" si="4"/>
        <v>41300.799999998766</v>
      </c>
      <c r="J12" s="29">
        <f t="shared" si="7"/>
        <v>660853.33999999647</v>
      </c>
      <c r="K12" s="33">
        <f t="shared" si="8"/>
        <v>16249.550000001327</v>
      </c>
      <c r="R12" s="18" t="s">
        <v>214</v>
      </c>
      <c r="S12" s="19" t="s">
        <v>221</v>
      </c>
      <c r="T12" s="19" t="s">
        <v>215</v>
      </c>
      <c r="U12" s="19" t="s">
        <v>216</v>
      </c>
      <c r="V12" s="19" t="s">
        <v>217</v>
      </c>
      <c r="Y12" s="28">
        <f t="shared" si="1"/>
        <v>40391</v>
      </c>
      <c r="Z12" s="29">
        <f t="shared" si="2"/>
        <v>677102.8899999978</v>
      </c>
    </row>
    <row r="13" spans="2:31">
      <c r="B13" s="15" t="s">
        <v>150</v>
      </c>
      <c r="C13" s="27">
        <v>872407.38099999831</v>
      </c>
      <c r="E13" s="15" t="s">
        <v>150</v>
      </c>
      <c r="F13" s="27">
        <v>872407.38099999831</v>
      </c>
      <c r="G13" s="28">
        <f t="shared" si="0"/>
        <v>40422</v>
      </c>
      <c r="H13" s="29">
        <f t="shared" si="3"/>
        <v>677102.8899999978</v>
      </c>
      <c r="I13" s="30">
        <f t="shared" si="4"/>
        <v>195304.4910000005</v>
      </c>
      <c r="J13" s="29">
        <f t="shared" si="7"/>
        <v>671167.55999999773</v>
      </c>
      <c r="K13" s="33">
        <f t="shared" si="8"/>
        <v>201239.82100000058</v>
      </c>
      <c r="R13" s="18" t="s">
        <v>218</v>
      </c>
      <c r="S13" s="31">
        <f>SUMPRODUCT(ABS($S$4:$S$9-T$4:T$9))/COUNT($S$4:$S$9)</f>
        <v>136792.79799999978</v>
      </c>
      <c r="T13" s="31">
        <f>SUMPRODUCT(ABS($S$4:$S$9-U$4:U$9))/COUNT($S$4:$S$9)</f>
        <v>204010.02944444353</v>
      </c>
      <c r="U13" s="31">
        <f>SUMPRODUCT(ABS($S$4:$S$9-V$4:V$9))/COUNT($S$4:$S$9)</f>
        <v>229321.56972966378</v>
      </c>
      <c r="V13" s="31">
        <f>SUMPRODUCT(ABS($S$4:$S$9-W$4:W$9))/COUNT($S$4:$S$9)</f>
        <v>43904.377345319874</v>
      </c>
      <c r="Y13" s="28">
        <f t="shared" si="1"/>
        <v>40422</v>
      </c>
      <c r="Z13" s="29">
        <f t="shared" si="2"/>
        <v>872407.38099999831</v>
      </c>
    </row>
    <row r="14" spans="2:31">
      <c r="B14" s="15" t="s">
        <v>151</v>
      </c>
      <c r="C14" s="27">
        <v>1098995.3199999982</v>
      </c>
      <c r="E14" s="15" t="s">
        <v>151</v>
      </c>
      <c r="F14" s="27">
        <v>1098995.3199999982</v>
      </c>
      <c r="G14" s="28">
        <f t="shared" si="0"/>
        <v>40452</v>
      </c>
      <c r="H14" s="29">
        <f t="shared" si="3"/>
        <v>872407.38099999831</v>
      </c>
      <c r="I14" s="30">
        <f t="shared" si="4"/>
        <v>226587.9389999999</v>
      </c>
      <c r="J14" s="29">
        <f t="shared" si="7"/>
        <v>728437.45366666501</v>
      </c>
      <c r="K14" s="33">
        <f t="shared" si="8"/>
        <v>370557.86633333319</v>
      </c>
      <c r="R14" s="18" t="s">
        <v>219</v>
      </c>
      <c r="S14" s="31">
        <f>SQRT(SUMPRODUCT(($S$4:$S$9-T$4:T$9)^2)/COUNT($S$4:$S$9))</f>
        <v>194230.29844498087</v>
      </c>
      <c r="T14" s="31">
        <f>SQRT(SUMPRODUCT(($S$4:$S$9-U$4:U$9)^2)/COUNT($S$4:$S$9))</f>
        <v>272496.9387221791</v>
      </c>
      <c r="U14" s="31">
        <f>SQRT(SUMPRODUCT(($S$4:$S$9-V$4:V$9)^2)/COUNT($S$4:$S$9))</f>
        <v>286997.57625147555</v>
      </c>
      <c r="V14" s="31">
        <f>SQRT(SUMPRODUCT(($S$4:$S$9-W$4:W$9)^2)/COUNT($S$4:$S$9))</f>
        <v>63003.93430521142</v>
      </c>
      <c r="Y14" s="28">
        <f t="shared" si="1"/>
        <v>40452</v>
      </c>
      <c r="Z14" s="29">
        <f t="shared" si="2"/>
        <v>1098995.3199999982</v>
      </c>
    </row>
    <row r="15" spans="2:31">
      <c r="B15" s="15" t="s">
        <v>152</v>
      </c>
      <c r="C15" s="27">
        <v>1443879.162000003</v>
      </c>
      <c r="E15" s="15" t="s">
        <v>152</v>
      </c>
      <c r="F15" s="27">
        <v>1443879.162000003</v>
      </c>
      <c r="G15" s="28">
        <f t="shared" si="0"/>
        <v>40483</v>
      </c>
      <c r="H15" s="29">
        <f t="shared" si="3"/>
        <v>1098995.3199999982</v>
      </c>
      <c r="I15" s="30">
        <f t="shared" si="4"/>
        <v>344883.84200000484</v>
      </c>
      <c r="J15" s="29">
        <f t="shared" si="7"/>
        <v>882835.19699999818</v>
      </c>
      <c r="K15" s="33">
        <f t="shared" si="8"/>
        <v>561043.96500000486</v>
      </c>
      <c r="R15" s="22" t="s">
        <v>220</v>
      </c>
      <c r="S15" s="31">
        <f>SUMPRODUCT(ABS(($S$4:$S$9-T$4:T$9)/$S$4:$S$9))/COUNT($S$4:$S$9)</f>
        <v>0.1216943364986152</v>
      </c>
      <c r="T15" s="31">
        <f>SUMPRODUCT(ABS(($S$4:$S$9-U$4:U$9)/$S$4:$S$9))/COUNT($S$4:$S$9)</f>
        <v>0.17846192547308629</v>
      </c>
      <c r="U15" s="31">
        <f>SUMPRODUCT(ABS(($S$4:$S$9-V$4:V$9)/$S$4:$S$9))/COUNT($S$4:$S$9)</f>
        <v>0.21218675286814481</v>
      </c>
      <c r="V15" s="31">
        <f>SUMPRODUCT(ABS(($S$4:$S$9-W$4:W$9)/$S$4:$S$9))/COUNT($S$4:$S$9)</f>
        <v>4.3044015077098124E-2</v>
      </c>
      <c r="Y15" s="28">
        <f t="shared" si="1"/>
        <v>40483</v>
      </c>
      <c r="Z15" s="29">
        <f t="shared" si="2"/>
        <v>1443879.162000003</v>
      </c>
    </row>
    <row r="16" spans="2:31">
      <c r="B16" s="15" t="s">
        <v>153</v>
      </c>
      <c r="C16" s="27">
        <v>1215200.1299999983</v>
      </c>
      <c r="E16" s="15" t="s">
        <v>153</v>
      </c>
      <c r="F16" s="27">
        <v>1215200.1299999983</v>
      </c>
      <c r="G16" s="28">
        <f t="shared" si="0"/>
        <v>40513</v>
      </c>
      <c r="H16" s="29">
        <f t="shared" si="3"/>
        <v>1443879.162000003</v>
      </c>
      <c r="I16" s="30">
        <f t="shared" si="4"/>
        <v>-228679.03200000478</v>
      </c>
      <c r="J16" s="29">
        <f t="shared" si="7"/>
        <v>1138427.2876666666</v>
      </c>
      <c r="K16" s="33">
        <f t="shared" si="8"/>
        <v>76772.842333331704</v>
      </c>
      <c r="R16" s="36"/>
      <c r="Y16" s="28">
        <f t="shared" si="1"/>
        <v>40513</v>
      </c>
      <c r="Z16" s="29">
        <f t="shared" si="2"/>
        <v>1215200.1299999983</v>
      </c>
    </row>
    <row r="17" spans="2:40">
      <c r="B17" s="15" t="s">
        <v>154</v>
      </c>
      <c r="C17" s="27">
        <v>672207.40999999479</v>
      </c>
      <c r="E17" s="15" t="s">
        <v>154</v>
      </c>
      <c r="F17" s="27">
        <v>672207.40999999479</v>
      </c>
      <c r="G17" s="28">
        <f t="shared" si="0"/>
        <v>40544</v>
      </c>
      <c r="H17" s="29">
        <f t="shared" si="3"/>
        <v>1215200.1299999983</v>
      </c>
      <c r="I17" s="30">
        <f t="shared" si="4"/>
        <v>-542992.72000000346</v>
      </c>
      <c r="J17" s="29">
        <f t="shared" si="7"/>
        <v>1252691.5373333332</v>
      </c>
      <c r="K17" s="33">
        <f t="shared" si="8"/>
        <v>-580484.12733333837</v>
      </c>
      <c r="Y17" s="28">
        <f t="shared" si="1"/>
        <v>40544</v>
      </c>
      <c r="Z17" s="29">
        <f t="shared" si="2"/>
        <v>672207.40999999479</v>
      </c>
    </row>
    <row r="18" spans="2:40">
      <c r="B18" s="15" t="s">
        <v>155</v>
      </c>
      <c r="C18" s="27">
        <v>509167.87000000023</v>
      </c>
      <c r="E18" s="15" t="s">
        <v>155</v>
      </c>
      <c r="F18" s="27">
        <v>509167.87000000023</v>
      </c>
      <c r="G18" s="28">
        <f t="shared" si="0"/>
        <v>40575</v>
      </c>
      <c r="H18" s="29">
        <f t="shared" si="3"/>
        <v>672207.40999999479</v>
      </c>
      <c r="I18" s="30">
        <f t="shared" si="4"/>
        <v>-163039.53999999457</v>
      </c>
      <c r="J18" s="29">
        <f t="shared" si="7"/>
        <v>1110428.9006666653</v>
      </c>
      <c r="K18" s="33">
        <f t="shared" si="8"/>
        <v>-601261.03066666506</v>
      </c>
      <c r="Y18" s="28">
        <f t="shared" si="1"/>
        <v>40575</v>
      </c>
      <c r="Z18" s="29">
        <f t="shared" si="2"/>
        <v>509167.87000000023</v>
      </c>
    </row>
    <row r="19" spans="2:40">
      <c r="B19" s="15" t="s">
        <v>156</v>
      </c>
      <c r="C19" s="27">
        <v>692235.69999999518</v>
      </c>
      <c r="E19" s="15" t="s">
        <v>156</v>
      </c>
      <c r="F19" s="27">
        <v>692235.69999999518</v>
      </c>
      <c r="G19" s="28">
        <f t="shared" si="0"/>
        <v>40603</v>
      </c>
      <c r="H19" s="29">
        <f t="shared" si="3"/>
        <v>509167.87000000023</v>
      </c>
      <c r="I19" s="30">
        <f t="shared" si="4"/>
        <v>183067.82999999495</v>
      </c>
      <c r="J19" s="29">
        <f t="shared" si="7"/>
        <v>798858.46999999776</v>
      </c>
      <c r="K19" s="33">
        <f t="shared" si="8"/>
        <v>-106622.77000000258</v>
      </c>
      <c r="Y19" s="28">
        <f t="shared" si="1"/>
        <v>40603</v>
      </c>
      <c r="Z19" s="29">
        <f t="shared" si="2"/>
        <v>692235.69999999518</v>
      </c>
    </row>
    <row r="20" spans="2:40">
      <c r="B20" s="15" t="s">
        <v>157</v>
      </c>
      <c r="C20" s="27">
        <v>516754.79100000073</v>
      </c>
      <c r="E20" s="15" t="s">
        <v>157</v>
      </c>
      <c r="F20" s="27">
        <v>516754.79100000073</v>
      </c>
      <c r="G20" s="28">
        <f t="shared" si="0"/>
        <v>40634</v>
      </c>
      <c r="H20" s="29">
        <f t="shared" si="3"/>
        <v>692235.69999999518</v>
      </c>
      <c r="I20" s="30">
        <f t="shared" si="4"/>
        <v>-175480.90899999446</v>
      </c>
      <c r="J20" s="29">
        <f t="shared" si="7"/>
        <v>624536.99333333003</v>
      </c>
      <c r="K20" s="33">
        <f t="shared" si="8"/>
        <v>-107782.2023333293</v>
      </c>
      <c r="Y20" s="28">
        <f t="shared" si="1"/>
        <v>40634</v>
      </c>
      <c r="Z20" s="29">
        <f t="shared" si="2"/>
        <v>516754.79100000073</v>
      </c>
    </row>
    <row r="21" spans="2:40" ht="15" thickBot="1">
      <c r="B21" s="15" t="s">
        <v>158</v>
      </c>
      <c r="C21" s="27">
        <v>741726.73999999871</v>
      </c>
      <c r="E21" s="15" t="s">
        <v>158</v>
      </c>
      <c r="F21" s="27">
        <v>741726.73999999871</v>
      </c>
      <c r="G21" s="28">
        <f t="shared" si="0"/>
        <v>40664</v>
      </c>
      <c r="H21" s="29">
        <f t="shared" si="3"/>
        <v>516754.79100000073</v>
      </c>
      <c r="I21" s="30">
        <f t="shared" si="4"/>
        <v>224971.94899999799</v>
      </c>
      <c r="J21" s="29">
        <f t="shared" si="7"/>
        <v>572719.45366666536</v>
      </c>
      <c r="K21" s="33">
        <f t="shared" si="8"/>
        <v>169007.28633333335</v>
      </c>
      <c r="Y21" s="28">
        <f t="shared" si="1"/>
        <v>40664</v>
      </c>
      <c r="Z21" s="29">
        <f t="shared" si="2"/>
        <v>741726.73999999871</v>
      </c>
    </row>
    <row r="22" spans="2:40" ht="15" thickBot="1">
      <c r="B22" s="15" t="s">
        <v>159</v>
      </c>
      <c r="C22" s="27">
        <v>739426.88000000163</v>
      </c>
      <c r="E22" s="15" t="s">
        <v>159</v>
      </c>
      <c r="F22" s="27">
        <v>739426.88000000163</v>
      </c>
      <c r="G22" s="28">
        <f t="shared" si="0"/>
        <v>40695</v>
      </c>
      <c r="H22" s="29">
        <f t="shared" si="3"/>
        <v>741726.73999999871</v>
      </c>
      <c r="I22" s="30">
        <f t="shared" si="4"/>
        <v>-2299.8599999970756</v>
      </c>
      <c r="J22" s="29">
        <f t="shared" si="7"/>
        <v>650239.07699999819</v>
      </c>
      <c r="K22" s="33">
        <f t="shared" si="8"/>
        <v>89187.803000003449</v>
      </c>
      <c r="Y22" s="28">
        <f t="shared" si="1"/>
        <v>40695</v>
      </c>
      <c r="Z22" s="29">
        <f t="shared" si="2"/>
        <v>739426.88000000163</v>
      </c>
      <c r="AJ22" s="50" t="s">
        <v>233</v>
      </c>
    </row>
    <row r="23" spans="2:40">
      <c r="B23" s="15" t="s">
        <v>160</v>
      </c>
      <c r="C23" s="27">
        <v>689947.74099999783</v>
      </c>
      <c r="E23" s="15" t="s">
        <v>160</v>
      </c>
      <c r="F23" s="27">
        <v>689947.74099999783</v>
      </c>
      <c r="G23" s="28">
        <f t="shared" si="0"/>
        <v>40725</v>
      </c>
      <c r="H23" s="29">
        <f t="shared" si="3"/>
        <v>739426.88000000163</v>
      </c>
      <c r="I23" s="30">
        <f t="shared" si="4"/>
        <v>-49479.139000003808</v>
      </c>
      <c r="J23" s="29">
        <f t="shared" si="7"/>
        <v>665969.47033333371</v>
      </c>
      <c r="K23" s="33">
        <f t="shared" si="8"/>
        <v>23978.270666664117</v>
      </c>
      <c r="Y23" s="28">
        <f t="shared" si="1"/>
        <v>40725</v>
      </c>
      <c r="Z23" s="29">
        <f t="shared" si="2"/>
        <v>689947.74099999783</v>
      </c>
      <c r="AJ23" s="37" t="s">
        <v>224</v>
      </c>
      <c r="AK23" s="38" t="s">
        <v>225</v>
      </c>
      <c r="AL23" s="38" t="s">
        <v>226</v>
      </c>
      <c r="AM23" s="38" t="s">
        <v>227</v>
      </c>
      <c r="AN23" s="39" t="s">
        <v>228</v>
      </c>
    </row>
    <row r="24" spans="2:40" ht="15" thickBot="1">
      <c r="B24" s="15" t="s">
        <v>161</v>
      </c>
      <c r="C24" s="27">
        <v>726005.16000000131</v>
      </c>
      <c r="E24" s="15" t="s">
        <v>161</v>
      </c>
      <c r="F24" s="27">
        <v>726005.16000000131</v>
      </c>
      <c r="G24" s="28">
        <f t="shared" si="0"/>
        <v>40756</v>
      </c>
      <c r="H24" s="29">
        <f t="shared" si="3"/>
        <v>689947.74099999783</v>
      </c>
      <c r="I24" s="30">
        <f t="shared" si="4"/>
        <v>36057.419000003487</v>
      </c>
      <c r="J24" s="29">
        <f t="shared" si="7"/>
        <v>723700.45366666606</v>
      </c>
      <c r="K24" s="33">
        <f t="shared" si="8"/>
        <v>2304.7063333352562</v>
      </c>
      <c r="Y24" s="28">
        <f t="shared" si="1"/>
        <v>40756</v>
      </c>
      <c r="Z24" s="29">
        <f t="shared" si="2"/>
        <v>726005.16000000131</v>
      </c>
      <c r="AJ24" s="40" t="s">
        <v>217</v>
      </c>
      <c r="AK24" s="41">
        <v>4.2999999999999997E-2</v>
      </c>
      <c r="AL24" s="42">
        <v>1234273.4099999999</v>
      </c>
      <c r="AM24" s="42">
        <v>1047110.59</v>
      </c>
      <c r="AN24" s="43">
        <v>1421436.23</v>
      </c>
    </row>
    <row r="25" spans="2:40" ht="15" thickBot="1">
      <c r="B25" s="15" t="s">
        <v>162</v>
      </c>
      <c r="C25" s="27">
        <v>1031430.3619999989</v>
      </c>
      <c r="E25" s="15" t="s">
        <v>162</v>
      </c>
      <c r="F25" s="27">
        <v>1031430.3619999989</v>
      </c>
      <c r="G25" s="28">
        <f t="shared" si="0"/>
        <v>40787</v>
      </c>
      <c r="H25" s="29">
        <f t="shared" si="3"/>
        <v>726005.16000000131</v>
      </c>
      <c r="I25" s="30">
        <f t="shared" si="4"/>
        <v>305425.2019999976</v>
      </c>
      <c r="J25" s="29">
        <f t="shared" si="7"/>
        <v>718459.92700000014</v>
      </c>
      <c r="K25" s="33">
        <f t="shared" si="8"/>
        <v>312970.43499999878</v>
      </c>
      <c r="Y25" s="28">
        <f t="shared" si="1"/>
        <v>40787</v>
      </c>
      <c r="Z25" s="29">
        <f t="shared" si="2"/>
        <v>1031430.3619999989</v>
      </c>
    </row>
    <row r="26" spans="2:40" ht="15" thickBot="1">
      <c r="B26" s="15" t="s">
        <v>163</v>
      </c>
      <c r="C26" s="27">
        <v>1107449.5399999949</v>
      </c>
      <c r="E26" s="15" t="s">
        <v>163</v>
      </c>
      <c r="F26" s="27">
        <v>1107449.5399999949</v>
      </c>
      <c r="G26" s="28">
        <f t="shared" si="0"/>
        <v>40817</v>
      </c>
      <c r="H26" s="29">
        <f t="shared" si="3"/>
        <v>1031430.3619999989</v>
      </c>
      <c r="I26" s="30">
        <f t="shared" si="4"/>
        <v>76019.177999995998</v>
      </c>
      <c r="J26" s="29">
        <f t="shared" si="7"/>
        <v>815794.42099999927</v>
      </c>
      <c r="K26" s="33">
        <f t="shared" si="8"/>
        <v>291655.11899999564</v>
      </c>
      <c r="Y26" s="28">
        <f t="shared" si="1"/>
        <v>40817</v>
      </c>
      <c r="Z26" s="29">
        <f t="shared" si="2"/>
        <v>1107449.5399999949</v>
      </c>
      <c r="AJ26" s="48" t="s">
        <v>229</v>
      </c>
    </row>
    <row r="27" spans="2:40" ht="66.5" customHeight="1" thickBot="1">
      <c r="B27" s="15" t="s">
        <v>164</v>
      </c>
      <c r="C27" s="27">
        <v>1458925.5299999956</v>
      </c>
      <c r="E27" s="15" t="s">
        <v>164</v>
      </c>
      <c r="F27" s="27">
        <v>1458925.5299999956</v>
      </c>
      <c r="G27" s="28">
        <f t="shared" si="0"/>
        <v>40848</v>
      </c>
      <c r="H27" s="29">
        <f t="shared" si="3"/>
        <v>1107449.5399999949</v>
      </c>
      <c r="I27" s="30">
        <f t="shared" si="4"/>
        <v>351475.99000000069</v>
      </c>
      <c r="J27" s="29">
        <f t="shared" si="7"/>
        <v>954961.68733333179</v>
      </c>
      <c r="K27" s="33">
        <f t="shared" si="8"/>
        <v>503963.84266666381</v>
      </c>
      <c r="Y27" s="28">
        <f t="shared" si="1"/>
        <v>40848</v>
      </c>
      <c r="Z27" s="29">
        <f t="shared" si="2"/>
        <v>1458925.5299999956</v>
      </c>
      <c r="AA27" s="29">
        <f>F27</f>
        <v>1458925.5299999956</v>
      </c>
      <c r="AJ27" s="45" t="s">
        <v>230</v>
      </c>
      <c r="AK27" s="46"/>
      <c r="AL27" s="46"/>
      <c r="AM27" s="46"/>
      <c r="AN27" s="47"/>
    </row>
    <row r="28" spans="2:40" ht="15" thickBot="1">
      <c r="B28" s="15" t="s">
        <v>165</v>
      </c>
      <c r="C28" s="27">
        <v>615716.60000000254</v>
      </c>
      <c r="E28" s="15"/>
      <c r="G28" s="28">
        <v>40878</v>
      </c>
      <c r="H28" s="29">
        <f>F27</f>
        <v>1458925.5299999956</v>
      </c>
      <c r="I28" s="4"/>
      <c r="J28" s="29">
        <f t="shared" si="7"/>
        <v>1199268.4773333299</v>
      </c>
      <c r="L28" s="31">
        <f>_xlfn.FORECAST.ETS(G28,$F$4:$F$27,$G$4:$G$27,12,1,1)</f>
        <v>1234273.4054165592</v>
      </c>
      <c r="M28" s="31">
        <f>_xlfn.FORECAST.ETS.CONFINT(G28,$F$4:$F$27,$G$4:$G$27,0.95,12,1,1)</f>
        <v>187162.82003678364</v>
      </c>
      <c r="N28" s="17">
        <f>L28-M28</f>
        <v>1047110.5853797756</v>
      </c>
      <c r="O28" s="17">
        <f>L28+M28</f>
        <v>1421436.2254533428</v>
      </c>
      <c r="P28" s="31">
        <f>_xlfn.FORECAST.LINEAR(G28,$F$4:$F$27,$G$4:$G$27)</f>
        <v>988814.28589714319</v>
      </c>
      <c r="Y28" s="28">
        <f>G28</f>
        <v>40878</v>
      </c>
      <c r="AA28" s="35">
        <f>L28</f>
        <v>1234273.4054165592</v>
      </c>
      <c r="AB28" s="31">
        <f>N28</f>
        <v>1047110.5853797756</v>
      </c>
      <c r="AC28" s="31">
        <f>O28</f>
        <v>1421436.2254533428</v>
      </c>
      <c r="AD28" s="29">
        <f>AC28-AA28</f>
        <v>187162.82003678358</v>
      </c>
      <c r="AE28" s="29">
        <f>AA28-AB28</f>
        <v>187162.82003678358</v>
      </c>
    </row>
    <row r="29" spans="2:40" ht="15" thickBot="1">
      <c r="B29" s="15" t="s">
        <v>122</v>
      </c>
      <c r="C29" s="27">
        <v>20170561.32800002</v>
      </c>
      <c r="AJ29" s="49" t="s">
        <v>231</v>
      </c>
    </row>
    <row r="30" spans="2:40" ht="50" customHeight="1" thickBot="1">
      <c r="AJ30" s="45" t="s">
        <v>232</v>
      </c>
      <c r="AK30" s="46"/>
      <c r="AL30" s="46"/>
      <c r="AM30" s="46"/>
      <c r="AN30" s="47"/>
    </row>
  </sheetData>
  <mergeCells count="2">
    <mergeCell ref="AJ27:AN27"/>
    <mergeCell ref="AJ30:AN30"/>
  </mergeCells>
  <pageMargins left="0.7" right="0.7" top="0.75" bottom="0.75" header="0.3" footer="0.3"/>
  <pageSetup orientation="portrait"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8C01E-BD45-4583-B2BF-98675ABD4D7D}">
  <dimension ref="B1:H41"/>
  <sheetViews>
    <sheetView tabSelected="1" zoomScale="70" zoomScaleNormal="70" workbookViewId="0">
      <selection activeCell="B42" sqref="B42"/>
    </sheetView>
  </sheetViews>
  <sheetFormatPr defaultRowHeight="14.5"/>
  <cols>
    <col min="2" max="2" width="18.08984375" customWidth="1"/>
    <col min="3" max="3" width="37.81640625" customWidth="1"/>
    <col min="4" max="4" width="24.453125" customWidth="1"/>
    <col min="5" max="5" width="13" customWidth="1"/>
    <col min="6" max="6" width="16.26953125" customWidth="1"/>
    <col min="7" max="7" width="15.08984375" customWidth="1"/>
    <col min="8" max="8" width="17.1796875" customWidth="1"/>
  </cols>
  <sheetData>
    <row r="1" spans="2:8" ht="15" thickBot="1"/>
    <row r="2" spans="2:8" ht="15" thickBot="1">
      <c r="B2" s="59" t="s">
        <v>241</v>
      </c>
    </row>
    <row r="3" spans="2:8" ht="15" thickBot="1">
      <c r="B3" s="53" t="s">
        <v>234</v>
      </c>
      <c r="C3" s="56">
        <v>2097</v>
      </c>
      <c r="E3" s="60" t="s">
        <v>242</v>
      </c>
      <c r="F3" s="61" t="s">
        <v>236</v>
      </c>
      <c r="G3" s="61" t="s">
        <v>237</v>
      </c>
      <c r="H3" s="62" t="s">
        <v>240</v>
      </c>
    </row>
    <row r="4" spans="2:8">
      <c r="B4" s="54" t="s">
        <v>235</v>
      </c>
      <c r="C4" s="57">
        <v>528.11</v>
      </c>
      <c r="E4" s="63" t="s">
        <v>243</v>
      </c>
      <c r="F4" s="64">
        <v>-0.1</v>
      </c>
      <c r="G4" s="65">
        <v>-0.05</v>
      </c>
      <c r="H4" s="67">
        <f>$C$3*(1+F4)*$C$4*(1+G4)</f>
        <v>946866.90284999995</v>
      </c>
    </row>
    <row r="5" spans="2:8">
      <c r="B5" s="54" t="s">
        <v>236</v>
      </c>
      <c r="C5" s="52">
        <v>0</v>
      </c>
      <c r="E5" s="63" t="s">
        <v>244</v>
      </c>
      <c r="F5" s="65">
        <v>0</v>
      </c>
      <c r="G5" s="65">
        <v>0</v>
      </c>
      <c r="H5" s="67">
        <f t="shared" ref="H5:H6" si="0">$C$3*(1+F5)*$C$4*(1+G5)</f>
        <v>1107446.67</v>
      </c>
    </row>
    <row r="6" spans="2:8" ht="15" thickBot="1">
      <c r="B6" s="54" t="s">
        <v>237</v>
      </c>
      <c r="C6" s="52">
        <v>0</v>
      </c>
      <c r="E6" s="40" t="s">
        <v>245</v>
      </c>
      <c r="F6" s="66">
        <v>0.1</v>
      </c>
      <c r="G6" s="66">
        <v>0.05</v>
      </c>
      <c r="H6" s="43">
        <f t="shared" si="0"/>
        <v>1279100.9038500004</v>
      </c>
    </row>
    <row r="7" spans="2:8">
      <c r="B7" s="54" t="s">
        <v>238</v>
      </c>
      <c r="C7" s="51">
        <f>C3*(1+C5)</f>
        <v>2097</v>
      </c>
      <c r="H7" s="17"/>
    </row>
    <row r="8" spans="2:8">
      <c r="B8" s="54" t="s">
        <v>239</v>
      </c>
      <c r="C8" s="57">
        <f>C4*(1+C6)</f>
        <v>528.11</v>
      </c>
    </row>
    <row r="9" spans="2:8" ht="15" thickBot="1">
      <c r="B9" s="55" t="s">
        <v>240</v>
      </c>
      <c r="C9" s="58">
        <f>C7*C8</f>
        <v>1107446.67</v>
      </c>
    </row>
    <row r="12" spans="2:8" ht="15" thickBot="1"/>
    <row r="13" spans="2:8">
      <c r="B13" s="68">
        <f>$C$9</f>
        <v>1107446.67</v>
      </c>
      <c r="C13" s="69">
        <v>-0.1</v>
      </c>
      <c r="D13" s="69">
        <v>-0.05</v>
      </c>
      <c r="E13" s="69">
        <v>0</v>
      </c>
      <c r="F13" s="69">
        <v>0.05</v>
      </c>
      <c r="G13" s="70">
        <v>0.1</v>
      </c>
    </row>
    <row r="14" spans="2:8">
      <c r="B14" s="71">
        <v>-0.1</v>
      </c>
      <c r="C14" s="72">
        <f t="dataTable" ref="C14:G18" dt2D="1" dtr="1" r1="C6" r2="C5" ca="1"/>
        <v>897031.8027</v>
      </c>
      <c r="D14" s="72">
        <v>946866.90284999995</v>
      </c>
      <c r="E14" s="72">
        <v>996702.00300000003</v>
      </c>
      <c r="F14" s="72">
        <v>1046537.1031500001</v>
      </c>
      <c r="G14" s="73">
        <v>1096372.2033000002</v>
      </c>
    </row>
    <row r="15" spans="2:8">
      <c r="B15" s="74">
        <v>-0.05</v>
      </c>
      <c r="C15" s="72">
        <v>946866.90284999995</v>
      </c>
      <c r="D15" s="72">
        <v>999470.61967499997</v>
      </c>
      <c r="E15" s="72">
        <v>1052074.3365</v>
      </c>
      <c r="F15" s="72">
        <v>1104678.053325</v>
      </c>
      <c r="G15" s="73">
        <v>1157281.77015</v>
      </c>
    </row>
    <row r="16" spans="2:8">
      <c r="B16" s="74">
        <v>0</v>
      </c>
      <c r="C16" s="72">
        <v>996702.00300000003</v>
      </c>
      <c r="D16" s="72">
        <v>1052074.3365</v>
      </c>
      <c r="E16" s="72">
        <v>1107446.67</v>
      </c>
      <c r="F16" s="72">
        <v>1162819.0035000001</v>
      </c>
      <c r="G16" s="73">
        <v>1218191.3370000001</v>
      </c>
    </row>
    <row r="17" spans="2:7">
      <c r="B17" s="74">
        <v>0.05</v>
      </c>
      <c r="C17" s="72">
        <v>1046537.10315</v>
      </c>
      <c r="D17" s="72">
        <v>1104678.053325</v>
      </c>
      <c r="E17" s="72">
        <v>1162819.0034999999</v>
      </c>
      <c r="F17" s="72">
        <v>1220959.9536750002</v>
      </c>
      <c r="G17" s="73">
        <v>1279100.9038500001</v>
      </c>
    </row>
    <row r="18" spans="2:7" ht="15" thickBot="1">
      <c r="B18" s="75">
        <v>0.1</v>
      </c>
      <c r="C18" s="76">
        <v>1096372.2033000002</v>
      </c>
      <c r="D18" s="76">
        <v>1157281.7701500002</v>
      </c>
      <c r="E18" s="76">
        <v>1218191.3370000003</v>
      </c>
      <c r="F18" s="76">
        <v>1279100.9038500004</v>
      </c>
      <c r="G18" s="77">
        <v>1340010.4707000002</v>
      </c>
    </row>
    <row r="20" spans="2:7">
      <c r="B20" s="80" t="s">
        <v>236</v>
      </c>
      <c r="C20" s="81">
        <f>$C$9</f>
        <v>1107446.67</v>
      </c>
    </row>
    <row r="21" spans="2:7">
      <c r="B21" s="78">
        <v>-0.2</v>
      </c>
      <c r="C21" s="79">
        <f t="dataTable" ref="C21:C29" dt2D="0" dtr="0" r1="C5"/>
        <v>885957.33600000013</v>
      </c>
    </row>
    <row r="22" spans="2:7">
      <c r="B22" s="78">
        <v>-0.15</v>
      </c>
      <c r="C22" s="79">
        <v>941329.66950000008</v>
      </c>
    </row>
    <row r="23" spans="2:7">
      <c r="B23" s="78">
        <v>-0.1</v>
      </c>
      <c r="C23" s="79">
        <v>996702.00300000003</v>
      </c>
    </row>
    <row r="24" spans="2:7">
      <c r="B24" s="78">
        <v>-0.05</v>
      </c>
      <c r="C24" s="79">
        <v>1052074.3365</v>
      </c>
    </row>
    <row r="25" spans="2:7">
      <c r="B25" s="78">
        <v>0</v>
      </c>
      <c r="C25" s="79">
        <v>1107446.67</v>
      </c>
    </row>
    <row r="26" spans="2:7">
      <c r="B26" s="78">
        <v>0.05</v>
      </c>
      <c r="C26" s="79">
        <v>1162819.0034999999</v>
      </c>
    </row>
    <row r="27" spans="2:7">
      <c r="B27" s="78">
        <v>0.1</v>
      </c>
      <c r="C27" s="79">
        <v>1218191.3370000003</v>
      </c>
    </row>
    <row r="28" spans="2:7">
      <c r="B28" s="78">
        <v>0.15</v>
      </c>
      <c r="C28" s="79">
        <v>1273563.6704999998</v>
      </c>
    </row>
    <row r="29" spans="2:7">
      <c r="B29" s="78">
        <v>0.2</v>
      </c>
      <c r="C29" s="79">
        <v>1328936.0040000002</v>
      </c>
    </row>
    <row r="31" spans="2:7" ht="15" thickBot="1"/>
    <row r="32" spans="2:7" ht="15.5" customHeight="1" thickBot="1">
      <c r="B32" s="84" t="s">
        <v>246</v>
      </c>
      <c r="C32" s="85"/>
    </row>
    <row r="33" spans="2:8" ht="168.5" customHeight="1" thickBot="1">
      <c r="B33" s="45" t="s">
        <v>247</v>
      </c>
      <c r="C33" s="46"/>
      <c r="D33" s="46"/>
      <c r="E33" s="46"/>
      <c r="F33" s="46"/>
      <c r="G33" s="46"/>
      <c r="H33" s="47"/>
    </row>
    <row r="35" spans="2:8" ht="15" thickBot="1"/>
    <row r="36" spans="2:8" ht="15" thickBot="1">
      <c r="B36" s="82" t="s">
        <v>248</v>
      </c>
      <c r="C36" s="83"/>
    </row>
    <row r="37" spans="2:8" ht="55" customHeight="1" thickBot="1">
      <c r="B37" s="45" t="s">
        <v>249</v>
      </c>
      <c r="C37" s="46"/>
      <c r="D37" s="46"/>
      <c r="E37" s="46"/>
      <c r="F37" s="46"/>
      <c r="G37" s="46"/>
      <c r="H37" s="47"/>
    </row>
    <row r="41" spans="2:8">
      <c r="C41" s="44"/>
    </row>
  </sheetData>
  <mergeCells count="4">
    <mergeCell ref="B32:C32"/>
    <mergeCell ref="B33:H33"/>
    <mergeCell ref="B36:C36"/>
    <mergeCell ref="B37:H37"/>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6CF6-EE2B-4D35-B0BA-C5348191347A}">
  <dimension ref="B3:F48"/>
  <sheetViews>
    <sheetView workbookViewId="0">
      <selection activeCell="B3" sqref="B3"/>
    </sheetView>
  </sheetViews>
  <sheetFormatPr defaultRowHeight="14.5"/>
  <cols>
    <col min="2" max="2" width="19.1796875" bestFit="1" customWidth="1"/>
    <col min="3" max="3" width="15.26953125" bestFit="1" customWidth="1"/>
    <col min="4" max="6" width="11.81640625" bestFit="1" customWidth="1"/>
  </cols>
  <sheetData>
    <row r="3" spans="2:6">
      <c r="B3" s="23" t="s">
        <v>123</v>
      </c>
      <c r="C3" s="23" t="s">
        <v>124</v>
      </c>
    </row>
    <row r="4" spans="2:6">
      <c r="B4" s="23" t="s">
        <v>81</v>
      </c>
      <c r="C4">
        <v>2009</v>
      </c>
      <c r="D4">
        <v>2010</v>
      </c>
      <c r="E4">
        <v>2011</v>
      </c>
      <c r="F4" t="s">
        <v>122</v>
      </c>
    </row>
    <row r="5" spans="2:6">
      <c r="B5" s="15" t="s">
        <v>82</v>
      </c>
      <c r="C5">
        <v>50.249999999999993</v>
      </c>
      <c r="D5">
        <v>31006.65000000002</v>
      </c>
      <c r="E5">
        <v>136072.1700000008</v>
      </c>
      <c r="F5">
        <v>167129.06999999992</v>
      </c>
    </row>
    <row r="6" spans="2:6">
      <c r="B6" s="15" t="s">
        <v>83</v>
      </c>
      <c r="C6">
        <v>1998.34</v>
      </c>
      <c r="D6">
        <v>11281.980000000027</v>
      </c>
      <c r="E6">
        <v>9897.2800000000298</v>
      </c>
      <c r="F6">
        <v>23177.600000000013</v>
      </c>
    </row>
    <row r="7" spans="2:6">
      <c r="B7" s="15" t="s">
        <v>84</v>
      </c>
      <c r="D7">
        <v>2518.8900000000008</v>
      </c>
      <c r="E7">
        <v>342.65999999999997</v>
      </c>
      <c r="F7">
        <v>2861.5500000000015</v>
      </c>
    </row>
    <row r="8" spans="2:6">
      <c r="B8" s="15" t="s">
        <v>85</v>
      </c>
      <c r="C8">
        <v>447.6</v>
      </c>
      <c r="D8">
        <v>24025.840000000073</v>
      </c>
      <c r="E8">
        <v>39101.049999999886</v>
      </c>
      <c r="F8">
        <v>63574.490000000005</v>
      </c>
    </row>
    <row r="9" spans="2:6">
      <c r="B9" s="15" t="s">
        <v>86</v>
      </c>
      <c r="D9">
        <v>1253.1400000000001</v>
      </c>
      <c r="F9">
        <v>1253.1400000000001</v>
      </c>
    </row>
    <row r="10" spans="2:6">
      <c r="B10" s="15" t="s">
        <v>87</v>
      </c>
      <c r="D10">
        <v>268.27</v>
      </c>
      <c r="E10">
        <v>1143.5999999999999</v>
      </c>
      <c r="F10">
        <v>1411.8700000000001</v>
      </c>
    </row>
    <row r="11" spans="2:6">
      <c r="B11" s="15" t="s">
        <v>56</v>
      </c>
      <c r="D11">
        <v>1216.6600000000008</v>
      </c>
      <c r="E11">
        <v>3666.3799999999978</v>
      </c>
      <c r="F11">
        <v>4883.0399999999972</v>
      </c>
    </row>
    <row r="12" spans="2:6">
      <c r="B12" s="15" t="s">
        <v>88</v>
      </c>
      <c r="C12">
        <v>945.38000000000022</v>
      </c>
      <c r="D12">
        <v>20785.470000000008</v>
      </c>
      <c r="E12">
        <v>19722.759999999987</v>
      </c>
      <c r="F12">
        <v>41453.609999999979</v>
      </c>
    </row>
    <row r="13" spans="2:6">
      <c r="B13" s="15" t="s">
        <v>89</v>
      </c>
      <c r="C13">
        <v>3425.0799999999995</v>
      </c>
      <c r="D13">
        <v>9382.1900000000187</v>
      </c>
      <c r="E13">
        <v>11355.470000000008</v>
      </c>
      <c r="F13">
        <v>24162.739999999994</v>
      </c>
    </row>
    <row r="14" spans="2:6">
      <c r="B14" s="15" t="s">
        <v>90</v>
      </c>
      <c r="E14">
        <v>707.72</v>
      </c>
      <c r="F14">
        <v>707.72</v>
      </c>
    </row>
    <row r="15" spans="2:6">
      <c r="B15" s="15" t="s">
        <v>91</v>
      </c>
      <c r="C15">
        <v>1384.46</v>
      </c>
      <c r="D15">
        <v>46869.989999999969</v>
      </c>
      <c r="E15">
        <v>17486.640000000025</v>
      </c>
      <c r="F15">
        <v>65741.089999999967</v>
      </c>
    </row>
    <row r="16" spans="2:6">
      <c r="B16" s="15" t="s">
        <v>92</v>
      </c>
      <c r="E16">
        <v>1291.7500000000005</v>
      </c>
      <c r="F16">
        <v>1291.7499999999998</v>
      </c>
    </row>
    <row r="17" spans="2:6">
      <c r="B17" s="15" t="s">
        <v>93</v>
      </c>
      <c r="C17">
        <v>549.08000000000004</v>
      </c>
      <c r="D17">
        <v>7531.4299999999985</v>
      </c>
      <c r="E17">
        <v>21433.940000000031</v>
      </c>
      <c r="F17">
        <v>29514.450000000004</v>
      </c>
    </row>
    <row r="18" spans="2:6">
      <c r="B18" s="15" t="s">
        <v>36</v>
      </c>
      <c r="C18">
        <v>5555.0399999999954</v>
      </c>
      <c r="D18">
        <v>134790.21999999936</v>
      </c>
      <c r="E18">
        <v>187846.54000000193</v>
      </c>
      <c r="F18">
        <v>328191.79999999993</v>
      </c>
    </row>
    <row r="19" spans="2:6">
      <c r="B19" s="15" t="s">
        <v>37</v>
      </c>
      <c r="C19">
        <v>9782.6200000000154</v>
      </c>
      <c r="D19">
        <v>201070.57100000107</v>
      </c>
      <c r="E19">
        <v>207135.37000000113</v>
      </c>
      <c r="F19">
        <v>417988.56100000098</v>
      </c>
    </row>
    <row r="20" spans="2:6">
      <c r="B20" s="15" t="s">
        <v>94</v>
      </c>
      <c r="C20">
        <v>610.95000000000005</v>
      </c>
      <c r="D20">
        <v>13674.020000000006</v>
      </c>
      <c r="E20">
        <v>4710.5199999999977</v>
      </c>
      <c r="F20">
        <v>18995.490000000005</v>
      </c>
    </row>
    <row r="21" spans="2:6">
      <c r="B21" s="15" t="s">
        <v>95</v>
      </c>
      <c r="D21">
        <v>3922.2599999999989</v>
      </c>
      <c r="E21">
        <v>10117.040000000032</v>
      </c>
      <c r="F21">
        <v>14039.300000000001</v>
      </c>
    </row>
    <row r="22" spans="2:6">
      <c r="B22" s="15" t="s">
        <v>96</v>
      </c>
      <c r="D22">
        <v>2035.1100000000001</v>
      </c>
      <c r="E22">
        <v>3598.2099999999969</v>
      </c>
      <c r="F22">
        <v>5633.3200000000006</v>
      </c>
    </row>
    <row r="23" spans="2:6">
      <c r="B23" s="15" t="s">
        <v>97</v>
      </c>
      <c r="C23">
        <v>19127.939999999981</v>
      </c>
      <c r="D23">
        <v>342144.7400000018</v>
      </c>
      <c r="E23">
        <v>254246.8699999993</v>
      </c>
      <c r="F23">
        <v>615519.5499999997</v>
      </c>
    </row>
    <row r="24" spans="2:6">
      <c r="B24" s="15" t="s">
        <v>98</v>
      </c>
      <c r="D24">
        <v>2971.9599999999996</v>
      </c>
      <c r="E24">
        <v>8135.2599999999966</v>
      </c>
      <c r="F24">
        <v>11107.21999999999</v>
      </c>
    </row>
    <row r="25" spans="2:6">
      <c r="B25" s="15" t="s">
        <v>99</v>
      </c>
      <c r="C25">
        <v>398.2</v>
      </c>
      <c r="D25">
        <v>14185.140000000027</v>
      </c>
      <c r="E25">
        <v>16096.010000000015</v>
      </c>
      <c r="F25">
        <v>30679.350000000071</v>
      </c>
    </row>
    <row r="26" spans="2:6">
      <c r="B26" s="15" t="s">
        <v>100</v>
      </c>
      <c r="C26">
        <v>-208.75</v>
      </c>
      <c r="D26">
        <v>16349.779999999992</v>
      </c>
      <c r="E26">
        <v>27635.549999999985</v>
      </c>
      <c r="F26">
        <v>43776.579999999944</v>
      </c>
    </row>
    <row r="27" spans="2:6">
      <c r="B27" s="15" t="s">
        <v>101</v>
      </c>
      <c r="D27">
        <v>949.82000000000062</v>
      </c>
      <c r="F27">
        <v>949.82000000000028</v>
      </c>
    </row>
    <row r="28" spans="2:6">
      <c r="B28" s="15" t="s">
        <v>102</v>
      </c>
      <c r="D28">
        <v>172.02999999999997</v>
      </c>
      <c r="E28">
        <v>1693.8799999999999</v>
      </c>
      <c r="F28">
        <v>1865.91</v>
      </c>
    </row>
    <row r="29" spans="2:6">
      <c r="B29" s="15" t="s">
        <v>103</v>
      </c>
      <c r="D29">
        <v>6553.7400000000034</v>
      </c>
      <c r="F29">
        <v>6553.7400000000016</v>
      </c>
    </row>
    <row r="30" spans="2:6">
      <c r="B30" s="15" t="s">
        <v>104</v>
      </c>
      <c r="D30">
        <v>2686.7499999999986</v>
      </c>
      <c r="E30">
        <v>2505.4699999999989</v>
      </c>
      <c r="F30">
        <v>5192.2199999999993</v>
      </c>
    </row>
    <row r="31" spans="2:6">
      <c r="B31" s="15" t="s">
        <v>105</v>
      </c>
      <c r="C31">
        <v>15204.730000000003</v>
      </c>
      <c r="D31">
        <v>257443.15999999983</v>
      </c>
      <c r="E31">
        <v>275877.06000000011</v>
      </c>
      <c r="F31">
        <v>548524.94999999925</v>
      </c>
    </row>
    <row r="32" spans="2:6">
      <c r="B32" s="15" t="s">
        <v>106</v>
      </c>
      <c r="C32">
        <v>-147.05000000000001</v>
      </c>
      <c r="D32">
        <v>140.39000000000001</v>
      </c>
      <c r="F32">
        <v>-6.6599999999999842</v>
      </c>
    </row>
    <row r="33" spans="2:6">
      <c r="B33" s="15" t="s">
        <v>107</v>
      </c>
      <c r="C33">
        <v>485.31</v>
      </c>
      <c r="D33">
        <v>7381.3799999999992</v>
      </c>
      <c r="E33">
        <v>31376.339999999993</v>
      </c>
      <c r="F33">
        <v>39243.030000000006</v>
      </c>
    </row>
    <row r="34" spans="2:6">
      <c r="B34" s="15" t="s">
        <v>108</v>
      </c>
      <c r="C34">
        <v>371.81999999999994</v>
      </c>
      <c r="D34">
        <v>3191.2899999999991</v>
      </c>
      <c r="E34">
        <v>6964.9799999999959</v>
      </c>
      <c r="F34">
        <v>10528.089999999998</v>
      </c>
    </row>
    <row r="35" spans="2:6">
      <c r="B35" s="15" t="s">
        <v>109</v>
      </c>
      <c r="C35">
        <v>2821.5799999999981</v>
      </c>
      <c r="D35">
        <v>23328.320000000142</v>
      </c>
      <c r="E35">
        <v>26986.899999999958</v>
      </c>
      <c r="F35">
        <v>53136.800000000039</v>
      </c>
    </row>
    <row r="36" spans="2:6">
      <c r="B36" s="15" t="s">
        <v>110</v>
      </c>
      <c r="D36">
        <v>2366.7199999999984</v>
      </c>
      <c r="E36">
        <v>1002.31</v>
      </c>
      <c r="F36">
        <v>3369.0299999999993</v>
      </c>
    </row>
    <row r="37" spans="2:6">
      <c r="B37" s="15" t="s">
        <v>111</v>
      </c>
      <c r="E37">
        <v>131.17000000000002</v>
      </c>
      <c r="F37">
        <v>131.17000000000002</v>
      </c>
    </row>
    <row r="38" spans="2:6">
      <c r="B38" s="15" t="s">
        <v>112</v>
      </c>
      <c r="D38">
        <v>4037.7699999999982</v>
      </c>
      <c r="E38">
        <v>9120.3900000000176</v>
      </c>
      <c r="F38">
        <v>13158.159999999994</v>
      </c>
    </row>
    <row r="39" spans="2:6">
      <c r="B39" s="15" t="s">
        <v>113</v>
      </c>
      <c r="C39">
        <v>7918.8300000000008</v>
      </c>
      <c r="D39">
        <v>31009.800000000097</v>
      </c>
      <c r="E39">
        <v>52930.850000000137</v>
      </c>
      <c r="F39">
        <v>91859.47999999988</v>
      </c>
    </row>
    <row r="40" spans="2:6">
      <c r="B40" s="15" t="s">
        <v>114</v>
      </c>
      <c r="C40">
        <v>259.79999999999995</v>
      </c>
      <c r="D40">
        <v>53600.009999999886</v>
      </c>
      <c r="E40">
        <v>33949.609999999964</v>
      </c>
      <c r="F40">
        <v>87809.420000000042</v>
      </c>
    </row>
    <row r="41" spans="2:6">
      <c r="B41" s="15" t="s">
        <v>115</v>
      </c>
      <c r="C41">
        <v>589.40000000000009</v>
      </c>
      <c r="D41">
        <v>44058.930000000066</v>
      </c>
      <c r="E41">
        <v>55080.430000000102</v>
      </c>
      <c r="F41">
        <v>99728.759999999806</v>
      </c>
    </row>
    <row r="42" spans="2:6">
      <c r="B42" s="15" t="s">
        <v>116</v>
      </c>
      <c r="D42">
        <v>3070.5399999999981</v>
      </c>
      <c r="F42">
        <v>3070.5400000000004</v>
      </c>
    </row>
    <row r="43" spans="2:6">
      <c r="B43" s="15" t="s">
        <v>117</v>
      </c>
      <c r="C43">
        <v>479.53999999999991</v>
      </c>
      <c r="D43">
        <v>7566.8299999999945</v>
      </c>
      <c r="E43">
        <v>1902.2800000000007</v>
      </c>
      <c r="F43">
        <v>9948.65</v>
      </c>
    </row>
    <row r="44" spans="2:6">
      <c r="B44" s="15" t="s">
        <v>118</v>
      </c>
      <c r="C44">
        <v>727655.95999999449</v>
      </c>
      <c r="D44">
        <v>8143864.1929996535</v>
      </c>
      <c r="E44">
        <v>7511063.7439997653</v>
      </c>
      <c r="F44">
        <v>16382583.897000013</v>
      </c>
    </row>
    <row r="45" spans="2:6">
      <c r="B45" s="15" t="s">
        <v>119</v>
      </c>
      <c r="D45">
        <v>4937.5300000000016</v>
      </c>
      <c r="E45">
        <v>4749.7899999999963</v>
      </c>
      <c r="F45">
        <v>9687.3199999999979</v>
      </c>
    </row>
    <row r="46" spans="2:6">
      <c r="B46" s="15" t="s">
        <v>120</v>
      </c>
      <c r="C46">
        <v>141</v>
      </c>
      <c r="D46">
        <v>4414.6200000000017</v>
      </c>
      <c r="E46">
        <v>1730.9199999999996</v>
      </c>
      <c r="F46">
        <v>6286.5400000000018</v>
      </c>
    </row>
    <row r="47" spans="2:6">
      <c r="B47" s="15" t="s">
        <v>121</v>
      </c>
      <c r="D47">
        <v>536.41000000000008</v>
      </c>
      <c r="F47">
        <v>536.41000000000008</v>
      </c>
    </row>
    <row r="48" spans="2:6">
      <c r="B48" s="15" t="s">
        <v>122</v>
      </c>
      <c r="C48">
        <v>799847.1099999944</v>
      </c>
      <c r="D48">
        <v>9488594.5439994652</v>
      </c>
      <c r="E48">
        <v>8998808.9139999859</v>
      </c>
      <c r="F48">
        <v>19287250.568000026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89BEBC62-F643-41D2-ADFB-C3A0E0D1E828}">
  <ds:schemaRefs/>
</ds:datastoreItem>
</file>

<file path=customXml/itemProps2.xml><?xml version="1.0" encoding="utf-8"?>
<ds:datastoreItem xmlns:ds="http://schemas.openxmlformats.org/officeDocument/2006/customXml" ds:itemID="{DE01BD18-F514-44DB-8CA7-3D66E9DDDC07}">
  <ds:schemaRefs/>
</ds:datastoreItem>
</file>

<file path=customXml/itemProps3.xml><?xml version="1.0" encoding="utf-8"?>
<ds:datastoreItem xmlns:ds="http://schemas.openxmlformats.org/officeDocument/2006/customXml" ds:itemID="{420A836B-B3B7-496A-98D2-0C674F419642}">
  <ds:schemaRefs/>
</ds:datastoreItem>
</file>

<file path=customXml/itemProps4.xml><?xml version="1.0" encoding="utf-8"?>
<ds:datastoreItem xmlns:ds="http://schemas.openxmlformats.org/officeDocument/2006/customXml" ds:itemID="{F848CF7B-D02C-4E9D-9F29-6B1A1B680B1D}">
  <ds:schemaRefs/>
</ds:datastoreItem>
</file>

<file path=customXml/itemProps5.xml><?xml version="1.0" encoding="utf-8"?>
<ds:datastoreItem xmlns:ds="http://schemas.openxmlformats.org/officeDocument/2006/customXml" ds:itemID="{45E9B093-0342-41CB-83A9-3B841B5A2A53}">
  <ds:schemaRefs/>
</ds:datastoreItem>
</file>

<file path=customXml/itemProps6.xml><?xml version="1.0" encoding="utf-8"?>
<ds:datastoreItem xmlns:ds="http://schemas.openxmlformats.org/officeDocument/2006/customXml" ds:itemID="{F8EBF6A4-710B-4CC6-84A7-7F3C4A13D49E}">
  <ds:schemaRefs/>
</ds:datastoreItem>
</file>

<file path=customXml/itemProps7.xml><?xml version="1.0" encoding="utf-8"?>
<ds:datastoreItem xmlns:ds="http://schemas.openxmlformats.org/officeDocument/2006/customXml" ds:itemID="{45D59B63-3A9F-4510-9F50-9B22807C2CBE}">
  <ds:schemaRefs/>
</ds:datastoreItem>
</file>

<file path=customXml/itemProps8.xml><?xml version="1.0" encoding="utf-8"?>
<ds:datastoreItem xmlns:ds="http://schemas.openxmlformats.org/officeDocument/2006/customXml" ds:itemID="{C512B152-C7AE-4D57-901A-10D12E6CEB31}">
  <ds:schemaRefs/>
</ds:datastoreItem>
</file>

<file path=customXml/itemProps9.xml><?xml version="1.0" encoding="utf-8"?>
<ds:datastoreItem xmlns:ds="http://schemas.openxmlformats.org/officeDocument/2006/customXml" ds:itemID="{3EC84076-41BD-4F32-901F-CA96AC98D2CA}">
  <ds:schemaRefs/>
</ds:datastoreItem>
</file>

<file path=customXml/itemProps10.xml><?xml version="1.0" encoding="utf-8"?>
<ds:datastoreItem xmlns:ds="http://schemas.openxmlformats.org/officeDocument/2006/customXml" ds:itemID="{DB019760-1758-4A42-B514-E327A0F06603}">
  <ds:schemaRefs/>
</ds:datastoreItem>
</file>

<file path=customXml/itemProps11.xml><?xml version="1.0" encoding="utf-8"?>
<ds:datastoreItem xmlns:ds="http://schemas.openxmlformats.org/officeDocument/2006/customXml" ds:itemID="{BD8891F7-2C57-496B-A112-615FD6099E91}">
  <ds:schemaRefs/>
</ds:datastoreItem>
</file>

<file path=customXml/itemProps12.xml><?xml version="1.0" encoding="utf-8"?>
<ds:datastoreItem xmlns:ds="http://schemas.openxmlformats.org/officeDocument/2006/customXml" ds:itemID="{1F3CE986-C8EF-4E38-8A66-44FB5CD95217}">
  <ds:schemaRefs/>
</ds:datastoreItem>
</file>

<file path=customXml/itemProps13.xml><?xml version="1.0" encoding="utf-8"?>
<ds:datastoreItem xmlns:ds="http://schemas.openxmlformats.org/officeDocument/2006/customXml" ds:itemID="{A389B3F7-9CC5-4400-B1D1-3ACE93B6BE1A}">
  <ds:schemaRefs/>
</ds:datastoreItem>
</file>

<file path=customXml/itemProps14.xml><?xml version="1.0" encoding="utf-8"?>
<ds:datastoreItem xmlns:ds="http://schemas.openxmlformats.org/officeDocument/2006/customXml" ds:itemID="{5AC24397-9357-4D1E-B38E-DB1BD5EC6E2F}">
  <ds:schemaRefs/>
</ds:datastoreItem>
</file>

<file path=customXml/itemProps15.xml><?xml version="1.0" encoding="utf-8"?>
<ds:datastoreItem xmlns:ds="http://schemas.openxmlformats.org/officeDocument/2006/customXml" ds:itemID="{E136F49C-9111-48C7-8C2E-3E09E19FB154}">
  <ds:schemaRefs/>
</ds:datastoreItem>
</file>

<file path=customXml/itemProps16.xml><?xml version="1.0" encoding="utf-8"?>
<ds:datastoreItem xmlns:ds="http://schemas.openxmlformats.org/officeDocument/2006/customXml" ds:itemID="{BD0024EF-C74B-4089-BDAE-5F914C9D1EA4}">
  <ds:schemaRefs/>
</ds:datastoreItem>
</file>

<file path=customXml/itemProps17.xml><?xml version="1.0" encoding="utf-8"?>
<ds:datastoreItem xmlns:ds="http://schemas.openxmlformats.org/officeDocument/2006/customXml" ds:itemID="{66BE5B03-2AF4-4973-A88C-02A4BC459245}">
  <ds:schemaRefs/>
</ds:datastoreItem>
</file>

<file path=customXml/itemProps18.xml><?xml version="1.0" encoding="utf-8"?>
<ds:datastoreItem xmlns:ds="http://schemas.openxmlformats.org/officeDocument/2006/customXml" ds:itemID="{4DA0EE1A-C2D7-4856-BEBD-C8FAB32297C0}">
  <ds:schemaRefs/>
</ds:datastoreItem>
</file>

<file path=customXml/itemProps19.xml><?xml version="1.0" encoding="utf-8"?>
<ds:datastoreItem xmlns:ds="http://schemas.openxmlformats.org/officeDocument/2006/customXml" ds:itemID="{2BB01C32-4F33-468F-9148-F060B40922E8}">
  <ds:schemaRefs/>
</ds:datastoreItem>
</file>

<file path=customXml/itemProps20.xml><?xml version="1.0" encoding="utf-8"?>
<ds:datastoreItem xmlns:ds="http://schemas.openxmlformats.org/officeDocument/2006/customXml" ds:itemID="{E5B2B771-600D-480B-84BC-F61F0FD41BA1}">
  <ds:schemaRefs/>
</ds:datastoreItem>
</file>

<file path=customXml/itemProps21.xml><?xml version="1.0" encoding="utf-8"?>
<ds:datastoreItem xmlns:ds="http://schemas.openxmlformats.org/officeDocument/2006/customXml" ds:itemID="{FA6C06BE-37F7-4B92-94B8-FA3B903DC0E4}">
  <ds:schemaRefs/>
</ds:datastoreItem>
</file>

<file path=customXml/itemProps22.xml><?xml version="1.0" encoding="utf-8"?>
<ds:datastoreItem xmlns:ds="http://schemas.openxmlformats.org/officeDocument/2006/customXml" ds:itemID="{5E5FE6E2-DDBC-4482-96E2-0693EB516BE0}">
  <ds:schemaRefs/>
</ds:datastoreItem>
</file>

<file path=customXml/itemProps23.xml><?xml version="1.0" encoding="utf-8"?>
<ds:datastoreItem xmlns:ds="http://schemas.openxmlformats.org/officeDocument/2006/customXml" ds:itemID="{314B1ABF-152D-4818-B1A2-8B23DD25D4EA}">
  <ds:schemaRefs/>
</ds:datastoreItem>
</file>

<file path=customXml/itemProps24.xml><?xml version="1.0" encoding="utf-8"?>
<ds:datastoreItem xmlns:ds="http://schemas.openxmlformats.org/officeDocument/2006/customXml" ds:itemID="{88AD9B3E-030D-4DFE-8F00-E24EDE571CF8}">
  <ds:schemaRefs/>
</ds:datastoreItem>
</file>

<file path=customXml/itemProps25.xml><?xml version="1.0" encoding="utf-8"?>
<ds:datastoreItem xmlns:ds="http://schemas.openxmlformats.org/officeDocument/2006/customXml" ds:itemID="{CA5CA094-F2AD-4BF7-B703-CEB019A82E7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vt:i4>
      </vt:variant>
    </vt:vector>
  </HeadingPairs>
  <TitlesOfParts>
    <vt:vector size="15" baseType="lpstr">
      <vt:lpstr>00_README</vt:lpstr>
      <vt:lpstr>02_FORMULA_LAB</vt:lpstr>
      <vt:lpstr>03_ADVANCED_FORMULAS</vt:lpstr>
      <vt:lpstr>04_COUNTRY_ANALYSIS</vt:lpstr>
      <vt:lpstr>05_KPI_SUMMARY</vt:lpstr>
      <vt:lpstr>06_REVENUE_ANALYSIS</vt:lpstr>
      <vt:lpstr>07_PRODUCT_ANALYSIS</vt:lpstr>
      <vt:lpstr>08_CUSTOMER_ANALYSIS</vt:lpstr>
      <vt:lpstr>09_CUSTOMER_VALUE</vt:lpstr>
      <vt:lpstr>10_TIME_PATTERNS</vt:lpstr>
      <vt:lpstr>11_FORECASTING</vt:lpstr>
      <vt:lpstr>12_WHAT_IF</vt:lpstr>
      <vt:lpstr>Model_QA</vt:lpstr>
      <vt:lpstr>Discounted_Rate</vt:lpstr>
      <vt:lpstr>Fee_Rate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Samara Pires</dc:creator>
  <cp:lastModifiedBy>Samara Pires</cp:lastModifiedBy>
  <dcterms:created xsi:type="dcterms:W3CDTF">2015-06-05T18:17:20Z</dcterms:created>
  <dcterms:modified xsi:type="dcterms:W3CDTF">2026-09-11T04:35:57Z</dcterms:modified>
</cp:coreProperties>
</file>