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869\Desktop\excel-business-intelligence-forecasting\excel\"/>
    </mc:Choice>
  </mc:AlternateContent>
  <xr:revisionPtr revIDLastSave="0" documentId="13_ncr:1_{7E727472-2D07-4910-B919-0C0EFF587DC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00_README" sheetId="1" r:id="rId1"/>
    <sheet name="02_FORMULA_LAB" sheetId="2" r:id="rId2"/>
    <sheet name="03_ADVANCED_FORMULAS" sheetId="3" r:id="rId3"/>
  </sheets>
  <definedNames>
    <definedName name="Discounted_Rate">'02_FORMULA_LAB'!$AF$5</definedName>
    <definedName name="Fee_Rate">'02_FORMULA_LAB'!$F$2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nsactions_af34c521-27b8-4e0c-8caf-84b4b91308f5" name="fact_Transactions" connection="Query - fact_Transactions"/>
        </x15:modelTables>
      </x15:dataModel>
    </ext>
  </extLst>
</workbook>
</file>

<file path=xl/calcChain.xml><?xml version="1.0" encoding="utf-8"?>
<calcChain xmlns="http://schemas.openxmlformats.org/spreadsheetml/2006/main">
  <c r="P18" i="3" l="1"/>
  <c r="O18" i="3"/>
  <c r="O15" i="3"/>
  <c r="O14" i="3"/>
  <c r="O13" i="3"/>
  <c r="T8" i="3"/>
  <c r="T6" i="3"/>
  <c r="R15" i="3"/>
  <c r="Q15" i="3"/>
  <c r="R9" i="3"/>
  <c r="Q9" i="3"/>
  <c r="Q8" i="3"/>
  <c r="Q7" i="3"/>
  <c r="R2" i="3"/>
  <c r="O3" i="3"/>
  <c r="O6" i="3"/>
  <c r="O4" i="3"/>
  <c r="O2" i="3"/>
  <c r="E14" i="3"/>
  <c r="E13" i="3"/>
  <c r="E12" i="3"/>
  <c r="E11" i="3"/>
  <c r="E10" i="3"/>
  <c r="G3" i="3"/>
  <c r="G4" i="3"/>
  <c r="G5" i="3"/>
  <c r="G2" i="3"/>
  <c r="F3" i="3"/>
  <c r="F4" i="3"/>
  <c r="F5" i="3"/>
  <c r="F2" i="3"/>
  <c r="E3" i="3"/>
  <c r="E4" i="3"/>
  <c r="E5" i="3"/>
  <c r="E2" i="3"/>
  <c r="C3" i="3"/>
  <c r="C4" i="3"/>
  <c r="C5" i="3"/>
  <c r="C2" i="3"/>
  <c r="AD5" i="2"/>
  <c r="AD6" i="2"/>
  <c r="AD7" i="2"/>
  <c r="AC5" i="2"/>
  <c r="AC6" i="2"/>
  <c r="AC7" i="2"/>
  <c r="E3" i="2"/>
  <c r="E4" i="2"/>
  <c r="E2" i="2"/>
  <c r="C12" i="2"/>
  <c r="B12" i="2"/>
  <c r="B10" i="2"/>
  <c r="H13" i="2"/>
  <c r="I13" i="2"/>
  <c r="J13" i="2"/>
  <c r="I12" i="2"/>
  <c r="J12" i="2"/>
  <c r="J11" i="2"/>
  <c r="I11" i="2"/>
  <c r="H11" i="2"/>
  <c r="H12" i="2"/>
  <c r="H4" i="2"/>
  <c r="I4" i="2"/>
  <c r="J4" i="2"/>
  <c r="K4" i="2"/>
  <c r="L4" i="2"/>
  <c r="H5" i="2"/>
  <c r="I5" i="2"/>
  <c r="J5" i="2"/>
  <c r="K5" i="2"/>
  <c r="L5" i="2"/>
  <c r="H6" i="2"/>
  <c r="I6" i="2"/>
  <c r="J6" i="2"/>
  <c r="K6" i="2"/>
  <c r="L6" i="2"/>
  <c r="H7" i="2"/>
  <c r="I7" i="2"/>
  <c r="J7" i="2"/>
  <c r="K7" i="2"/>
  <c r="L7" i="2"/>
  <c r="I3" i="2"/>
  <c r="J3" i="2"/>
  <c r="K3" i="2"/>
  <c r="L3" i="2"/>
  <c r="H3" i="2"/>
  <c r="D3" i="2"/>
  <c r="D4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A59DC1-20F6-4575-8F05-B24F716495E2}" name="Query - fact_Transactions" description="Connection to the 'fact_Transactions' query in the workbook." type="100" refreshedVersion="8" minRefreshableVersion="5">
    <extLst>
      <ext xmlns:x15="http://schemas.microsoft.com/office/spreadsheetml/2010/11/main" uri="{DE250136-89BD-433C-8126-D09CA5730AF9}">
        <x15:connection id="47394198-be30-49cb-b640-18681b9813cb"/>
      </ext>
    </extLst>
  </connection>
  <connection id="2" xr16:uid="{A3E82387-6632-4E2A-8FB0-21B9C8AF7C9C}" keepAlive="1" name="Query - qa_AnalysisStatus" description="Connection to the 'qa_AnalysisStatus' query in the workbook." type="5" refreshedVersion="0" background="1">
    <dbPr connection="Provider=Microsoft.Mashup.OleDb.1;Data Source=$Workbook$;Location=qa_AnalysisStatus;Extended Properties=&quot;&quot;" command="SELECT * FROM [qa_AnalysisStatus]"/>
  </connection>
  <connection id="3" xr16:uid="{D962823C-0EBA-4E3F-89E8-2F2B03145E87}" keepAlive="1" name="Query - qa_RowCount" description="Connection to the 'qa_RowCount' query in the workbook." type="5" refreshedVersion="0" background="1">
    <dbPr connection="Provider=Microsoft.Mashup.OleDb.1;Data Source=$Workbook$;Location=qa_RowCount;Extended Properties=&quot;&quot;" command="SELECT * FROM [qa_RowCount]"/>
  </connection>
  <connection id="4" xr16:uid="{18527371-5DDB-4AD6-A236-40CD58A6F9A8}" keepAlive="1" name="Query - qa_StockCodes" description="Connection to the 'qa_StockCodes' query in the workbook." type="5" refreshedVersion="0" background="1">
    <dbPr connection="Provider=Microsoft.Mashup.OleDb.1;Data Source=$Workbook$;Location=qa_StockCodes;Extended Properties=&quot;&quot;" command="SELECT * FROM [qa_StockCodes]"/>
  </connection>
  <connection id="5" xr16:uid="{01A93971-3D2F-46E0-BA89-B5C5DC19D333}" keepAlive="1" name="Query - qa_TransactionTypes" description="Connection to the 'qa_TransactionTypes' query in the workbook." type="5" refreshedVersion="0" background="1">
    <dbPr connection="Provider=Microsoft.Mashup.OleDb.1;Data Source=$Workbook$;Location=qa_TransactionTypes;Extended Properties=&quot;&quot;" command="SELECT * FROM [qa_TransactionTypes]"/>
  </connection>
  <connection id="6" xr16:uid="{5ECA99DB-044E-4466-9A8D-1FEA162127D8}" keepAlive="1" name="Query - src_2009_2010" description="Connection to the 'src_2009_2010' query in the workbook." type="5" refreshedVersion="0" background="1">
    <dbPr connection="Provider=Microsoft.Mashup.OleDb.1;Data Source=$Workbook$;Location=src_2009_2010;Extended Properties=&quot;&quot;" command="SELECT * FROM [src_2009_2010]"/>
  </connection>
  <connection id="7" xr16:uid="{27C991EA-BECD-4D06-BAAC-CEDDA0BDA50A}" keepAlive="1" name="Query - src_2010_2011" description="Connection to the 'src_2010_2011' query in the workbook." type="5" refreshedVersion="0" background="1">
    <dbPr connection="Provider=Microsoft.Mashup.OleDb.1;Data Source=$Workbook$;Location=src_2010_2011;Extended Properties=&quot;&quot;" command="SELECT * FROM [src_2010_2011]"/>
  </connection>
  <connection id="8" xr16:uid="{10A556DD-5766-4FC4-9D5D-9788839EAE6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<sst xmlns="http://schemas.openxmlformats.org/spreadsheetml/2006/main" count="121" uniqueCount="80">
  <si>
    <t>NEXORA COMMERCE</t>
  </si>
  <si>
    <t>Business Intelligence &amp; Forecasting Platform</t>
  </si>
  <si>
    <t>PURPOSE</t>
  </si>
  <si>
    <t>End-to-end Excel analytics platform for business performance analysis, customer analytics, forecasting, scenario modeling, optimization, and executive reporting.</t>
  </si>
  <si>
    <t>DATA SOURCE</t>
  </si>
  <si>
    <t>UCI Machine Learning Repository — Online Retail II</t>
  </si>
  <si>
    <t>PROJECT WORKFLOW</t>
  </si>
  <si>
    <t>Raw Data</t>
  </si>
  <si>
    <t>Power Query</t>
  </si>
  <si>
    <t>Data Model</t>
  </si>
  <si>
    <t>Business Analytics</t>
  </si>
  <si>
    <t>Forecasting &amp; Optimization</t>
  </si>
  <si>
    <t>Executive Dashboard</t>
  </si>
  <si>
    <t xml:space="preserve">Product </t>
  </si>
  <si>
    <t>Price</t>
  </si>
  <si>
    <t xml:space="preserve">Quantity </t>
  </si>
  <si>
    <t xml:space="preserve">Revenue </t>
  </si>
  <si>
    <t>Laptop Stand</t>
  </si>
  <si>
    <t>Keyboard</t>
  </si>
  <si>
    <t>Mouse</t>
  </si>
  <si>
    <t>Fee Rate</t>
  </si>
  <si>
    <t>Tansaction Fee</t>
  </si>
  <si>
    <t xml:space="preserve">Product Price </t>
  </si>
  <si>
    <t>Order ID</t>
  </si>
  <si>
    <t>Status</t>
  </si>
  <si>
    <t>Processing</t>
  </si>
  <si>
    <t>Priority</t>
  </si>
  <si>
    <t>Low</t>
  </si>
  <si>
    <t>Medium</t>
  </si>
  <si>
    <t>High</t>
  </si>
  <si>
    <t>Critical</t>
  </si>
  <si>
    <t>Order Priority</t>
  </si>
  <si>
    <t>Jan</t>
  </si>
  <si>
    <t>Feb</t>
  </si>
  <si>
    <t>Mar</t>
  </si>
  <si>
    <t>Apr</t>
  </si>
  <si>
    <t>France</t>
  </si>
  <si>
    <t>Germany</t>
  </si>
  <si>
    <t>UK</t>
  </si>
  <si>
    <t>Product</t>
  </si>
  <si>
    <t>Quantity</t>
  </si>
  <si>
    <t>Headphones</t>
  </si>
  <si>
    <t>Webcam</t>
  </si>
  <si>
    <t>USB Hub</t>
  </si>
  <si>
    <t>Revenue</t>
  </si>
  <si>
    <t>Final Revenue</t>
  </si>
  <si>
    <t>Discounted Rate</t>
  </si>
  <si>
    <t xml:space="preserve">Performance </t>
  </si>
  <si>
    <t>Laptop</t>
  </si>
  <si>
    <t>Monitor</t>
  </si>
  <si>
    <t>Units Sold</t>
  </si>
  <si>
    <t>Business Rating</t>
  </si>
  <si>
    <t>Priority Status</t>
  </si>
  <si>
    <t>Revenue Tier</t>
  </si>
  <si>
    <t>Country</t>
  </si>
  <si>
    <t xml:space="preserve">Category </t>
  </si>
  <si>
    <t>Canada</t>
  </si>
  <si>
    <t>Electronics</t>
  </si>
  <si>
    <t>Furniture</t>
  </si>
  <si>
    <t>Product ID</t>
  </si>
  <si>
    <t xml:space="preserve">Product Name </t>
  </si>
  <si>
    <t>Category</t>
  </si>
  <si>
    <t>P101</t>
  </si>
  <si>
    <t>Office</t>
  </si>
  <si>
    <t>P102</t>
  </si>
  <si>
    <t>P103</t>
  </si>
  <si>
    <t>P104</t>
  </si>
  <si>
    <t>Desk Lamp</t>
  </si>
  <si>
    <t>Home</t>
  </si>
  <si>
    <t>P105</t>
  </si>
  <si>
    <t xml:space="preserve">Search Product ID </t>
  </si>
  <si>
    <t>=VLOOKUP(</t>
  </si>
  <si>
    <t>Raw Customer Name</t>
  </si>
  <si>
    <t>Clean Customer Name</t>
  </si>
  <si>
    <t xml:space="preserve"> Samara Pires</t>
  </si>
  <si>
    <t>CAN-2026-45821</t>
  </si>
  <si>
    <t>CANADA-WEST-2026</t>
  </si>
  <si>
    <t>Samara</t>
  </si>
  <si>
    <t>Pires</t>
  </si>
  <si>
    <t>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</si>
</sst>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.0,,&quot;M&quot;"/>
    <numFmt numFmtId="165" formatCode="0.0,&quot;K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 tint="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9" fontId="0" fillId="0" borderId="0" xfId="0" applyNumberFormat="1"/>
    <xf numFmtId="10" fontId="0" fillId="0" borderId="0" xfId="0" applyNumberFormat="1"/>
    <xf numFmtId="44" fontId="0" fillId="0" borderId="0" xfId="0" applyNumberFormat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 applyAlignment="1">
      <alignment horizontal="centerContinuous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Continuous" vertical="center"/>
    </xf>
    <xf numFmtId="0" fontId="0" fillId="0" borderId="0" xfId="0" applyAlignment="1">
      <alignment vertical="center" wrapText="1"/>
    </xf>
    <xf numFmtId="0" fontId="4" fillId="0" borderId="1" xfId="0" applyFont="1" applyBorder="1" applyAlignment="1">
      <alignment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5"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9A7F9A-CA77-4078-B1EF-5A165DFAB677}" name="Table1" displayName="Table1" ref="Z4:AD7" totalsRowShown="0" headerRowDxfId="4">
  <autoFilter ref="Z4:AD7" xr:uid="{F59A7F9A-CA77-4078-B1EF-5A165DFAB677}"/>
  <tableColumns count="5">
    <tableColumn id="1" xr3:uid="{1C6F2C38-6A3A-444F-81A5-F9564500F101}" name="Product"/>
    <tableColumn id="2" xr3:uid="{62BB994E-8FB3-478C-AE7D-100526B88A27}" name="Price"/>
    <tableColumn id="3" xr3:uid="{7AB321F0-A0B1-480A-B65D-83E1CB15327B}" name="Quantity"/>
    <tableColumn id="4" xr3:uid="{742E0FD4-00B4-465D-9794-3A34FDC1D097}" name="Revenue" dataDxfId="3">
      <calculatedColumnFormula>Table1[[#This Row],[Price]]*Table1[[#This Row],[Quantity]]</calculatedColumnFormula>
    </tableColumn>
    <tableColumn id="5" xr3:uid="{21726BC3-7D16-4442-9BB5-6F3A6AF32302}" name="Final Revenue" dataDxfId="2">
      <calculatedColumnFormula>Table1[[#This Row],[Revenue]]*(1-Discounted_Rate)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selection activeCell="K6" sqref="K6"/>
    </sheetView>
  </sheetViews>
  <sheetFormatPr defaultRowHeight="14.5" x14ac:dyDescent="0.35"/>
  <cols>
    <col min="1" max="1" width="28.6328125" customWidth="1"/>
    <col min="2" max="4" width="18.6328125" customWidth="1"/>
  </cols>
  <sheetData>
    <row r="1" spans="1:4" ht="30" customHeight="1" x14ac:dyDescent="0.35">
      <c r="A1" s="8" t="s">
        <v>0</v>
      </c>
    </row>
    <row r="2" spans="1:4" ht="22" customHeight="1" x14ac:dyDescent="0.35">
      <c r="A2" s="12" t="s">
        <v>1</v>
      </c>
      <c r="B2" s="13"/>
      <c r="C2" s="13"/>
      <c r="D2" s="13"/>
    </row>
    <row r="3" spans="1:4" x14ac:dyDescent="0.35">
      <c r="A3" s="9"/>
    </row>
    <row r="4" spans="1:4" x14ac:dyDescent="0.35">
      <c r="A4" s="10" t="s">
        <v>2</v>
      </c>
      <c r="B4" s="7"/>
      <c r="C4" s="7"/>
      <c r="D4" s="7"/>
    </row>
    <row r="5" spans="1:4" ht="87" x14ac:dyDescent="0.35">
      <c r="A5" s="11" t="s">
        <v>3</v>
      </c>
    </row>
    <row r="6" spans="1:4" x14ac:dyDescent="0.35">
      <c r="A6" s="9"/>
    </row>
    <row r="7" spans="1:4" x14ac:dyDescent="0.35">
      <c r="A7" s="10" t="s">
        <v>4</v>
      </c>
      <c r="B7" s="7"/>
      <c r="C7" s="7"/>
      <c r="D7" s="7"/>
    </row>
    <row r="8" spans="1:4" x14ac:dyDescent="0.35">
      <c r="A8" s="9" t="s">
        <v>5</v>
      </c>
    </row>
    <row r="9" spans="1:4" x14ac:dyDescent="0.35">
      <c r="A9" s="9"/>
    </row>
    <row r="10" spans="1:4" x14ac:dyDescent="0.35">
      <c r="A10" s="10" t="s">
        <v>6</v>
      </c>
      <c r="B10" s="7"/>
      <c r="C10" s="7"/>
      <c r="D10" s="7"/>
    </row>
    <row r="11" spans="1:4" x14ac:dyDescent="0.35">
      <c r="A11" s="14" t="s">
        <v>7</v>
      </c>
    </row>
    <row r="12" spans="1:4" x14ac:dyDescent="0.35">
      <c r="A12" s="14" t="s">
        <v>8</v>
      </c>
    </row>
    <row r="13" spans="1:4" x14ac:dyDescent="0.35">
      <c r="A13" s="14" t="s">
        <v>9</v>
      </c>
    </row>
    <row r="14" spans="1:4" x14ac:dyDescent="0.35">
      <c r="A14" s="14" t="s">
        <v>10</v>
      </c>
    </row>
    <row r="15" spans="1:4" x14ac:dyDescent="0.35">
      <c r="A15" s="14" t="s">
        <v>11</v>
      </c>
    </row>
    <row r="16" spans="1:4" x14ac:dyDescent="0.35">
      <c r="A16" s="14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7079-A29D-4C0A-B1A8-E36C46F01438}">
  <dimension ref="A1:AF18"/>
  <sheetViews>
    <sheetView topLeftCell="V1" workbookViewId="0">
      <selection activeCell="AB15" sqref="AB15"/>
    </sheetView>
  </sheetViews>
  <sheetFormatPr defaultRowHeight="14.5" x14ac:dyDescent="0.35"/>
  <cols>
    <col min="1" max="1" width="10.7265625" bestFit="1" customWidth="1"/>
    <col min="2" max="2" width="10.08984375" bestFit="1" customWidth="1"/>
    <col min="5" max="5" width="15.453125" customWidth="1"/>
    <col min="6" max="6" width="14.81640625" customWidth="1"/>
    <col min="7" max="7" width="12.90625" customWidth="1"/>
    <col min="17" max="17" width="13.6328125" customWidth="1"/>
    <col min="20" max="20" width="15.36328125" customWidth="1"/>
    <col min="26" max="26" width="15" customWidth="1"/>
    <col min="27" max="27" width="9.7265625" customWidth="1"/>
    <col min="28" max="28" width="13" customWidth="1"/>
    <col min="29" max="29" width="14.6328125" customWidth="1"/>
    <col min="30" max="30" width="19.26953125" customWidth="1"/>
    <col min="32" max="32" width="16.36328125" customWidth="1"/>
  </cols>
  <sheetData>
    <row r="1" spans="1:32" x14ac:dyDescent="0.35">
      <c r="A1" t="s">
        <v>13</v>
      </c>
      <c r="B1" t="s">
        <v>14</v>
      </c>
      <c r="C1" t="s">
        <v>15</v>
      </c>
      <c r="D1" t="s">
        <v>16</v>
      </c>
      <c r="E1" t="s">
        <v>21</v>
      </c>
      <c r="F1" t="s">
        <v>20</v>
      </c>
    </row>
    <row r="2" spans="1:32" x14ac:dyDescent="0.35">
      <c r="A2" t="s">
        <v>17</v>
      </c>
      <c r="B2">
        <v>50</v>
      </c>
      <c r="C2">
        <v>3</v>
      </c>
      <c r="D2">
        <f>B2*C2</f>
        <v>150</v>
      </c>
      <c r="E2">
        <f>D2*Fee_Rate</f>
        <v>7.5</v>
      </c>
      <c r="F2" s="1">
        <v>0.05</v>
      </c>
      <c r="H2">
        <v>1</v>
      </c>
      <c r="I2">
        <v>2</v>
      </c>
      <c r="J2">
        <v>3</v>
      </c>
      <c r="K2">
        <v>4</v>
      </c>
      <c r="L2">
        <v>5</v>
      </c>
    </row>
    <row r="3" spans="1:32" x14ac:dyDescent="0.35">
      <c r="A3" t="s">
        <v>18</v>
      </c>
      <c r="B3">
        <v>80</v>
      </c>
      <c r="C3">
        <v>2</v>
      </c>
      <c r="D3">
        <f t="shared" ref="D3:D4" si="0">B3*C3</f>
        <v>160</v>
      </c>
      <c r="E3">
        <f>D3*Fee_Rate</f>
        <v>8</v>
      </c>
      <c r="G3">
        <v>1</v>
      </c>
      <c r="H3">
        <f>$G3*H$2</f>
        <v>1</v>
      </c>
      <c r="I3">
        <f t="shared" ref="I3:L7" si="1">$G3*I$2</f>
        <v>2</v>
      </c>
      <c r="J3">
        <f t="shared" si="1"/>
        <v>3</v>
      </c>
      <c r="K3">
        <f t="shared" si="1"/>
        <v>4</v>
      </c>
      <c r="L3">
        <f t="shared" si="1"/>
        <v>5</v>
      </c>
    </row>
    <row r="4" spans="1:32" x14ac:dyDescent="0.35">
      <c r="A4" t="s">
        <v>19</v>
      </c>
      <c r="B4">
        <v>25</v>
      </c>
      <c r="C4">
        <v>5</v>
      </c>
      <c r="D4">
        <f t="shared" si="0"/>
        <v>125</v>
      </c>
      <c r="E4">
        <f>D4*Fee_Rate</f>
        <v>6.25</v>
      </c>
      <c r="G4">
        <v>2</v>
      </c>
      <c r="H4">
        <f t="shared" ref="H4:H7" si="2">$G4*H$2</f>
        <v>2</v>
      </c>
      <c r="I4">
        <f t="shared" si="1"/>
        <v>4</v>
      </c>
      <c r="J4">
        <f t="shared" si="1"/>
        <v>6</v>
      </c>
      <c r="K4">
        <f t="shared" si="1"/>
        <v>8</v>
      </c>
      <c r="L4">
        <f t="shared" si="1"/>
        <v>10</v>
      </c>
      <c r="R4" t="s">
        <v>32</v>
      </c>
      <c r="S4" t="s">
        <v>33</v>
      </c>
      <c r="T4" t="s">
        <v>34</v>
      </c>
      <c r="U4" t="s">
        <v>35</v>
      </c>
      <c r="W4" t="s">
        <v>32</v>
      </c>
      <c r="Z4" s="18" t="s">
        <v>39</v>
      </c>
      <c r="AA4" s="18" t="s">
        <v>14</v>
      </c>
      <c r="AB4" s="18" t="s">
        <v>40</v>
      </c>
      <c r="AC4" s="18" t="s">
        <v>44</v>
      </c>
      <c r="AD4" s="18" t="s">
        <v>45</v>
      </c>
      <c r="AF4" s="18" t="s">
        <v>46</v>
      </c>
    </row>
    <row r="5" spans="1:32" x14ac:dyDescent="0.35">
      <c r="G5">
        <v>3</v>
      </c>
      <c r="H5">
        <f t="shared" si="2"/>
        <v>3</v>
      </c>
      <c r="I5">
        <f t="shared" si="1"/>
        <v>6</v>
      </c>
      <c r="J5">
        <f t="shared" si="1"/>
        <v>9</v>
      </c>
      <c r="K5">
        <f t="shared" si="1"/>
        <v>12</v>
      </c>
      <c r="L5">
        <f t="shared" si="1"/>
        <v>15</v>
      </c>
      <c r="W5" t="s">
        <v>33</v>
      </c>
      <c r="Z5" t="s">
        <v>41</v>
      </c>
      <c r="AA5">
        <v>80</v>
      </c>
      <c r="AB5">
        <v>4</v>
      </c>
      <c r="AC5">
        <f>Table1[[#This Row],[Price]]*Table1[[#This Row],[Quantity]]</f>
        <v>320</v>
      </c>
      <c r="AD5">
        <f>Table1[[#This Row],[Revenue]]*(1-Discounted_Rate)</f>
        <v>288</v>
      </c>
      <c r="AF5" s="1">
        <v>0.1</v>
      </c>
    </row>
    <row r="6" spans="1:32" x14ac:dyDescent="0.35">
      <c r="G6">
        <v>4</v>
      </c>
      <c r="H6">
        <f t="shared" si="2"/>
        <v>4</v>
      </c>
      <c r="I6">
        <f t="shared" si="1"/>
        <v>8</v>
      </c>
      <c r="J6">
        <f t="shared" si="1"/>
        <v>12</v>
      </c>
      <c r="K6">
        <f t="shared" si="1"/>
        <v>16</v>
      </c>
      <c r="L6">
        <f t="shared" si="1"/>
        <v>20</v>
      </c>
      <c r="W6" t="s">
        <v>34</v>
      </c>
      <c r="Z6" t="s">
        <v>42</v>
      </c>
      <c r="AA6">
        <v>120</v>
      </c>
      <c r="AB6">
        <v>2</v>
      </c>
      <c r="AC6">
        <f>Table1[[#This Row],[Price]]*Table1[[#This Row],[Quantity]]</f>
        <v>240</v>
      </c>
      <c r="AD6">
        <f>Table1[[#This Row],[Revenue]]*(1-Discounted_Rate)</f>
        <v>216</v>
      </c>
    </row>
    <row r="7" spans="1:32" x14ac:dyDescent="0.35">
      <c r="E7">
        <v>100</v>
      </c>
      <c r="G7">
        <v>5</v>
      </c>
      <c r="H7">
        <f t="shared" si="2"/>
        <v>5</v>
      </c>
      <c r="I7">
        <f t="shared" si="1"/>
        <v>10</v>
      </c>
      <c r="J7">
        <f t="shared" si="1"/>
        <v>15</v>
      </c>
      <c r="K7">
        <f t="shared" si="1"/>
        <v>20</v>
      </c>
      <c r="L7">
        <f t="shared" si="1"/>
        <v>25</v>
      </c>
      <c r="O7" t="s">
        <v>26</v>
      </c>
      <c r="Q7" s="16" t="s">
        <v>31</v>
      </c>
      <c r="W7" t="s">
        <v>35</v>
      </c>
      <c r="Z7" t="s">
        <v>43</v>
      </c>
      <c r="AA7">
        <v>40</v>
      </c>
      <c r="AB7">
        <v>6</v>
      </c>
      <c r="AC7">
        <f>Table1[[#This Row],[Price]]*Table1[[#This Row],[Quantity]]</f>
        <v>240</v>
      </c>
      <c r="AD7">
        <f>Table1[[#This Row],[Revenue]]*(1-Discounted_Rate)</f>
        <v>216</v>
      </c>
    </row>
    <row r="8" spans="1:32" x14ac:dyDescent="0.35">
      <c r="O8" t="s">
        <v>27</v>
      </c>
      <c r="T8" t="s">
        <v>38</v>
      </c>
    </row>
    <row r="9" spans="1:32" x14ac:dyDescent="0.35">
      <c r="O9" t="s">
        <v>28</v>
      </c>
      <c r="T9" t="s">
        <v>38</v>
      </c>
    </row>
    <row r="10" spans="1:32" x14ac:dyDescent="0.35">
      <c r="A10" s="2">
        <v>0.25</v>
      </c>
      <c r="B10">
        <f>A10*100</f>
        <v>25</v>
      </c>
      <c r="E10">
        <v>7.5</v>
      </c>
      <c r="G10" t="s">
        <v>22</v>
      </c>
      <c r="H10" s="1">
        <v>0.1</v>
      </c>
      <c r="I10" s="1">
        <v>0.2</v>
      </c>
      <c r="J10" s="1">
        <v>0.3</v>
      </c>
      <c r="O10" t="s">
        <v>29</v>
      </c>
      <c r="T10" t="s">
        <v>36</v>
      </c>
    </row>
    <row r="11" spans="1:32" x14ac:dyDescent="0.35">
      <c r="A11" s="3">
        <v>1250.5</v>
      </c>
      <c r="G11">
        <v>100</v>
      </c>
      <c r="H11">
        <f>$G11*(1-H$10)</f>
        <v>90</v>
      </c>
      <c r="I11">
        <f>$G11*(1-I$10)</f>
        <v>80</v>
      </c>
      <c r="J11">
        <f>$G11*(1-J$10)</f>
        <v>70</v>
      </c>
      <c r="O11" t="s">
        <v>30</v>
      </c>
      <c r="T11" t="s">
        <v>38</v>
      </c>
    </row>
    <row r="12" spans="1:32" x14ac:dyDescent="0.35">
      <c r="A12" s="4">
        <v>45800</v>
      </c>
      <c r="B12" s="4">
        <f>A12+7</f>
        <v>45807</v>
      </c>
      <c r="C12">
        <f>B12-A12</f>
        <v>7</v>
      </c>
      <c r="G12">
        <v>200</v>
      </c>
      <c r="H12">
        <f>G12*(1-H$10)</f>
        <v>180</v>
      </c>
      <c r="I12">
        <f>$G12*(1-I$10)</f>
        <v>160</v>
      </c>
      <c r="J12">
        <f>$G12*(1-J$10)</f>
        <v>140</v>
      </c>
      <c r="T12" t="s">
        <v>37</v>
      </c>
    </row>
    <row r="13" spans="1:32" x14ac:dyDescent="0.35">
      <c r="G13">
        <v>300</v>
      </c>
      <c r="H13">
        <f>G13*(1-H$10)</f>
        <v>270</v>
      </c>
      <c r="I13">
        <f>$G13*(1-I$10)</f>
        <v>240</v>
      </c>
      <c r="J13">
        <f>$G13*(1-J$10)</f>
        <v>210</v>
      </c>
    </row>
    <row r="14" spans="1:32" x14ac:dyDescent="0.35">
      <c r="A14" s="5">
        <v>1250000</v>
      </c>
    </row>
    <row r="15" spans="1:32" x14ac:dyDescent="0.35">
      <c r="A15" s="6">
        <v>425600</v>
      </c>
    </row>
    <row r="17" spans="6:7" x14ac:dyDescent="0.35">
      <c r="F17" s="16" t="s">
        <v>23</v>
      </c>
      <c r="G17" s="16" t="s">
        <v>24</v>
      </c>
    </row>
    <row r="18" spans="6:7" x14ac:dyDescent="0.35">
      <c r="F18" s="15">
        <v>10001</v>
      </c>
      <c r="G18" t="s">
        <v>25</v>
      </c>
    </row>
  </sheetData>
  <conditionalFormatting sqref="Z4:AD7">
    <cfRule type="expression" dxfId="1" priority="1">
      <formula>$AB5&gt;=4</formula>
    </cfRule>
    <cfRule type="expression" dxfId="0" priority="2">
      <formula>$AB6&gt;=4</formula>
    </cfRule>
    <cfRule type="expression" priority="3">
      <formula>$AB6&gt;=4</formula>
    </cfRule>
    <cfRule type="expression" priority="4">
      <formula>$AB$4:$AB$7&gt;4</formula>
    </cfRule>
    <cfRule type="expression" priority="5">
      <formula>"Quantity&gt;4"</formula>
    </cfRule>
  </conditionalFormatting>
  <dataValidations count="2">
    <dataValidation type="list" allowBlank="1" showInputMessage="1" showErrorMessage="1" promptTitle="Order Status" prompt="Select a status from the dropdown list." sqref="G18" xr:uid="{0799981A-581B-4D3F-B7C6-07D2800B20B7}">
      <formula1>"Pending,Processing,Shipped,Cancelled"</formula1>
    </dataValidation>
    <dataValidation type="list" allowBlank="1" showInputMessage="1" showErrorMessage="1" sqref="Q8" xr:uid="{50F2235D-32F2-4677-8E33-5A1F7CAAE3C3}">
      <formula1>$O$8:$O$11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517C-97CD-45B8-9429-024F5A3467B1}">
  <dimension ref="A1:X18"/>
  <sheetViews>
    <sheetView tabSelected="1" topLeftCell="Q1" workbookViewId="0">
      <selection activeCell="Z2" sqref="Z2"/>
    </sheetView>
  </sheetViews>
  <sheetFormatPr defaultRowHeight="14.5" x14ac:dyDescent="0.35"/>
  <cols>
    <col min="1" max="1" width="16" customWidth="1"/>
    <col min="2" max="2" width="15.90625" customWidth="1"/>
    <col min="3" max="3" width="18" customWidth="1"/>
    <col min="4" max="4" width="15.6328125" customWidth="1"/>
    <col min="5" max="5" width="24.36328125" customWidth="1"/>
    <col min="6" max="6" width="21.1796875" customWidth="1"/>
    <col min="7" max="7" width="24.54296875" customWidth="1"/>
    <col min="10" max="10" width="22.08984375" customWidth="1"/>
    <col min="11" max="11" width="21.54296875" customWidth="1"/>
    <col min="12" max="12" width="26.90625" customWidth="1"/>
    <col min="14" max="14" width="28.36328125" customWidth="1"/>
    <col min="15" max="15" width="25.81640625" customWidth="1"/>
    <col min="16" max="16" width="15.36328125" customWidth="1"/>
    <col min="17" max="17" width="22.453125" customWidth="1"/>
    <col min="18" max="18" width="23.08984375" customWidth="1"/>
    <col min="22" max="22" width="21.6328125" customWidth="1"/>
    <col min="23" max="23" width="14.7265625" customWidth="1"/>
    <col min="24" max="24" width="21.08984375" customWidth="1"/>
  </cols>
  <sheetData>
    <row r="1" spans="1:24" x14ac:dyDescent="0.35">
      <c r="A1" s="19" t="s">
        <v>13</v>
      </c>
      <c r="B1" s="19" t="s">
        <v>44</v>
      </c>
      <c r="C1" s="19" t="s">
        <v>47</v>
      </c>
      <c r="D1" s="19" t="s">
        <v>50</v>
      </c>
      <c r="E1" s="19" t="s">
        <v>51</v>
      </c>
      <c r="F1" s="19" t="s">
        <v>52</v>
      </c>
      <c r="G1" s="19" t="s">
        <v>53</v>
      </c>
      <c r="J1" s="18" t="s">
        <v>59</v>
      </c>
      <c r="K1" s="18" t="s">
        <v>60</v>
      </c>
      <c r="L1" s="18" t="s">
        <v>61</v>
      </c>
      <c r="N1" s="18" t="s">
        <v>70</v>
      </c>
      <c r="O1" s="18" t="s">
        <v>60</v>
      </c>
      <c r="Q1" s="18" t="s">
        <v>72</v>
      </c>
      <c r="R1" s="18" t="s">
        <v>73</v>
      </c>
      <c r="V1" s="22" t="s">
        <v>39</v>
      </c>
      <c r="W1" s="22" t="s">
        <v>61</v>
      </c>
      <c r="X1" s="22" t="s">
        <v>44</v>
      </c>
    </row>
    <row r="2" spans="1:24" x14ac:dyDescent="0.35">
      <c r="A2" s="17" t="s">
        <v>48</v>
      </c>
      <c r="B2" s="17">
        <v>850</v>
      </c>
      <c r="C2" s="17" t="str">
        <f>IF(B2&gt;=750,"High","Low")</f>
        <v>High</v>
      </c>
      <c r="D2" s="17">
        <v>12</v>
      </c>
      <c r="E2" s="17" t="str">
        <f>IF(AND(B2&gt;=750,D2&gt;=10),"Strong","Needs Review")</f>
        <v>Strong</v>
      </c>
      <c r="F2" s="17" t="str">
        <f>IF(OR(B2&gt;=750,D2&gt;=10),"Priority","Normal")</f>
        <v>Priority</v>
      </c>
      <c r="G2" t="str">
        <f>_xlfn.IFS(B2&gt;=1000,"Excellent",B2&gt;=750,"High",B2&gt;=500,"Medium",TRUE,"Low")</f>
        <v>High</v>
      </c>
      <c r="J2" s="21" t="s">
        <v>62</v>
      </c>
      <c r="K2" s="21" t="s">
        <v>17</v>
      </c>
      <c r="L2" s="21" t="s">
        <v>63</v>
      </c>
      <c r="N2" t="s">
        <v>65</v>
      </c>
      <c r="O2" t="str">
        <f>VLOOKUP(N2,J2:L6,2,FALSE)</f>
        <v>Mouse</v>
      </c>
      <c r="Q2" t="s">
        <v>74</v>
      </c>
      <c r="R2" t="str">
        <f>TRIM(Q2)</f>
        <v>Samara Pires</v>
      </c>
      <c r="V2" s="20" t="s">
        <v>48</v>
      </c>
      <c r="W2" s="20" t="s">
        <v>57</v>
      </c>
      <c r="X2" s="20">
        <v>850</v>
      </c>
    </row>
    <row r="3" spans="1:24" x14ac:dyDescent="0.35">
      <c r="A3" s="17" t="s">
        <v>49</v>
      </c>
      <c r="B3" s="17">
        <v>1200</v>
      </c>
      <c r="C3" s="17" t="str">
        <f t="shared" ref="C3:C5" si="0">IF(B3&gt;=750,"High","Low")</f>
        <v>High</v>
      </c>
      <c r="D3" s="17">
        <v>7</v>
      </c>
      <c r="E3" s="17" t="str">
        <f t="shared" ref="E3:E5" si="1">IF(AND(B3&gt;=750,D3&gt;=10),"Strong","Needs Review")</f>
        <v>Needs Review</v>
      </c>
      <c r="F3" s="17" t="str">
        <f t="shared" ref="F3:F5" si="2">IF(OR(B3&gt;=750,D3&gt;=10),"Priority","Normal")</f>
        <v>Priority</v>
      </c>
      <c r="G3" t="str">
        <f t="shared" ref="G3:G5" si="3">_xlfn.IFS(B3&gt;=1000,"Excellent",B3&gt;=750,"High",B3&gt;=500,"Medium",TRUE,"Low")</f>
        <v>Excellent</v>
      </c>
      <c r="J3" s="21" t="s">
        <v>64</v>
      </c>
      <c r="K3" s="21" t="s">
        <v>18</v>
      </c>
      <c r="L3" s="21" t="s">
        <v>57</v>
      </c>
      <c r="O3" t="str">
        <f>IFERROR(INDEX(K2:K6,MATCH(N2,J2:J6,0)),"Product Not Found")</f>
        <v>Mouse</v>
      </c>
      <c r="V3" s="20" t="s">
        <v>49</v>
      </c>
      <c r="W3" s="20" t="s">
        <v>57</v>
      </c>
      <c r="X3" s="20">
        <v>1200</v>
      </c>
    </row>
    <row r="4" spans="1:24" x14ac:dyDescent="0.35">
      <c r="A4" s="17" t="s">
        <v>18</v>
      </c>
      <c r="B4" s="17">
        <v>450</v>
      </c>
      <c r="C4" s="17" t="str">
        <f t="shared" si="0"/>
        <v>Low</v>
      </c>
      <c r="D4" s="17">
        <v>15</v>
      </c>
      <c r="E4" s="17" t="str">
        <f t="shared" si="1"/>
        <v>Needs Review</v>
      </c>
      <c r="F4" s="17" t="str">
        <f t="shared" si="2"/>
        <v>Priority</v>
      </c>
      <c r="G4" t="str">
        <f t="shared" si="3"/>
        <v>Low</v>
      </c>
      <c r="J4" s="21" t="s">
        <v>65</v>
      </c>
      <c r="K4" s="21" t="s">
        <v>19</v>
      </c>
      <c r="L4" s="21" t="s">
        <v>57</v>
      </c>
      <c r="O4" t="str">
        <f>INDEX(K2:K6,3)</f>
        <v>Mouse</v>
      </c>
      <c r="V4" s="20" t="s">
        <v>79</v>
      </c>
      <c r="W4" s="20" t="s">
        <v>58</v>
      </c>
      <c r="X4" s="20">
        <v>600</v>
      </c>
    </row>
    <row r="5" spans="1:24" x14ac:dyDescent="0.35">
      <c r="A5" s="17" t="s">
        <v>41</v>
      </c>
      <c r="B5" s="17">
        <v>700</v>
      </c>
      <c r="C5" s="17" t="str">
        <f t="shared" si="0"/>
        <v>Low</v>
      </c>
      <c r="D5" s="17">
        <v>11</v>
      </c>
      <c r="E5" s="17" t="str">
        <f t="shared" si="1"/>
        <v>Needs Review</v>
      </c>
      <c r="F5" s="17" t="str">
        <f t="shared" si="2"/>
        <v>Priority</v>
      </c>
      <c r="G5" t="str">
        <f t="shared" si="3"/>
        <v>Medium</v>
      </c>
      <c r="J5" s="21" t="s">
        <v>66</v>
      </c>
      <c r="K5" s="21" t="s">
        <v>67</v>
      </c>
      <c r="L5" s="21" t="s">
        <v>68</v>
      </c>
      <c r="Q5" t="s">
        <v>75</v>
      </c>
      <c r="V5" s="20" t="s">
        <v>18</v>
      </c>
      <c r="W5" s="20" t="s">
        <v>57</v>
      </c>
      <c r="X5" s="20">
        <v>450</v>
      </c>
    </row>
    <row r="6" spans="1:24" x14ac:dyDescent="0.35">
      <c r="J6" s="21" t="s">
        <v>69</v>
      </c>
      <c r="K6" s="21" t="s">
        <v>49</v>
      </c>
      <c r="L6" s="21" t="s">
        <v>57</v>
      </c>
      <c r="O6" t="str">
        <f>INDEX(K2:K6,MATCH(N2,J2:J6,0))</f>
        <v>Mouse</v>
      </c>
      <c r="R6" t="s">
        <v>76</v>
      </c>
      <c r="T6">
        <f>FIND("-",Q5)</f>
        <v>4</v>
      </c>
    </row>
    <row r="7" spans="1:24" x14ac:dyDescent="0.35">
      <c r="Q7" t="str">
        <f>RIGHT(Q5,5)</f>
        <v>45821</v>
      </c>
    </row>
    <row r="8" spans="1:24" x14ac:dyDescent="0.35">
      <c r="Q8" t="str">
        <f>LEFT(Q5,3)</f>
        <v>CAN</v>
      </c>
      <c r="T8">
        <f>SEARCH("c","Canada")</f>
        <v>1</v>
      </c>
    </row>
    <row r="9" spans="1:24" x14ac:dyDescent="0.35">
      <c r="Q9" t="str">
        <f>MID(Q5,5,4)</f>
        <v>2026</v>
      </c>
      <c r="R9" t="str">
        <f>SUBSTITUTE(R6,"-"," ")</f>
        <v>CANADA WEST 2026</v>
      </c>
    </row>
    <row r="10" spans="1:24" x14ac:dyDescent="0.35">
      <c r="A10" s="19" t="s">
        <v>54</v>
      </c>
      <c r="B10" s="19" t="s">
        <v>55</v>
      </c>
      <c r="C10" s="19" t="s">
        <v>16</v>
      </c>
      <c r="E10">
        <f>SUMIF(A11:A16,"Canada",C11:C16)</f>
        <v>3300</v>
      </c>
    </row>
    <row r="11" spans="1:24" x14ac:dyDescent="0.35">
      <c r="A11" s="20" t="s">
        <v>56</v>
      </c>
      <c r="B11" s="20" t="s">
        <v>57</v>
      </c>
      <c r="C11" s="20">
        <v>1200</v>
      </c>
      <c r="E11">
        <f>SUMIFS(C11:C16,A11:A16,"Canada",B11:B16,"Electronics")</f>
        <v>2700</v>
      </c>
    </row>
    <row r="12" spans="1:24" x14ac:dyDescent="0.35">
      <c r="A12" s="20" t="s">
        <v>38</v>
      </c>
      <c r="B12" s="20" t="s">
        <v>58</v>
      </c>
      <c r="C12" s="20">
        <v>800</v>
      </c>
      <c r="E12">
        <f>COUNTIFS(A11:A16,"Canada",B11:B16,"Electronics")</f>
        <v>2</v>
      </c>
    </row>
    <row r="13" spans="1:24" x14ac:dyDescent="0.35">
      <c r="A13" s="20" t="s">
        <v>56</v>
      </c>
      <c r="B13" s="20" t="s">
        <v>58</v>
      </c>
      <c r="C13" s="20">
        <v>600</v>
      </c>
      <c r="E13">
        <f>AVERAGEIFS(C11:C16,A11:A16,"Canada",B11:B16,"Electronics")</f>
        <v>1350</v>
      </c>
      <c r="N13" s="4">
        <v>46249</v>
      </c>
      <c r="O13">
        <f>YEAR(N13)</f>
        <v>2026</v>
      </c>
      <c r="Q13" t="s">
        <v>77</v>
      </c>
      <c r="R13" t="s">
        <v>78</v>
      </c>
      <c r="S13" t="s">
        <v>56</v>
      </c>
    </row>
    <row r="14" spans="1:24" x14ac:dyDescent="0.35">
      <c r="A14" s="20" t="s">
        <v>36</v>
      </c>
      <c r="B14" s="20" t="s">
        <v>57</v>
      </c>
      <c r="C14" s="20">
        <v>900</v>
      </c>
      <c r="E14">
        <f>COUNTIFS(A11:A16,"UK",C11:C16,"&gt;=750")</f>
        <v>1</v>
      </c>
      <c r="O14">
        <f>MONTH(N13)</f>
        <v>8</v>
      </c>
    </row>
    <row r="15" spans="1:24" x14ac:dyDescent="0.35">
      <c r="A15" s="20" t="s">
        <v>56</v>
      </c>
      <c r="B15" s="20" t="s">
        <v>57</v>
      </c>
      <c r="C15" s="20">
        <v>1500</v>
      </c>
      <c r="L15" t="s">
        <v>71</v>
      </c>
      <c r="O15">
        <f>DAY(N13)</f>
        <v>15</v>
      </c>
      <c r="Q15" t="str">
        <f>_xlfn.TEXTJOIN("-",TRUE,Q13:S13)</f>
        <v>Samara-Pires-Canada</v>
      </c>
      <c r="R15">
        <f>LEN(Q15)</f>
        <v>19</v>
      </c>
    </row>
    <row r="16" spans="1:24" x14ac:dyDescent="0.35">
      <c r="A16" s="20" t="s">
        <v>38</v>
      </c>
      <c r="B16" s="20" t="s">
        <v>57</v>
      </c>
      <c r="C16" s="20">
        <v>700</v>
      </c>
    </row>
    <row r="18" spans="15:16" x14ac:dyDescent="0.35">
      <c r="O18" s="4">
        <f ca="1">TODAY()</f>
        <v>46269</v>
      </c>
      <c r="P18" t="e">
        <f>EOMONTH(start_date, months)</f>
        <v>#NAME?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5CA094-F2AD-4BF7-B703-CEB019A82E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00_README</vt:lpstr>
      <vt:lpstr>02_FORMULA_LAB</vt:lpstr>
      <vt:lpstr>03_ADVANCED_FORMULAS</vt:lpstr>
      <vt:lpstr>Discounted_Rate</vt:lpstr>
      <vt:lpstr>Fee_Rate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Samara Pires</dc:creator>
  <cp:lastModifiedBy>Samara Pires</cp:lastModifiedBy>
  <dcterms:created xsi:type="dcterms:W3CDTF">2015-06-05T18:17:20Z</dcterms:created>
  <dcterms:modified xsi:type="dcterms:W3CDTF">2026-09-05T02:18:23Z</dcterms:modified>
</cp:coreProperties>
</file>